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0" yWindow="0" windowWidth="9300" windowHeight="11085" tabRatio="820"/>
  </bookViews>
  <sheets>
    <sheet name="Read me" sheetId="96" r:id="rId1"/>
    <sheet name="hypo" sheetId="94" r:id="rId2"/>
    <sheet name="pvar" sheetId="20" r:id="rId3"/>
    <sheet name="GRAFS" sheetId="44" r:id="rId4"/>
    <sheet name="Sources" sheetId="95" r:id="rId5"/>
  </sheets>
  <calcPr calcId="162913"/>
</workbook>
</file>

<file path=xl/calcChain.xml><?xml version="1.0" encoding="utf-8"?>
<calcChain xmlns="http://schemas.openxmlformats.org/spreadsheetml/2006/main">
  <c r="C81" i="44" l="1"/>
  <c r="D81" i="44"/>
  <c r="E81" i="44"/>
  <c r="F81" i="44"/>
  <c r="G81" i="44"/>
  <c r="H81" i="44"/>
  <c r="I81" i="44"/>
  <c r="J81" i="44"/>
  <c r="K81" i="44"/>
  <c r="L81" i="44"/>
  <c r="M81" i="44"/>
  <c r="N81" i="44"/>
  <c r="O81" i="44"/>
  <c r="P81" i="44"/>
  <c r="Q81" i="44"/>
  <c r="R81" i="44"/>
  <c r="S81" i="44"/>
  <c r="T81" i="44"/>
  <c r="U81" i="44"/>
  <c r="V81" i="44"/>
  <c r="W81" i="44"/>
  <c r="X81" i="44"/>
  <c r="Y81" i="44"/>
  <c r="Z81" i="44"/>
  <c r="AA81" i="44"/>
  <c r="AB81" i="44"/>
  <c r="AC81" i="44"/>
  <c r="AD81" i="44"/>
  <c r="AE81" i="44"/>
  <c r="AF81" i="44"/>
  <c r="AG81" i="44"/>
  <c r="AH81" i="44"/>
  <c r="AI81" i="44"/>
  <c r="AD20" i="20" l="1"/>
  <c r="AD210" i="20" s="1"/>
  <c r="AL20" i="20"/>
  <c r="AL210" i="20" s="1"/>
  <c r="F75" i="94"/>
  <c r="F20" i="20" s="1"/>
  <c r="F210" i="20" s="1"/>
  <c r="G75" i="94"/>
  <c r="G20" i="20" s="1"/>
  <c r="G210" i="20" s="1"/>
  <c r="H75" i="94"/>
  <c r="H20" i="20" s="1"/>
  <c r="H210" i="20" s="1"/>
  <c r="I75" i="94"/>
  <c r="I20" i="20" s="1"/>
  <c r="I210" i="20" s="1"/>
  <c r="M75" i="94"/>
  <c r="M20" i="20" s="1"/>
  <c r="M210" i="20" s="1"/>
  <c r="N75" i="94"/>
  <c r="N20" i="20" s="1"/>
  <c r="N210" i="20" s="1"/>
  <c r="O75" i="94"/>
  <c r="O20" i="20" s="1"/>
  <c r="O210" i="20" s="1"/>
  <c r="Q75" i="94"/>
  <c r="Q20" i="20" s="1"/>
  <c r="Q210" i="20" s="1"/>
  <c r="U75" i="94"/>
  <c r="U20" i="20" s="1"/>
  <c r="U210" i="20" s="1"/>
  <c r="AD75" i="94"/>
  <c r="AF75" i="94"/>
  <c r="AF20" i="20" s="1"/>
  <c r="AF210" i="20" s="1"/>
  <c r="AI75" i="94"/>
  <c r="AI20" i="20" s="1"/>
  <c r="AI210" i="20" s="1"/>
  <c r="AJ75" i="94"/>
  <c r="AJ20" i="20" s="1"/>
  <c r="AJ210" i="20" s="1"/>
  <c r="AK75" i="94"/>
  <c r="AK20" i="20" s="1"/>
  <c r="AK210" i="20" s="1"/>
  <c r="AL75" i="94"/>
  <c r="H174" i="94" l="1"/>
  <c r="I174" i="94"/>
  <c r="J174" i="94"/>
  <c r="K174" i="94"/>
  <c r="L174" i="94"/>
  <c r="M174" i="94"/>
  <c r="N174" i="94"/>
  <c r="O174" i="94"/>
  <c r="P174" i="94"/>
  <c r="Q174" i="94"/>
  <c r="R174" i="94"/>
  <c r="S174" i="94"/>
  <c r="T174" i="94"/>
  <c r="U174" i="94"/>
  <c r="V174" i="94"/>
  <c r="W174" i="94"/>
  <c r="X174" i="94"/>
  <c r="Y174" i="94"/>
  <c r="Z174" i="94"/>
  <c r="AA174" i="94"/>
  <c r="AB174" i="94"/>
  <c r="AC174" i="94"/>
  <c r="AD174" i="94"/>
  <c r="AE174" i="94"/>
  <c r="AF174" i="94"/>
  <c r="AG174" i="94"/>
  <c r="AH174" i="94"/>
  <c r="AI174" i="94"/>
  <c r="AJ174" i="94"/>
  <c r="AK174" i="94"/>
  <c r="AL174" i="94"/>
  <c r="H175" i="94"/>
  <c r="I175" i="94"/>
  <c r="J175" i="94"/>
  <c r="K175" i="94"/>
  <c r="L175" i="94"/>
  <c r="M175" i="94"/>
  <c r="N175" i="94"/>
  <c r="O175" i="94"/>
  <c r="P175" i="94"/>
  <c r="Q175" i="94"/>
  <c r="R175" i="94"/>
  <c r="S175" i="94"/>
  <c r="T175" i="94"/>
  <c r="U175" i="94"/>
  <c r="V175" i="94"/>
  <c r="W175" i="94"/>
  <c r="X175" i="94"/>
  <c r="Y175" i="94"/>
  <c r="Z175" i="94"/>
  <c r="AA175" i="94"/>
  <c r="AB175" i="94"/>
  <c r="AC175" i="94"/>
  <c r="AD175" i="94"/>
  <c r="AE175" i="94"/>
  <c r="AF175" i="94"/>
  <c r="AG175" i="94"/>
  <c r="AH175" i="94"/>
  <c r="AI175" i="94"/>
  <c r="AJ175" i="94"/>
  <c r="AK175" i="94"/>
  <c r="AL175" i="94"/>
  <c r="H176" i="94"/>
  <c r="I176" i="94"/>
  <c r="J176" i="94"/>
  <c r="K176" i="94"/>
  <c r="L176" i="94"/>
  <c r="M176" i="94"/>
  <c r="N176" i="94"/>
  <c r="O176" i="94"/>
  <c r="P176" i="94"/>
  <c r="Q176" i="94"/>
  <c r="R176" i="94"/>
  <c r="S176" i="94"/>
  <c r="T176" i="94"/>
  <c r="U176" i="94"/>
  <c r="V176" i="94"/>
  <c r="W176" i="94"/>
  <c r="X176" i="94"/>
  <c r="Y176" i="94"/>
  <c r="Z176" i="94"/>
  <c r="AA176" i="94"/>
  <c r="AB176" i="94"/>
  <c r="AC176" i="94"/>
  <c r="AD176" i="94"/>
  <c r="AE176" i="94"/>
  <c r="AF176" i="94"/>
  <c r="AG176" i="94"/>
  <c r="AH176" i="94"/>
  <c r="AI176" i="94"/>
  <c r="AJ176" i="94"/>
  <c r="AK176" i="94"/>
  <c r="AL176" i="94"/>
  <c r="H177" i="94"/>
  <c r="I177" i="94"/>
  <c r="J177" i="94"/>
  <c r="K177" i="94"/>
  <c r="L177" i="94"/>
  <c r="M177" i="94"/>
  <c r="N177" i="94"/>
  <c r="O177" i="94"/>
  <c r="P177" i="94"/>
  <c r="Q177" i="94"/>
  <c r="R177" i="94"/>
  <c r="S177" i="94"/>
  <c r="T177" i="94"/>
  <c r="U177" i="94"/>
  <c r="V177" i="94"/>
  <c r="W177" i="94"/>
  <c r="X177" i="94"/>
  <c r="Y177" i="94"/>
  <c r="Z177" i="94"/>
  <c r="AA177" i="94"/>
  <c r="AB177" i="94"/>
  <c r="AC177" i="94"/>
  <c r="AD177" i="94"/>
  <c r="AE177" i="94"/>
  <c r="AF177" i="94"/>
  <c r="AG177" i="94"/>
  <c r="AH177" i="94"/>
  <c r="AI177" i="94"/>
  <c r="AJ177" i="94"/>
  <c r="AK177" i="94"/>
  <c r="AL177" i="94"/>
  <c r="H178" i="94"/>
  <c r="I178" i="94"/>
  <c r="J178" i="94"/>
  <c r="K178" i="94"/>
  <c r="L178" i="94"/>
  <c r="M178" i="94"/>
  <c r="N178" i="94"/>
  <c r="O178" i="94"/>
  <c r="P178" i="94"/>
  <c r="Q178" i="94"/>
  <c r="R178" i="94"/>
  <c r="S178" i="94"/>
  <c r="T178" i="94"/>
  <c r="U178" i="94"/>
  <c r="V178" i="94"/>
  <c r="W178" i="94"/>
  <c r="X178" i="94"/>
  <c r="Y178" i="94"/>
  <c r="Z178" i="94"/>
  <c r="AA178" i="94"/>
  <c r="AB178" i="94"/>
  <c r="AC178" i="94"/>
  <c r="AD178" i="94"/>
  <c r="AE178" i="94"/>
  <c r="AF178" i="94"/>
  <c r="AG178" i="94"/>
  <c r="AH178" i="94"/>
  <c r="AI178" i="94"/>
  <c r="AJ178" i="94"/>
  <c r="AK178" i="94"/>
  <c r="AL178" i="94"/>
  <c r="H179" i="94"/>
  <c r="I179" i="94"/>
  <c r="J179" i="94"/>
  <c r="K179" i="94"/>
  <c r="L179" i="94"/>
  <c r="M179" i="94"/>
  <c r="N179" i="94"/>
  <c r="O179" i="94"/>
  <c r="P179" i="94"/>
  <c r="Q179" i="94"/>
  <c r="R179" i="94"/>
  <c r="S179" i="94"/>
  <c r="T179" i="94"/>
  <c r="U179" i="94"/>
  <c r="V179" i="94"/>
  <c r="W179" i="94"/>
  <c r="X179" i="94"/>
  <c r="Y179" i="94"/>
  <c r="Z179" i="94"/>
  <c r="AA179" i="94"/>
  <c r="AB179" i="94"/>
  <c r="AC179" i="94"/>
  <c r="AD179" i="94"/>
  <c r="AE179" i="94"/>
  <c r="AF179" i="94"/>
  <c r="AG179" i="94"/>
  <c r="AH179" i="94"/>
  <c r="AI179" i="94"/>
  <c r="AJ179" i="94"/>
  <c r="AK179" i="94"/>
  <c r="AL179" i="94"/>
  <c r="H180" i="94"/>
  <c r="I180" i="94"/>
  <c r="J180" i="94"/>
  <c r="K180" i="94"/>
  <c r="L180" i="94"/>
  <c r="M180" i="94"/>
  <c r="N180" i="94"/>
  <c r="O180" i="94"/>
  <c r="P180" i="94"/>
  <c r="Q180" i="94"/>
  <c r="R180" i="94"/>
  <c r="S180" i="94"/>
  <c r="T180" i="94"/>
  <c r="U180" i="94"/>
  <c r="V180" i="94"/>
  <c r="W180" i="94"/>
  <c r="X180" i="94"/>
  <c r="Y180" i="94"/>
  <c r="Z180" i="94"/>
  <c r="AA180" i="94"/>
  <c r="AB180" i="94"/>
  <c r="AC180" i="94"/>
  <c r="AD180" i="94"/>
  <c r="AE180" i="94"/>
  <c r="AF180" i="94"/>
  <c r="AG180" i="94"/>
  <c r="AH180" i="94"/>
  <c r="AI180" i="94"/>
  <c r="AJ180" i="94"/>
  <c r="AK180" i="94"/>
  <c r="AL180" i="94"/>
  <c r="H181" i="94"/>
  <c r="I181" i="94"/>
  <c r="J181" i="94"/>
  <c r="K181" i="94"/>
  <c r="L181" i="94"/>
  <c r="M181" i="94"/>
  <c r="N181" i="94"/>
  <c r="O181" i="94"/>
  <c r="P181" i="94"/>
  <c r="Q181" i="94"/>
  <c r="R181" i="94"/>
  <c r="S181" i="94"/>
  <c r="T181" i="94"/>
  <c r="U181" i="94"/>
  <c r="V181" i="94"/>
  <c r="W181" i="94"/>
  <c r="X181" i="94"/>
  <c r="Y181" i="94"/>
  <c r="Z181" i="94"/>
  <c r="AA181" i="94"/>
  <c r="AB181" i="94"/>
  <c r="AC181" i="94"/>
  <c r="AD181" i="94"/>
  <c r="AE181" i="94"/>
  <c r="AF181" i="94"/>
  <c r="AG181" i="94"/>
  <c r="AH181" i="94"/>
  <c r="AI181" i="94"/>
  <c r="AJ181" i="94"/>
  <c r="AK181" i="94"/>
  <c r="AL181" i="94"/>
  <c r="H182" i="94"/>
  <c r="I182" i="94"/>
  <c r="J182" i="94"/>
  <c r="K182" i="94"/>
  <c r="L182" i="94"/>
  <c r="M182" i="94"/>
  <c r="N182" i="94"/>
  <c r="O182" i="94"/>
  <c r="P182" i="94"/>
  <c r="Q182" i="94"/>
  <c r="R182" i="94"/>
  <c r="S182" i="94"/>
  <c r="T182" i="94"/>
  <c r="U182" i="94"/>
  <c r="V182" i="94"/>
  <c r="W182" i="94"/>
  <c r="X182" i="94"/>
  <c r="Y182" i="94"/>
  <c r="Z182" i="94"/>
  <c r="AA182" i="94"/>
  <c r="AB182" i="94"/>
  <c r="AC182" i="94"/>
  <c r="AD182" i="94"/>
  <c r="AE182" i="94"/>
  <c r="AF182" i="94"/>
  <c r="AG182" i="94"/>
  <c r="AH182" i="94"/>
  <c r="AI182" i="94"/>
  <c r="AJ182" i="94"/>
  <c r="AK182" i="94"/>
  <c r="AL182" i="94"/>
  <c r="H183" i="94"/>
  <c r="I183" i="94"/>
  <c r="J183" i="94"/>
  <c r="K183" i="94"/>
  <c r="L183" i="94"/>
  <c r="M183" i="94"/>
  <c r="N183" i="94"/>
  <c r="O183" i="94"/>
  <c r="P183" i="94"/>
  <c r="Q183" i="94"/>
  <c r="R183" i="94"/>
  <c r="S183" i="94"/>
  <c r="T183" i="94"/>
  <c r="U183" i="94"/>
  <c r="V183" i="94"/>
  <c r="W183" i="94"/>
  <c r="X183" i="94"/>
  <c r="Y183" i="94"/>
  <c r="Z183" i="94"/>
  <c r="AA183" i="94"/>
  <c r="AB183" i="94"/>
  <c r="AC183" i="94"/>
  <c r="AD183" i="94"/>
  <c r="AE183" i="94"/>
  <c r="AF183" i="94"/>
  <c r="AG183" i="94"/>
  <c r="AH183" i="94"/>
  <c r="AI183" i="94"/>
  <c r="AJ183" i="94"/>
  <c r="AK183" i="94"/>
  <c r="AL183" i="94"/>
  <c r="H184" i="94"/>
  <c r="I184" i="94"/>
  <c r="J184" i="94"/>
  <c r="K184" i="94"/>
  <c r="L184" i="94"/>
  <c r="M184" i="94"/>
  <c r="N184" i="94"/>
  <c r="O184" i="94"/>
  <c r="P184" i="94"/>
  <c r="Q184" i="94"/>
  <c r="R184" i="94"/>
  <c r="S184" i="94"/>
  <c r="T184" i="94"/>
  <c r="U184" i="94"/>
  <c r="V184" i="94"/>
  <c r="W184" i="94"/>
  <c r="X184" i="94"/>
  <c r="Y184" i="94"/>
  <c r="Z184" i="94"/>
  <c r="AA184" i="94"/>
  <c r="AB184" i="94"/>
  <c r="AC184" i="94"/>
  <c r="AD184" i="94"/>
  <c r="AE184" i="94"/>
  <c r="AF184" i="94"/>
  <c r="AG184" i="94"/>
  <c r="AH184" i="94"/>
  <c r="AI184" i="94"/>
  <c r="AJ184" i="94"/>
  <c r="AK184" i="94"/>
  <c r="AL184" i="94"/>
  <c r="H185" i="94"/>
  <c r="I185" i="94"/>
  <c r="J185" i="94"/>
  <c r="K185" i="94"/>
  <c r="L185" i="94"/>
  <c r="M185" i="94"/>
  <c r="N185" i="94"/>
  <c r="O185" i="94"/>
  <c r="P185" i="94"/>
  <c r="Q185" i="94"/>
  <c r="R185" i="94"/>
  <c r="S185" i="94"/>
  <c r="T185" i="94"/>
  <c r="U185" i="94"/>
  <c r="V185" i="94"/>
  <c r="W185" i="94"/>
  <c r="X185" i="94"/>
  <c r="Y185" i="94"/>
  <c r="Z185" i="94"/>
  <c r="AA185" i="94"/>
  <c r="AB185" i="94"/>
  <c r="AC185" i="94"/>
  <c r="AD185" i="94"/>
  <c r="AE185" i="94"/>
  <c r="AF185" i="94"/>
  <c r="AG185" i="94"/>
  <c r="AH185" i="94"/>
  <c r="AI185" i="94"/>
  <c r="AJ185" i="94"/>
  <c r="AK185" i="94"/>
  <c r="AL185" i="94"/>
  <c r="H186" i="94"/>
  <c r="I186" i="94"/>
  <c r="J186" i="94"/>
  <c r="K186" i="94"/>
  <c r="L186" i="94"/>
  <c r="M186" i="94"/>
  <c r="N186" i="94"/>
  <c r="O186" i="94"/>
  <c r="P186" i="94"/>
  <c r="Q186" i="94"/>
  <c r="R186" i="94"/>
  <c r="S186" i="94"/>
  <c r="T186" i="94"/>
  <c r="U186" i="94"/>
  <c r="V186" i="94"/>
  <c r="W186" i="94"/>
  <c r="X186" i="94"/>
  <c r="Y186" i="94"/>
  <c r="Z186" i="94"/>
  <c r="AA186" i="94"/>
  <c r="AB186" i="94"/>
  <c r="AC186" i="94"/>
  <c r="AD186" i="94"/>
  <c r="AE186" i="94"/>
  <c r="AF186" i="94"/>
  <c r="AG186" i="94"/>
  <c r="AH186" i="94"/>
  <c r="AI186" i="94"/>
  <c r="AJ186" i="94"/>
  <c r="AK186" i="94"/>
  <c r="AL186" i="94"/>
  <c r="H187" i="94"/>
  <c r="I187" i="94"/>
  <c r="J187" i="94"/>
  <c r="K187" i="94"/>
  <c r="L187" i="94"/>
  <c r="M187" i="94"/>
  <c r="N187" i="94"/>
  <c r="O187" i="94"/>
  <c r="P187" i="94"/>
  <c r="Q187" i="94"/>
  <c r="R187" i="94"/>
  <c r="S187" i="94"/>
  <c r="T187" i="94"/>
  <c r="U187" i="94"/>
  <c r="V187" i="94"/>
  <c r="W187" i="94"/>
  <c r="X187" i="94"/>
  <c r="Y187" i="94"/>
  <c r="Z187" i="94"/>
  <c r="AA187" i="94"/>
  <c r="AB187" i="94"/>
  <c r="AC187" i="94"/>
  <c r="AD187" i="94"/>
  <c r="AE187" i="94"/>
  <c r="AF187" i="94"/>
  <c r="AG187" i="94"/>
  <c r="AH187" i="94"/>
  <c r="AI187" i="94"/>
  <c r="AJ187" i="94"/>
  <c r="AK187" i="94"/>
  <c r="AL187" i="94"/>
  <c r="H188" i="94"/>
  <c r="I188" i="94"/>
  <c r="J188" i="94"/>
  <c r="K188" i="94"/>
  <c r="L188" i="94"/>
  <c r="M188" i="94"/>
  <c r="N188" i="94"/>
  <c r="O188" i="94"/>
  <c r="P188" i="94"/>
  <c r="Q188" i="94"/>
  <c r="R188" i="94"/>
  <c r="S188" i="94"/>
  <c r="T188" i="94"/>
  <c r="U188" i="94"/>
  <c r="V188" i="94"/>
  <c r="W188" i="94"/>
  <c r="X188" i="94"/>
  <c r="Y188" i="94"/>
  <c r="Z188" i="94"/>
  <c r="AA188" i="94"/>
  <c r="AB188" i="94"/>
  <c r="AC188" i="94"/>
  <c r="AD188" i="94"/>
  <c r="AE188" i="94"/>
  <c r="AF188" i="94"/>
  <c r="AG188" i="94"/>
  <c r="AH188" i="94"/>
  <c r="AI188" i="94"/>
  <c r="AJ188" i="94"/>
  <c r="AK188" i="94"/>
  <c r="AL188" i="94"/>
  <c r="H190" i="94"/>
  <c r="I190" i="94"/>
  <c r="J190" i="94"/>
  <c r="K190" i="94"/>
  <c r="L190" i="94"/>
  <c r="M190" i="94"/>
  <c r="N190" i="94"/>
  <c r="O190" i="94"/>
  <c r="P190" i="94"/>
  <c r="Q190" i="94"/>
  <c r="R190" i="94"/>
  <c r="S190" i="94"/>
  <c r="T190" i="94"/>
  <c r="U190" i="94"/>
  <c r="V190" i="94"/>
  <c r="W190" i="94"/>
  <c r="X190" i="94"/>
  <c r="Y190" i="94"/>
  <c r="Z190" i="94"/>
  <c r="AA190" i="94"/>
  <c r="AB190" i="94"/>
  <c r="AC190" i="94"/>
  <c r="AD190" i="94"/>
  <c r="AE190" i="94"/>
  <c r="AF190" i="94"/>
  <c r="AG190" i="94"/>
  <c r="AH190" i="94"/>
  <c r="AI190" i="94"/>
  <c r="AJ190" i="94"/>
  <c r="AK190" i="94"/>
  <c r="AL190" i="94"/>
  <c r="H191" i="94"/>
  <c r="I191" i="94"/>
  <c r="J191" i="94"/>
  <c r="K191" i="94"/>
  <c r="L191" i="94"/>
  <c r="M191" i="94"/>
  <c r="N191" i="94"/>
  <c r="O191" i="94"/>
  <c r="P191" i="94"/>
  <c r="Q191" i="94"/>
  <c r="R191" i="94"/>
  <c r="S191" i="94"/>
  <c r="T191" i="94"/>
  <c r="U191" i="94"/>
  <c r="V191" i="94"/>
  <c r="W191" i="94"/>
  <c r="X191" i="94"/>
  <c r="Y191" i="94"/>
  <c r="Z191" i="94"/>
  <c r="AA191" i="94"/>
  <c r="AB191" i="94"/>
  <c r="AC191" i="94"/>
  <c r="AD191" i="94"/>
  <c r="AE191" i="94"/>
  <c r="AF191" i="94"/>
  <c r="AG191" i="94"/>
  <c r="AH191" i="94"/>
  <c r="AI191" i="94"/>
  <c r="AJ191" i="94"/>
  <c r="AK191" i="94"/>
  <c r="AL191" i="94"/>
  <c r="H192" i="94"/>
  <c r="I192" i="94"/>
  <c r="J192" i="94"/>
  <c r="K192" i="94"/>
  <c r="L192" i="94"/>
  <c r="M192" i="94"/>
  <c r="N192" i="94"/>
  <c r="O192" i="94"/>
  <c r="P192" i="94"/>
  <c r="Q192" i="94"/>
  <c r="R192" i="94"/>
  <c r="S192" i="94"/>
  <c r="T192" i="94"/>
  <c r="U192" i="94"/>
  <c r="V192" i="94"/>
  <c r="W192" i="94"/>
  <c r="X192" i="94"/>
  <c r="Y192" i="94"/>
  <c r="Z192" i="94"/>
  <c r="AA192" i="94"/>
  <c r="AB192" i="94"/>
  <c r="AC192" i="94"/>
  <c r="AD192" i="94"/>
  <c r="AE192" i="94"/>
  <c r="AF192" i="94"/>
  <c r="AG192" i="94"/>
  <c r="AH192" i="94"/>
  <c r="AI192" i="94"/>
  <c r="AJ192" i="94"/>
  <c r="AK192" i="94"/>
  <c r="AL192" i="94"/>
  <c r="H194" i="94"/>
  <c r="I194" i="94"/>
  <c r="J194" i="94"/>
  <c r="K194" i="94"/>
  <c r="L194" i="94"/>
  <c r="M194" i="94"/>
  <c r="N194" i="94"/>
  <c r="O194" i="94"/>
  <c r="P194" i="94"/>
  <c r="Q194" i="94"/>
  <c r="R194" i="94"/>
  <c r="S194" i="94"/>
  <c r="T194" i="94"/>
  <c r="U194" i="94"/>
  <c r="V194" i="94"/>
  <c r="W194" i="94"/>
  <c r="X194" i="94"/>
  <c r="Y194" i="94"/>
  <c r="Z194" i="94"/>
  <c r="AA194" i="94"/>
  <c r="AB194" i="94"/>
  <c r="AC194" i="94"/>
  <c r="AD194" i="94"/>
  <c r="AE194" i="94"/>
  <c r="AF194" i="94"/>
  <c r="AG194" i="94"/>
  <c r="AH194" i="94"/>
  <c r="AI194" i="94"/>
  <c r="AJ194" i="94"/>
  <c r="AK194" i="94"/>
  <c r="AL194" i="94"/>
  <c r="H195" i="94"/>
  <c r="I195" i="94"/>
  <c r="J195" i="94"/>
  <c r="K195" i="94"/>
  <c r="L195" i="94"/>
  <c r="M195" i="94"/>
  <c r="N195" i="94"/>
  <c r="O195" i="94"/>
  <c r="P195" i="94"/>
  <c r="Q195" i="94"/>
  <c r="R195" i="94"/>
  <c r="S195" i="94"/>
  <c r="T195" i="94"/>
  <c r="U195" i="94"/>
  <c r="V195" i="94"/>
  <c r="W195" i="94"/>
  <c r="X195" i="94"/>
  <c r="Y195" i="94"/>
  <c r="Z195" i="94"/>
  <c r="AA195" i="94"/>
  <c r="AB195" i="94"/>
  <c r="AC195" i="94"/>
  <c r="AD195" i="94"/>
  <c r="AE195" i="94"/>
  <c r="AF195" i="94"/>
  <c r="AG195" i="94"/>
  <c r="AH195" i="94"/>
  <c r="AI195" i="94"/>
  <c r="AJ195" i="94"/>
  <c r="AK195" i="94"/>
  <c r="AL195" i="94"/>
  <c r="H196" i="94"/>
  <c r="I196" i="94"/>
  <c r="J196" i="94"/>
  <c r="K196" i="94"/>
  <c r="L196" i="94"/>
  <c r="M196" i="94"/>
  <c r="N196" i="94"/>
  <c r="O196" i="94"/>
  <c r="P196" i="94"/>
  <c r="Q196" i="94"/>
  <c r="R196" i="94"/>
  <c r="S196" i="94"/>
  <c r="T196" i="94"/>
  <c r="U196" i="94"/>
  <c r="V196" i="94"/>
  <c r="W196" i="94"/>
  <c r="X196" i="94"/>
  <c r="Y196" i="94"/>
  <c r="Z196" i="94"/>
  <c r="AA196" i="94"/>
  <c r="AB196" i="94"/>
  <c r="AC196" i="94"/>
  <c r="AD196" i="94"/>
  <c r="AE196" i="94"/>
  <c r="AF196" i="94"/>
  <c r="AG196" i="94"/>
  <c r="AH196" i="94"/>
  <c r="AI196" i="94"/>
  <c r="AJ196" i="94"/>
  <c r="AK196" i="94"/>
  <c r="AL196" i="94"/>
  <c r="H198" i="94"/>
  <c r="I198" i="94"/>
  <c r="J198" i="94"/>
  <c r="K198" i="94"/>
  <c r="L198" i="94"/>
  <c r="M198" i="94"/>
  <c r="N198" i="94"/>
  <c r="O198" i="94"/>
  <c r="P198" i="94"/>
  <c r="Q198" i="94"/>
  <c r="R198" i="94"/>
  <c r="S198" i="94"/>
  <c r="T198" i="94"/>
  <c r="U198" i="94"/>
  <c r="V198" i="94"/>
  <c r="W198" i="94"/>
  <c r="X198" i="94"/>
  <c r="Y198" i="94"/>
  <c r="Z198" i="94"/>
  <c r="AA198" i="94"/>
  <c r="AB198" i="94"/>
  <c r="AC198" i="94"/>
  <c r="AD198" i="94"/>
  <c r="AE198" i="94"/>
  <c r="AF198" i="94"/>
  <c r="AG198" i="94"/>
  <c r="AH198" i="94"/>
  <c r="AI198" i="94"/>
  <c r="AJ198" i="94"/>
  <c r="AK198" i="94"/>
  <c r="AL198" i="94"/>
  <c r="H199" i="94"/>
  <c r="I199" i="94"/>
  <c r="J199" i="94"/>
  <c r="K199" i="94"/>
  <c r="L199" i="94"/>
  <c r="M199" i="94"/>
  <c r="N199" i="94"/>
  <c r="O199" i="94"/>
  <c r="P199" i="94"/>
  <c r="Q199" i="94"/>
  <c r="R199" i="94"/>
  <c r="S199" i="94"/>
  <c r="T199" i="94"/>
  <c r="U199" i="94"/>
  <c r="V199" i="94"/>
  <c r="W199" i="94"/>
  <c r="X199" i="94"/>
  <c r="Y199" i="94"/>
  <c r="Z199" i="94"/>
  <c r="AA199" i="94"/>
  <c r="AB199" i="94"/>
  <c r="AC199" i="94"/>
  <c r="AD199" i="94"/>
  <c r="AE199" i="94"/>
  <c r="AF199" i="94"/>
  <c r="AG199" i="94"/>
  <c r="AH199" i="94"/>
  <c r="AI199" i="94"/>
  <c r="AJ199" i="94"/>
  <c r="AK199" i="94"/>
  <c r="AL199" i="94"/>
  <c r="H200" i="94"/>
  <c r="I200" i="94"/>
  <c r="J200" i="94"/>
  <c r="K200" i="94"/>
  <c r="L200" i="94"/>
  <c r="M200" i="94"/>
  <c r="N200" i="94"/>
  <c r="O200" i="94"/>
  <c r="P200" i="94"/>
  <c r="Q200" i="94"/>
  <c r="R200" i="94"/>
  <c r="S200" i="94"/>
  <c r="T200" i="94"/>
  <c r="U200" i="94"/>
  <c r="V200" i="94"/>
  <c r="W200" i="94"/>
  <c r="X200" i="94"/>
  <c r="Y200" i="94"/>
  <c r="Z200" i="94"/>
  <c r="AA200" i="94"/>
  <c r="AB200" i="94"/>
  <c r="AC200" i="94"/>
  <c r="AD200" i="94"/>
  <c r="AE200" i="94"/>
  <c r="AF200" i="94"/>
  <c r="AG200" i="94"/>
  <c r="AH200" i="94"/>
  <c r="AI200" i="94"/>
  <c r="AJ200" i="94"/>
  <c r="AK200" i="94"/>
  <c r="AL200" i="94"/>
  <c r="H201" i="94"/>
  <c r="I201" i="94"/>
  <c r="J201" i="94"/>
  <c r="K201" i="94"/>
  <c r="L201" i="94"/>
  <c r="M201" i="94"/>
  <c r="N201" i="94"/>
  <c r="O201" i="94"/>
  <c r="P201" i="94"/>
  <c r="Q201" i="94"/>
  <c r="R201" i="94"/>
  <c r="S201" i="94"/>
  <c r="T201" i="94"/>
  <c r="U201" i="94"/>
  <c r="V201" i="94"/>
  <c r="W201" i="94"/>
  <c r="X201" i="94"/>
  <c r="Y201" i="94"/>
  <c r="Z201" i="94"/>
  <c r="AA201" i="94"/>
  <c r="AB201" i="94"/>
  <c r="AC201" i="94"/>
  <c r="AD201" i="94"/>
  <c r="AE201" i="94"/>
  <c r="AF201" i="94"/>
  <c r="AG201" i="94"/>
  <c r="AH201" i="94"/>
  <c r="AI201" i="94"/>
  <c r="AJ201" i="94"/>
  <c r="AK201" i="94"/>
  <c r="AL201" i="94"/>
  <c r="H202" i="94"/>
  <c r="I202" i="94"/>
  <c r="J202" i="94"/>
  <c r="K202" i="94"/>
  <c r="L202" i="94"/>
  <c r="M202" i="94"/>
  <c r="N202" i="94"/>
  <c r="O202" i="94"/>
  <c r="P202" i="94"/>
  <c r="Q202" i="94"/>
  <c r="R202" i="94"/>
  <c r="S202" i="94"/>
  <c r="T202" i="94"/>
  <c r="U202" i="94"/>
  <c r="V202" i="94"/>
  <c r="W202" i="94"/>
  <c r="X202" i="94"/>
  <c r="Y202" i="94"/>
  <c r="Z202" i="94"/>
  <c r="AA202" i="94"/>
  <c r="AB202" i="94"/>
  <c r="AC202" i="94"/>
  <c r="AD202" i="94"/>
  <c r="AE202" i="94"/>
  <c r="AF202" i="94"/>
  <c r="AG202" i="94"/>
  <c r="AH202" i="94"/>
  <c r="AI202" i="94"/>
  <c r="AJ202" i="94"/>
  <c r="AK202" i="94"/>
  <c r="AL202" i="94"/>
  <c r="H204" i="94"/>
  <c r="I204" i="94"/>
  <c r="J204" i="94"/>
  <c r="K204" i="94"/>
  <c r="L204" i="94"/>
  <c r="M204" i="94"/>
  <c r="N204" i="94"/>
  <c r="O204" i="94"/>
  <c r="P204" i="94"/>
  <c r="Q204" i="94"/>
  <c r="R204" i="94"/>
  <c r="S204" i="94"/>
  <c r="T204" i="94"/>
  <c r="U204" i="94"/>
  <c r="V204" i="94"/>
  <c r="W204" i="94"/>
  <c r="X204" i="94"/>
  <c r="Y204" i="94"/>
  <c r="Z204" i="94"/>
  <c r="AA204" i="94"/>
  <c r="AB204" i="94"/>
  <c r="AC204" i="94"/>
  <c r="AD204" i="94"/>
  <c r="AE204" i="94"/>
  <c r="AF204" i="94"/>
  <c r="AG204" i="94"/>
  <c r="AH204" i="94"/>
  <c r="AI204" i="94"/>
  <c r="AJ204" i="94"/>
  <c r="AK204" i="94"/>
  <c r="AL204" i="94"/>
  <c r="H205" i="94"/>
  <c r="I205" i="94"/>
  <c r="J205" i="94"/>
  <c r="K205" i="94"/>
  <c r="L205" i="94"/>
  <c r="M205" i="94"/>
  <c r="N205" i="94"/>
  <c r="O205" i="94"/>
  <c r="P205" i="94"/>
  <c r="Q205" i="94"/>
  <c r="R205" i="94"/>
  <c r="S205" i="94"/>
  <c r="T205" i="94"/>
  <c r="U205" i="94"/>
  <c r="V205" i="94"/>
  <c r="W205" i="94"/>
  <c r="X205" i="94"/>
  <c r="Y205" i="94"/>
  <c r="Z205" i="94"/>
  <c r="AA205" i="94"/>
  <c r="AB205" i="94"/>
  <c r="AC205" i="94"/>
  <c r="AD205" i="94"/>
  <c r="AE205" i="94"/>
  <c r="AF205" i="94"/>
  <c r="AG205" i="94"/>
  <c r="AH205" i="94"/>
  <c r="AI205" i="94"/>
  <c r="AJ205" i="94"/>
  <c r="AK205" i="94"/>
  <c r="AL205" i="94"/>
  <c r="H206" i="94"/>
  <c r="I206" i="94"/>
  <c r="J206" i="94"/>
  <c r="K206" i="94"/>
  <c r="L206" i="94"/>
  <c r="M206" i="94"/>
  <c r="N206" i="94"/>
  <c r="O206" i="94"/>
  <c r="P206" i="94"/>
  <c r="Q206" i="94"/>
  <c r="R206" i="94"/>
  <c r="S206" i="94"/>
  <c r="T206" i="94"/>
  <c r="U206" i="94"/>
  <c r="V206" i="94"/>
  <c r="W206" i="94"/>
  <c r="X206" i="94"/>
  <c r="Y206" i="94"/>
  <c r="Z206" i="94"/>
  <c r="AA206" i="94"/>
  <c r="AB206" i="94"/>
  <c r="AC206" i="94"/>
  <c r="AD206" i="94"/>
  <c r="AE206" i="94"/>
  <c r="AF206" i="94"/>
  <c r="AG206" i="94"/>
  <c r="AH206" i="94"/>
  <c r="AI206" i="94"/>
  <c r="AJ206" i="94"/>
  <c r="AK206" i="94"/>
  <c r="AL206" i="94"/>
  <c r="H207" i="94"/>
  <c r="I207" i="94"/>
  <c r="J207" i="94"/>
  <c r="K207" i="94"/>
  <c r="L207" i="94"/>
  <c r="M207" i="94"/>
  <c r="N207" i="94"/>
  <c r="O207" i="94"/>
  <c r="P207" i="94"/>
  <c r="Q207" i="94"/>
  <c r="R207" i="94"/>
  <c r="S207" i="94"/>
  <c r="T207" i="94"/>
  <c r="U207" i="94"/>
  <c r="V207" i="94"/>
  <c r="W207" i="94"/>
  <c r="X207" i="94"/>
  <c r="Y207" i="94"/>
  <c r="Z207" i="94"/>
  <c r="AA207" i="94"/>
  <c r="AB207" i="94"/>
  <c r="AC207" i="94"/>
  <c r="AD207" i="94"/>
  <c r="AE207" i="94"/>
  <c r="AF207" i="94"/>
  <c r="AG207" i="94"/>
  <c r="AH207" i="94"/>
  <c r="AI207" i="94"/>
  <c r="AJ207" i="94"/>
  <c r="AK207" i="94"/>
  <c r="AL207" i="94"/>
  <c r="H208" i="94"/>
  <c r="I208" i="94"/>
  <c r="J208" i="94"/>
  <c r="K208" i="94"/>
  <c r="L208" i="94"/>
  <c r="M208" i="94"/>
  <c r="N208" i="94"/>
  <c r="O208" i="94"/>
  <c r="P208" i="94"/>
  <c r="Q208" i="94"/>
  <c r="R208" i="94"/>
  <c r="S208" i="94"/>
  <c r="T208" i="94"/>
  <c r="U208" i="94"/>
  <c r="V208" i="94"/>
  <c r="W208" i="94"/>
  <c r="X208" i="94"/>
  <c r="Y208" i="94"/>
  <c r="Z208" i="94"/>
  <c r="AA208" i="94"/>
  <c r="AB208" i="94"/>
  <c r="AC208" i="94"/>
  <c r="AD208" i="94"/>
  <c r="AE208" i="94"/>
  <c r="AF208" i="94"/>
  <c r="AG208" i="94"/>
  <c r="AH208" i="94"/>
  <c r="AI208" i="94"/>
  <c r="AJ208" i="94"/>
  <c r="AK208" i="94"/>
  <c r="AL208" i="94"/>
  <c r="H209" i="94"/>
  <c r="I209" i="94"/>
  <c r="J209" i="94"/>
  <c r="K209" i="94"/>
  <c r="L209" i="94"/>
  <c r="M209" i="94"/>
  <c r="N209" i="94"/>
  <c r="O209" i="94"/>
  <c r="P209" i="94"/>
  <c r="Q209" i="94"/>
  <c r="R209" i="94"/>
  <c r="S209" i="94"/>
  <c r="T209" i="94"/>
  <c r="U209" i="94"/>
  <c r="V209" i="94"/>
  <c r="W209" i="94"/>
  <c r="X209" i="94"/>
  <c r="Y209" i="94"/>
  <c r="Z209" i="94"/>
  <c r="AA209" i="94"/>
  <c r="AB209" i="94"/>
  <c r="AC209" i="94"/>
  <c r="AD209" i="94"/>
  <c r="AE209" i="94"/>
  <c r="AF209" i="94"/>
  <c r="AG209" i="94"/>
  <c r="AH209" i="94"/>
  <c r="AI209" i="94"/>
  <c r="AJ209" i="94"/>
  <c r="AK209" i="94"/>
  <c r="AL209" i="94"/>
  <c r="H210" i="94"/>
  <c r="I210" i="94"/>
  <c r="J210" i="94"/>
  <c r="K210" i="94"/>
  <c r="L210" i="94"/>
  <c r="M210" i="94"/>
  <c r="N210" i="94"/>
  <c r="O210" i="94"/>
  <c r="P210" i="94"/>
  <c r="Q210" i="94"/>
  <c r="R210" i="94"/>
  <c r="S210" i="94"/>
  <c r="T210" i="94"/>
  <c r="U210" i="94"/>
  <c r="V210" i="94"/>
  <c r="W210" i="94"/>
  <c r="X210" i="94"/>
  <c r="Y210" i="94"/>
  <c r="Z210" i="94"/>
  <c r="AA210" i="94"/>
  <c r="AB210" i="94"/>
  <c r="AC210" i="94"/>
  <c r="AD210" i="94"/>
  <c r="AE210" i="94"/>
  <c r="AF210" i="94"/>
  <c r="AG210" i="94"/>
  <c r="AH210" i="94"/>
  <c r="AI210" i="94"/>
  <c r="AJ210" i="94"/>
  <c r="AK210" i="94"/>
  <c r="AL210" i="94"/>
  <c r="H211" i="94"/>
  <c r="I211" i="94"/>
  <c r="J211" i="94"/>
  <c r="K211" i="94"/>
  <c r="L211" i="94"/>
  <c r="M211" i="94"/>
  <c r="N211" i="94"/>
  <c r="O211" i="94"/>
  <c r="P211" i="94"/>
  <c r="Q211" i="94"/>
  <c r="R211" i="94"/>
  <c r="S211" i="94"/>
  <c r="T211" i="94"/>
  <c r="U211" i="94"/>
  <c r="V211" i="94"/>
  <c r="W211" i="94"/>
  <c r="X211" i="94"/>
  <c r="Y211" i="94"/>
  <c r="Z211" i="94"/>
  <c r="AA211" i="94"/>
  <c r="AB211" i="94"/>
  <c r="AC211" i="94"/>
  <c r="AD211" i="94"/>
  <c r="AE211" i="94"/>
  <c r="AF211" i="94"/>
  <c r="AG211" i="94"/>
  <c r="AH211" i="94"/>
  <c r="AI211" i="94"/>
  <c r="AJ211" i="94"/>
  <c r="AK211" i="94"/>
  <c r="AL211" i="94"/>
  <c r="H212" i="94"/>
  <c r="I212" i="94"/>
  <c r="J212" i="94"/>
  <c r="K212" i="94"/>
  <c r="L212" i="94"/>
  <c r="M212" i="94"/>
  <c r="N212" i="94"/>
  <c r="O212" i="94"/>
  <c r="P212" i="94"/>
  <c r="Q212" i="94"/>
  <c r="R212" i="94"/>
  <c r="S212" i="94"/>
  <c r="T212" i="94"/>
  <c r="U212" i="94"/>
  <c r="V212" i="94"/>
  <c r="W212" i="94"/>
  <c r="X212" i="94"/>
  <c r="Y212" i="94"/>
  <c r="Z212" i="94"/>
  <c r="AA212" i="94"/>
  <c r="AB212" i="94"/>
  <c r="AC212" i="94"/>
  <c r="AD212" i="94"/>
  <c r="AE212" i="94"/>
  <c r="AF212" i="94"/>
  <c r="AG212" i="94"/>
  <c r="AH212" i="94"/>
  <c r="AI212" i="94"/>
  <c r="AJ212" i="94"/>
  <c r="AK212" i="94"/>
  <c r="AL212" i="94"/>
  <c r="H213" i="94"/>
  <c r="I213" i="94"/>
  <c r="J213" i="94"/>
  <c r="K213" i="94"/>
  <c r="L213" i="94"/>
  <c r="M213" i="94"/>
  <c r="N213" i="94"/>
  <c r="O213" i="94"/>
  <c r="P213" i="94"/>
  <c r="Q213" i="94"/>
  <c r="R213" i="94"/>
  <c r="S213" i="94"/>
  <c r="T213" i="94"/>
  <c r="U213" i="94"/>
  <c r="V213" i="94"/>
  <c r="W213" i="94"/>
  <c r="X213" i="94"/>
  <c r="Y213" i="94"/>
  <c r="Z213" i="94"/>
  <c r="AA213" i="94"/>
  <c r="AB213" i="94"/>
  <c r="AC213" i="94"/>
  <c r="AD213" i="94"/>
  <c r="AE213" i="94"/>
  <c r="AF213" i="94"/>
  <c r="AG213" i="94"/>
  <c r="AH213" i="94"/>
  <c r="AI213" i="94"/>
  <c r="AJ213" i="94"/>
  <c r="AK213" i="94"/>
  <c r="AL213" i="94"/>
  <c r="H214" i="94"/>
  <c r="I214" i="94"/>
  <c r="J214" i="94"/>
  <c r="K214" i="94"/>
  <c r="L214" i="94"/>
  <c r="M214" i="94"/>
  <c r="N214" i="94"/>
  <c r="O214" i="94"/>
  <c r="P214" i="94"/>
  <c r="Q214" i="94"/>
  <c r="R214" i="94"/>
  <c r="S214" i="94"/>
  <c r="T214" i="94"/>
  <c r="U214" i="94"/>
  <c r="V214" i="94"/>
  <c r="W214" i="94"/>
  <c r="X214" i="94"/>
  <c r="Y214" i="94"/>
  <c r="Z214" i="94"/>
  <c r="AA214" i="94"/>
  <c r="AB214" i="94"/>
  <c r="AC214" i="94"/>
  <c r="AD214" i="94"/>
  <c r="AE214" i="94"/>
  <c r="AF214" i="94"/>
  <c r="AG214" i="94"/>
  <c r="AH214" i="94"/>
  <c r="AI214" i="94"/>
  <c r="AJ214" i="94"/>
  <c r="AK214" i="94"/>
  <c r="AL214" i="94"/>
  <c r="H216" i="94"/>
  <c r="I216" i="94"/>
  <c r="J216" i="94"/>
  <c r="K216" i="94"/>
  <c r="L216" i="94"/>
  <c r="M216" i="94"/>
  <c r="N216" i="94"/>
  <c r="O216" i="94"/>
  <c r="P216" i="94"/>
  <c r="Q216" i="94"/>
  <c r="R216" i="94"/>
  <c r="S216" i="94"/>
  <c r="T216" i="94"/>
  <c r="U216" i="94"/>
  <c r="V216" i="94"/>
  <c r="W216" i="94"/>
  <c r="X216" i="94"/>
  <c r="Y216" i="94"/>
  <c r="Z216" i="94"/>
  <c r="AA216" i="94"/>
  <c r="AB216" i="94"/>
  <c r="AC216" i="94"/>
  <c r="AD216" i="94"/>
  <c r="AE216" i="94"/>
  <c r="AF216" i="94"/>
  <c r="AG216" i="94"/>
  <c r="AH216" i="94"/>
  <c r="AI216" i="94"/>
  <c r="AJ216" i="94"/>
  <c r="AK216" i="94"/>
  <c r="AL216" i="94"/>
  <c r="H217" i="94"/>
  <c r="I217" i="94"/>
  <c r="J217" i="94"/>
  <c r="K217" i="94"/>
  <c r="L217" i="94"/>
  <c r="M217" i="94"/>
  <c r="N217" i="94"/>
  <c r="O217" i="94"/>
  <c r="P217" i="94"/>
  <c r="Q217" i="94"/>
  <c r="R217" i="94"/>
  <c r="S217" i="94"/>
  <c r="T217" i="94"/>
  <c r="U217" i="94"/>
  <c r="V217" i="94"/>
  <c r="W217" i="94"/>
  <c r="X217" i="94"/>
  <c r="Y217" i="94"/>
  <c r="Z217" i="94"/>
  <c r="AA217" i="94"/>
  <c r="AB217" i="94"/>
  <c r="AC217" i="94"/>
  <c r="AD217" i="94"/>
  <c r="AE217" i="94"/>
  <c r="AF217" i="94"/>
  <c r="AG217" i="94"/>
  <c r="AH217" i="94"/>
  <c r="AI217" i="94"/>
  <c r="AJ217" i="94"/>
  <c r="AK217" i="94"/>
  <c r="AL217" i="94"/>
  <c r="G174" i="94"/>
  <c r="G175" i="94"/>
  <c r="G176" i="94"/>
  <c r="G177" i="94"/>
  <c r="G178" i="94"/>
  <c r="G179" i="94"/>
  <c r="G180" i="94"/>
  <c r="G181" i="94"/>
  <c r="G182" i="94"/>
  <c r="G183" i="94"/>
  <c r="G184" i="94"/>
  <c r="G185" i="94"/>
  <c r="G186" i="94"/>
  <c r="G187" i="94"/>
  <c r="G188" i="94"/>
  <c r="G190" i="94"/>
  <c r="G191" i="94"/>
  <c r="G192" i="94"/>
  <c r="G194" i="94"/>
  <c r="G195" i="94"/>
  <c r="G196" i="94"/>
  <c r="G198" i="94"/>
  <c r="G199" i="94"/>
  <c r="G200" i="94"/>
  <c r="G201" i="94"/>
  <c r="G202" i="94"/>
  <c r="G204" i="94"/>
  <c r="G205" i="94"/>
  <c r="G206" i="94"/>
  <c r="G207" i="94"/>
  <c r="G208" i="94"/>
  <c r="G209" i="94"/>
  <c r="G210" i="94"/>
  <c r="G211" i="94"/>
  <c r="G212" i="94"/>
  <c r="G213" i="94"/>
  <c r="G214" i="94"/>
  <c r="G216" i="94"/>
  <c r="G217" i="94"/>
  <c r="F217" i="94"/>
  <c r="F175" i="94"/>
  <c r="F176" i="94"/>
  <c r="F177" i="94"/>
  <c r="F178" i="94"/>
  <c r="F179" i="94"/>
  <c r="F180" i="94"/>
  <c r="F181" i="94"/>
  <c r="F182" i="94"/>
  <c r="F183" i="94"/>
  <c r="F184" i="94"/>
  <c r="F185" i="94"/>
  <c r="F186" i="94"/>
  <c r="F187" i="94"/>
  <c r="F188" i="94"/>
  <c r="F190" i="94"/>
  <c r="F191" i="94"/>
  <c r="F192" i="94"/>
  <c r="F194" i="94"/>
  <c r="F195" i="94"/>
  <c r="F196" i="94"/>
  <c r="F198" i="94"/>
  <c r="F199" i="94"/>
  <c r="F200" i="94"/>
  <c r="F201" i="94"/>
  <c r="F202" i="94"/>
  <c r="F204" i="94"/>
  <c r="F205" i="94"/>
  <c r="F206" i="94"/>
  <c r="F207" i="94"/>
  <c r="F208" i="94"/>
  <c r="F209" i="94"/>
  <c r="F210" i="94"/>
  <c r="F211" i="94"/>
  <c r="F212" i="94"/>
  <c r="F213" i="94"/>
  <c r="F214" i="94"/>
  <c r="F216" i="94"/>
  <c r="F174" i="94"/>
  <c r="G5" i="20"/>
  <c r="G14" i="20" s="1"/>
  <c r="H5" i="20"/>
  <c r="H14" i="20" s="1"/>
  <c r="I5" i="20"/>
  <c r="I14" i="20" s="1"/>
  <c r="J5" i="20"/>
  <c r="J14" i="20" s="1"/>
  <c r="K5" i="20"/>
  <c r="K14" i="20" s="1"/>
  <c r="L5" i="20"/>
  <c r="L14" i="20" s="1"/>
  <c r="M5" i="20"/>
  <c r="M14" i="20" s="1"/>
  <c r="N5" i="20"/>
  <c r="N14" i="20" s="1"/>
  <c r="O5" i="20"/>
  <c r="O14" i="20" s="1"/>
  <c r="P5" i="20"/>
  <c r="P14" i="20" s="1"/>
  <c r="Q5" i="20"/>
  <c r="Q14" i="20" s="1"/>
  <c r="R5" i="20"/>
  <c r="R14" i="20" s="1"/>
  <c r="S5" i="20"/>
  <c r="S14" i="20" s="1"/>
  <c r="T5" i="20"/>
  <c r="T14" i="20" s="1"/>
  <c r="U5" i="20"/>
  <c r="U14" i="20" s="1"/>
  <c r="V5" i="20"/>
  <c r="V14" i="20" s="1"/>
  <c r="W5" i="20"/>
  <c r="W14" i="20" s="1"/>
  <c r="X5" i="20"/>
  <c r="X14" i="20" s="1"/>
  <c r="Y5" i="20"/>
  <c r="Y14" i="20" s="1"/>
  <c r="Z5" i="20"/>
  <c r="Z14" i="20" s="1"/>
  <c r="AA5" i="20"/>
  <c r="AA14" i="20" s="1"/>
  <c r="AB5" i="20"/>
  <c r="AB14" i="20" s="1"/>
  <c r="AC5" i="20"/>
  <c r="AC14" i="20" s="1"/>
  <c r="AD5" i="20"/>
  <c r="AD14" i="20" s="1"/>
  <c r="AE5" i="20"/>
  <c r="AE14" i="20" s="1"/>
  <c r="AF5" i="20"/>
  <c r="AF14" i="20" s="1"/>
  <c r="AG5" i="20"/>
  <c r="AG14" i="20" s="1"/>
  <c r="AH5" i="20"/>
  <c r="AH14" i="20" s="1"/>
  <c r="AI5" i="20"/>
  <c r="AI14" i="20" s="1"/>
  <c r="AJ5" i="20"/>
  <c r="AJ14" i="20" s="1"/>
  <c r="AK5" i="20"/>
  <c r="AK14" i="20" s="1"/>
  <c r="AL5" i="20"/>
  <c r="AL14" i="20" s="1"/>
  <c r="F5" i="20"/>
  <c r="F14" i="20" s="1"/>
  <c r="N71" i="44"/>
  <c r="R71" i="44"/>
  <c r="AC71" i="44"/>
  <c r="E71" i="44"/>
  <c r="F71" i="44"/>
  <c r="K71" i="44"/>
  <c r="L71" i="44"/>
  <c r="C71" i="44"/>
  <c r="AM73" i="94"/>
  <c r="F219" i="94" l="1"/>
  <c r="C147" i="44"/>
  <c r="AK158" i="44" l="1"/>
  <c r="AK157" i="44"/>
  <c r="G1120" i="20" l="1"/>
  <c r="H1120" i="20"/>
  <c r="I1120" i="20"/>
  <c r="M1120" i="20"/>
  <c r="N1120" i="20"/>
  <c r="O1120" i="20"/>
  <c r="Q1120" i="20"/>
  <c r="U1120" i="20"/>
  <c r="AD1120" i="20"/>
  <c r="AF1120" i="20"/>
  <c r="AI1120" i="20"/>
  <c r="AJ1120" i="20"/>
  <c r="AK1120" i="20"/>
  <c r="AL1120" i="20"/>
  <c r="F1120" i="20"/>
  <c r="AL242" i="94"/>
  <c r="AK242" i="94"/>
  <c r="AJ242" i="94"/>
  <c r="AI242" i="94"/>
  <c r="AH242" i="94"/>
  <c r="AG242" i="94"/>
  <c r="AF242" i="94"/>
  <c r="AE242" i="94"/>
  <c r="AD242" i="94"/>
  <c r="AC242" i="94"/>
  <c r="AB242" i="94"/>
  <c r="AA242" i="94"/>
  <c r="Z242" i="94"/>
  <c r="Y242" i="94"/>
  <c r="X242" i="94"/>
  <c r="W242" i="94"/>
  <c r="V242" i="94"/>
  <c r="U242" i="94"/>
  <c r="T242" i="94"/>
  <c r="S242" i="94"/>
  <c r="R242" i="94"/>
  <c r="Q242" i="94"/>
  <c r="P242" i="94"/>
  <c r="O242" i="94"/>
  <c r="N242" i="94"/>
  <c r="M242" i="94"/>
  <c r="L242" i="94"/>
  <c r="K242" i="94"/>
  <c r="J242" i="94"/>
  <c r="I242" i="94"/>
  <c r="H242" i="94"/>
  <c r="G242" i="94"/>
  <c r="F242" i="94"/>
  <c r="AL237" i="94"/>
  <c r="AK237" i="94"/>
  <c r="AJ237" i="94"/>
  <c r="AI237" i="94"/>
  <c r="AH237" i="94"/>
  <c r="AG237" i="94"/>
  <c r="AF237" i="94"/>
  <c r="AE237" i="94"/>
  <c r="AD237" i="94"/>
  <c r="AC237" i="94"/>
  <c r="AB237" i="94"/>
  <c r="AA237" i="94"/>
  <c r="Z237" i="94"/>
  <c r="Y237" i="94"/>
  <c r="X237" i="94"/>
  <c r="W237" i="94"/>
  <c r="V237" i="94"/>
  <c r="U237" i="94"/>
  <c r="T237" i="94"/>
  <c r="S237" i="94"/>
  <c r="R237" i="94"/>
  <c r="Q237" i="94"/>
  <c r="P237" i="94"/>
  <c r="O237" i="94"/>
  <c r="N237" i="94"/>
  <c r="M237" i="94"/>
  <c r="L237" i="94"/>
  <c r="K237" i="94"/>
  <c r="J237" i="94"/>
  <c r="I237" i="94"/>
  <c r="H237" i="94"/>
  <c r="G237" i="94"/>
  <c r="F237" i="94"/>
  <c r="AL236" i="94"/>
  <c r="AK236" i="94"/>
  <c r="AJ236" i="94"/>
  <c r="AI236" i="94"/>
  <c r="AH236" i="94"/>
  <c r="AG236" i="94"/>
  <c r="AF236" i="94"/>
  <c r="AE236" i="94"/>
  <c r="AD236" i="94"/>
  <c r="AC236" i="94"/>
  <c r="AB236" i="94"/>
  <c r="AA236" i="94"/>
  <c r="Z236" i="94"/>
  <c r="Y236" i="94"/>
  <c r="X236" i="94"/>
  <c r="W236" i="94"/>
  <c r="V236" i="94"/>
  <c r="U236" i="94"/>
  <c r="T236" i="94"/>
  <c r="S236" i="94"/>
  <c r="R236" i="94"/>
  <c r="Q236" i="94"/>
  <c r="P236" i="94"/>
  <c r="O236" i="94"/>
  <c r="N236" i="94"/>
  <c r="M236" i="94"/>
  <c r="L236" i="94"/>
  <c r="K236" i="94"/>
  <c r="J236" i="94"/>
  <c r="I236" i="94"/>
  <c r="H236" i="94"/>
  <c r="G236" i="94"/>
  <c r="F236" i="94"/>
  <c r="AL235" i="94"/>
  <c r="AK235" i="94"/>
  <c r="AJ235" i="94"/>
  <c r="AI235" i="94"/>
  <c r="AH235" i="94"/>
  <c r="AG235" i="94"/>
  <c r="AF235" i="94"/>
  <c r="AE235" i="94"/>
  <c r="AD235" i="94"/>
  <c r="AC235" i="94"/>
  <c r="AB235" i="94"/>
  <c r="AA235" i="94"/>
  <c r="Z235" i="94"/>
  <c r="Y235" i="94"/>
  <c r="X235" i="94"/>
  <c r="W235" i="94"/>
  <c r="V235" i="94"/>
  <c r="U235" i="94"/>
  <c r="T235" i="94"/>
  <c r="S235" i="94"/>
  <c r="R235" i="94"/>
  <c r="Q235" i="94"/>
  <c r="P235" i="94"/>
  <c r="O235" i="94"/>
  <c r="N235" i="94"/>
  <c r="M235" i="94"/>
  <c r="L235" i="94"/>
  <c r="K235" i="94"/>
  <c r="J235" i="94"/>
  <c r="I235" i="94"/>
  <c r="H235" i="94"/>
  <c r="G235" i="94"/>
  <c r="F235" i="94"/>
  <c r="AL241" i="94"/>
  <c r="AJ241" i="94"/>
  <c r="AH241" i="94"/>
  <c r="AG241" i="94"/>
  <c r="AF241" i="94"/>
  <c r="AB241" i="94"/>
  <c r="Z241" i="94"/>
  <c r="X241" i="94"/>
  <c r="V241" i="94"/>
  <c r="T241" i="94"/>
  <c r="R241" i="94"/>
  <c r="Q241" i="94"/>
  <c r="P241" i="94"/>
  <c r="N241" i="94"/>
  <c r="L241" i="94"/>
  <c r="J241" i="94"/>
  <c r="H241" i="94"/>
  <c r="F241" i="94"/>
  <c r="AL69" i="94"/>
  <c r="AL33" i="20" s="1"/>
  <c r="AK69" i="94"/>
  <c r="AK33" i="20" s="1"/>
  <c r="AJ69" i="94"/>
  <c r="AJ33" i="20" s="1"/>
  <c r="AI69" i="94"/>
  <c r="AI33" i="20" s="1"/>
  <c r="AH69" i="94"/>
  <c r="AG69" i="94"/>
  <c r="AF69" i="94"/>
  <c r="AF33" i="20" s="1"/>
  <c r="AE69" i="94"/>
  <c r="AD69" i="94"/>
  <c r="AD33" i="20" s="1"/>
  <c r="AC69" i="94"/>
  <c r="AB69" i="94"/>
  <c r="AA69" i="94"/>
  <c r="Z69" i="94"/>
  <c r="Y69" i="94"/>
  <c r="X69" i="94"/>
  <c r="W69" i="94"/>
  <c r="V69" i="94"/>
  <c r="U69" i="94"/>
  <c r="U33" i="20" s="1"/>
  <c r="T69" i="94"/>
  <c r="S69" i="94"/>
  <c r="R69" i="94"/>
  <c r="Q69" i="94"/>
  <c r="Q33" i="20" s="1"/>
  <c r="P69" i="94"/>
  <c r="O69" i="94"/>
  <c r="O33" i="20" s="1"/>
  <c r="N69" i="94"/>
  <c r="N33" i="20" s="1"/>
  <c r="M69" i="94"/>
  <c r="M33" i="20" s="1"/>
  <c r="L69" i="94"/>
  <c r="K69" i="94"/>
  <c r="J69" i="94"/>
  <c r="I69" i="94"/>
  <c r="I33" i="20" s="1"/>
  <c r="H69" i="94"/>
  <c r="H33" i="20" s="1"/>
  <c r="G69" i="94"/>
  <c r="G33" i="20" s="1"/>
  <c r="F69" i="94"/>
  <c r="F33" i="20" s="1"/>
  <c r="AL65" i="94"/>
  <c r="AK65" i="94"/>
  <c r="AJ65" i="94"/>
  <c r="AI65" i="94"/>
  <c r="AH65" i="94"/>
  <c r="AG65" i="94"/>
  <c r="AF65" i="94"/>
  <c r="AE65" i="94"/>
  <c r="AD65" i="94"/>
  <c r="AC65" i="94"/>
  <c r="AB65" i="94"/>
  <c r="AA65" i="94"/>
  <c r="Z65" i="94"/>
  <c r="Y65" i="94"/>
  <c r="X65" i="94"/>
  <c r="W65" i="94"/>
  <c r="V65" i="94"/>
  <c r="U65" i="94"/>
  <c r="T65" i="94"/>
  <c r="S65" i="94"/>
  <c r="R65" i="94"/>
  <c r="Q65" i="94"/>
  <c r="P65" i="94"/>
  <c r="O65" i="94"/>
  <c r="N65" i="94"/>
  <c r="M65" i="94"/>
  <c r="L65" i="94"/>
  <c r="K65" i="94"/>
  <c r="J65" i="94"/>
  <c r="I65" i="94"/>
  <c r="H65" i="94"/>
  <c r="G65" i="94"/>
  <c r="F65" i="94"/>
  <c r="BW64" i="94"/>
  <c r="BV64" i="94"/>
  <c r="BU64" i="94"/>
  <c r="BT64" i="94"/>
  <c r="BS64" i="94"/>
  <c r="BR64" i="94"/>
  <c r="BQ64" i="94"/>
  <c r="BP64" i="94"/>
  <c r="BO64" i="94"/>
  <c r="BN64" i="94"/>
  <c r="BM64" i="94"/>
  <c r="BL64" i="94"/>
  <c r="BK64" i="94"/>
  <c r="BJ64" i="94"/>
  <c r="BI64" i="94"/>
  <c r="BH64" i="94"/>
  <c r="BG64" i="94"/>
  <c r="BF64" i="94"/>
  <c r="BE64" i="94"/>
  <c r="BD64" i="94"/>
  <c r="BC64" i="94"/>
  <c r="BB64" i="94"/>
  <c r="BA64" i="94"/>
  <c r="AZ64" i="94"/>
  <c r="AY64" i="94"/>
  <c r="AX64" i="94"/>
  <c r="AW64" i="94"/>
  <c r="AV64" i="94"/>
  <c r="AU64" i="94"/>
  <c r="AT64" i="94"/>
  <c r="AS64" i="94"/>
  <c r="AR64" i="94"/>
  <c r="AQ64" i="94"/>
  <c r="BW63" i="94"/>
  <c r="BV63" i="94"/>
  <c r="BU63" i="94"/>
  <c r="BT63" i="94"/>
  <c r="BS63" i="94"/>
  <c r="BR63" i="94"/>
  <c r="BQ63" i="94"/>
  <c r="BP63" i="94"/>
  <c r="BO63" i="94"/>
  <c r="BN63" i="94"/>
  <c r="BM63" i="94"/>
  <c r="BL63" i="94"/>
  <c r="BK63" i="94"/>
  <c r="BJ63" i="94"/>
  <c r="BI63" i="94"/>
  <c r="BH63" i="94"/>
  <c r="BG63" i="94"/>
  <c r="BF63" i="94"/>
  <c r="BE63" i="94"/>
  <c r="BD63" i="94"/>
  <c r="BC63" i="94"/>
  <c r="BB63" i="94"/>
  <c r="BA63" i="94"/>
  <c r="AZ63" i="94"/>
  <c r="AY63" i="94"/>
  <c r="AX63" i="94"/>
  <c r="AW63" i="94"/>
  <c r="AV63" i="94"/>
  <c r="AU63" i="94"/>
  <c r="AT63" i="94"/>
  <c r="AS63" i="94"/>
  <c r="AR63" i="94"/>
  <c r="AQ63" i="94"/>
  <c r="BW62" i="94"/>
  <c r="BV62" i="94"/>
  <c r="BU62" i="94"/>
  <c r="BT62" i="94"/>
  <c r="BS62" i="94"/>
  <c r="BR62" i="94"/>
  <c r="BQ62" i="94"/>
  <c r="BP62" i="94"/>
  <c r="BO62" i="94"/>
  <c r="BN62" i="94"/>
  <c r="BM62" i="94"/>
  <c r="BL62" i="94"/>
  <c r="BK62" i="94"/>
  <c r="BJ62" i="94"/>
  <c r="BI62" i="94"/>
  <c r="BH62" i="94"/>
  <c r="BG62" i="94"/>
  <c r="BF62" i="94"/>
  <c r="BE62" i="94"/>
  <c r="BD62" i="94"/>
  <c r="BC62" i="94"/>
  <c r="BB62" i="94"/>
  <c r="BA62" i="94"/>
  <c r="AZ62" i="94"/>
  <c r="AY62" i="94"/>
  <c r="AX62" i="94"/>
  <c r="AW62" i="94"/>
  <c r="AV62" i="94"/>
  <c r="AU62" i="94"/>
  <c r="AT62" i="94"/>
  <c r="AS62" i="94"/>
  <c r="AR62" i="94"/>
  <c r="AQ62" i="94"/>
  <c r="BW61" i="94"/>
  <c r="BV61" i="94"/>
  <c r="BU61" i="94"/>
  <c r="BT61" i="94"/>
  <c r="BS61" i="94"/>
  <c r="BR61" i="94"/>
  <c r="BQ61" i="94"/>
  <c r="BP61" i="94"/>
  <c r="BO61" i="94"/>
  <c r="BN61" i="94"/>
  <c r="BM61" i="94"/>
  <c r="BL61" i="94"/>
  <c r="BK61" i="94"/>
  <c r="BJ61" i="94"/>
  <c r="BI61" i="94"/>
  <c r="BH61" i="94"/>
  <c r="BG61" i="94"/>
  <c r="BF61" i="94"/>
  <c r="BE61" i="94"/>
  <c r="BD61" i="94"/>
  <c r="BC61" i="94"/>
  <c r="BB61" i="94"/>
  <c r="BA61" i="94"/>
  <c r="AZ61" i="94"/>
  <c r="AY61" i="94"/>
  <c r="AX61" i="94"/>
  <c r="AW61" i="94"/>
  <c r="AV61" i="94"/>
  <c r="AU61" i="94"/>
  <c r="AT61" i="94"/>
  <c r="AS61" i="94"/>
  <c r="AR61" i="94"/>
  <c r="AQ61" i="94"/>
  <c r="BW60" i="94"/>
  <c r="BV60" i="94"/>
  <c r="BU60" i="94"/>
  <c r="BT60" i="94"/>
  <c r="BS60" i="94"/>
  <c r="BR60" i="94"/>
  <c r="BQ60" i="94"/>
  <c r="BP60" i="94"/>
  <c r="BO60" i="94"/>
  <c r="BN60" i="94"/>
  <c r="BM60" i="94"/>
  <c r="BL60" i="94"/>
  <c r="BK60" i="94"/>
  <c r="BJ60" i="94"/>
  <c r="BI60" i="94"/>
  <c r="BH60" i="94"/>
  <c r="BG60" i="94"/>
  <c r="BF60" i="94"/>
  <c r="BE60" i="94"/>
  <c r="BD60" i="94"/>
  <c r="BC60" i="94"/>
  <c r="BB60" i="94"/>
  <c r="BA60" i="94"/>
  <c r="AZ60" i="94"/>
  <c r="AY60" i="94"/>
  <c r="AX60" i="94"/>
  <c r="AW60" i="94"/>
  <c r="AV60" i="94"/>
  <c r="AU60" i="94"/>
  <c r="AT60" i="94"/>
  <c r="AS60" i="94"/>
  <c r="AR60" i="94"/>
  <c r="AQ60" i="94"/>
  <c r="BW59" i="94"/>
  <c r="BV59" i="94"/>
  <c r="BU59" i="94"/>
  <c r="BT59" i="94"/>
  <c r="BS59" i="94"/>
  <c r="BR59" i="94"/>
  <c r="BQ59" i="94"/>
  <c r="BP59" i="94"/>
  <c r="BO59" i="94"/>
  <c r="BN59" i="94"/>
  <c r="BM59" i="94"/>
  <c r="BL59" i="94"/>
  <c r="BK59" i="94"/>
  <c r="BJ59" i="94"/>
  <c r="BI59" i="94"/>
  <c r="BH59" i="94"/>
  <c r="BG59" i="94"/>
  <c r="BF59" i="94"/>
  <c r="BE59" i="94"/>
  <c r="BD59" i="94"/>
  <c r="BC59" i="94"/>
  <c r="BB59" i="94"/>
  <c r="BA59" i="94"/>
  <c r="AZ59" i="94"/>
  <c r="AY59" i="94"/>
  <c r="AX59" i="94"/>
  <c r="AW59" i="94"/>
  <c r="AV59" i="94"/>
  <c r="AU59" i="94"/>
  <c r="AT59" i="94"/>
  <c r="AS59" i="94"/>
  <c r="AR59" i="94"/>
  <c r="AQ59" i="94"/>
  <c r="BW58" i="94"/>
  <c r="BV58" i="94"/>
  <c r="BU58" i="94"/>
  <c r="BT58" i="94"/>
  <c r="BS58" i="94"/>
  <c r="BR58" i="94"/>
  <c r="BQ58" i="94"/>
  <c r="BP58" i="94"/>
  <c r="BO58" i="94"/>
  <c r="BN58" i="94"/>
  <c r="BM58" i="94"/>
  <c r="BL58" i="94"/>
  <c r="BK58" i="94"/>
  <c r="BJ58" i="94"/>
  <c r="BI58" i="94"/>
  <c r="BH58" i="94"/>
  <c r="BG58" i="94"/>
  <c r="BF58" i="94"/>
  <c r="BE58" i="94"/>
  <c r="BD58" i="94"/>
  <c r="BC58" i="94"/>
  <c r="BB58" i="94"/>
  <c r="BA58" i="94"/>
  <c r="AZ58" i="94"/>
  <c r="AY58" i="94"/>
  <c r="AX58" i="94"/>
  <c r="AW58" i="94"/>
  <c r="AV58" i="94"/>
  <c r="AU58" i="94"/>
  <c r="AT58" i="94"/>
  <c r="AS58" i="94"/>
  <c r="AR58" i="94"/>
  <c r="AQ58" i="94"/>
  <c r="BW57" i="94"/>
  <c r="BV57" i="94"/>
  <c r="BU57" i="94"/>
  <c r="BT57" i="94"/>
  <c r="BS57" i="94"/>
  <c r="BR57" i="94"/>
  <c r="BQ57" i="94"/>
  <c r="BP57" i="94"/>
  <c r="BO57" i="94"/>
  <c r="BN57" i="94"/>
  <c r="BM57" i="94"/>
  <c r="BL57" i="94"/>
  <c r="BK57" i="94"/>
  <c r="BJ57" i="94"/>
  <c r="BI57" i="94"/>
  <c r="BH57" i="94"/>
  <c r="BG57" i="94"/>
  <c r="BF57" i="94"/>
  <c r="BE57" i="94"/>
  <c r="BD57" i="94"/>
  <c r="BC57" i="94"/>
  <c r="BB57" i="94"/>
  <c r="BA57" i="94"/>
  <c r="AZ57" i="94"/>
  <c r="AY57" i="94"/>
  <c r="AX57" i="94"/>
  <c r="AW57" i="94"/>
  <c r="AV57" i="94"/>
  <c r="AU57" i="94"/>
  <c r="AT57" i="94"/>
  <c r="AS57" i="94"/>
  <c r="AR57" i="94"/>
  <c r="AQ57" i="94"/>
  <c r="BW56" i="94"/>
  <c r="BV56" i="94"/>
  <c r="BU56" i="94"/>
  <c r="BT56" i="94"/>
  <c r="BS56" i="94"/>
  <c r="BR56" i="94"/>
  <c r="BQ56" i="94"/>
  <c r="BP56" i="94"/>
  <c r="BO56" i="94"/>
  <c r="BN56" i="94"/>
  <c r="BM56" i="94"/>
  <c r="BL56" i="94"/>
  <c r="BK56" i="94"/>
  <c r="BJ56" i="94"/>
  <c r="BI56" i="94"/>
  <c r="BH56" i="94"/>
  <c r="BG56" i="94"/>
  <c r="BF56" i="94"/>
  <c r="BE56" i="94"/>
  <c r="BD56" i="94"/>
  <c r="BC56" i="94"/>
  <c r="BB56" i="94"/>
  <c r="BA56" i="94"/>
  <c r="AZ56" i="94"/>
  <c r="AY56" i="94"/>
  <c r="AX56" i="94"/>
  <c r="AW56" i="94"/>
  <c r="AV56" i="94"/>
  <c r="AU56" i="94"/>
  <c r="AT56" i="94"/>
  <c r="AS56" i="94"/>
  <c r="AR56" i="94"/>
  <c r="AQ56" i="94"/>
  <c r="BW55" i="94"/>
  <c r="BV55" i="94"/>
  <c r="BU55" i="94"/>
  <c r="BT55" i="94"/>
  <c r="BS55" i="94"/>
  <c r="BR55" i="94"/>
  <c r="BQ55" i="94"/>
  <c r="BP55" i="94"/>
  <c r="BO55" i="94"/>
  <c r="BN55" i="94"/>
  <c r="BM55" i="94"/>
  <c r="BL55" i="94"/>
  <c r="BK55" i="94"/>
  <c r="BJ55" i="94"/>
  <c r="BI55" i="94"/>
  <c r="BH55" i="94"/>
  <c r="BG55" i="94"/>
  <c r="BF55" i="94"/>
  <c r="BE55" i="94"/>
  <c r="BD55" i="94"/>
  <c r="BC55" i="94"/>
  <c r="BB55" i="94"/>
  <c r="BA55" i="94"/>
  <c r="AZ55" i="94"/>
  <c r="AY55" i="94"/>
  <c r="AX55" i="94"/>
  <c r="AW55" i="94"/>
  <c r="AV55" i="94"/>
  <c r="AU55" i="94"/>
  <c r="AT55" i="94"/>
  <c r="AS55" i="94"/>
  <c r="AR55" i="94"/>
  <c r="AQ55" i="94"/>
  <c r="BW54" i="94"/>
  <c r="BV54" i="94"/>
  <c r="BU54" i="94"/>
  <c r="BT54" i="94"/>
  <c r="BS54" i="94"/>
  <c r="BR54" i="94"/>
  <c r="BQ54" i="94"/>
  <c r="BP54" i="94"/>
  <c r="BO54" i="94"/>
  <c r="BN54" i="94"/>
  <c r="BM54" i="94"/>
  <c r="BL54" i="94"/>
  <c r="BK54" i="94"/>
  <c r="BJ54" i="94"/>
  <c r="BI54" i="94"/>
  <c r="BH54" i="94"/>
  <c r="BG54" i="94"/>
  <c r="BF54" i="94"/>
  <c r="BE54" i="94"/>
  <c r="BD54" i="94"/>
  <c r="BC54" i="94"/>
  <c r="BB54" i="94"/>
  <c r="BA54" i="94"/>
  <c r="AZ54" i="94"/>
  <c r="AY54" i="94"/>
  <c r="AX54" i="94"/>
  <c r="AW54" i="94"/>
  <c r="AV54" i="94"/>
  <c r="AU54" i="94"/>
  <c r="AT54" i="94"/>
  <c r="AS54" i="94"/>
  <c r="AR54" i="94"/>
  <c r="AQ54" i="94"/>
  <c r="BW53" i="94"/>
  <c r="BV53" i="94"/>
  <c r="BU53" i="94"/>
  <c r="BT53" i="94"/>
  <c r="BS53" i="94"/>
  <c r="BR53" i="94"/>
  <c r="BQ53" i="94"/>
  <c r="BP53" i="94"/>
  <c r="BO53" i="94"/>
  <c r="BN53" i="94"/>
  <c r="BM53" i="94"/>
  <c r="BL53" i="94"/>
  <c r="BK53" i="94"/>
  <c r="BJ53" i="94"/>
  <c r="BI53" i="94"/>
  <c r="BH53" i="94"/>
  <c r="BG53" i="94"/>
  <c r="BF53" i="94"/>
  <c r="BE53" i="94"/>
  <c r="BD53" i="94"/>
  <c r="BC53" i="94"/>
  <c r="BB53" i="94"/>
  <c r="BA53" i="94"/>
  <c r="AZ53" i="94"/>
  <c r="AY53" i="94"/>
  <c r="AX53" i="94"/>
  <c r="AW53" i="94"/>
  <c r="AV53" i="94"/>
  <c r="AU53" i="94"/>
  <c r="AT53" i="94"/>
  <c r="AS53" i="94"/>
  <c r="AR53" i="94"/>
  <c r="AQ53" i="94"/>
  <c r="BW52" i="94"/>
  <c r="BV52" i="94"/>
  <c r="BU52" i="94"/>
  <c r="BT52" i="94"/>
  <c r="BS52" i="94"/>
  <c r="BR52" i="94"/>
  <c r="BQ52" i="94"/>
  <c r="BP52" i="94"/>
  <c r="BO52" i="94"/>
  <c r="BN52" i="94"/>
  <c r="BM52" i="94"/>
  <c r="BL52" i="94"/>
  <c r="BK52" i="94"/>
  <c r="BJ52" i="94"/>
  <c r="BI52" i="94"/>
  <c r="BH52" i="94"/>
  <c r="BG52" i="94"/>
  <c r="BF52" i="94"/>
  <c r="BE52" i="94"/>
  <c r="BD52" i="94"/>
  <c r="BC52" i="94"/>
  <c r="BB52" i="94"/>
  <c r="BA52" i="94"/>
  <c r="AZ52" i="94"/>
  <c r="AY52" i="94"/>
  <c r="AX52" i="94"/>
  <c r="AW52" i="94"/>
  <c r="AV52" i="94"/>
  <c r="AU52" i="94"/>
  <c r="AT52" i="94"/>
  <c r="AS52" i="94"/>
  <c r="AR52" i="94"/>
  <c r="AQ52" i="94"/>
  <c r="BW51" i="94"/>
  <c r="BV51" i="94"/>
  <c r="BU51" i="94"/>
  <c r="BT51" i="94"/>
  <c r="BS51" i="94"/>
  <c r="BR51" i="94"/>
  <c r="BQ51" i="94"/>
  <c r="BP51" i="94"/>
  <c r="BO51" i="94"/>
  <c r="BN51" i="94"/>
  <c r="BM51" i="94"/>
  <c r="BL51" i="94"/>
  <c r="BK51" i="94"/>
  <c r="BJ51" i="94"/>
  <c r="BI51" i="94"/>
  <c r="BH51" i="94"/>
  <c r="BG51" i="94"/>
  <c r="BF51" i="94"/>
  <c r="BE51" i="94"/>
  <c r="BD51" i="94"/>
  <c r="BC51" i="94"/>
  <c r="BB51" i="94"/>
  <c r="BA51" i="94"/>
  <c r="AZ51" i="94"/>
  <c r="AY51" i="94"/>
  <c r="AX51" i="94"/>
  <c r="AW51" i="94"/>
  <c r="AV51" i="94"/>
  <c r="AU51" i="94"/>
  <c r="AT51" i="94"/>
  <c r="AS51" i="94"/>
  <c r="AR51" i="94"/>
  <c r="AQ51" i="94"/>
  <c r="BW50" i="94"/>
  <c r="BV50" i="94"/>
  <c r="BU50" i="94"/>
  <c r="BT50" i="94"/>
  <c r="BS50" i="94"/>
  <c r="BR50" i="94"/>
  <c r="BQ50" i="94"/>
  <c r="BP50" i="94"/>
  <c r="BO50" i="94"/>
  <c r="BN50" i="94"/>
  <c r="BM50" i="94"/>
  <c r="BL50" i="94"/>
  <c r="BK50" i="94"/>
  <c r="BJ50" i="94"/>
  <c r="BI50" i="94"/>
  <c r="BH50" i="94"/>
  <c r="BG50" i="94"/>
  <c r="BF50" i="94"/>
  <c r="BE50" i="94"/>
  <c r="BD50" i="94"/>
  <c r="BC50" i="94"/>
  <c r="BB50" i="94"/>
  <c r="BA50" i="94"/>
  <c r="AZ50" i="94"/>
  <c r="AY50" i="94"/>
  <c r="AX50" i="94"/>
  <c r="AW50" i="94"/>
  <c r="AV50" i="94"/>
  <c r="AU50" i="94"/>
  <c r="AT50" i="94"/>
  <c r="AS50" i="94"/>
  <c r="AR50" i="94"/>
  <c r="AQ50" i="94"/>
  <c r="BW49" i="94"/>
  <c r="BV49" i="94"/>
  <c r="BU49" i="94"/>
  <c r="BT49" i="94"/>
  <c r="BS49" i="94"/>
  <c r="BR49" i="94"/>
  <c r="BQ49" i="94"/>
  <c r="BP49" i="94"/>
  <c r="BO49" i="94"/>
  <c r="BN49" i="94"/>
  <c r="BM49" i="94"/>
  <c r="BL49" i="94"/>
  <c r="BK49" i="94"/>
  <c r="BJ49" i="94"/>
  <c r="BI49" i="94"/>
  <c r="BH49" i="94"/>
  <c r="BG49" i="94"/>
  <c r="BF49" i="94"/>
  <c r="BE49" i="94"/>
  <c r="BD49" i="94"/>
  <c r="BC49" i="94"/>
  <c r="BB49" i="94"/>
  <c r="BA49" i="94"/>
  <c r="AZ49" i="94"/>
  <c r="AY49" i="94"/>
  <c r="AX49" i="94"/>
  <c r="AW49" i="94"/>
  <c r="AV49" i="94"/>
  <c r="AU49" i="94"/>
  <c r="AT49" i="94"/>
  <c r="AS49" i="94"/>
  <c r="AR49" i="94"/>
  <c r="AQ49" i="94"/>
  <c r="BW48" i="94"/>
  <c r="BV48" i="94"/>
  <c r="BU48" i="94"/>
  <c r="BT48" i="94"/>
  <c r="BS48" i="94"/>
  <c r="BR48" i="94"/>
  <c r="BQ48" i="94"/>
  <c r="BP48" i="94"/>
  <c r="BO48" i="94"/>
  <c r="BN48" i="94"/>
  <c r="BM48" i="94"/>
  <c r="BL48" i="94"/>
  <c r="BK48" i="94"/>
  <c r="BJ48" i="94"/>
  <c r="BI48" i="94"/>
  <c r="BH48" i="94"/>
  <c r="BG48" i="94"/>
  <c r="BF48" i="94"/>
  <c r="BE48" i="94"/>
  <c r="BD48" i="94"/>
  <c r="BC48" i="94"/>
  <c r="BB48" i="94"/>
  <c r="BA48" i="94"/>
  <c r="AZ48" i="94"/>
  <c r="AY48" i="94"/>
  <c r="AX48" i="94"/>
  <c r="AW48" i="94"/>
  <c r="AV48" i="94"/>
  <c r="AU48" i="94"/>
  <c r="AT48" i="94"/>
  <c r="AS48" i="94"/>
  <c r="AR48" i="94"/>
  <c r="AQ48" i="94"/>
  <c r="BW47" i="94"/>
  <c r="BV47" i="94"/>
  <c r="BU47" i="94"/>
  <c r="BT47" i="94"/>
  <c r="BS47" i="94"/>
  <c r="BR47" i="94"/>
  <c r="BQ47" i="94"/>
  <c r="BP47" i="94"/>
  <c r="BO47" i="94"/>
  <c r="BN47" i="94"/>
  <c r="BM47" i="94"/>
  <c r="BL47" i="94"/>
  <c r="BK47" i="94"/>
  <c r="BJ47" i="94"/>
  <c r="BI47" i="94"/>
  <c r="BH47" i="94"/>
  <c r="BG47" i="94"/>
  <c r="BF47" i="94"/>
  <c r="BE47" i="94"/>
  <c r="BD47" i="94"/>
  <c r="BC47" i="94"/>
  <c r="BB47" i="94"/>
  <c r="BA47" i="94"/>
  <c r="AZ47" i="94"/>
  <c r="AY47" i="94"/>
  <c r="AX47" i="94"/>
  <c r="AW47" i="94"/>
  <c r="AV47" i="94"/>
  <c r="AU47" i="94"/>
  <c r="AT47" i="94"/>
  <c r="AS47" i="94"/>
  <c r="AR47" i="94"/>
  <c r="AQ47" i="94"/>
  <c r="BW46" i="94"/>
  <c r="BV46" i="94"/>
  <c r="BU46" i="94"/>
  <c r="BT46" i="94"/>
  <c r="BS46" i="94"/>
  <c r="BR46" i="94"/>
  <c r="BQ46" i="94"/>
  <c r="BP46" i="94"/>
  <c r="BO46" i="94"/>
  <c r="BN46" i="94"/>
  <c r="BM46" i="94"/>
  <c r="BL46" i="94"/>
  <c r="BK46" i="94"/>
  <c r="BJ46" i="94"/>
  <c r="BI46" i="94"/>
  <c r="BH46" i="94"/>
  <c r="BG46" i="94"/>
  <c r="BF46" i="94"/>
  <c r="BE46" i="94"/>
  <c r="BD46" i="94"/>
  <c r="BC46" i="94"/>
  <c r="BB46" i="94"/>
  <c r="BA46" i="94"/>
  <c r="AZ46" i="94"/>
  <c r="AY46" i="94"/>
  <c r="AX46" i="94"/>
  <c r="AW46" i="94"/>
  <c r="AV46" i="94"/>
  <c r="AU46" i="94"/>
  <c r="AT46" i="94"/>
  <c r="AS46" i="94"/>
  <c r="AR46" i="94"/>
  <c r="AQ46" i="94"/>
  <c r="BW45" i="94"/>
  <c r="BV45" i="94"/>
  <c r="BU45" i="94"/>
  <c r="BT45" i="94"/>
  <c r="BS45" i="94"/>
  <c r="BR45" i="94"/>
  <c r="BQ45" i="94"/>
  <c r="BP45" i="94"/>
  <c r="BO45" i="94"/>
  <c r="BN45" i="94"/>
  <c r="BM45" i="94"/>
  <c r="BL45" i="94"/>
  <c r="BK45" i="94"/>
  <c r="BJ45" i="94"/>
  <c r="BI45" i="94"/>
  <c r="BH45" i="94"/>
  <c r="BG45" i="94"/>
  <c r="BF45" i="94"/>
  <c r="BE45" i="94"/>
  <c r="BD45" i="94"/>
  <c r="BC45" i="94"/>
  <c r="BB45" i="94"/>
  <c r="BA45" i="94"/>
  <c r="AZ45" i="94"/>
  <c r="AY45" i="94"/>
  <c r="AX45" i="94"/>
  <c r="AW45" i="94"/>
  <c r="AV45" i="94"/>
  <c r="AU45" i="94"/>
  <c r="AT45" i="94"/>
  <c r="AS45" i="94"/>
  <c r="AR45" i="94"/>
  <c r="AQ45" i="94"/>
  <c r="BW44" i="94"/>
  <c r="BV44" i="94"/>
  <c r="BU44" i="94"/>
  <c r="BT44" i="94"/>
  <c r="BS44" i="94"/>
  <c r="BR44" i="94"/>
  <c r="BQ44" i="94"/>
  <c r="BP44" i="94"/>
  <c r="BO44" i="94"/>
  <c r="BN44" i="94"/>
  <c r="BM44" i="94"/>
  <c r="BL44" i="94"/>
  <c r="BK44" i="94"/>
  <c r="BJ44" i="94"/>
  <c r="BI44" i="94"/>
  <c r="BH44" i="94"/>
  <c r="BG44" i="94"/>
  <c r="BF44" i="94"/>
  <c r="BE44" i="94"/>
  <c r="BD44" i="94"/>
  <c r="BC44" i="94"/>
  <c r="BB44" i="94"/>
  <c r="BA44" i="94"/>
  <c r="AZ44" i="94"/>
  <c r="AY44" i="94"/>
  <c r="AX44" i="94"/>
  <c r="AW44" i="94"/>
  <c r="AV44" i="94"/>
  <c r="AU44" i="94"/>
  <c r="AT44" i="94"/>
  <c r="AS44" i="94"/>
  <c r="AR44" i="94"/>
  <c r="AQ44" i="94"/>
  <c r="BW43" i="94"/>
  <c r="BV43" i="94"/>
  <c r="BU43" i="94"/>
  <c r="BT43" i="94"/>
  <c r="BS43" i="94"/>
  <c r="BR43" i="94"/>
  <c r="BQ43" i="94"/>
  <c r="BP43" i="94"/>
  <c r="BO43" i="94"/>
  <c r="BN43" i="94"/>
  <c r="BM43" i="94"/>
  <c r="BL43" i="94"/>
  <c r="BK43" i="94"/>
  <c r="BJ43" i="94"/>
  <c r="BI43" i="94"/>
  <c r="BH43" i="94"/>
  <c r="BG43" i="94"/>
  <c r="BF43" i="94"/>
  <c r="BE43" i="94"/>
  <c r="BD43" i="94"/>
  <c r="BC43" i="94"/>
  <c r="BB43" i="94"/>
  <c r="BA43" i="94"/>
  <c r="AZ43" i="94"/>
  <c r="AY43" i="94"/>
  <c r="AX43" i="94"/>
  <c r="AW43" i="94"/>
  <c r="AV43" i="94"/>
  <c r="AU43" i="94"/>
  <c r="AT43" i="94"/>
  <c r="AS43" i="94"/>
  <c r="AR43" i="94"/>
  <c r="AQ43" i="94"/>
  <c r="BW42" i="94"/>
  <c r="BV42" i="94"/>
  <c r="BU42" i="94"/>
  <c r="BT42" i="94"/>
  <c r="BS42" i="94"/>
  <c r="BR42" i="94"/>
  <c r="BQ42" i="94"/>
  <c r="BP42" i="94"/>
  <c r="BO42" i="94"/>
  <c r="BN42" i="94"/>
  <c r="BM42" i="94"/>
  <c r="BL42" i="94"/>
  <c r="BK42" i="94"/>
  <c r="BJ42" i="94"/>
  <c r="BI42" i="94"/>
  <c r="BH42" i="94"/>
  <c r="BG42" i="94"/>
  <c r="BF42" i="94"/>
  <c r="BE42" i="94"/>
  <c r="BD42" i="94"/>
  <c r="BC42" i="94"/>
  <c r="BB42" i="94"/>
  <c r="BA42" i="94"/>
  <c r="AZ42" i="94"/>
  <c r="AY42" i="94"/>
  <c r="AX42" i="94"/>
  <c r="AW42" i="94"/>
  <c r="AV42" i="94"/>
  <c r="AU42" i="94"/>
  <c r="AT42" i="94"/>
  <c r="AS42" i="94"/>
  <c r="AR42" i="94"/>
  <c r="AQ42" i="94"/>
  <c r="BW41" i="94"/>
  <c r="BV41" i="94"/>
  <c r="BU41" i="94"/>
  <c r="BT41" i="94"/>
  <c r="BS41" i="94"/>
  <c r="BR41" i="94"/>
  <c r="BQ41" i="94"/>
  <c r="BP41" i="94"/>
  <c r="BO41" i="94"/>
  <c r="BN41" i="94"/>
  <c r="BM41" i="94"/>
  <c r="BL41" i="94"/>
  <c r="BK41" i="94"/>
  <c r="BJ41" i="94"/>
  <c r="BI41" i="94"/>
  <c r="BH41" i="94"/>
  <c r="BG41" i="94"/>
  <c r="BF41" i="94"/>
  <c r="BE41" i="94"/>
  <c r="BD41" i="94"/>
  <c r="BC41" i="94"/>
  <c r="BB41" i="94"/>
  <c r="BA41" i="94"/>
  <c r="AZ41" i="94"/>
  <c r="AY41" i="94"/>
  <c r="AX41" i="94"/>
  <c r="AW41" i="94"/>
  <c r="AV41" i="94"/>
  <c r="AU41" i="94"/>
  <c r="AT41" i="94"/>
  <c r="AS41" i="94"/>
  <c r="AR41" i="94"/>
  <c r="AQ41" i="94"/>
  <c r="BW40" i="94"/>
  <c r="BV40" i="94"/>
  <c r="BU40" i="94"/>
  <c r="BT40" i="94"/>
  <c r="BS40" i="94"/>
  <c r="BR40" i="94"/>
  <c r="BQ40" i="94"/>
  <c r="BP40" i="94"/>
  <c r="BO40" i="94"/>
  <c r="BN40" i="94"/>
  <c r="BM40" i="94"/>
  <c r="BL40" i="94"/>
  <c r="BK40" i="94"/>
  <c r="BJ40" i="94"/>
  <c r="BI40" i="94"/>
  <c r="BH40" i="94"/>
  <c r="BG40" i="94"/>
  <c r="BF40" i="94"/>
  <c r="BE40" i="94"/>
  <c r="BD40" i="94"/>
  <c r="BC40" i="94"/>
  <c r="BB40" i="94"/>
  <c r="BA40" i="94"/>
  <c r="AZ40" i="94"/>
  <c r="AY40" i="94"/>
  <c r="AX40" i="94"/>
  <c r="AW40" i="94"/>
  <c r="AV40" i="94"/>
  <c r="AU40" i="94"/>
  <c r="AT40" i="94"/>
  <c r="AS40" i="94"/>
  <c r="AR40" i="94"/>
  <c r="AQ40" i="94"/>
  <c r="BW39" i="94"/>
  <c r="BV39" i="94"/>
  <c r="BU39" i="94"/>
  <c r="BT39" i="94"/>
  <c r="BS39" i="94"/>
  <c r="BR39" i="94"/>
  <c r="BQ39" i="94"/>
  <c r="BP39" i="94"/>
  <c r="BO39" i="94"/>
  <c r="BN39" i="94"/>
  <c r="BM39" i="94"/>
  <c r="BL39" i="94"/>
  <c r="BK39" i="94"/>
  <c r="BJ39" i="94"/>
  <c r="BI39" i="94"/>
  <c r="BH39" i="94"/>
  <c r="BG39" i="94"/>
  <c r="BF39" i="94"/>
  <c r="BE39" i="94"/>
  <c r="BD39" i="94"/>
  <c r="BC39" i="94"/>
  <c r="BB39" i="94"/>
  <c r="BA39" i="94"/>
  <c r="AZ39" i="94"/>
  <c r="AY39" i="94"/>
  <c r="AX39" i="94"/>
  <c r="AW39" i="94"/>
  <c r="AV39" i="94"/>
  <c r="AU39" i="94"/>
  <c r="AT39" i="94"/>
  <c r="AS39" i="94"/>
  <c r="AR39" i="94"/>
  <c r="AQ39" i="94"/>
  <c r="BW38" i="94"/>
  <c r="BV38" i="94"/>
  <c r="BU38" i="94"/>
  <c r="BT38" i="94"/>
  <c r="BS38" i="94"/>
  <c r="BR38" i="94"/>
  <c r="BQ38" i="94"/>
  <c r="BP38" i="94"/>
  <c r="BO38" i="94"/>
  <c r="BN38" i="94"/>
  <c r="BM38" i="94"/>
  <c r="BL38" i="94"/>
  <c r="BK38" i="94"/>
  <c r="BJ38" i="94"/>
  <c r="BI38" i="94"/>
  <c r="BH38" i="94"/>
  <c r="BG38" i="94"/>
  <c r="BF38" i="94"/>
  <c r="BE38" i="94"/>
  <c r="BD38" i="94"/>
  <c r="BC38" i="94"/>
  <c r="BB38" i="94"/>
  <c r="BA38" i="94"/>
  <c r="AZ38" i="94"/>
  <c r="AY38" i="94"/>
  <c r="AX38" i="94"/>
  <c r="AW38" i="94"/>
  <c r="AV38" i="94"/>
  <c r="AU38" i="94"/>
  <c r="AT38" i="94"/>
  <c r="AS38" i="94"/>
  <c r="AR38" i="94"/>
  <c r="AQ38" i="94"/>
  <c r="BW37" i="94"/>
  <c r="BV37" i="94"/>
  <c r="BU37" i="94"/>
  <c r="BT37" i="94"/>
  <c r="BS37" i="94"/>
  <c r="BR37" i="94"/>
  <c r="BQ37" i="94"/>
  <c r="BP37" i="94"/>
  <c r="BO37" i="94"/>
  <c r="BN37" i="94"/>
  <c r="BM37" i="94"/>
  <c r="BL37" i="94"/>
  <c r="BK37" i="94"/>
  <c r="BJ37" i="94"/>
  <c r="BI37" i="94"/>
  <c r="BH37" i="94"/>
  <c r="BG37" i="94"/>
  <c r="BF37" i="94"/>
  <c r="BE37" i="94"/>
  <c r="BD37" i="94"/>
  <c r="BC37" i="94"/>
  <c r="BB37" i="94"/>
  <c r="BA37" i="94"/>
  <c r="AZ37" i="94"/>
  <c r="AY37" i="94"/>
  <c r="AX37" i="94"/>
  <c r="AW37" i="94"/>
  <c r="AV37" i="94"/>
  <c r="AU37" i="94"/>
  <c r="AT37" i="94"/>
  <c r="AS37" i="94"/>
  <c r="AR37" i="94"/>
  <c r="AQ37" i="94"/>
  <c r="BW36" i="94"/>
  <c r="BV36" i="94"/>
  <c r="BU36" i="94"/>
  <c r="BT36" i="94"/>
  <c r="BS36" i="94"/>
  <c r="BR36" i="94"/>
  <c r="BQ36" i="94"/>
  <c r="BP36" i="94"/>
  <c r="BO36" i="94"/>
  <c r="BN36" i="94"/>
  <c r="BM36" i="94"/>
  <c r="BL36" i="94"/>
  <c r="BK36" i="94"/>
  <c r="BJ36" i="94"/>
  <c r="BI36" i="94"/>
  <c r="BH36" i="94"/>
  <c r="BG36" i="94"/>
  <c r="BF36" i="94"/>
  <c r="BE36" i="94"/>
  <c r="BD36" i="94"/>
  <c r="BC36" i="94"/>
  <c r="BB36" i="94"/>
  <c r="BA36" i="94"/>
  <c r="AZ36" i="94"/>
  <c r="AY36" i="94"/>
  <c r="AX36" i="94"/>
  <c r="AW36" i="94"/>
  <c r="AV36" i="94"/>
  <c r="AU36" i="94"/>
  <c r="AT36" i="94"/>
  <c r="AS36" i="94"/>
  <c r="AR36" i="94"/>
  <c r="AQ36" i="94"/>
  <c r="BW35" i="94"/>
  <c r="BV35" i="94"/>
  <c r="BU35" i="94"/>
  <c r="BT35" i="94"/>
  <c r="BS35" i="94"/>
  <c r="BR35" i="94"/>
  <c r="BQ35" i="94"/>
  <c r="BP35" i="94"/>
  <c r="BO35" i="94"/>
  <c r="BN35" i="94"/>
  <c r="BM35" i="94"/>
  <c r="BL35" i="94"/>
  <c r="BK35" i="94"/>
  <c r="BJ35" i="94"/>
  <c r="BI35" i="94"/>
  <c r="BH35" i="94"/>
  <c r="BG35" i="94"/>
  <c r="BF35" i="94"/>
  <c r="BE35" i="94"/>
  <c r="BD35" i="94"/>
  <c r="BC35" i="94"/>
  <c r="BB35" i="94"/>
  <c r="BA35" i="94"/>
  <c r="AZ35" i="94"/>
  <c r="AY35" i="94"/>
  <c r="AX35" i="94"/>
  <c r="AW35" i="94"/>
  <c r="AV35" i="94"/>
  <c r="AU35" i="94"/>
  <c r="AT35" i="94"/>
  <c r="AS35" i="94"/>
  <c r="AR35" i="94"/>
  <c r="AQ35" i="94"/>
  <c r="BW34" i="94"/>
  <c r="BV34" i="94"/>
  <c r="BU34" i="94"/>
  <c r="BT34" i="94"/>
  <c r="BS34" i="94"/>
  <c r="BR34" i="94"/>
  <c r="BQ34" i="94"/>
  <c r="BP34" i="94"/>
  <c r="BO34" i="94"/>
  <c r="BN34" i="94"/>
  <c r="BM34" i="94"/>
  <c r="BL34" i="94"/>
  <c r="BK34" i="94"/>
  <c r="BJ34" i="94"/>
  <c r="BI34" i="94"/>
  <c r="BH34" i="94"/>
  <c r="BG34" i="94"/>
  <c r="BF34" i="94"/>
  <c r="BE34" i="94"/>
  <c r="BD34" i="94"/>
  <c r="BC34" i="94"/>
  <c r="BB34" i="94"/>
  <c r="BA34" i="94"/>
  <c r="AZ34" i="94"/>
  <c r="AY34" i="94"/>
  <c r="AX34" i="94"/>
  <c r="AW34" i="94"/>
  <c r="AV34" i="94"/>
  <c r="AU34" i="94"/>
  <c r="AT34" i="94"/>
  <c r="AS34" i="94"/>
  <c r="AR34" i="94"/>
  <c r="AQ34" i="94"/>
  <c r="BW33" i="94"/>
  <c r="BV33" i="94"/>
  <c r="BU33" i="94"/>
  <c r="BT33" i="94"/>
  <c r="BS33" i="94"/>
  <c r="BR33" i="94"/>
  <c r="BQ33" i="94"/>
  <c r="BP33" i="94"/>
  <c r="BO33" i="94"/>
  <c r="BN33" i="94"/>
  <c r="BM33" i="94"/>
  <c r="BL33" i="94"/>
  <c r="BK33" i="94"/>
  <c r="BJ33" i="94"/>
  <c r="BI33" i="94"/>
  <c r="BH33" i="94"/>
  <c r="BG33" i="94"/>
  <c r="BF33" i="94"/>
  <c r="BE33" i="94"/>
  <c r="BD33" i="94"/>
  <c r="BC33" i="94"/>
  <c r="BB33" i="94"/>
  <c r="BA33" i="94"/>
  <c r="AZ33" i="94"/>
  <c r="AY33" i="94"/>
  <c r="AX33" i="94"/>
  <c r="AW33" i="94"/>
  <c r="AV33" i="94"/>
  <c r="AU33" i="94"/>
  <c r="AT33" i="94"/>
  <c r="AS33" i="94"/>
  <c r="AR33" i="94"/>
  <c r="AQ33" i="94"/>
  <c r="BW32" i="94"/>
  <c r="BV32" i="94"/>
  <c r="BU32" i="94"/>
  <c r="BT32" i="94"/>
  <c r="BS32" i="94"/>
  <c r="BR32" i="94"/>
  <c r="BQ32" i="94"/>
  <c r="BP32" i="94"/>
  <c r="BO32" i="94"/>
  <c r="BN32" i="94"/>
  <c r="BM32" i="94"/>
  <c r="BL32" i="94"/>
  <c r="BK32" i="94"/>
  <c r="BJ32" i="94"/>
  <c r="BI32" i="94"/>
  <c r="BH32" i="94"/>
  <c r="BG32" i="94"/>
  <c r="BF32" i="94"/>
  <c r="BE32" i="94"/>
  <c r="BD32" i="94"/>
  <c r="BC32" i="94"/>
  <c r="BB32" i="94"/>
  <c r="BA32" i="94"/>
  <c r="AZ32" i="94"/>
  <c r="AY32" i="94"/>
  <c r="AX32" i="94"/>
  <c r="AW32" i="94"/>
  <c r="AV32" i="94"/>
  <c r="AU32" i="94"/>
  <c r="AT32" i="94"/>
  <c r="AS32" i="94"/>
  <c r="AR32" i="94"/>
  <c r="AQ32" i="94"/>
  <c r="BW31" i="94"/>
  <c r="BV31" i="94"/>
  <c r="BU31" i="94"/>
  <c r="BT31" i="94"/>
  <c r="BS31" i="94"/>
  <c r="BR31" i="94"/>
  <c r="BQ31" i="94"/>
  <c r="BP31" i="94"/>
  <c r="BO31" i="94"/>
  <c r="BN31" i="94"/>
  <c r="BM31" i="94"/>
  <c r="BL31" i="94"/>
  <c r="BK31" i="94"/>
  <c r="BJ31" i="94"/>
  <c r="BI31" i="94"/>
  <c r="BH31" i="94"/>
  <c r="BG31" i="94"/>
  <c r="BF31" i="94"/>
  <c r="BE31" i="94"/>
  <c r="BD31" i="94"/>
  <c r="BC31" i="94"/>
  <c r="BB31" i="94"/>
  <c r="BA31" i="94"/>
  <c r="AZ31" i="94"/>
  <c r="AY31" i="94"/>
  <c r="AX31" i="94"/>
  <c r="AW31" i="94"/>
  <c r="AV31" i="94"/>
  <c r="AU31" i="94"/>
  <c r="AT31" i="94"/>
  <c r="AS31" i="94"/>
  <c r="AR31" i="94"/>
  <c r="AQ31" i="94"/>
  <c r="BW30" i="94"/>
  <c r="BV30" i="94"/>
  <c r="BU30" i="94"/>
  <c r="BT30" i="94"/>
  <c r="BS30" i="94"/>
  <c r="BR30" i="94"/>
  <c r="BQ30" i="94"/>
  <c r="BP30" i="94"/>
  <c r="BO30" i="94"/>
  <c r="BN30" i="94"/>
  <c r="BM30" i="94"/>
  <c r="BL30" i="94"/>
  <c r="BK30" i="94"/>
  <c r="BJ30" i="94"/>
  <c r="BI30" i="94"/>
  <c r="BH30" i="94"/>
  <c r="BG30" i="94"/>
  <c r="BF30" i="94"/>
  <c r="BE30" i="94"/>
  <c r="BD30" i="94"/>
  <c r="BC30" i="94"/>
  <c r="BB30" i="94"/>
  <c r="BA30" i="94"/>
  <c r="AZ30" i="94"/>
  <c r="AY30" i="94"/>
  <c r="AX30" i="94"/>
  <c r="AW30" i="94"/>
  <c r="AV30" i="94"/>
  <c r="AU30" i="94"/>
  <c r="AT30" i="94"/>
  <c r="AS30" i="94"/>
  <c r="AR30" i="94"/>
  <c r="AQ30" i="94"/>
  <c r="BW29" i="94"/>
  <c r="BV29" i="94"/>
  <c r="BU29" i="94"/>
  <c r="BT29" i="94"/>
  <c r="BS29" i="94"/>
  <c r="BR29" i="94"/>
  <c r="BQ29" i="94"/>
  <c r="BP29" i="94"/>
  <c r="BO29" i="94"/>
  <c r="BN29" i="94"/>
  <c r="BM29" i="94"/>
  <c r="BL29" i="94"/>
  <c r="BK29" i="94"/>
  <c r="BJ29" i="94"/>
  <c r="BI29" i="94"/>
  <c r="BH29" i="94"/>
  <c r="BG29" i="94"/>
  <c r="BF29" i="94"/>
  <c r="BE29" i="94"/>
  <c r="BD29" i="94"/>
  <c r="BC29" i="94"/>
  <c r="BB29" i="94"/>
  <c r="BA29" i="94"/>
  <c r="AZ29" i="94"/>
  <c r="AY29" i="94"/>
  <c r="AX29" i="94"/>
  <c r="AW29" i="94"/>
  <c r="AV29" i="94"/>
  <c r="AU29" i="94"/>
  <c r="AT29" i="94"/>
  <c r="AS29" i="94"/>
  <c r="AR29" i="94"/>
  <c r="AQ29" i="94"/>
  <c r="AL12" i="94"/>
  <c r="AK12" i="94"/>
  <c r="AJ12" i="94"/>
  <c r="AI12" i="94"/>
  <c r="AH12" i="94"/>
  <c r="AG12" i="94"/>
  <c r="AF12" i="94"/>
  <c r="AE12" i="94"/>
  <c r="AD12" i="94"/>
  <c r="AC12" i="94"/>
  <c r="AB12" i="94"/>
  <c r="AA12" i="94"/>
  <c r="Z12" i="94"/>
  <c r="Y12" i="94"/>
  <c r="X12" i="94"/>
  <c r="W12" i="94"/>
  <c r="V12" i="94"/>
  <c r="U12" i="94"/>
  <c r="T12" i="94"/>
  <c r="S12" i="94"/>
  <c r="R12" i="94"/>
  <c r="Q12" i="94"/>
  <c r="P12" i="94"/>
  <c r="O12" i="94"/>
  <c r="N12" i="94"/>
  <c r="M12" i="94"/>
  <c r="L12" i="94"/>
  <c r="K12" i="94"/>
  <c r="J12" i="94"/>
  <c r="I12" i="94"/>
  <c r="H12" i="94"/>
  <c r="G12" i="94"/>
  <c r="F12" i="94"/>
  <c r="AL11" i="94"/>
  <c r="AL18" i="94" s="1"/>
  <c r="AK11" i="94"/>
  <c r="AK18" i="94" s="1"/>
  <c r="AJ11" i="94"/>
  <c r="AJ18" i="94" s="1"/>
  <c r="AI11" i="94"/>
  <c r="AI18" i="94" s="1"/>
  <c r="AH11" i="94"/>
  <c r="AH18" i="94" s="1"/>
  <c r="AG11" i="94"/>
  <c r="AG18" i="94" s="1"/>
  <c r="AF11" i="94"/>
  <c r="AF18" i="94" s="1"/>
  <c r="AE11" i="94"/>
  <c r="AE18" i="94" s="1"/>
  <c r="AD11" i="94"/>
  <c r="AD18" i="94" s="1"/>
  <c r="AC11" i="94"/>
  <c r="AC18" i="94" s="1"/>
  <c r="AB11" i="94"/>
  <c r="AB18" i="94" s="1"/>
  <c r="AA11" i="94"/>
  <c r="AA18" i="94" s="1"/>
  <c r="Z11" i="94"/>
  <c r="Z18" i="94" s="1"/>
  <c r="Y11" i="94"/>
  <c r="Y18" i="94" s="1"/>
  <c r="X11" i="94"/>
  <c r="X18" i="94" s="1"/>
  <c r="W11" i="94"/>
  <c r="W18" i="94" s="1"/>
  <c r="V11" i="94"/>
  <c r="V18" i="94" s="1"/>
  <c r="U11" i="94"/>
  <c r="U18" i="94" s="1"/>
  <c r="T11" i="94"/>
  <c r="T18" i="94" s="1"/>
  <c r="S11" i="94"/>
  <c r="S18" i="94" s="1"/>
  <c r="R11" i="94"/>
  <c r="R18" i="94" s="1"/>
  <c r="Q11" i="94"/>
  <c r="Q18" i="94" s="1"/>
  <c r="P11" i="94"/>
  <c r="P18" i="94" s="1"/>
  <c r="O11" i="94"/>
  <c r="O18" i="94" s="1"/>
  <c r="N11" i="94"/>
  <c r="N18" i="94" s="1"/>
  <c r="M11" i="94"/>
  <c r="M18" i="94" s="1"/>
  <c r="L11" i="94"/>
  <c r="L18" i="94" s="1"/>
  <c r="K11" i="94"/>
  <c r="K18" i="94" s="1"/>
  <c r="J11" i="94"/>
  <c r="J18" i="94" s="1"/>
  <c r="I11" i="94"/>
  <c r="I18" i="94" s="1"/>
  <c r="H11" i="94"/>
  <c r="H18" i="94" s="1"/>
  <c r="G11" i="94"/>
  <c r="G18" i="94" s="1"/>
  <c r="F11" i="94"/>
  <c r="F18" i="94" s="1"/>
  <c r="AN10" i="94"/>
  <c r="AN11" i="94" s="1"/>
  <c r="AL8" i="94"/>
  <c r="AL17" i="94" s="1"/>
  <c r="AK8" i="94"/>
  <c r="AK17" i="94" s="1"/>
  <c r="AJ8" i="94"/>
  <c r="AJ17" i="94" s="1"/>
  <c r="AI8" i="94"/>
  <c r="AI17" i="94" s="1"/>
  <c r="AH8" i="94"/>
  <c r="AH17" i="94" s="1"/>
  <c r="AG8" i="94"/>
  <c r="AG17" i="94" s="1"/>
  <c r="AF8" i="94"/>
  <c r="AF17" i="94" s="1"/>
  <c r="AE8" i="94"/>
  <c r="AE17" i="94" s="1"/>
  <c r="AD8" i="94"/>
  <c r="AD17" i="94" s="1"/>
  <c r="AC8" i="94"/>
  <c r="AC17" i="94" s="1"/>
  <c r="AB8" i="94"/>
  <c r="AB17" i="94" s="1"/>
  <c r="AA8" i="94"/>
  <c r="AA17" i="94" s="1"/>
  <c r="Z8" i="94"/>
  <c r="Z17" i="94" s="1"/>
  <c r="Y8" i="94"/>
  <c r="Y17" i="94" s="1"/>
  <c r="X8" i="94"/>
  <c r="X17" i="94" s="1"/>
  <c r="W8" i="94"/>
  <c r="W17" i="94" s="1"/>
  <c r="V8" i="94"/>
  <c r="V17" i="94" s="1"/>
  <c r="U8" i="94"/>
  <c r="U17" i="94" s="1"/>
  <c r="T8" i="94"/>
  <c r="T17" i="94" s="1"/>
  <c r="S8" i="94"/>
  <c r="S17" i="94" s="1"/>
  <c r="R8" i="94"/>
  <c r="R17" i="94" s="1"/>
  <c r="Q8" i="94"/>
  <c r="Q17" i="94" s="1"/>
  <c r="P8" i="94"/>
  <c r="P17" i="94" s="1"/>
  <c r="O8" i="94"/>
  <c r="O17" i="94" s="1"/>
  <c r="N8" i="94"/>
  <c r="N17" i="94" s="1"/>
  <c r="M8" i="94"/>
  <c r="M17" i="94" s="1"/>
  <c r="L8" i="94"/>
  <c r="L17" i="94" s="1"/>
  <c r="K8" i="94"/>
  <c r="K17" i="94" s="1"/>
  <c r="J8" i="94"/>
  <c r="J17" i="94" s="1"/>
  <c r="I8" i="94"/>
  <c r="I17" i="94" s="1"/>
  <c r="H8" i="94"/>
  <c r="H17" i="94" s="1"/>
  <c r="G8" i="94"/>
  <c r="G17" i="94" s="1"/>
  <c r="F8" i="94"/>
  <c r="F17" i="94" s="1"/>
  <c r="AN7" i="94"/>
  <c r="AN8" i="94" s="1"/>
  <c r="AZ65" i="94" l="1"/>
  <c r="CH39" i="94" s="1"/>
  <c r="L20" i="94"/>
  <c r="AB20" i="94"/>
  <c r="AB19" i="20"/>
  <c r="AB1120" i="20" s="1"/>
  <c r="AB74" i="94"/>
  <c r="AB75" i="94" s="1"/>
  <c r="AB20" i="20" s="1"/>
  <c r="AB210" i="20" s="1"/>
  <c r="L19" i="20"/>
  <c r="L1120" i="20" s="1"/>
  <c r="L74" i="94"/>
  <c r="L75" i="94" s="1"/>
  <c r="L20" i="20" s="1"/>
  <c r="L210" i="20" s="1"/>
  <c r="AB33" i="20"/>
  <c r="O20" i="94"/>
  <c r="O19" i="20" s="1"/>
  <c r="O21" i="20" s="1"/>
  <c r="O185" i="20" s="1"/>
  <c r="AA20" i="94"/>
  <c r="AE20" i="94"/>
  <c r="AF20" i="94"/>
  <c r="AF19" i="20" s="1"/>
  <c r="AF21" i="20" s="1"/>
  <c r="F20" i="94"/>
  <c r="F19" i="20" s="1"/>
  <c r="F21" i="20" s="1"/>
  <c r="Z20" i="94"/>
  <c r="AL20" i="94"/>
  <c r="AL19" i="20" s="1"/>
  <c r="AL21" i="20" s="1"/>
  <c r="P20" i="94"/>
  <c r="AI20" i="94"/>
  <c r="AI19" i="20" s="1"/>
  <c r="AI21" i="20" s="1"/>
  <c r="AJ238" i="94"/>
  <c r="AK20" i="94"/>
  <c r="AK19" i="20" s="1"/>
  <c r="AK21" i="20" s="1"/>
  <c r="H20" i="94"/>
  <c r="H19" i="20" s="1"/>
  <c r="H21" i="20" s="1"/>
  <c r="T20" i="94"/>
  <c r="X20" i="94"/>
  <c r="AJ20" i="94"/>
  <c r="AJ19" i="20" s="1"/>
  <c r="AJ21" i="20" s="1"/>
  <c r="Q240" i="94"/>
  <c r="AC240" i="94"/>
  <c r="U20" i="94"/>
  <c r="U19" i="20" s="1"/>
  <c r="U21" i="20" s="1"/>
  <c r="S20" i="94"/>
  <c r="G20" i="94"/>
  <c r="G19" i="20" s="1"/>
  <c r="G21" i="20" s="1"/>
  <c r="W20" i="94"/>
  <c r="J20" i="94"/>
  <c r="N20" i="94"/>
  <c r="N19" i="20" s="1"/>
  <c r="N21" i="20" s="1"/>
  <c r="R20" i="94"/>
  <c r="V20" i="94"/>
  <c r="AD20" i="94"/>
  <c r="AD19" i="20" s="1"/>
  <c r="AD21" i="20" s="1"/>
  <c r="AH20" i="94"/>
  <c r="H243" i="94"/>
  <c r="L243" i="94"/>
  <c r="X243" i="94"/>
  <c r="AB243" i="94"/>
  <c r="F240" i="94"/>
  <c r="J240" i="94"/>
  <c r="V240" i="94"/>
  <c r="Z240" i="94"/>
  <c r="R240" i="94"/>
  <c r="AL240" i="94"/>
  <c r="G240" i="94"/>
  <c r="K240" i="94"/>
  <c r="O240" i="94"/>
  <c r="S240" i="94"/>
  <c r="W240" i="94"/>
  <c r="AA240" i="94"/>
  <c r="AI240" i="94"/>
  <c r="AD241" i="94"/>
  <c r="AH240" i="94"/>
  <c r="S219" i="94"/>
  <c r="S86" i="94" s="1"/>
  <c r="I243" i="94"/>
  <c r="Q243" i="94"/>
  <c r="U243" i="94"/>
  <c r="Y243" i="94"/>
  <c r="AG243" i="94"/>
  <c r="AK243" i="94"/>
  <c r="F84" i="94"/>
  <c r="F1026" i="20" s="1"/>
  <c r="AD219" i="94"/>
  <c r="AD99" i="94" s="1"/>
  <c r="AD1041" i="20" s="1"/>
  <c r="AH219" i="94"/>
  <c r="AH88" i="94" s="1"/>
  <c r="U219" i="94"/>
  <c r="U103" i="94" s="1"/>
  <c r="U1045" i="20" s="1"/>
  <c r="AC219" i="94"/>
  <c r="AC103" i="94" s="1"/>
  <c r="AK219" i="94"/>
  <c r="AK121" i="94" s="1"/>
  <c r="AK1063" i="20" s="1"/>
  <c r="K219" i="94"/>
  <c r="K89" i="94" s="1"/>
  <c r="AA219" i="94"/>
  <c r="AA106" i="94" s="1"/>
  <c r="N243" i="94"/>
  <c r="R243" i="94"/>
  <c r="V243" i="94"/>
  <c r="AD243" i="94"/>
  <c r="AL243" i="94"/>
  <c r="K243" i="94"/>
  <c r="S243" i="94"/>
  <c r="I238" i="94"/>
  <c r="Q238" i="94"/>
  <c r="AC238" i="94"/>
  <c r="L238" i="94"/>
  <c r="X238" i="94"/>
  <c r="O238" i="94"/>
  <c r="X239" i="94"/>
  <c r="Q20" i="94"/>
  <c r="Q19" i="20" s="1"/>
  <c r="Q21" i="20" s="1"/>
  <c r="I20" i="94"/>
  <c r="I19" i="20" s="1"/>
  <c r="I21" i="20" s="1"/>
  <c r="AC20" i="94"/>
  <c r="AS65" i="94"/>
  <c r="CA29" i="94" s="1"/>
  <c r="AW65" i="94"/>
  <c r="CE29" i="94" s="1"/>
  <c r="BA65" i="94"/>
  <c r="BE65" i="94"/>
  <c r="CM29" i="94" s="1"/>
  <c r="BI65" i="94"/>
  <c r="CQ37" i="94" s="1"/>
  <c r="BM65" i="94"/>
  <c r="CU39" i="94" s="1"/>
  <c r="BQ65" i="94"/>
  <c r="CY29" i="94" s="1"/>
  <c r="BU65" i="94"/>
  <c r="DC35" i="94" s="1"/>
  <c r="CH35" i="94"/>
  <c r="O181" i="20" s="1"/>
  <c r="K20" i="94"/>
  <c r="AG20" i="94"/>
  <c r="AQ65" i="94"/>
  <c r="BY42" i="94" s="1"/>
  <c r="F188" i="20" s="1"/>
  <c r="AU65" i="94"/>
  <c r="CC36" i="94" s="1"/>
  <c r="CH33" i="94"/>
  <c r="O179" i="20" s="1"/>
  <c r="CU35" i="94"/>
  <c r="CH29" i="94"/>
  <c r="CH41" i="94"/>
  <c r="O187" i="20" s="1"/>
  <c r="M20" i="94"/>
  <c r="M19" i="20" s="1"/>
  <c r="M21" i="20" s="1"/>
  <c r="Y20" i="94"/>
  <c r="CA31" i="94"/>
  <c r="H177" i="20" s="1"/>
  <c r="CH31" i="94"/>
  <c r="O177" i="20" s="1"/>
  <c r="CU33" i="94"/>
  <c r="CH37" i="94"/>
  <c r="O183" i="20" s="1"/>
  <c r="BH65" i="94"/>
  <c r="CP35" i="94" s="1"/>
  <c r="CU41" i="94"/>
  <c r="CF64" i="94"/>
  <c r="CF61" i="94"/>
  <c r="AX65" i="94"/>
  <c r="CF45" i="94" s="1"/>
  <c r="CF29" i="94"/>
  <c r="CA37" i="94"/>
  <c r="H183" i="20" s="1"/>
  <c r="BJ65" i="94"/>
  <c r="CR42" i="94" s="1"/>
  <c r="AN12" i="94"/>
  <c r="AR65" i="94"/>
  <c r="BZ35" i="94" s="1"/>
  <c r="AV65" i="94"/>
  <c r="CD30" i="94" s="1"/>
  <c r="BD65" i="94"/>
  <c r="CL29" i="94" s="1"/>
  <c r="BL65" i="94"/>
  <c r="CT43" i="94" s="1"/>
  <c r="BP65" i="94"/>
  <c r="CX35" i="94" s="1"/>
  <c r="BT65" i="94"/>
  <c r="DB29" i="94" s="1"/>
  <c r="AI175" i="20" s="1"/>
  <c r="CA33" i="94"/>
  <c r="CQ33" i="94"/>
  <c r="BY38" i="94"/>
  <c r="F184" i="20" s="1"/>
  <c r="CA41" i="94"/>
  <c r="H187" i="20" s="1"/>
  <c r="CH43" i="94"/>
  <c r="O189" i="20" s="1"/>
  <c r="BV65" i="94"/>
  <c r="DD55" i="94" s="1"/>
  <c r="AK201" i="20" s="1"/>
  <c r="CF57" i="94"/>
  <c r="CR58" i="94"/>
  <c r="CZ61" i="94"/>
  <c r="AT65" i="94"/>
  <c r="CB44" i="94" s="1"/>
  <c r="BB65" i="94"/>
  <c r="CJ30" i="94" s="1"/>
  <c r="BF65" i="94"/>
  <c r="CN58" i="94" s="1"/>
  <c r="BN65" i="94"/>
  <c r="CV49" i="94" s="1"/>
  <c r="BR65" i="94"/>
  <c r="CZ30" i="94" s="1"/>
  <c r="CH30" i="94"/>
  <c r="O176" i="20" s="1"/>
  <c r="CP30" i="94"/>
  <c r="CF40" i="94"/>
  <c r="CL33" i="94"/>
  <c r="CA35" i="94"/>
  <c r="CZ38" i="94"/>
  <c r="CD45" i="94"/>
  <c r="CH45" i="94"/>
  <c r="O191" i="20" s="1"/>
  <c r="CP45" i="94"/>
  <c r="CT45" i="94"/>
  <c r="DB45" i="94"/>
  <c r="AI191" i="20" s="1"/>
  <c r="CH47" i="94"/>
  <c r="O193" i="20" s="1"/>
  <c r="DB47" i="94"/>
  <c r="AI193" i="20" s="1"/>
  <c r="CH49" i="94"/>
  <c r="O195" i="20" s="1"/>
  <c r="DB49" i="94"/>
  <c r="AI195" i="20" s="1"/>
  <c r="CH51" i="94"/>
  <c r="O197" i="20" s="1"/>
  <c r="DB51" i="94"/>
  <c r="AI197" i="20" s="1"/>
  <c r="CH53" i="94"/>
  <c r="O199" i="20" s="1"/>
  <c r="CT53" i="94"/>
  <c r="DB53" i="94"/>
  <c r="AI199" i="20" s="1"/>
  <c r="CH55" i="94"/>
  <c r="O201" i="20" s="1"/>
  <c r="DB55" i="94"/>
  <c r="AI201" i="20" s="1"/>
  <c r="CH57" i="94"/>
  <c r="O203" i="20" s="1"/>
  <c r="DB57" i="94"/>
  <c r="AI203" i="20" s="1"/>
  <c r="CH59" i="94"/>
  <c r="O205" i="20" s="1"/>
  <c r="DB59" i="94"/>
  <c r="AI205" i="20" s="1"/>
  <c r="CH61" i="94"/>
  <c r="O207" i="20" s="1"/>
  <c r="CT61" i="94"/>
  <c r="DB61" i="94"/>
  <c r="AI207" i="20" s="1"/>
  <c r="CH63" i="94"/>
  <c r="O209" i="20" s="1"/>
  <c r="DB63" i="94"/>
  <c r="AI209" i="20" s="1"/>
  <c r="CZ31" i="94"/>
  <c r="CD32" i="94"/>
  <c r="CH32" i="94"/>
  <c r="O178" i="20" s="1"/>
  <c r="CL32" i="94"/>
  <c r="CP32" i="94"/>
  <c r="DB32" i="94"/>
  <c r="AI178" i="20" s="1"/>
  <c r="CB33" i="94"/>
  <c r="I179" i="20" s="1"/>
  <c r="CN33" i="94"/>
  <c r="CR33" i="94"/>
  <c r="CZ33" i="94"/>
  <c r="BZ34" i="94"/>
  <c r="G180" i="20" s="1"/>
  <c r="CD34" i="94"/>
  <c r="CH34" i="94"/>
  <c r="O180" i="20" s="1"/>
  <c r="CL34" i="94"/>
  <c r="CP34" i="94"/>
  <c r="DB34" i="94"/>
  <c r="AI180" i="20" s="1"/>
  <c r="CB35" i="94"/>
  <c r="I181" i="20" s="1"/>
  <c r="CN35" i="94"/>
  <c r="CR35" i="94"/>
  <c r="CZ35" i="94"/>
  <c r="CD36" i="94"/>
  <c r="CH36" i="94"/>
  <c r="O182" i="20" s="1"/>
  <c r="CL36" i="94"/>
  <c r="CP36" i="94"/>
  <c r="CX36" i="94"/>
  <c r="DB36" i="94"/>
  <c r="AI182" i="20" s="1"/>
  <c r="CB37" i="94"/>
  <c r="I183" i="20" s="1"/>
  <c r="CN37" i="94"/>
  <c r="CR37" i="94"/>
  <c r="CZ37" i="94"/>
  <c r="CD38" i="94"/>
  <c r="CH38" i="94"/>
  <c r="O184" i="20" s="1"/>
  <c r="CL38" i="94"/>
  <c r="CP38" i="94"/>
  <c r="DB38" i="94"/>
  <c r="AI184" i="20" s="1"/>
  <c r="CB39" i="94"/>
  <c r="I185" i="20" s="1"/>
  <c r="CN39" i="94"/>
  <c r="CR39" i="94"/>
  <c r="CZ39" i="94"/>
  <c r="CD40" i="94"/>
  <c r="CH40" i="94"/>
  <c r="O186" i="20" s="1"/>
  <c r="CL40" i="94"/>
  <c r="CP40" i="94"/>
  <c r="DB40" i="94"/>
  <c r="AI186" i="20" s="1"/>
  <c r="CL41" i="94"/>
  <c r="DB41" i="94"/>
  <c r="AI187" i="20" s="1"/>
  <c r="CA43" i="94"/>
  <c r="H189" i="20" s="1"/>
  <c r="CI44" i="94"/>
  <c r="CU45" i="94"/>
  <c r="CE47" i="94"/>
  <c r="CU47" i="94"/>
  <c r="CU49" i="94"/>
  <c r="CE51" i="94"/>
  <c r="CU51" i="94"/>
  <c r="CU53" i="94"/>
  <c r="CE55" i="94"/>
  <c r="CU55" i="94"/>
  <c r="CU57" i="94"/>
  <c r="CE59" i="94"/>
  <c r="CU59" i="94"/>
  <c r="CU61" i="94"/>
  <c r="CE63" i="94"/>
  <c r="CU63" i="94"/>
  <c r="F116" i="94"/>
  <c r="F1058" i="20" s="1"/>
  <c r="F109" i="94"/>
  <c r="F1051" i="20" s="1"/>
  <c r="F94" i="94"/>
  <c r="F1036" i="20" s="1"/>
  <c r="F90" i="94"/>
  <c r="F1032" i="20" s="1"/>
  <c r="F114" i="94"/>
  <c r="F1056" i="20" s="1"/>
  <c r="F112" i="94"/>
  <c r="F1054" i="20" s="1"/>
  <c r="F896" i="20" s="1"/>
  <c r="F102" i="94"/>
  <c r="F1044" i="20" s="1"/>
  <c r="F92" i="94"/>
  <c r="F1034" i="20" s="1"/>
  <c r="J219" i="94"/>
  <c r="J81" i="94" s="1"/>
  <c r="N219" i="94"/>
  <c r="N81" i="94" s="1"/>
  <c r="N1023" i="20" s="1"/>
  <c r="R219" i="94"/>
  <c r="R111" i="94" s="1"/>
  <c r="V219" i="94"/>
  <c r="V81" i="94" s="1"/>
  <c r="Z219" i="94"/>
  <c r="Z81" i="94" s="1"/>
  <c r="AL219" i="94"/>
  <c r="AL81" i="94" s="1"/>
  <c r="AL1023" i="20" s="1"/>
  <c r="I219" i="94"/>
  <c r="I84" i="94" s="1"/>
  <c r="I1026" i="20" s="1"/>
  <c r="M219" i="94"/>
  <c r="M86" i="94" s="1"/>
  <c r="M1028" i="20" s="1"/>
  <c r="Q219" i="94"/>
  <c r="Q82" i="94" s="1"/>
  <c r="Q1024" i="20" s="1"/>
  <c r="U113" i="94"/>
  <c r="U1055" i="20" s="1"/>
  <c r="U98" i="94"/>
  <c r="U1040" i="20" s="1"/>
  <c r="U108" i="94"/>
  <c r="U1050" i="20" s="1"/>
  <c r="Y219" i="94"/>
  <c r="Y123" i="94" s="1"/>
  <c r="AG219" i="94"/>
  <c r="AG105" i="94" s="1"/>
  <c r="AK106" i="94"/>
  <c r="AK1048" i="20" s="1"/>
  <c r="H219" i="94"/>
  <c r="H81" i="94" s="1"/>
  <c r="H1023" i="20" s="1"/>
  <c r="BZ46" i="94"/>
  <c r="G192" i="20" s="1"/>
  <c r="CD46" i="94"/>
  <c r="CH46" i="94"/>
  <c r="O192" i="20" s="1"/>
  <c r="CL46" i="94"/>
  <c r="CP46" i="94"/>
  <c r="DB46" i="94"/>
  <c r="AI192" i="20" s="1"/>
  <c r="CD47" i="94"/>
  <c r="CP47" i="94"/>
  <c r="CD48" i="94"/>
  <c r="CH48" i="94"/>
  <c r="O194" i="20" s="1"/>
  <c r="CL48" i="94"/>
  <c r="CP48" i="94"/>
  <c r="DB48" i="94"/>
  <c r="AI194" i="20" s="1"/>
  <c r="CD49" i="94"/>
  <c r="CP49" i="94"/>
  <c r="BZ50" i="94"/>
  <c r="G196" i="20" s="1"/>
  <c r="CD50" i="94"/>
  <c r="CH50" i="94"/>
  <c r="O196" i="20" s="1"/>
  <c r="CL50" i="94"/>
  <c r="CP50" i="94"/>
  <c r="DB50" i="94"/>
  <c r="AI196" i="20" s="1"/>
  <c r="CD51" i="94"/>
  <c r="CP51" i="94"/>
  <c r="CD52" i="94"/>
  <c r="CH52" i="94"/>
  <c r="O198" i="20" s="1"/>
  <c r="CL52" i="94"/>
  <c r="CP52" i="94"/>
  <c r="DB52" i="94"/>
  <c r="AI198" i="20" s="1"/>
  <c r="CD53" i="94"/>
  <c r="CP53" i="94"/>
  <c r="BZ54" i="94"/>
  <c r="G200" i="20" s="1"/>
  <c r="CD54" i="94"/>
  <c r="CH54" i="94"/>
  <c r="O200" i="20" s="1"/>
  <c r="CL54" i="94"/>
  <c r="CP54" i="94"/>
  <c r="DB54" i="94"/>
  <c r="AI200" i="20" s="1"/>
  <c r="CD55" i="94"/>
  <c r="CP55" i="94"/>
  <c r="CD56" i="94"/>
  <c r="CH56" i="94"/>
  <c r="O202" i="20" s="1"/>
  <c r="CL56" i="94"/>
  <c r="CP56" i="94"/>
  <c r="DB56" i="94"/>
  <c r="AI202" i="20" s="1"/>
  <c r="CD57" i="94"/>
  <c r="CP57" i="94"/>
  <c r="BZ58" i="94"/>
  <c r="G204" i="20" s="1"/>
  <c r="CD58" i="94"/>
  <c r="CH58" i="94"/>
  <c r="O204" i="20" s="1"/>
  <c r="CL58" i="94"/>
  <c r="CP58" i="94"/>
  <c r="DB58" i="94"/>
  <c r="AI204" i="20" s="1"/>
  <c r="CD59" i="94"/>
  <c r="CP59" i="94"/>
  <c r="CD60" i="94"/>
  <c r="CH60" i="94"/>
  <c r="O206" i="20" s="1"/>
  <c r="CL60" i="94"/>
  <c r="CP60" i="94"/>
  <c r="DB60" i="94"/>
  <c r="AI206" i="20" s="1"/>
  <c r="CD61" i="94"/>
  <c r="CP61" i="94"/>
  <c r="BZ62" i="94"/>
  <c r="G208" i="20" s="1"/>
  <c r="CD62" i="94"/>
  <c r="CH62" i="94"/>
  <c r="O208" i="20" s="1"/>
  <c r="CL62" i="94"/>
  <c r="CP62" i="94"/>
  <c r="DB62" i="94"/>
  <c r="AI208" i="20" s="1"/>
  <c r="CD63" i="94"/>
  <c r="CP63" i="94"/>
  <c r="CD64" i="94"/>
  <c r="CH64" i="94"/>
  <c r="CL64" i="94"/>
  <c r="CP64" i="94"/>
  <c r="DB64" i="94"/>
  <c r="R89" i="94"/>
  <c r="F93" i="94"/>
  <c r="F1035" i="20" s="1"/>
  <c r="Z93" i="94"/>
  <c r="F243" i="94"/>
  <c r="J243" i="94"/>
  <c r="Z243" i="94"/>
  <c r="Z98" i="94"/>
  <c r="AH243" i="94"/>
  <c r="U99" i="94"/>
  <c r="U1041" i="20" s="1"/>
  <c r="G243" i="94"/>
  <c r="O243" i="94"/>
  <c r="W243" i="94"/>
  <c r="AA243" i="94"/>
  <c r="AE243" i="94"/>
  <c r="AI243" i="94"/>
  <c r="F103" i="94"/>
  <c r="F1045" i="20" s="1"/>
  <c r="R103" i="94"/>
  <c r="M238" i="94"/>
  <c r="U238" i="94"/>
  <c r="U105" i="94"/>
  <c r="U1047" i="20" s="1"/>
  <c r="Y238" i="94"/>
  <c r="AG238" i="94"/>
  <c r="AK238" i="94"/>
  <c r="H238" i="94"/>
  <c r="P238" i="94"/>
  <c r="T238" i="94"/>
  <c r="AB238" i="94"/>
  <c r="AF238" i="94"/>
  <c r="H239" i="94"/>
  <c r="L239" i="94"/>
  <c r="P239" i="94"/>
  <c r="T239" i="94"/>
  <c r="AB239" i="94"/>
  <c r="AF239" i="94"/>
  <c r="AJ239" i="94"/>
  <c r="G241" i="94"/>
  <c r="G239" i="94"/>
  <c r="K241" i="94"/>
  <c r="K239" i="94"/>
  <c r="O241" i="94"/>
  <c r="O239" i="94"/>
  <c r="S241" i="94"/>
  <c r="S239" i="94"/>
  <c r="W241" i="94"/>
  <c r="W239" i="94"/>
  <c r="AA241" i="94"/>
  <c r="AA239" i="94"/>
  <c r="AE241" i="94"/>
  <c r="AE239" i="94"/>
  <c r="AI241" i="94"/>
  <c r="AI239" i="94"/>
  <c r="F117" i="94"/>
  <c r="F1059" i="20" s="1"/>
  <c r="F121" i="94"/>
  <c r="F1063" i="20" s="1"/>
  <c r="N121" i="94"/>
  <c r="N1063" i="20" s="1"/>
  <c r="Z121" i="94"/>
  <c r="I240" i="94"/>
  <c r="M240" i="94"/>
  <c r="U240" i="94"/>
  <c r="Y240" i="94"/>
  <c r="AG240" i="94"/>
  <c r="AK240" i="94"/>
  <c r="AI238" i="94"/>
  <c r="CB41" i="94"/>
  <c r="I187" i="20" s="1"/>
  <c r="CF41" i="94"/>
  <c r="CN41" i="94"/>
  <c r="U187" i="20" s="1"/>
  <c r="CZ41" i="94"/>
  <c r="CD42" i="94"/>
  <c r="CH42" i="94"/>
  <c r="O188" i="20" s="1"/>
  <c r="CP42" i="94"/>
  <c r="CT42" i="94"/>
  <c r="CX42" i="94"/>
  <c r="DB42" i="94"/>
  <c r="AI188" i="20" s="1"/>
  <c r="CB43" i="94"/>
  <c r="I189" i="20" s="1"/>
  <c r="CF43" i="94"/>
  <c r="CN43" i="94"/>
  <c r="U189" i="20" s="1"/>
  <c r="CZ43" i="94"/>
  <c r="CD44" i="94"/>
  <c r="CH44" i="94"/>
  <c r="O190" i="20" s="1"/>
  <c r="CP44" i="94"/>
  <c r="CT44" i="94"/>
  <c r="CX44" i="94"/>
  <c r="DB44" i="94"/>
  <c r="AI190" i="20" s="1"/>
  <c r="CC46" i="94"/>
  <c r="CC48" i="94"/>
  <c r="CC50" i="94"/>
  <c r="CC52" i="94"/>
  <c r="CC54" i="94"/>
  <c r="CC56" i="94"/>
  <c r="CC58" i="94"/>
  <c r="CC60" i="94"/>
  <c r="CC62" i="94"/>
  <c r="CC64" i="94"/>
  <c r="G238" i="94"/>
  <c r="N106" i="94"/>
  <c r="N1048" i="20" s="1"/>
  <c r="AD239" i="94"/>
  <c r="AY65" i="94"/>
  <c r="CG42" i="94" s="1"/>
  <c r="BC65" i="94"/>
  <c r="BG65" i="94"/>
  <c r="CO42" i="94" s="1"/>
  <c r="BK65" i="94"/>
  <c r="CS50" i="94" s="1"/>
  <c r="BO65" i="94"/>
  <c r="CW34" i="94" s="1"/>
  <c r="BS65" i="94"/>
  <c r="DA36" i="94" s="1"/>
  <c r="BW65" i="94"/>
  <c r="DE30" i="94" s="1"/>
  <c r="L219" i="94"/>
  <c r="L113" i="94" s="1"/>
  <c r="P219" i="94"/>
  <c r="P87" i="94" s="1"/>
  <c r="T219" i="94"/>
  <c r="T95" i="94" s="1"/>
  <c r="X219" i="94"/>
  <c r="X83" i="94" s="1"/>
  <c r="AB219" i="94"/>
  <c r="AB108" i="94" s="1"/>
  <c r="AF219" i="94"/>
  <c r="AF87" i="94" s="1"/>
  <c r="AF1029" i="20" s="1"/>
  <c r="AJ219" i="94"/>
  <c r="AJ93" i="94" s="1"/>
  <c r="AJ1035" i="20" s="1"/>
  <c r="G219" i="94"/>
  <c r="G90" i="94" s="1"/>
  <c r="G1032" i="20" s="1"/>
  <c r="W219" i="94"/>
  <c r="W109" i="94" s="1"/>
  <c r="AI219" i="94"/>
  <c r="AI114" i="94" s="1"/>
  <c r="AI1056" i="20" s="1"/>
  <c r="Z87" i="94"/>
  <c r="F91" i="94"/>
  <c r="F1033" i="20" s="1"/>
  <c r="U92" i="94"/>
  <c r="U1034" i="20" s="1"/>
  <c r="R95" i="94"/>
  <c r="P243" i="94"/>
  <c r="N101" i="94"/>
  <c r="N1043" i="20" s="1"/>
  <c r="M243" i="94"/>
  <c r="AC243" i="94"/>
  <c r="K238" i="94"/>
  <c r="S238" i="94"/>
  <c r="W238" i="94"/>
  <c r="AA238" i="94"/>
  <c r="AE238" i="94"/>
  <c r="Z106" i="94"/>
  <c r="F111" i="94"/>
  <c r="F1053" i="20" s="1"/>
  <c r="F239" i="94"/>
  <c r="J239" i="94"/>
  <c r="N239" i="94"/>
  <c r="R239" i="94"/>
  <c r="V239" i="94"/>
  <c r="Z239" i="94"/>
  <c r="AH239" i="94"/>
  <c r="AL239" i="94"/>
  <c r="I241" i="94"/>
  <c r="M241" i="94"/>
  <c r="U241" i="94"/>
  <c r="Y112" i="94"/>
  <c r="Y241" i="94"/>
  <c r="AC241" i="94"/>
  <c r="AK241" i="94"/>
  <c r="Z124" i="94"/>
  <c r="AF243" i="94"/>
  <c r="O219" i="94"/>
  <c r="O123" i="94" s="1"/>
  <c r="O1065" i="20" s="1"/>
  <c r="AE219" i="94"/>
  <c r="AE120" i="94" s="1"/>
  <c r="T243" i="94"/>
  <c r="AJ243" i="94"/>
  <c r="N240" i="94"/>
  <c r="AD240" i="94"/>
  <c r="Y116" i="94"/>
  <c r="R119" i="94"/>
  <c r="AE240" i="94"/>
  <c r="F124" i="94"/>
  <c r="F1066" i="20" s="1"/>
  <c r="H240" i="94"/>
  <c r="L240" i="94"/>
  <c r="P240" i="94"/>
  <c r="T240" i="94"/>
  <c r="X240" i="94"/>
  <c r="AB240" i="94"/>
  <c r="AF240" i="94"/>
  <c r="AJ240" i="94"/>
  <c r="F238" i="94"/>
  <c r="J238" i="94"/>
  <c r="N238" i="94"/>
  <c r="R238" i="94"/>
  <c r="V238" i="94"/>
  <c r="Z238" i="94"/>
  <c r="AD238" i="94"/>
  <c r="AH238" i="94"/>
  <c r="AL238" i="94"/>
  <c r="I239" i="94"/>
  <c r="M239" i="94"/>
  <c r="Q239" i="94"/>
  <c r="U239" i="94"/>
  <c r="Y239" i="94"/>
  <c r="AC239" i="94"/>
  <c r="AG239" i="94"/>
  <c r="AK239" i="94"/>
  <c r="U115" i="94" l="1"/>
  <c r="U1057" i="20" s="1"/>
  <c r="U91" i="94"/>
  <c r="U1033" i="20" s="1"/>
  <c r="U95" i="94"/>
  <c r="U1037" i="20" s="1"/>
  <c r="U114" i="94"/>
  <c r="U1056" i="20" s="1"/>
  <c r="U106" i="94"/>
  <c r="U1048" i="20" s="1"/>
  <c r="U118" i="94"/>
  <c r="U1060" i="20" s="1"/>
  <c r="U111" i="94"/>
  <c r="U1053" i="20" s="1"/>
  <c r="Y97" i="94"/>
  <c r="H181" i="20"/>
  <c r="Q176" i="20"/>
  <c r="G181" i="20"/>
  <c r="H175" i="20"/>
  <c r="I190" i="20"/>
  <c r="O175" i="20"/>
  <c r="H179" i="20"/>
  <c r="U181" i="20"/>
  <c r="AD108" i="94"/>
  <c r="AD1050" i="20" s="1"/>
  <c r="I120" i="94"/>
  <c r="I1062" i="20" s="1"/>
  <c r="S115" i="94"/>
  <c r="S109" i="94"/>
  <c r="I123" i="94"/>
  <c r="I1065" i="20" s="1"/>
  <c r="AH119" i="94"/>
  <c r="S88" i="94"/>
  <c r="S99" i="94"/>
  <c r="R101" i="94"/>
  <c r="S119" i="94"/>
  <c r="S84" i="94"/>
  <c r="AD84" i="94"/>
  <c r="AD1026" i="20" s="1"/>
  <c r="AF117" i="94"/>
  <c r="AF1059" i="20" s="1"/>
  <c r="M189" i="20"/>
  <c r="V113" i="94"/>
  <c r="AH108" i="94"/>
  <c r="AH111" i="94"/>
  <c r="V119" i="94"/>
  <c r="M187" i="20"/>
  <c r="AH95" i="94"/>
  <c r="AH87" i="94"/>
  <c r="M186" i="20"/>
  <c r="AH124" i="94"/>
  <c r="AH123" i="94"/>
  <c r="AH115" i="94"/>
  <c r="AH89" i="94"/>
  <c r="AH99" i="94"/>
  <c r="M203" i="20"/>
  <c r="M175" i="20"/>
  <c r="V115" i="94"/>
  <c r="M191" i="20"/>
  <c r="M207" i="20"/>
  <c r="AD101" i="94"/>
  <c r="AD1043" i="20" s="1"/>
  <c r="AD898" i="20" s="1"/>
  <c r="S124" i="94"/>
  <c r="AD83" i="94"/>
  <c r="AD1025" i="20" s="1"/>
  <c r="AD86" i="94"/>
  <c r="AD1028" i="20" s="1"/>
  <c r="S91" i="94"/>
  <c r="S85" i="94"/>
  <c r="S107" i="94"/>
  <c r="AD107" i="94"/>
  <c r="AD1049" i="20" s="1"/>
  <c r="N188" i="20"/>
  <c r="S120" i="94"/>
  <c r="AD105" i="94"/>
  <c r="AD1047" i="20" s="1"/>
  <c r="S111" i="94"/>
  <c r="S89" i="94"/>
  <c r="L1055" i="20"/>
  <c r="S117" i="94"/>
  <c r="S98" i="94"/>
  <c r="AL176" i="20"/>
  <c r="S116" i="94"/>
  <c r="S92" i="94"/>
  <c r="S82" i="94"/>
  <c r="S121" i="94"/>
  <c r="S103" i="94"/>
  <c r="S118" i="94"/>
  <c r="S81" i="94"/>
  <c r="AJ181" i="20"/>
  <c r="S114" i="94"/>
  <c r="S94" i="94"/>
  <c r="S105" i="94"/>
  <c r="S95" i="94"/>
  <c r="S83" i="94"/>
  <c r="S108" i="94"/>
  <c r="S87" i="94"/>
  <c r="S112" i="94"/>
  <c r="AD109" i="94"/>
  <c r="AD1051" i="20" s="1"/>
  <c r="S97" i="94"/>
  <c r="S101" i="94"/>
  <c r="S113" i="94"/>
  <c r="AC120" i="94"/>
  <c r="X117" i="94"/>
  <c r="N115" i="94"/>
  <c r="N1057" i="20" s="1"/>
  <c r="N111" i="94"/>
  <c r="N1053" i="20" s="1"/>
  <c r="N83" i="94"/>
  <c r="N1025" i="20" s="1"/>
  <c r="BZ44" i="94"/>
  <c r="G190" i="20" s="1"/>
  <c r="BZ42" i="94"/>
  <c r="G188" i="20" s="1"/>
  <c r="N108" i="94"/>
  <c r="N1050" i="20" s="1"/>
  <c r="N93" i="94"/>
  <c r="N1035" i="20" s="1"/>
  <c r="CX64" i="94"/>
  <c r="BZ63" i="94"/>
  <c r="G209" i="20" s="1"/>
  <c r="CX60" i="94"/>
  <c r="BZ59" i="94"/>
  <c r="G205" i="20" s="1"/>
  <c r="CX56" i="94"/>
  <c r="BZ55" i="94"/>
  <c r="G201" i="20" s="1"/>
  <c r="CX52" i="94"/>
  <c r="BZ51" i="94"/>
  <c r="G197" i="20" s="1"/>
  <c r="CX48" i="94"/>
  <c r="BZ47" i="94"/>
  <c r="G193" i="20" s="1"/>
  <c r="N103" i="94"/>
  <c r="N1045" i="20" s="1"/>
  <c r="AC123" i="94"/>
  <c r="CX38" i="94"/>
  <c r="U183" i="20"/>
  <c r="BZ36" i="94"/>
  <c r="G182" i="20" s="1"/>
  <c r="CZ32" i="94"/>
  <c r="U204" i="20"/>
  <c r="BZ43" i="94"/>
  <c r="G189" i="20" s="1"/>
  <c r="DC43" i="94"/>
  <c r="AJ189" i="20" s="1"/>
  <c r="AF175" i="20"/>
  <c r="N124" i="94"/>
  <c r="N1066" i="20" s="1"/>
  <c r="N119" i="94"/>
  <c r="N1061" i="20" s="1"/>
  <c r="X108" i="94"/>
  <c r="AD180" i="20"/>
  <c r="N113" i="94"/>
  <c r="N1055" i="20" s="1"/>
  <c r="N89" i="94"/>
  <c r="N1031" i="20" s="1"/>
  <c r="BZ64" i="94"/>
  <c r="BZ60" i="94"/>
  <c r="G206" i="20" s="1"/>
  <c r="BZ56" i="94"/>
  <c r="G202" i="20" s="1"/>
  <c r="BZ52" i="94"/>
  <c r="G198" i="20" s="1"/>
  <c r="BZ48" i="94"/>
  <c r="G194" i="20" s="1"/>
  <c r="CX40" i="94"/>
  <c r="U185" i="20"/>
  <c r="BZ38" i="94"/>
  <c r="G184" i="20" s="1"/>
  <c r="CX32" i="94"/>
  <c r="CB31" i="94"/>
  <c r="I177" i="20" s="1"/>
  <c r="BZ30" i="94"/>
  <c r="G176" i="20" s="1"/>
  <c r="CM41" i="94"/>
  <c r="AB1050" i="20"/>
  <c r="CV43" i="94"/>
  <c r="CV41" i="94"/>
  <c r="CX62" i="94"/>
  <c r="BZ61" i="94"/>
  <c r="G207" i="20" s="1"/>
  <c r="CX58" i="94"/>
  <c r="BZ57" i="94"/>
  <c r="G203" i="20" s="1"/>
  <c r="CX54" i="94"/>
  <c r="BZ53" i="94"/>
  <c r="G199" i="20" s="1"/>
  <c r="CX50" i="94"/>
  <c r="BZ49" i="94"/>
  <c r="G195" i="20" s="1"/>
  <c r="CX46" i="94"/>
  <c r="BZ40" i="94"/>
  <c r="G186" i="20" s="1"/>
  <c r="CX34" i="94"/>
  <c r="U179" i="20"/>
  <c r="BZ32" i="94"/>
  <c r="G178" i="20" s="1"/>
  <c r="BZ45" i="94"/>
  <c r="G191" i="20" s="1"/>
  <c r="CX30" i="94"/>
  <c r="BY44" i="94"/>
  <c r="F190" i="20" s="1"/>
  <c r="BY30" i="94"/>
  <c r="F176" i="20" s="1"/>
  <c r="AH19" i="20"/>
  <c r="AH74" i="94"/>
  <c r="AH75" i="94" s="1"/>
  <c r="AH20" i="20" s="1"/>
  <c r="S19" i="20"/>
  <c r="S74" i="94"/>
  <c r="S75" i="94" s="1"/>
  <c r="S20" i="20" s="1"/>
  <c r="Y19" i="20"/>
  <c r="Y74" i="94"/>
  <c r="Y75" i="94" s="1"/>
  <c r="Y20" i="20" s="1"/>
  <c r="AC19" i="20"/>
  <c r="AC1120" i="20" s="1"/>
  <c r="AC74" i="94"/>
  <c r="AC75" i="94" s="1"/>
  <c r="AC20" i="20" s="1"/>
  <c r="J19" i="20"/>
  <c r="J1120" i="20" s="1"/>
  <c r="J1023" i="20" s="1"/>
  <c r="J74" i="94"/>
  <c r="X19" i="20"/>
  <c r="X74" i="94"/>
  <c r="X75" i="94" s="1"/>
  <c r="X20" i="20" s="1"/>
  <c r="Z19" i="20"/>
  <c r="Z74" i="94"/>
  <c r="Z75" i="94" s="1"/>
  <c r="Z20" i="20" s="1"/>
  <c r="L33" i="20"/>
  <c r="AG19" i="20"/>
  <c r="AG74" i="94"/>
  <c r="AG75" i="94" s="1"/>
  <c r="AG20" i="20" s="1"/>
  <c r="V19" i="20"/>
  <c r="V74" i="94"/>
  <c r="V75" i="94" s="1"/>
  <c r="V20" i="20" s="1"/>
  <c r="W19" i="20"/>
  <c r="W1120" i="20" s="1"/>
  <c r="W1051" i="20" s="1"/>
  <c r="W74" i="94"/>
  <c r="W75" i="94" s="1"/>
  <c r="W20" i="20" s="1"/>
  <c r="T19" i="20"/>
  <c r="T74" i="94"/>
  <c r="T75" i="94" s="1"/>
  <c r="T20" i="20" s="1"/>
  <c r="AE19" i="20"/>
  <c r="AE1120" i="20" s="1"/>
  <c r="AE1062" i="20" s="1"/>
  <c r="AE74" i="94"/>
  <c r="AE75" i="94" s="1"/>
  <c r="AE20" i="20" s="1"/>
  <c r="AB21" i="20"/>
  <c r="AB191" i="20" s="1"/>
  <c r="DB31" i="94"/>
  <c r="AI177" i="20" s="1"/>
  <c r="K19" i="20"/>
  <c r="K21" i="20" s="1"/>
  <c r="K22" i="20" s="1"/>
  <c r="K74" i="94"/>
  <c r="K75" i="94" s="1"/>
  <c r="K20" i="20" s="1"/>
  <c r="R19" i="20"/>
  <c r="R74" i="94"/>
  <c r="R75" i="94" s="1"/>
  <c r="R20" i="20" s="1"/>
  <c r="P19" i="20"/>
  <c r="P1120" i="20" s="1"/>
  <c r="P74" i="94"/>
  <c r="P75" i="94" s="1"/>
  <c r="P20" i="20" s="1"/>
  <c r="AA19" i="20"/>
  <c r="AA1120" i="20" s="1"/>
  <c r="AA74" i="94"/>
  <c r="AA75" i="94" s="1"/>
  <c r="AA20" i="20" s="1"/>
  <c r="L21" i="20"/>
  <c r="L205" i="20" s="1"/>
  <c r="T117" i="94"/>
  <c r="T93" i="94"/>
  <c r="H95" i="94"/>
  <c r="H1037" i="20" s="1"/>
  <c r="M94" i="94"/>
  <c r="M1036" i="20" s="1"/>
  <c r="I99" i="94"/>
  <c r="I1041" i="20" s="1"/>
  <c r="AC117" i="94"/>
  <c r="AG118" i="94"/>
  <c r="AA103" i="94"/>
  <c r="AK92" i="94"/>
  <c r="AK1034" i="20" s="1"/>
  <c r="K118" i="94"/>
  <c r="I118" i="94"/>
  <c r="I1060" i="20" s="1"/>
  <c r="K87" i="94"/>
  <c r="S90" i="94"/>
  <c r="S123" i="94"/>
  <c r="S93" i="94"/>
  <c r="K108" i="94"/>
  <c r="AI109" i="94"/>
  <c r="AI1051" i="20" s="1"/>
  <c r="K114" i="94"/>
  <c r="M112" i="94"/>
  <c r="M1054" i="20" s="1"/>
  <c r="M896" i="20" s="1"/>
  <c r="AG97" i="94"/>
  <c r="I88" i="94"/>
  <c r="I1030" i="20" s="1"/>
  <c r="I114" i="94"/>
  <c r="I1056" i="20" s="1"/>
  <c r="AK93" i="94"/>
  <c r="AK1035" i="20" s="1"/>
  <c r="AC119" i="94"/>
  <c r="H117" i="94"/>
  <c r="H1059" i="20" s="1"/>
  <c r="K109" i="94"/>
  <c r="K105" i="94"/>
  <c r="AG123" i="94"/>
  <c r="AK108" i="94"/>
  <c r="AK1050" i="20" s="1"/>
  <c r="AA118" i="94"/>
  <c r="AK112" i="94"/>
  <c r="AK1054" i="20" s="1"/>
  <c r="AK896" i="20" s="1"/>
  <c r="AG90" i="94"/>
  <c r="AG86" i="94"/>
  <c r="AK81" i="94"/>
  <c r="AK1023" i="20" s="1"/>
  <c r="AK897" i="20" s="1"/>
  <c r="AG120" i="94"/>
  <c r="W118" i="94"/>
  <c r="I116" i="94"/>
  <c r="I1058" i="20" s="1"/>
  <c r="AG112" i="94"/>
  <c r="I112" i="94"/>
  <c r="I1054" i="20" s="1"/>
  <c r="I896" i="20" s="1"/>
  <c r="I107" i="94"/>
  <c r="I1049" i="20" s="1"/>
  <c r="AG88" i="94"/>
  <c r="AK118" i="94"/>
  <c r="AK1060" i="20" s="1"/>
  <c r="I109" i="94"/>
  <c r="I1051" i="20" s="1"/>
  <c r="H101" i="94"/>
  <c r="H1043" i="20" s="1"/>
  <c r="H898" i="20" s="1"/>
  <c r="AA97" i="94"/>
  <c r="I90" i="94"/>
  <c r="I1032" i="20" s="1"/>
  <c r="AA108" i="94"/>
  <c r="AK87" i="94"/>
  <c r="AK1029" i="20" s="1"/>
  <c r="P98" i="94"/>
  <c r="AA114" i="94"/>
  <c r="AA109" i="94"/>
  <c r="AA94" i="94"/>
  <c r="J117" i="94"/>
  <c r="AC90" i="94"/>
  <c r="AA91" i="94"/>
  <c r="AA111" i="94"/>
  <c r="AC88" i="94"/>
  <c r="AC121" i="94"/>
  <c r="U120" i="94"/>
  <c r="U1062" i="20" s="1"/>
  <c r="U116" i="94"/>
  <c r="U1058" i="20" s="1"/>
  <c r="W114" i="94"/>
  <c r="J106" i="94"/>
  <c r="AC102" i="94"/>
  <c r="U102" i="94"/>
  <c r="U1044" i="20" s="1"/>
  <c r="Z91" i="94"/>
  <c r="AA107" i="94"/>
  <c r="U94" i="94"/>
  <c r="U1036" i="20" s="1"/>
  <c r="U90" i="94"/>
  <c r="U1032" i="20" s="1"/>
  <c r="AA113" i="94"/>
  <c r="AA121" i="94"/>
  <c r="AC115" i="94"/>
  <c r="U81" i="94"/>
  <c r="U1023" i="20" s="1"/>
  <c r="U897" i="20" s="1"/>
  <c r="U101" i="94"/>
  <c r="U1043" i="20" s="1"/>
  <c r="U898" i="20" s="1"/>
  <c r="AA116" i="94"/>
  <c r="AA102" i="94"/>
  <c r="AA124" i="94"/>
  <c r="AA86" i="94"/>
  <c r="AA85" i="94"/>
  <c r="AC111" i="94"/>
  <c r="K123" i="94"/>
  <c r="AF113" i="94"/>
  <c r="AF1055" i="20" s="1"/>
  <c r="AF108" i="94"/>
  <c r="AF1050" i="20" s="1"/>
  <c r="K86" i="94"/>
  <c r="U123" i="94"/>
  <c r="U1065" i="20" s="1"/>
  <c r="K116" i="94"/>
  <c r="M109" i="94"/>
  <c r="M1051" i="20" s="1"/>
  <c r="AA101" i="94"/>
  <c r="AA89" i="94"/>
  <c r="K101" i="94"/>
  <c r="AC83" i="94"/>
  <c r="U88" i="94"/>
  <c r="U1030" i="20" s="1"/>
  <c r="U119" i="94"/>
  <c r="U1061" i="20" s="1"/>
  <c r="U117" i="94"/>
  <c r="U1059" i="20" s="1"/>
  <c r="AA81" i="94"/>
  <c r="AL115" i="94"/>
  <c r="AL1057" i="20" s="1"/>
  <c r="AA105" i="94"/>
  <c r="AA120" i="94"/>
  <c r="AA117" i="94"/>
  <c r="AF121" i="94"/>
  <c r="AF1063" i="20" s="1"/>
  <c r="Z115" i="94"/>
  <c r="P113" i="94"/>
  <c r="U112" i="94"/>
  <c r="U1054" i="20" s="1"/>
  <c r="U896" i="20" s="1"/>
  <c r="Z101" i="94"/>
  <c r="Q114" i="94"/>
  <c r="Q1056" i="20" s="1"/>
  <c r="AA123" i="94"/>
  <c r="AA93" i="94"/>
  <c r="K91" i="94"/>
  <c r="AC95" i="94"/>
  <c r="U97" i="94"/>
  <c r="U1039" i="20" s="1"/>
  <c r="U891" i="20" s="1"/>
  <c r="U83" i="94"/>
  <c r="U1025" i="20" s="1"/>
  <c r="U124" i="94"/>
  <c r="U1066" i="20" s="1"/>
  <c r="Q109" i="94"/>
  <c r="Q1051" i="20" s="1"/>
  <c r="P121" i="94"/>
  <c r="P117" i="94"/>
  <c r="Q112" i="94"/>
  <c r="Q1054" i="20" s="1"/>
  <c r="Q896" i="20" s="1"/>
  <c r="Z111" i="94"/>
  <c r="H108" i="94"/>
  <c r="H1050" i="20" s="1"/>
  <c r="AF98" i="94"/>
  <c r="AF1040" i="20" s="1"/>
  <c r="H124" i="94"/>
  <c r="H1066" i="20" s="1"/>
  <c r="M114" i="94"/>
  <c r="M1056" i="20" s="1"/>
  <c r="AA112" i="94"/>
  <c r="U86" i="94"/>
  <c r="U1028" i="20" s="1"/>
  <c r="AA83" i="94"/>
  <c r="AA98" i="94"/>
  <c r="AC101" i="94"/>
  <c r="U89" i="94"/>
  <c r="U1031" i="20" s="1"/>
  <c r="U87" i="94"/>
  <c r="U1029" i="20" s="1"/>
  <c r="U121" i="94"/>
  <c r="U1063" i="20" s="1"/>
  <c r="F97" i="94"/>
  <c r="F1039" i="20" s="1"/>
  <c r="H897" i="20"/>
  <c r="AL897" i="20"/>
  <c r="N898" i="20"/>
  <c r="N897" i="20"/>
  <c r="S1120" i="20"/>
  <c r="DC29" i="94"/>
  <c r="AJ175" i="20" s="1"/>
  <c r="X1120" i="20"/>
  <c r="CM39" i="94"/>
  <c r="T1120" i="20"/>
  <c r="T1037" i="20" s="1"/>
  <c r="AI22" i="20"/>
  <c r="AA21" i="20"/>
  <c r="AA190" i="20" s="1"/>
  <c r="CN53" i="94"/>
  <c r="U199" i="20" s="1"/>
  <c r="CL30" i="94"/>
  <c r="CF51" i="94"/>
  <c r="M197" i="20" s="1"/>
  <c r="CM31" i="94"/>
  <c r="O22" i="20"/>
  <c r="CS54" i="94"/>
  <c r="CZ54" i="94"/>
  <c r="CZ51" i="94"/>
  <c r="CZ42" i="94"/>
  <c r="CO38" i="94"/>
  <c r="CN64" i="94"/>
  <c r="CZ57" i="94"/>
  <c r="CN54" i="94"/>
  <c r="U200" i="20" s="1"/>
  <c r="CN49" i="94"/>
  <c r="U195" i="20" s="1"/>
  <c r="CV52" i="94"/>
  <c r="CB48" i="94"/>
  <c r="I194" i="20" s="1"/>
  <c r="CB54" i="94"/>
  <c r="I200" i="20" s="1"/>
  <c r="CN44" i="94"/>
  <c r="U190" i="20" s="1"/>
  <c r="CC42" i="94"/>
  <c r="DC39" i="94"/>
  <c r="AJ185" i="20" s="1"/>
  <c r="CS58" i="94"/>
  <c r="DE34" i="94"/>
  <c r="AL180" i="20" s="1"/>
  <c r="CZ29" i="94"/>
  <c r="CZ64" i="94"/>
  <c r="CZ60" i="94"/>
  <c r="CN57" i="94"/>
  <c r="U203" i="20" s="1"/>
  <c r="CV53" i="94"/>
  <c r="CB51" i="94"/>
  <c r="I197" i="20" s="1"/>
  <c r="DB43" i="94"/>
  <c r="AI189" i="20" s="1"/>
  <c r="CD29" i="94"/>
  <c r="DB33" i="94"/>
  <c r="AI179" i="20" s="1"/>
  <c r="DB35" i="94"/>
  <c r="AI181" i="20" s="1"/>
  <c r="CN63" i="94"/>
  <c r="U209" i="20" s="1"/>
  <c r="CB57" i="94"/>
  <c r="I203" i="20" s="1"/>
  <c r="CB53" i="94"/>
  <c r="I199" i="20" s="1"/>
  <c r="CZ47" i="94"/>
  <c r="CN40" i="94"/>
  <c r="U186" i="20" s="1"/>
  <c r="CL37" i="94"/>
  <c r="CG32" i="94"/>
  <c r="N178" i="20" s="1"/>
  <c r="CO44" i="94"/>
  <c r="CV34" i="94"/>
  <c r="CV32" i="94"/>
  <c r="CV62" i="94"/>
  <c r="CZ45" i="94"/>
  <c r="CW42" i="94"/>
  <c r="AD188" i="20" s="1"/>
  <c r="CW36" i="94"/>
  <c r="AD182" i="20" s="1"/>
  <c r="CV46" i="94"/>
  <c r="CA39" i="94"/>
  <c r="H185" i="20" s="1"/>
  <c r="CU31" i="94"/>
  <c r="AB177" i="20" s="1"/>
  <c r="AF93" i="94"/>
  <c r="AF1035" i="20" s="1"/>
  <c r="CS62" i="94"/>
  <c r="CS46" i="94"/>
  <c r="CS40" i="94"/>
  <c r="DE32" i="94"/>
  <c r="AL178" i="20" s="1"/>
  <c r="CZ63" i="94"/>
  <c r="CV59" i="94"/>
  <c r="CZ50" i="94"/>
  <c r="CO34" i="94"/>
  <c r="CZ56" i="94"/>
  <c r="CB64" i="94"/>
  <c r="DB37" i="94"/>
  <c r="AI183" i="20" s="1"/>
  <c r="CV48" i="94"/>
  <c r="CC44" i="94"/>
  <c r="CN34" i="94"/>
  <c r="U180" i="20" s="1"/>
  <c r="CF58" i="94"/>
  <c r="M204" i="20" s="1"/>
  <c r="CN45" i="94"/>
  <c r="U191" i="20" s="1"/>
  <c r="CS42" i="94"/>
  <c r="CO36" i="94"/>
  <c r="CB30" i="94"/>
  <c r="I176" i="20" s="1"/>
  <c r="CN46" i="94"/>
  <c r="U192" i="20" s="1"/>
  <c r="CU37" i="94"/>
  <c r="CS30" i="94"/>
  <c r="CZ40" i="94"/>
  <c r="CJ31" i="94"/>
  <c r="Q177" i="20" s="1"/>
  <c r="CV29" i="94"/>
  <c r="CB29" i="94"/>
  <c r="I175" i="20" s="1"/>
  <c r="CB63" i="94"/>
  <c r="I209" i="20" s="1"/>
  <c r="CN59" i="94"/>
  <c r="U205" i="20" s="1"/>
  <c r="CN52" i="94"/>
  <c r="U198" i="20" s="1"/>
  <c r="CZ49" i="94"/>
  <c r="DB39" i="94"/>
  <c r="AI185" i="20" s="1"/>
  <c r="CN31" i="94"/>
  <c r="U177" i="20" s="1"/>
  <c r="CZ55" i="94"/>
  <c r="CB60" i="94"/>
  <c r="I206" i="20" s="1"/>
  <c r="CU43" i="94"/>
  <c r="CX37" i="94"/>
  <c r="DC33" i="94"/>
  <c r="AJ179" i="20" s="1"/>
  <c r="DC37" i="94"/>
  <c r="AJ183" i="20" s="1"/>
  <c r="CF48" i="94"/>
  <c r="M194" i="20" s="1"/>
  <c r="CB34" i="94"/>
  <c r="I180" i="20" s="1"/>
  <c r="CO30" i="94"/>
  <c r="CB58" i="94"/>
  <c r="I204" i="20" s="1"/>
  <c r="CZ44" i="94"/>
  <c r="CB46" i="94"/>
  <c r="I192" i="20" s="1"/>
  <c r="AG82" i="94"/>
  <c r="I82" i="94"/>
  <c r="I1024" i="20" s="1"/>
  <c r="AF85" i="94"/>
  <c r="AF1027" i="20" s="1"/>
  <c r="AC98" i="94"/>
  <c r="AD112" i="94"/>
  <c r="AD1054" i="20" s="1"/>
  <c r="AD896" i="20" s="1"/>
  <c r="AD91" i="94"/>
  <c r="AD1033" i="20" s="1"/>
  <c r="AD111" i="94"/>
  <c r="AD1053" i="20" s="1"/>
  <c r="V121" i="94"/>
  <c r="AL117" i="94"/>
  <c r="AL1059" i="20" s="1"/>
  <c r="V108" i="94"/>
  <c r="AL103" i="94"/>
  <c r="AL1045" i="20" s="1"/>
  <c r="AK115" i="94"/>
  <c r="AK1057" i="20" s="1"/>
  <c r="AK91" i="94"/>
  <c r="AK1033" i="20" s="1"/>
  <c r="AK111" i="94"/>
  <c r="AK1053" i="20" s="1"/>
  <c r="AG116" i="94"/>
  <c r="Q116" i="94"/>
  <c r="Q1058" i="20" s="1"/>
  <c r="AD115" i="94"/>
  <c r="AD1057" i="20" s="1"/>
  <c r="J115" i="94"/>
  <c r="H113" i="94"/>
  <c r="H1055" i="20" s="1"/>
  <c r="AC112" i="94"/>
  <c r="AL111" i="94"/>
  <c r="AL1053" i="20" s="1"/>
  <c r="M102" i="94"/>
  <c r="M1044" i="20" s="1"/>
  <c r="Q97" i="94"/>
  <c r="Q1039" i="20" s="1"/>
  <c r="AL91" i="94"/>
  <c r="AL1033" i="20" s="1"/>
  <c r="AC84" i="94"/>
  <c r="AF81" i="94"/>
  <c r="AF1023" i="20" s="1"/>
  <c r="Q107" i="94"/>
  <c r="Q1049" i="20" s="1"/>
  <c r="AD95" i="94"/>
  <c r="AD1037" i="20" s="1"/>
  <c r="AC92" i="94"/>
  <c r="AD98" i="94"/>
  <c r="AD1040" i="20" s="1"/>
  <c r="AK123" i="94"/>
  <c r="AK1065" i="20" s="1"/>
  <c r="AC118" i="94"/>
  <c r="AD117" i="94"/>
  <c r="AD1059" i="20" s="1"/>
  <c r="AG114" i="94"/>
  <c r="J113" i="94"/>
  <c r="AG109" i="94"/>
  <c r="AF106" i="94"/>
  <c r="AF1048" i="20" s="1"/>
  <c r="AD103" i="94"/>
  <c r="AD1045" i="20" s="1"/>
  <c r="AK99" i="94"/>
  <c r="AK1041" i="20" s="1"/>
  <c r="F98" i="94"/>
  <c r="F1040" i="20" s="1"/>
  <c r="AG94" i="94"/>
  <c r="AD93" i="94"/>
  <c r="AD1035" i="20" s="1"/>
  <c r="Q90" i="94"/>
  <c r="Q1032" i="20" s="1"/>
  <c r="J85" i="94"/>
  <c r="AK85" i="94"/>
  <c r="AK1027" i="20" s="1"/>
  <c r="AK119" i="94"/>
  <c r="AK1061" i="20" s="1"/>
  <c r="AK102" i="94"/>
  <c r="AK1044" i="20" s="1"/>
  <c r="AK124" i="94"/>
  <c r="AK1066" i="20" s="1"/>
  <c r="AK95" i="94"/>
  <c r="AK1037" i="20" s="1"/>
  <c r="AK117" i="94"/>
  <c r="AK1059" i="20" s="1"/>
  <c r="AC85" i="94"/>
  <c r="AC81" i="94"/>
  <c r="AC124" i="94"/>
  <c r="AC87" i="94"/>
  <c r="AC106" i="94"/>
  <c r="AD92" i="94"/>
  <c r="AD1034" i="20" s="1"/>
  <c r="AD106" i="94"/>
  <c r="AD1048" i="20" s="1"/>
  <c r="AD123" i="94"/>
  <c r="AD1065" i="20" s="1"/>
  <c r="AD94" i="94"/>
  <c r="AD1036" i="20" s="1"/>
  <c r="F106" i="94"/>
  <c r="F1048" i="20" s="1"/>
  <c r="F118" i="94"/>
  <c r="F1060" i="20" s="1"/>
  <c r="F82" i="94"/>
  <c r="F1024" i="20" s="1"/>
  <c r="F99" i="94"/>
  <c r="F1041" i="20" s="1"/>
  <c r="AK107" i="94"/>
  <c r="AK1049" i="20" s="1"/>
  <c r="AA119" i="94"/>
  <c r="AL119" i="94"/>
  <c r="AL1061" i="20" s="1"/>
  <c r="AK116" i="94"/>
  <c r="AK1058" i="20" s="1"/>
  <c r="V111" i="94"/>
  <c r="J111" i="94"/>
  <c r="AB85" i="94"/>
  <c r="AB1027" i="20" s="1"/>
  <c r="Q105" i="94"/>
  <c r="Q1047" i="20" s="1"/>
  <c r="AK114" i="94"/>
  <c r="AK1056" i="20" s="1"/>
  <c r="AK105" i="94"/>
  <c r="AK1047" i="20" s="1"/>
  <c r="AK86" i="94"/>
  <c r="AK1028" i="20" s="1"/>
  <c r="V93" i="94"/>
  <c r="V85" i="94"/>
  <c r="AK97" i="94"/>
  <c r="AK1039" i="20" s="1"/>
  <c r="AK98" i="94"/>
  <c r="AK1040" i="20" s="1"/>
  <c r="AD120" i="94"/>
  <c r="AD1062" i="20" s="1"/>
  <c r="AD102" i="94"/>
  <c r="AD1044" i="20" s="1"/>
  <c r="AD114" i="94"/>
  <c r="AD1056" i="20" s="1"/>
  <c r="AD90" i="94"/>
  <c r="AD1032" i="20" s="1"/>
  <c r="AD118" i="94"/>
  <c r="AD1060" i="20" s="1"/>
  <c r="AD87" i="94"/>
  <c r="AD1029" i="20" s="1"/>
  <c r="AK89" i="94"/>
  <c r="AK1031" i="20" s="1"/>
  <c r="AD124" i="94"/>
  <c r="AD1066" i="20" s="1"/>
  <c r="H121" i="94"/>
  <c r="H1063" i="20" s="1"/>
  <c r="Q120" i="94"/>
  <c r="Q1062" i="20" s="1"/>
  <c r="AD119" i="94"/>
  <c r="AD1061" i="20" s="1"/>
  <c r="F119" i="94"/>
  <c r="F1061" i="20" s="1"/>
  <c r="AC116" i="94"/>
  <c r="F115" i="94"/>
  <c r="F1057" i="20" s="1"/>
  <c r="V91" i="94"/>
  <c r="M84" i="94"/>
  <c r="M1026" i="20" s="1"/>
  <c r="V106" i="94"/>
  <c r="V95" i="94"/>
  <c r="R98" i="94"/>
  <c r="AD121" i="94"/>
  <c r="AD1063" i="20" s="1"/>
  <c r="J121" i="94"/>
  <c r="H119" i="94"/>
  <c r="H1061" i="20" s="1"/>
  <c r="Q118" i="94"/>
  <c r="Q1060" i="20" s="1"/>
  <c r="V117" i="94"/>
  <c r="AC114" i="94"/>
  <c r="AD113" i="94"/>
  <c r="AD1055" i="20" s="1"/>
  <c r="F113" i="94"/>
  <c r="F1055" i="20" s="1"/>
  <c r="P111" i="94"/>
  <c r="AC109" i="94"/>
  <c r="F108" i="94"/>
  <c r="F1050" i="20" s="1"/>
  <c r="H106" i="94"/>
  <c r="H1048" i="20" s="1"/>
  <c r="V103" i="94"/>
  <c r="AC99" i="94"/>
  <c r="AC94" i="94"/>
  <c r="AK90" i="94"/>
  <c r="AK1032" i="20" s="1"/>
  <c r="F89" i="94"/>
  <c r="F1031" i="20" s="1"/>
  <c r="AD89" i="94"/>
  <c r="AD1031" i="20" s="1"/>
  <c r="F85" i="94"/>
  <c r="F1027" i="20" s="1"/>
  <c r="AK88" i="94"/>
  <c r="AK1030" i="20" s="1"/>
  <c r="AK103" i="94"/>
  <c r="AK1045" i="20" s="1"/>
  <c r="AK120" i="94"/>
  <c r="AK1062" i="20" s="1"/>
  <c r="AK83" i="94"/>
  <c r="AK1025" i="20" s="1"/>
  <c r="AK101" i="94"/>
  <c r="AK1043" i="20" s="1"/>
  <c r="AC107" i="94"/>
  <c r="AC113" i="94"/>
  <c r="AC89" i="94"/>
  <c r="AC91" i="94"/>
  <c r="AC108" i="94"/>
  <c r="AD97" i="94"/>
  <c r="AD1039" i="20" s="1"/>
  <c r="AD88" i="94"/>
  <c r="AD1030" i="20" s="1"/>
  <c r="AD82" i="94"/>
  <c r="F95" i="94"/>
  <c r="F1037" i="20" s="1"/>
  <c r="F120" i="94"/>
  <c r="F1062" i="20" s="1"/>
  <c r="F86" i="94"/>
  <c r="F1028" i="20" s="1"/>
  <c r="F105" i="94"/>
  <c r="F1047" i="20" s="1"/>
  <c r="F88" i="94"/>
  <c r="F1030" i="20" s="1"/>
  <c r="AB95" i="94"/>
  <c r="AB1037" i="20" s="1"/>
  <c r="AB115" i="94"/>
  <c r="AB1057" i="20" s="1"/>
  <c r="AB83" i="94"/>
  <c r="AB1025" i="20" s="1"/>
  <c r="AB101" i="94"/>
  <c r="AB1043" i="20" s="1"/>
  <c r="AB119" i="94"/>
  <c r="AB1061" i="20" s="1"/>
  <c r="AB124" i="94"/>
  <c r="AB1066" i="20" s="1"/>
  <c r="G84" i="94"/>
  <c r="G1026" i="20" s="1"/>
  <c r="G118" i="94"/>
  <c r="G1060" i="20" s="1"/>
  <c r="G114" i="94"/>
  <c r="G1056" i="20" s="1"/>
  <c r="O116" i="94"/>
  <c r="O1058" i="20" s="1"/>
  <c r="O120" i="94"/>
  <c r="O1062" i="20" s="1"/>
  <c r="O102" i="94"/>
  <c r="O1044" i="20" s="1"/>
  <c r="G109" i="94"/>
  <c r="G1051" i="20" s="1"/>
  <c r="AE82" i="94"/>
  <c r="AI118" i="94"/>
  <c r="AI1060" i="20" s="1"/>
  <c r="O118" i="94"/>
  <c r="O1060" i="20" s="1"/>
  <c r="AB117" i="94"/>
  <c r="AB1059" i="20" s="1"/>
  <c r="O114" i="94"/>
  <c r="O1056" i="20" s="1"/>
  <c r="AB113" i="94"/>
  <c r="AB1055" i="20" s="1"/>
  <c r="O92" i="94"/>
  <c r="O1034" i="20" s="1"/>
  <c r="AH82" i="94"/>
  <c r="G92" i="94"/>
  <c r="G1034" i="20" s="1"/>
  <c r="G107" i="94"/>
  <c r="G1049" i="20" s="1"/>
  <c r="G86" i="94"/>
  <c r="G1028" i="20" s="1"/>
  <c r="G120" i="94"/>
  <c r="G1062" i="20" s="1"/>
  <c r="AB91" i="94"/>
  <c r="AB1033" i="20" s="1"/>
  <c r="AB103" i="94"/>
  <c r="AB1045" i="20" s="1"/>
  <c r="AI107" i="94"/>
  <c r="AI1049" i="20" s="1"/>
  <c r="AI92" i="94"/>
  <c r="AI1034" i="20" s="1"/>
  <c r="AI102" i="94"/>
  <c r="AI1044" i="20" s="1"/>
  <c r="AI88" i="94"/>
  <c r="AI1030" i="20" s="1"/>
  <c r="K102" i="94"/>
  <c r="K84" i="94"/>
  <c r="K120" i="94"/>
  <c r="K106" i="94"/>
  <c r="K82" i="94"/>
  <c r="K124" i="94"/>
  <c r="K103" i="94"/>
  <c r="K85" i="94"/>
  <c r="K113" i="94"/>
  <c r="K94" i="94"/>
  <c r="K97" i="94"/>
  <c r="K107" i="94"/>
  <c r="K83" i="94"/>
  <c r="K121" i="94"/>
  <c r="K98" i="94"/>
  <c r="K81" i="94"/>
  <c r="K119" i="94"/>
  <c r="K90" i="94"/>
  <c r="K88" i="94"/>
  <c r="K112" i="94"/>
  <c r="K95" i="94"/>
  <c r="K111" i="94"/>
  <c r="K93" i="94"/>
  <c r="K115" i="94"/>
  <c r="K117" i="94"/>
  <c r="K99" i="94"/>
  <c r="K92" i="94"/>
  <c r="AH85" i="94"/>
  <c r="AH81" i="94"/>
  <c r="AH117" i="94"/>
  <c r="AH101" i="94"/>
  <c r="AH120" i="94"/>
  <c r="AH94" i="94"/>
  <c r="AH109" i="94"/>
  <c r="AH118" i="94"/>
  <c r="AH103" i="94"/>
  <c r="AH98" i="94"/>
  <c r="AH91" i="94"/>
  <c r="AH92" i="94"/>
  <c r="AH97" i="94"/>
  <c r="AH114" i="94"/>
  <c r="AH90" i="94"/>
  <c r="AH102" i="94"/>
  <c r="AH116" i="94"/>
  <c r="AH107" i="94"/>
  <c r="AH105" i="94"/>
  <c r="AH86" i="94"/>
  <c r="AH84" i="94"/>
  <c r="AH112" i="94"/>
  <c r="AH93" i="94"/>
  <c r="AH113" i="94"/>
  <c r="AH121" i="94"/>
  <c r="AH106" i="94"/>
  <c r="AH83" i="94"/>
  <c r="G112" i="94"/>
  <c r="G1054" i="20" s="1"/>
  <c r="G896" i="20" s="1"/>
  <c r="AF115" i="94"/>
  <c r="AF1057" i="20" s="1"/>
  <c r="AF101" i="94"/>
  <c r="AF1043" i="20" s="1"/>
  <c r="AK82" i="94"/>
  <c r="AK1024" i="20" s="1"/>
  <c r="AK94" i="94"/>
  <c r="AK1036" i="20" s="1"/>
  <c r="AK109" i="94"/>
  <c r="AK1051" i="20" s="1"/>
  <c r="AD85" i="94"/>
  <c r="AD1027" i="20" s="1"/>
  <c r="AD81" i="94"/>
  <c r="AD1023" i="20" s="1"/>
  <c r="AD116" i="94"/>
  <c r="AD1058" i="20" s="1"/>
  <c r="F87" i="94"/>
  <c r="F1029" i="20" s="1"/>
  <c r="F83" i="94"/>
  <c r="F1025" i="20" s="1"/>
  <c r="AK113" i="94"/>
  <c r="AK1055" i="20" s="1"/>
  <c r="U107" i="94"/>
  <c r="U1049" i="20" s="1"/>
  <c r="F107" i="94"/>
  <c r="F1049" i="20" s="1"/>
  <c r="P91" i="94"/>
  <c r="AF95" i="94"/>
  <c r="AF1037" i="20" s="1"/>
  <c r="M82" i="94"/>
  <c r="M1024" i="20" s="1"/>
  <c r="R81" i="94"/>
  <c r="AC105" i="94"/>
  <c r="AC82" i="94"/>
  <c r="AC86" i="94"/>
  <c r="AC93" i="94"/>
  <c r="F81" i="94"/>
  <c r="F1023" i="20" s="1"/>
  <c r="F101" i="94"/>
  <c r="F1043" i="20" s="1"/>
  <c r="F123" i="94"/>
  <c r="F1065" i="20" s="1"/>
  <c r="F895" i="20" s="1"/>
  <c r="AK84" i="94"/>
  <c r="AK1026" i="20" s="1"/>
  <c r="S102" i="94"/>
  <c r="S106" i="94"/>
  <c r="AC97" i="94"/>
  <c r="AD1024" i="20"/>
  <c r="AA92" i="94"/>
  <c r="AA99" i="94"/>
  <c r="AA84" i="94"/>
  <c r="AA88" i="94"/>
  <c r="AA82" i="94"/>
  <c r="AA115" i="94"/>
  <c r="U109" i="94"/>
  <c r="U1051" i="20" s="1"/>
  <c r="U93" i="94"/>
  <c r="U1035" i="20" s="1"/>
  <c r="U82" i="94"/>
  <c r="U1024" i="20" s="1"/>
  <c r="U85" i="94"/>
  <c r="U1027" i="20" s="1"/>
  <c r="U84" i="94"/>
  <c r="U1026" i="20" s="1"/>
  <c r="AA87" i="94"/>
  <c r="AA90" i="94"/>
  <c r="AA95" i="94"/>
  <c r="AJ123" i="94"/>
  <c r="AJ1065" i="20" s="1"/>
  <c r="AJ118" i="94"/>
  <c r="AJ1060" i="20" s="1"/>
  <c r="AJ112" i="94"/>
  <c r="AJ1054" i="20" s="1"/>
  <c r="AJ896" i="20" s="1"/>
  <c r="AJ107" i="94"/>
  <c r="AJ1049" i="20" s="1"/>
  <c r="AJ102" i="94"/>
  <c r="AJ1044" i="20" s="1"/>
  <c r="AJ97" i="94"/>
  <c r="AJ1039" i="20" s="1"/>
  <c r="AJ92" i="94"/>
  <c r="AJ1034" i="20" s="1"/>
  <c r="AJ88" i="94"/>
  <c r="AJ1030" i="20" s="1"/>
  <c r="AJ84" i="94"/>
  <c r="AJ1026" i="20" s="1"/>
  <c r="AJ99" i="94"/>
  <c r="AJ1041" i="20" s="1"/>
  <c r="AJ82" i="94"/>
  <c r="AJ1024" i="20" s="1"/>
  <c r="AJ116" i="94"/>
  <c r="AJ1058" i="20" s="1"/>
  <c r="AJ114" i="94"/>
  <c r="AJ1056" i="20" s="1"/>
  <c r="AJ109" i="94"/>
  <c r="AJ1051" i="20" s="1"/>
  <c r="AJ120" i="94"/>
  <c r="AJ1062" i="20" s="1"/>
  <c r="AJ105" i="94"/>
  <c r="AJ1047" i="20" s="1"/>
  <c r="AJ98" i="94"/>
  <c r="AJ1040" i="20" s="1"/>
  <c r="AJ94" i="94"/>
  <c r="AJ1036" i="20" s="1"/>
  <c r="AJ86" i="94"/>
  <c r="AJ1028" i="20" s="1"/>
  <c r="AJ91" i="94"/>
  <c r="AJ1033" i="20" s="1"/>
  <c r="AJ90" i="94"/>
  <c r="AJ1032" i="20" s="1"/>
  <c r="AJ83" i="94"/>
  <c r="AJ1025" i="20" s="1"/>
  <c r="AJ85" i="94"/>
  <c r="AJ1027" i="20" s="1"/>
  <c r="AJ115" i="94"/>
  <c r="AJ1057" i="20" s="1"/>
  <c r="AJ103" i="94"/>
  <c r="AJ1045" i="20" s="1"/>
  <c r="L123" i="94"/>
  <c r="L1065" i="20" s="1"/>
  <c r="L120" i="94"/>
  <c r="L1062" i="20" s="1"/>
  <c r="L109" i="94"/>
  <c r="L1051" i="20" s="1"/>
  <c r="L107" i="94"/>
  <c r="L1049" i="20" s="1"/>
  <c r="L102" i="94"/>
  <c r="L1044" i="20" s="1"/>
  <c r="L97" i="94"/>
  <c r="L1039" i="20" s="1"/>
  <c r="L92" i="94"/>
  <c r="L1034" i="20" s="1"/>
  <c r="L88" i="94"/>
  <c r="L1030" i="20" s="1"/>
  <c r="L84" i="94"/>
  <c r="L1026" i="20" s="1"/>
  <c r="L118" i="94"/>
  <c r="L1060" i="20" s="1"/>
  <c r="L90" i="94"/>
  <c r="L1032" i="20" s="1"/>
  <c r="L105" i="94"/>
  <c r="L1047" i="20" s="1"/>
  <c r="L94" i="94"/>
  <c r="L1036" i="20" s="1"/>
  <c r="L99" i="94"/>
  <c r="L1041" i="20" s="1"/>
  <c r="L112" i="94"/>
  <c r="L1054" i="20" s="1"/>
  <c r="L896" i="20" s="1"/>
  <c r="L93" i="94"/>
  <c r="L1035" i="20" s="1"/>
  <c r="L89" i="94"/>
  <c r="L1031" i="20" s="1"/>
  <c r="L81" i="94"/>
  <c r="L1023" i="20" s="1"/>
  <c r="L106" i="94"/>
  <c r="L1048" i="20" s="1"/>
  <c r="L86" i="94"/>
  <c r="L1028" i="20" s="1"/>
  <c r="L98" i="94"/>
  <c r="L1040" i="20" s="1"/>
  <c r="L87" i="94"/>
  <c r="L1029" i="20" s="1"/>
  <c r="L116" i="94"/>
  <c r="L1058" i="20" s="1"/>
  <c r="L82" i="94"/>
  <c r="L1024" i="20" s="1"/>
  <c r="L114" i="94"/>
  <c r="L1056" i="20" s="1"/>
  <c r="L121" i="94"/>
  <c r="L1063" i="20" s="1"/>
  <c r="L101" i="94"/>
  <c r="L1043" i="20" s="1"/>
  <c r="CK63" i="94"/>
  <c r="CK61" i="94"/>
  <c r="CK59" i="94"/>
  <c r="CK57" i="94"/>
  <c r="CK55" i="94"/>
  <c r="CK53" i="94"/>
  <c r="CK51" i="94"/>
  <c r="CK49" i="94"/>
  <c r="CK47" i="94"/>
  <c r="CK45" i="94"/>
  <c r="CK64" i="94"/>
  <c r="CK62" i="94"/>
  <c r="CK60" i="94"/>
  <c r="CK58" i="94"/>
  <c r="CK56" i="94"/>
  <c r="CK54" i="94"/>
  <c r="CK52" i="94"/>
  <c r="CK50" i="94"/>
  <c r="CK48" i="94"/>
  <c r="CK46" i="94"/>
  <c r="CK39" i="94"/>
  <c r="CK38" i="94"/>
  <c r="CK31" i="94"/>
  <c r="CK41" i="94"/>
  <c r="CK37" i="94"/>
  <c r="CK33" i="94"/>
  <c r="CK32" i="94"/>
  <c r="CK43" i="94"/>
  <c r="CK40" i="94"/>
  <c r="CK35" i="94"/>
  <c r="CK29" i="94"/>
  <c r="CK34" i="94"/>
  <c r="AJ106" i="94"/>
  <c r="AJ1048" i="20" s="1"/>
  <c r="AJ101" i="94"/>
  <c r="AJ1043" i="20" s="1"/>
  <c r="L95" i="94"/>
  <c r="L1037" i="20" s="1"/>
  <c r="X91" i="94"/>
  <c r="X87" i="94"/>
  <c r="CJ63" i="94"/>
  <c r="Q209" i="20" s="1"/>
  <c r="DD36" i="94"/>
  <c r="AK182" i="20" s="1"/>
  <c r="DD42" i="94"/>
  <c r="AK188" i="20" s="1"/>
  <c r="DD38" i="94"/>
  <c r="AK184" i="20" s="1"/>
  <c r="DD40" i="94"/>
  <c r="AK186" i="20" s="1"/>
  <c r="DD32" i="94"/>
  <c r="AK178" i="20" s="1"/>
  <c r="DD30" i="94"/>
  <c r="AK176" i="20" s="1"/>
  <c r="CJ42" i="94"/>
  <c r="Q188" i="20" s="1"/>
  <c r="CJ62" i="94"/>
  <c r="Q208" i="20" s="1"/>
  <c r="CR59" i="94"/>
  <c r="DD54" i="94"/>
  <c r="AK200" i="20" s="1"/>
  <c r="CJ53" i="94"/>
  <c r="Q199" i="20" s="1"/>
  <c r="CJ47" i="94"/>
  <c r="Q193" i="20" s="1"/>
  <c r="DD45" i="94"/>
  <c r="AK191" i="20" s="1"/>
  <c r="DD44" i="94"/>
  <c r="AK190" i="20" s="1"/>
  <c r="CI64" i="94"/>
  <c r="CI62" i="94"/>
  <c r="CI60" i="94"/>
  <c r="CI58" i="94"/>
  <c r="CI56" i="94"/>
  <c r="CI54" i="94"/>
  <c r="CI52" i="94"/>
  <c r="CI50" i="94"/>
  <c r="CI48" i="94"/>
  <c r="CI46" i="94"/>
  <c r="CI63" i="94"/>
  <c r="CI61" i="94"/>
  <c r="CI59" i="94"/>
  <c r="CI57" i="94"/>
  <c r="CI55" i="94"/>
  <c r="CI53" i="94"/>
  <c r="CI51" i="94"/>
  <c r="CI49" i="94"/>
  <c r="CI47" i="94"/>
  <c r="CI45" i="94"/>
  <c r="CI41" i="94"/>
  <c r="CI36" i="94"/>
  <c r="CI38" i="94"/>
  <c r="CI43" i="94"/>
  <c r="CI40" i="94"/>
  <c r="CI34" i="94"/>
  <c r="CI33" i="94"/>
  <c r="CI30" i="94"/>
  <c r="CI42" i="94"/>
  <c r="CI32" i="94"/>
  <c r="AJ121" i="94"/>
  <c r="AJ1063" i="20" s="1"/>
  <c r="AE124" i="94"/>
  <c r="AE117" i="94"/>
  <c r="AE103" i="94"/>
  <c r="AE98" i="94"/>
  <c r="AE93" i="94"/>
  <c r="AE89" i="94"/>
  <c r="AE85" i="94"/>
  <c r="AE81" i="94"/>
  <c r="AE108" i="94"/>
  <c r="AE106" i="94"/>
  <c r="AE87" i="94"/>
  <c r="AE121" i="94"/>
  <c r="AE115" i="94"/>
  <c r="AE113" i="94"/>
  <c r="AE111" i="94"/>
  <c r="AE119" i="94"/>
  <c r="AE94" i="94"/>
  <c r="AE116" i="94"/>
  <c r="AE91" i="94"/>
  <c r="AE88" i="94"/>
  <c r="AE105" i="94"/>
  <c r="AE101" i="94"/>
  <c r="AE83" i="94"/>
  <c r="AE86" i="94"/>
  <c r="AE95" i="94"/>
  <c r="AE84" i="94"/>
  <c r="AE99" i="94"/>
  <c r="X89" i="94"/>
  <c r="W124" i="94"/>
  <c r="W121" i="94"/>
  <c r="W115" i="94"/>
  <c r="W108" i="94"/>
  <c r="W103" i="94"/>
  <c r="W98" i="94"/>
  <c r="W93" i="94"/>
  <c r="W89" i="94"/>
  <c r="W85" i="94"/>
  <c r="W81" i="94"/>
  <c r="W117" i="94"/>
  <c r="W111" i="94"/>
  <c r="W95" i="94"/>
  <c r="W123" i="94"/>
  <c r="W119" i="94"/>
  <c r="W106" i="94"/>
  <c r="W87" i="94"/>
  <c r="W113" i="94"/>
  <c r="W105" i="94"/>
  <c r="W82" i="94"/>
  <c r="W116" i="94"/>
  <c r="W86" i="94"/>
  <c r="W101" i="94"/>
  <c r="W97" i="94"/>
  <c r="W94" i="94"/>
  <c r="W92" i="94"/>
  <c r="W83" i="94"/>
  <c r="W91" i="94"/>
  <c r="CG43" i="94"/>
  <c r="N189" i="20" s="1"/>
  <c r="CG41" i="94"/>
  <c r="N187" i="20" s="1"/>
  <c r="CG64" i="94"/>
  <c r="CG62" i="94"/>
  <c r="N208" i="20" s="1"/>
  <c r="CG60" i="94"/>
  <c r="N206" i="20" s="1"/>
  <c r="CG58" i="94"/>
  <c r="N204" i="20" s="1"/>
  <c r="CG56" i="94"/>
  <c r="N202" i="20" s="1"/>
  <c r="CG54" i="94"/>
  <c r="N200" i="20" s="1"/>
  <c r="CG52" i="94"/>
  <c r="N198" i="20" s="1"/>
  <c r="CG50" i="94"/>
  <c r="N196" i="20" s="1"/>
  <c r="CG48" i="94"/>
  <c r="N194" i="20" s="1"/>
  <c r="CG46" i="94"/>
  <c r="N192" i="20" s="1"/>
  <c r="CG39" i="94"/>
  <c r="N185" i="20" s="1"/>
  <c r="CG37" i="94"/>
  <c r="N183" i="20" s="1"/>
  <c r="CG35" i="94"/>
  <c r="N181" i="20" s="1"/>
  <c r="CG33" i="94"/>
  <c r="N179" i="20" s="1"/>
  <c r="CG31" i="94"/>
  <c r="N177" i="20" s="1"/>
  <c r="CG63" i="94"/>
  <c r="N209" i="20" s="1"/>
  <c r="CG61" i="94"/>
  <c r="N207" i="20" s="1"/>
  <c r="CG59" i="94"/>
  <c r="N205" i="20" s="1"/>
  <c r="CG57" i="94"/>
  <c r="N203" i="20" s="1"/>
  <c r="CG55" i="94"/>
  <c r="N201" i="20" s="1"/>
  <c r="CG53" i="94"/>
  <c r="N199" i="20" s="1"/>
  <c r="CG51" i="94"/>
  <c r="N197" i="20" s="1"/>
  <c r="CG49" i="94"/>
  <c r="N195" i="20" s="1"/>
  <c r="CG47" i="94"/>
  <c r="N193" i="20" s="1"/>
  <c r="CG45" i="94"/>
  <c r="N191" i="20" s="1"/>
  <c r="CG29" i="94"/>
  <c r="N175" i="20" s="1"/>
  <c r="CG38" i="94"/>
  <c r="N184" i="20" s="1"/>
  <c r="AE90" i="94"/>
  <c r="CR43" i="94"/>
  <c r="CR41" i="94"/>
  <c r="X124" i="94"/>
  <c r="W112" i="94"/>
  <c r="L111" i="94"/>
  <c r="L1053" i="20" s="1"/>
  <c r="T87" i="94"/>
  <c r="AL120" i="94"/>
  <c r="AL1062" i="20" s="1"/>
  <c r="AL116" i="94"/>
  <c r="AL1058" i="20" s="1"/>
  <c r="AL109" i="94"/>
  <c r="AL1051" i="20" s="1"/>
  <c r="AL105" i="94"/>
  <c r="AL1047" i="20" s="1"/>
  <c r="AL99" i="94"/>
  <c r="AL1041" i="20" s="1"/>
  <c r="AL94" i="94"/>
  <c r="AL1036" i="20" s="1"/>
  <c r="AL90" i="94"/>
  <c r="AL1032" i="20" s="1"/>
  <c r="AL86" i="94"/>
  <c r="AL1028" i="20" s="1"/>
  <c r="AL82" i="94"/>
  <c r="AL97" i="94"/>
  <c r="AL1039" i="20" s="1"/>
  <c r="AL106" i="94"/>
  <c r="AL1048" i="20" s="1"/>
  <c r="AL124" i="94"/>
  <c r="AL1066" i="20" s="1"/>
  <c r="AL107" i="94"/>
  <c r="AL1049" i="20" s="1"/>
  <c r="AL112" i="94"/>
  <c r="AL1054" i="20" s="1"/>
  <c r="AL896" i="20" s="1"/>
  <c r="AL88" i="94"/>
  <c r="AL1030" i="20" s="1"/>
  <c r="AL83" i="94"/>
  <c r="AL1025" i="20" s="1"/>
  <c r="AL101" i="94"/>
  <c r="AL1043" i="20" s="1"/>
  <c r="AL98" i="94"/>
  <c r="AL1040" i="20" s="1"/>
  <c r="AL95" i="94"/>
  <c r="AL1037" i="20" s="1"/>
  <c r="AL84" i="94"/>
  <c r="AL1026" i="20" s="1"/>
  <c r="AL102" i="94"/>
  <c r="AL1044" i="20" s="1"/>
  <c r="AL92" i="94"/>
  <c r="AL1034" i="20" s="1"/>
  <c r="AL123" i="94"/>
  <c r="AL1065" i="20" s="1"/>
  <c r="AL118" i="94"/>
  <c r="AL1060" i="20" s="1"/>
  <c r="AL89" i="94"/>
  <c r="AL1031" i="20" s="1"/>
  <c r="AL114" i="94"/>
  <c r="AL1056" i="20" s="1"/>
  <c r="Z123" i="94"/>
  <c r="Z112" i="94"/>
  <c r="Z105" i="94"/>
  <c r="Z99" i="94"/>
  <c r="Z94" i="94"/>
  <c r="Z90" i="94"/>
  <c r="Z86" i="94"/>
  <c r="Z82" i="94"/>
  <c r="Z118" i="94"/>
  <c r="Z109" i="94"/>
  <c r="Z92" i="94"/>
  <c r="Z116" i="94"/>
  <c r="Z114" i="94"/>
  <c r="Z107" i="94"/>
  <c r="Z120" i="94"/>
  <c r="Z88" i="94"/>
  <c r="Z95" i="94"/>
  <c r="Z102" i="94"/>
  <c r="Z97" i="94"/>
  <c r="Z84" i="94"/>
  <c r="Z113" i="94"/>
  <c r="Z108" i="94"/>
  <c r="Z85" i="94"/>
  <c r="Z89" i="94"/>
  <c r="Z83" i="94"/>
  <c r="J123" i="94"/>
  <c r="J112" i="94"/>
  <c r="J105" i="94"/>
  <c r="J99" i="94"/>
  <c r="J94" i="94"/>
  <c r="J90" i="94"/>
  <c r="J86" i="94"/>
  <c r="J82" i="94"/>
  <c r="J120" i="94"/>
  <c r="J92" i="94"/>
  <c r="J107" i="94"/>
  <c r="J97" i="94"/>
  <c r="J118" i="94"/>
  <c r="J114" i="94"/>
  <c r="J88" i="94"/>
  <c r="J116" i="94"/>
  <c r="J102" i="94"/>
  <c r="J95" i="94"/>
  <c r="J83" i="94"/>
  <c r="J124" i="94"/>
  <c r="J101" i="94"/>
  <c r="J109" i="94"/>
  <c r="J108" i="94"/>
  <c r="J89" i="94"/>
  <c r="J91" i="94"/>
  <c r="J84" i="94"/>
  <c r="DD37" i="94"/>
  <c r="AK183" i="20" s="1"/>
  <c r="CT63" i="94"/>
  <c r="CT47" i="94"/>
  <c r="CV30" i="94"/>
  <c r="CV36" i="94"/>
  <c r="CV40" i="94"/>
  <c r="CV38" i="94"/>
  <c r="CR64" i="94"/>
  <c r="CR61" i="94"/>
  <c r="CR49" i="94"/>
  <c r="CQ41" i="94"/>
  <c r="AJ81" i="94"/>
  <c r="AJ1023" i="20" s="1"/>
  <c r="CF31" i="94"/>
  <c r="M177" i="20" s="1"/>
  <c r="CJ64" i="94"/>
  <c r="DD61" i="94"/>
  <c r="AK207" i="20" s="1"/>
  <c r="CJ59" i="94"/>
  <c r="Q205" i="20" s="1"/>
  <c r="DD51" i="94"/>
  <c r="AK197" i="20" s="1"/>
  <c r="CV56" i="94"/>
  <c r="CV47" i="94"/>
  <c r="CH65" i="94"/>
  <c r="CR48" i="94"/>
  <c r="CG44" i="94"/>
  <c r="N190" i="20" s="1"/>
  <c r="CI35" i="94"/>
  <c r="CT33" i="94"/>
  <c r="CR32" i="94"/>
  <c r="CK30" i="94"/>
  <c r="CV50" i="94"/>
  <c r="CJ45" i="94"/>
  <c r="Q191" i="20" s="1"/>
  <c r="CJ44" i="94"/>
  <c r="Q190" i="20" s="1"/>
  <c r="CY64" i="94"/>
  <c r="CY62" i="94"/>
  <c r="AF208" i="20" s="1"/>
  <c r="CY60" i="94"/>
  <c r="AF206" i="20" s="1"/>
  <c r="CY58" i="94"/>
  <c r="AF204" i="20" s="1"/>
  <c r="CY56" i="94"/>
  <c r="AF202" i="20" s="1"/>
  <c r="CY54" i="94"/>
  <c r="AF200" i="20" s="1"/>
  <c r="CY52" i="94"/>
  <c r="AF198" i="20" s="1"/>
  <c r="CY50" i="94"/>
  <c r="AF196" i="20" s="1"/>
  <c r="CY48" i="94"/>
  <c r="AF194" i="20" s="1"/>
  <c r="CY46" i="94"/>
  <c r="AF192" i="20" s="1"/>
  <c r="CY63" i="94"/>
  <c r="AF209" i="20" s="1"/>
  <c r="CY61" i="94"/>
  <c r="AF207" i="20" s="1"/>
  <c r="CY59" i="94"/>
  <c r="AF205" i="20" s="1"/>
  <c r="CY57" i="94"/>
  <c r="AF203" i="20" s="1"/>
  <c r="CY55" i="94"/>
  <c r="AF201" i="20" s="1"/>
  <c r="CY53" i="94"/>
  <c r="AF199" i="20" s="1"/>
  <c r="CY51" i="94"/>
  <c r="AF197" i="20" s="1"/>
  <c r="CY49" i="94"/>
  <c r="AF195" i="20" s="1"/>
  <c r="CY47" i="94"/>
  <c r="AF193" i="20" s="1"/>
  <c r="CY45" i="94"/>
  <c r="AF191" i="20" s="1"/>
  <c r="CY43" i="94"/>
  <c r="AF189" i="20" s="1"/>
  <c r="CY40" i="94"/>
  <c r="AF186" i="20" s="1"/>
  <c r="CY38" i="94"/>
  <c r="AF184" i="20" s="1"/>
  <c r="CY33" i="94"/>
  <c r="AF179" i="20" s="1"/>
  <c r="CY42" i="94"/>
  <c r="AF188" i="20" s="1"/>
  <c r="CY36" i="94"/>
  <c r="AF182" i="20" s="1"/>
  <c r="CY41" i="94"/>
  <c r="AF187" i="20" s="1"/>
  <c r="CY32" i="94"/>
  <c r="AF178" i="20" s="1"/>
  <c r="CY34" i="94"/>
  <c r="AF180" i="20" s="1"/>
  <c r="CY30" i="94"/>
  <c r="AF176" i="20" s="1"/>
  <c r="CY35" i="94"/>
  <c r="AF181" i="20" s="1"/>
  <c r="CE64" i="94"/>
  <c r="CE62" i="94"/>
  <c r="CE60" i="94"/>
  <c r="CE58" i="94"/>
  <c r="L204" i="20" s="1"/>
  <c r="CE56" i="94"/>
  <c r="CE54" i="94"/>
  <c r="L200" i="20" s="1"/>
  <c r="CE52" i="94"/>
  <c r="CE50" i="94"/>
  <c r="L196" i="20" s="1"/>
  <c r="CE48" i="94"/>
  <c r="CE46" i="94"/>
  <c r="CE44" i="94"/>
  <c r="CE42" i="94"/>
  <c r="L188" i="20" s="1"/>
  <c r="CE40" i="94"/>
  <c r="CE38" i="94"/>
  <c r="L184" i="20" s="1"/>
  <c r="CE36" i="94"/>
  <c r="L182" i="20" s="1"/>
  <c r="CE34" i="94"/>
  <c r="L180" i="20" s="1"/>
  <c r="CE32" i="94"/>
  <c r="CE43" i="94"/>
  <c r="CE33" i="94"/>
  <c r="CE35" i="94"/>
  <c r="L181" i="20" s="1"/>
  <c r="CE30" i="94"/>
  <c r="CE37" i="94"/>
  <c r="L183" i="20" s="1"/>
  <c r="CI37" i="94"/>
  <c r="AE123" i="94"/>
  <c r="M120" i="94"/>
  <c r="M1062" i="20" s="1"/>
  <c r="AE118" i="94"/>
  <c r="R115" i="94"/>
  <c r="O124" i="94"/>
  <c r="O1066" i="20" s="1"/>
  <c r="O895" i="20" s="1"/>
  <c r="O121" i="94"/>
  <c r="O1063" i="20" s="1"/>
  <c r="O117" i="94"/>
  <c r="O1059" i="20" s="1"/>
  <c r="O108" i="94"/>
  <c r="O1050" i="20" s="1"/>
  <c r="O103" i="94"/>
  <c r="O1045" i="20" s="1"/>
  <c r="O98" i="94"/>
  <c r="O1040" i="20" s="1"/>
  <c r="O93" i="94"/>
  <c r="O1035" i="20" s="1"/>
  <c r="O89" i="94"/>
  <c r="O1031" i="20" s="1"/>
  <c r="O85" i="94"/>
  <c r="O1027" i="20" s="1"/>
  <c r="O81" i="94"/>
  <c r="O1023" i="20" s="1"/>
  <c r="O119" i="94"/>
  <c r="O1061" i="20" s="1"/>
  <c r="O111" i="94"/>
  <c r="O1053" i="20" s="1"/>
  <c r="O106" i="94"/>
  <c r="O1048" i="20" s="1"/>
  <c r="O87" i="94"/>
  <c r="O1029" i="20" s="1"/>
  <c r="O95" i="94"/>
  <c r="O1037" i="20" s="1"/>
  <c r="O115" i="94"/>
  <c r="O1057" i="20" s="1"/>
  <c r="O91" i="94"/>
  <c r="O1033" i="20" s="1"/>
  <c r="O101" i="94"/>
  <c r="O1043" i="20" s="1"/>
  <c r="O86" i="94"/>
  <c r="O1028" i="20" s="1"/>
  <c r="O105" i="94"/>
  <c r="O1047" i="20" s="1"/>
  <c r="O90" i="94"/>
  <c r="O1032" i="20" s="1"/>
  <c r="O88" i="94"/>
  <c r="O1030" i="20" s="1"/>
  <c r="O94" i="94"/>
  <c r="O1036" i="20" s="1"/>
  <c r="O113" i="94"/>
  <c r="O1055" i="20" s="1"/>
  <c r="O97" i="94"/>
  <c r="O1039" i="20" s="1"/>
  <c r="O83" i="94"/>
  <c r="O1025" i="20" s="1"/>
  <c r="O107" i="94"/>
  <c r="O1049" i="20" s="1"/>
  <c r="AJ113" i="94"/>
  <c r="AJ1055" i="20" s="1"/>
  <c r="T113" i="94"/>
  <c r="AE109" i="94"/>
  <c r="O109" i="94"/>
  <c r="O1051" i="20" s="1"/>
  <c r="Y107" i="94"/>
  <c r="L103" i="94"/>
  <c r="L1045" i="20" s="1"/>
  <c r="O99" i="94"/>
  <c r="O1041" i="20" s="1"/>
  <c r="AI94" i="94"/>
  <c r="AI1036" i="20" s="1"/>
  <c r="H89" i="94"/>
  <c r="H1031" i="20" s="1"/>
  <c r="J87" i="94"/>
  <c r="L85" i="94"/>
  <c r="L1027" i="20" s="1"/>
  <c r="O82" i="94"/>
  <c r="O1024" i="20" s="1"/>
  <c r="AF123" i="94"/>
  <c r="AF1065" i="20" s="1"/>
  <c r="AF116" i="94"/>
  <c r="AF1058" i="20" s="1"/>
  <c r="AF107" i="94"/>
  <c r="AF1049" i="20" s="1"/>
  <c r="AF102" i="94"/>
  <c r="AF1044" i="20" s="1"/>
  <c r="AF97" i="94"/>
  <c r="AF1039" i="20" s="1"/>
  <c r="AF92" i="94"/>
  <c r="AF1034" i="20" s="1"/>
  <c r="AF88" i="94"/>
  <c r="AF1030" i="20" s="1"/>
  <c r="AF84" i="94"/>
  <c r="AF1026" i="20" s="1"/>
  <c r="AF112" i="94"/>
  <c r="AF1054" i="20" s="1"/>
  <c r="AF896" i="20" s="1"/>
  <c r="AF105" i="94"/>
  <c r="AF1047" i="20" s="1"/>
  <c r="AF86" i="94"/>
  <c r="AF1028" i="20" s="1"/>
  <c r="AF103" i="94"/>
  <c r="AF1045" i="20" s="1"/>
  <c r="AF109" i="94"/>
  <c r="AF1051" i="20" s="1"/>
  <c r="AF82" i="94"/>
  <c r="AF99" i="94"/>
  <c r="AF1041" i="20" s="1"/>
  <c r="AF124" i="94"/>
  <c r="AF1066" i="20" s="1"/>
  <c r="AF90" i="94"/>
  <c r="AF1032" i="20" s="1"/>
  <c r="AF89" i="94"/>
  <c r="AF1031" i="20" s="1"/>
  <c r="AF83" i="94"/>
  <c r="AF1025" i="20" s="1"/>
  <c r="AF120" i="94"/>
  <c r="AF1062" i="20" s="1"/>
  <c r="AF118" i="94"/>
  <c r="AF1060" i="20" s="1"/>
  <c r="AF114" i="94"/>
  <c r="AF1056" i="20" s="1"/>
  <c r="AF94" i="94"/>
  <c r="AF1036" i="20" s="1"/>
  <c r="P81" i="94"/>
  <c r="AB98" i="94"/>
  <c r="AB1040" i="20" s="1"/>
  <c r="CS63" i="94"/>
  <c r="CS61" i="94"/>
  <c r="CS59" i="94"/>
  <c r="CS57" i="94"/>
  <c r="CS55" i="94"/>
  <c r="CS53" i="94"/>
  <c r="CS51" i="94"/>
  <c r="CS49" i="94"/>
  <c r="CS47" i="94"/>
  <c r="CS45" i="94"/>
  <c r="CS41" i="94"/>
  <c r="CS39" i="94"/>
  <c r="CS33" i="94"/>
  <c r="CS43" i="94"/>
  <c r="CS37" i="94"/>
  <c r="CS31" i="94"/>
  <c r="CS29" i="94"/>
  <c r="CS35" i="94"/>
  <c r="CS36" i="94"/>
  <c r="X103" i="94"/>
  <c r="W99" i="94"/>
  <c r="AJ89" i="94"/>
  <c r="AJ1031" i="20" s="1"/>
  <c r="X106" i="94"/>
  <c r="CS64" i="94"/>
  <c r="CS60" i="94"/>
  <c r="CS56" i="94"/>
  <c r="CS52" i="94"/>
  <c r="CS48" i="94"/>
  <c r="CL44" i="94"/>
  <c r="DD43" i="94"/>
  <c r="AK189" i="20" s="1"/>
  <c r="CL42" i="94"/>
  <c r="DD41" i="94"/>
  <c r="AK187" i="20" s="1"/>
  <c r="T124" i="94"/>
  <c r="M123" i="94"/>
  <c r="M1065" i="20" s="1"/>
  <c r="AL121" i="94"/>
  <c r="AL1063" i="20" s="1"/>
  <c r="W120" i="94"/>
  <c r="AJ119" i="94"/>
  <c r="AJ1061" i="20" s="1"/>
  <c r="T119" i="94"/>
  <c r="Z117" i="94"/>
  <c r="AI116" i="94"/>
  <c r="AI1058" i="20" s="1"/>
  <c r="T115" i="94"/>
  <c r="AE112" i="94"/>
  <c r="O112" i="94"/>
  <c r="O1054" i="20" s="1"/>
  <c r="O896" i="20" s="1"/>
  <c r="AF111" i="94"/>
  <c r="AF1053" i="20" s="1"/>
  <c r="J103" i="94"/>
  <c r="AE102" i="94"/>
  <c r="G102" i="94"/>
  <c r="G1044" i="20" s="1"/>
  <c r="X101" i="94"/>
  <c r="J98" i="94"/>
  <c r="AE97" i="94"/>
  <c r="AL93" i="94"/>
  <c r="AL1035" i="20" s="1"/>
  <c r="AE92" i="94"/>
  <c r="L91" i="94"/>
  <c r="L1033" i="20" s="1"/>
  <c r="CL63" i="94"/>
  <c r="CL61" i="94"/>
  <c r="CL59" i="94"/>
  <c r="CL57" i="94"/>
  <c r="CL55" i="94"/>
  <c r="CL53" i="94"/>
  <c r="CL51" i="94"/>
  <c r="CL49" i="94"/>
  <c r="CL47" i="94"/>
  <c r="W84" i="94"/>
  <c r="H83" i="94"/>
  <c r="H1025" i="20" s="1"/>
  <c r="AG121" i="94"/>
  <c r="AG115" i="94"/>
  <c r="AG106" i="94"/>
  <c r="AG101" i="94"/>
  <c r="AG95" i="94"/>
  <c r="AG91" i="94"/>
  <c r="AG87" i="94"/>
  <c r="AG83" i="94"/>
  <c r="AG103" i="94"/>
  <c r="AG85" i="94"/>
  <c r="AG117" i="94"/>
  <c r="AG107" i="94"/>
  <c r="AG119" i="94"/>
  <c r="AG111" i="94"/>
  <c r="AG89" i="94"/>
  <c r="AG113" i="94"/>
  <c r="AG92" i="94"/>
  <c r="AG84" i="94"/>
  <c r="AG102" i="94"/>
  <c r="AG93" i="94"/>
  <c r="AG99" i="94"/>
  <c r="AG108" i="94"/>
  <c r="AG81" i="94"/>
  <c r="AG124" i="94"/>
  <c r="AG98" i="94"/>
  <c r="CE61" i="94"/>
  <c r="L207" i="20" s="1"/>
  <c r="CE57" i="94"/>
  <c r="L203" i="20" s="1"/>
  <c r="CE53" i="94"/>
  <c r="L199" i="20" s="1"/>
  <c r="CE49" i="94"/>
  <c r="L195" i="20" s="1"/>
  <c r="CE45" i="94"/>
  <c r="L191" i="20" s="1"/>
  <c r="CJ39" i="94"/>
  <c r="Q185" i="20" s="1"/>
  <c r="CJ37" i="94"/>
  <c r="Q183" i="20" s="1"/>
  <c r="CJ35" i="94"/>
  <c r="Q181" i="20" s="1"/>
  <c r="CJ33" i="94"/>
  <c r="Q179" i="20" s="1"/>
  <c r="CT57" i="94"/>
  <c r="CT49" i="94"/>
  <c r="CL45" i="94"/>
  <c r="CT41" i="94"/>
  <c r="CO40" i="94"/>
  <c r="CQ35" i="94"/>
  <c r="AL87" i="94"/>
  <c r="AL1029" i="20" s="1"/>
  <c r="CS44" i="94"/>
  <c r="CJ32" i="94"/>
  <c r="Q178" i="20" s="1"/>
  <c r="CN36" i="94"/>
  <c r="U182" i="20" s="1"/>
  <c r="CN38" i="94"/>
  <c r="U184" i="20" s="1"/>
  <c r="CN30" i="94"/>
  <c r="U176" i="20" s="1"/>
  <c r="DD62" i="94"/>
  <c r="AK208" i="20" s="1"/>
  <c r="CJ61" i="94"/>
  <c r="Q207" i="20" s="1"/>
  <c r="CJ60" i="94"/>
  <c r="Q206" i="20" s="1"/>
  <c r="CF59" i="94"/>
  <c r="M205" i="20" s="1"/>
  <c r="DD57" i="94"/>
  <c r="AK203" i="20" s="1"/>
  <c r="DD56" i="94"/>
  <c r="AK202" i="20" s="1"/>
  <c r="CN55" i="94"/>
  <c r="U201" i="20" s="1"/>
  <c r="CJ54" i="94"/>
  <c r="Q200" i="20" s="1"/>
  <c r="CF53" i="94"/>
  <c r="M199" i="20" s="1"/>
  <c r="CR51" i="94"/>
  <c r="CR50" i="94"/>
  <c r="CJ49" i="94"/>
  <c r="Q195" i="20" s="1"/>
  <c r="CL43" i="94"/>
  <c r="CV42" i="94"/>
  <c r="CL39" i="94"/>
  <c r="CZ36" i="94"/>
  <c r="CD39" i="94"/>
  <c r="CD43" i="94"/>
  <c r="CD33" i="94"/>
  <c r="CD31" i="94"/>
  <c r="CD41" i="94"/>
  <c r="CD35" i="94"/>
  <c r="CO32" i="94"/>
  <c r="CJ40" i="94"/>
  <c r="Q186" i="20" s="1"/>
  <c r="BY34" i="94"/>
  <c r="F180" i="20" s="1"/>
  <c r="DB30" i="94"/>
  <c r="AI176" i="20" s="1"/>
  <c r="DD29" i="94"/>
  <c r="AK175" i="20" s="1"/>
  <c r="DD63" i="94"/>
  <c r="AK209" i="20" s="1"/>
  <c r="CZ62" i="94"/>
  <c r="CV61" i="94"/>
  <c r="CN60" i="94"/>
  <c r="U206" i="20" s="1"/>
  <c r="CB59" i="94"/>
  <c r="I205" i="20" s="1"/>
  <c r="CR57" i="94"/>
  <c r="CR56" i="94"/>
  <c r="CJ55" i="94"/>
  <c r="Q201" i="20" s="1"/>
  <c r="CZ53" i="94"/>
  <c r="CZ52" i="94"/>
  <c r="CV51" i="94"/>
  <c r="CN50" i="94"/>
  <c r="U196" i="20" s="1"/>
  <c r="CF49" i="94"/>
  <c r="M195" i="20" s="1"/>
  <c r="CV60" i="94"/>
  <c r="CF56" i="94"/>
  <c r="M202" i="20" s="1"/>
  <c r="CB52" i="94"/>
  <c r="I198" i="20" s="1"/>
  <c r="CR47" i="94"/>
  <c r="CB47" i="94"/>
  <c r="I193" i="20" s="1"/>
  <c r="CR38" i="94"/>
  <c r="CP43" i="94"/>
  <c r="CP41" i="94"/>
  <c r="CP39" i="94"/>
  <c r="CP31" i="94"/>
  <c r="CP29" i="94"/>
  <c r="CP33" i="94"/>
  <c r="CD37" i="94"/>
  <c r="CS34" i="94"/>
  <c r="DA32" i="94"/>
  <c r="CY31" i="94"/>
  <c r="AF177" i="20" s="1"/>
  <c r="CE31" i="94"/>
  <c r="L177" i="20" s="1"/>
  <c r="CR46" i="94"/>
  <c r="DD48" i="94"/>
  <c r="AK194" i="20" s="1"/>
  <c r="CN48" i="94"/>
  <c r="U194" i="20" s="1"/>
  <c r="DA44" i="94"/>
  <c r="DD34" i="94"/>
  <c r="AK180" i="20" s="1"/>
  <c r="CJ34" i="94"/>
  <c r="Q180" i="20" s="1"/>
  <c r="CN32" i="94"/>
  <c r="U178" i="20" s="1"/>
  <c r="DA30" i="94"/>
  <c r="CG30" i="94"/>
  <c r="N176" i="20" s="1"/>
  <c r="CB62" i="94"/>
  <c r="I208" i="20" s="1"/>
  <c r="CV54" i="94"/>
  <c r="CF50" i="94"/>
  <c r="M196" i="20" s="1"/>
  <c r="CV45" i="94"/>
  <c r="CV44" i="94"/>
  <c r="CK36" i="94"/>
  <c r="CU42" i="94"/>
  <c r="CU40" i="94"/>
  <c r="CU64" i="94"/>
  <c r="CU62" i="94"/>
  <c r="CU60" i="94"/>
  <c r="CU58" i="94"/>
  <c r="CU56" i="94"/>
  <c r="AB202" i="20" s="1"/>
  <c r="CU54" i="94"/>
  <c r="CU52" i="94"/>
  <c r="CU50" i="94"/>
  <c r="CU48" i="94"/>
  <c r="CU46" i="94"/>
  <c r="CU44" i="94"/>
  <c r="CU38" i="94"/>
  <c r="CU36" i="94"/>
  <c r="AB182" i="20" s="1"/>
  <c r="CU34" i="94"/>
  <c r="CU32" i="94"/>
  <c r="CU30" i="94"/>
  <c r="CU29" i="94"/>
  <c r="CM40" i="94"/>
  <c r="CM44" i="94"/>
  <c r="CM42" i="94"/>
  <c r="CM33" i="94"/>
  <c r="CM35" i="94"/>
  <c r="CM34" i="94"/>
  <c r="CM64" i="94"/>
  <c r="CM63" i="94"/>
  <c r="CM61" i="94"/>
  <c r="CM60" i="94"/>
  <c r="CM56" i="94"/>
  <c r="CM54" i="94"/>
  <c r="CM51" i="94"/>
  <c r="CM50" i="94"/>
  <c r="CM49" i="94"/>
  <c r="CM38" i="94"/>
  <c r="CM30" i="94"/>
  <c r="CM32" i="94"/>
  <c r="CM43" i="94"/>
  <c r="CM62" i="94"/>
  <c r="CM59" i="94"/>
  <c r="CM58" i="94"/>
  <c r="CM57" i="94"/>
  <c r="CM55" i="94"/>
  <c r="CM53" i="94"/>
  <c r="CM52" i="94"/>
  <c r="CM45" i="94"/>
  <c r="CM36" i="94"/>
  <c r="CM46" i="94"/>
  <c r="CM47" i="94"/>
  <c r="CM37" i="94"/>
  <c r="CM48" i="94"/>
  <c r="DD46" i="94"/>
  <c r="AK192" i="20" s="1"/>
  <c r="CJ46" i="94"/>
  <c r="Q192" i="20" s="1"/>
  <c r="CG40" i="94"/>
  <c r="N186" i="20" s="1"/>
  <c r="CI39" i="94"/>
  <c r="CS38" i="94"/>
  <c r="CR36" i="94"/>
  <c r="CR34" i="94"/>
  <c r="X123" i="94"/>
  <c r="X1065" i="20" s="1"/>
  <c r="X114" i="94"/>
  <c r="X1056" i="20" s="1"/>
  <c r="X107" i="94"/>
  <c r="X1049" i="20" s="1"/>
  <c r="X102" i="94"/>
  <c r="X1044" i="20" s="1"/>
  <c r="X97" i="94"/>
  <c r="X1039" i="20" s="1"/>
  <c r="X92" i="94"/>
  <c r="X1034" i="20" s="1"/>
  <c r="X88" i="94"/>
  <c r="X1030" i="20" s="1"/>
  <c r="X84" i="94"/>
  <c r="X1026" i="20" s="1"/>
  <c r="X120" i="94"/>
  <c r="X1062" i="20" s="1"/>
  <c r="X112" i="94"/>
  <c r="X1054" i="20" s="1"/>
  <c r="X896" i="20" s="1"/>
  <c r="X94" i="94"/>
  <c r="X1036" i="20" s="1"/>
  <c r="X118" i="94"/>
  <c r="X1060" i="20" s="1"/>
  <c r="X116" i="94"/>
  <c r="X1058" i="20" s="1"/>
  <c r="X109" i="94"/>
  <c r="X1051" i="20" s="1"/>
  <c r="X90" i="94"/>
  <c r="X1032" i="20" s="1"/>
  <c r="X82" i="94"/>
  <c r="X1024" i="20" s="1"/>
  <c r="X121" i="94"/>
  <c r="X1063" i="20" s="1"/>
  <c r="X99" i="94"/>
  <c r="X1041" i="20" s="1"/>
  <c r="X86" i="94"/>
  <c r="X1028" i="20" s="1"/>
  <c r="X115" i="94"/>
  <c r="X1057" i="20" s="1"/>
  <c r="X81" i="94"/>
  <c r="X1023" i="20" s="1"/>
  <c r="X105" i="94"/>
  <c r="X1047" i="20" s="1"/>
  <c r="X98" i="94"/>
  <c r="X1040" i="20" s="1"/>
  <c r="X95" i="94"/>
  <c r="X1037" i="20" s="1"/>
  <c r="X85" i="94"/>
  <c r="X1027" i="20" s="1"/>
  <c r="DA63" i="94"/>
  <c r="DA61" i="94"/>
  <c r="DA59" i="94"/>
  <c r="DA57" i="94"/>
  <c r="DA55" i="94"/>
  <c r="DA53" i="94"/>
  <c r="DA51" i="94"/>
  <c r="DA49" i="94"/>
  <c r="DA47" i="94"/>
  <c r="DA45" i="94"/>
  <c r="DA64" i="94"/>
  <c r="DA62" i="94"/>
  <c r="DA60" i="94"/>
  <c r="DA58" i="94"/>
  <c r="DA56" i="94"/>
  <c r="DA54" i="94"/>
  <c r="DA52" i="94"/>
  <c r="DA50" i="94"/>
  <c r="DA48" i="94"/>
  <c r="DA46" i="94"/>
  <c r="DA41" i="94"/>
  <c r="DA33" i="94"/>
  <c r="DA43" i="94"/>
  <c r="DA39" i="94"/>
  <c r="DA31" i="94"/>
  <c r="DA35" i="94"/>
  <c r="DA37" i="94"/>
  <c r="DA29" i="94"/>
  <c r="DA42" i="94"/>
  <c r="L108" i="94"/>
  <c r="L1050" i="20" s="1"/>
  <c r="L124" i="94"/>
  <c r="L1066" i="20" s="1"/>
  <c r="L119" i="94"/>
  <c r="L1061" i="20" s="1"/>
  <c r="L83" i="94"/>
  <c r="L1025" i="20" s="1"/>
  <c r="Y121" i="94"/>
  <c r="Y124" i="94"/>
  <c r="Y113" i="94"/>
  <c r="Y106" i="94"/>
  <c r="Y101" i="94"/>
  <c r="Y95" i="94"/>
  <c r="Y91" i="94"/>
  <c r="Y87" i="94"/>
  <c r="Y83" i="94"/>
  <c r="Y115" i="94"/>
  <c r="Y108" i="94"/>
  <c r="Y93" i="94"/>
  <c r="Y103" i="94"/>
  <c r="Y85" i="94"/>
  <c r="Y117" i="94"/>
  <c r="Y98" i="94"/>
  <c r="Y89" i="94"/>
  <c r="Y84" i="94"/>
  <c r="Y119" i="94"/>
  <c r="Y111" i="94"/>
  <c r="Y86" i="94"/>
  <c r="Y81" i="94"/>
  <c r="Y102" i="94"/>
  <c r="Y92" i="94"/>
  <c r="Y90" i="94"/>
  <c r="Y94" i="94"/>
  <c r="DA40" i="94"/>
  <c r="CT29" i="94"/>
  <c r="CJ52" i="94"/>
  <c r="Q198" i="20" s="1"/>
  <c r="DA34" i="94"/>
  <c r="CT31" i="94"/>
  <c r="CQ64" i="94"/>
  <c r="CQ63" i="94"/>
  <c r="CQ62" i="94"/>
  <c r="CQ61" i="94"/>
  <c r="CQ60" i="94"/>
  <c r="CQ59" i="94"/>
  <c r="CQ58" i="94"/>
  <c r="CQ57" i="94"/>
  <c r="CQ56" i="94"/>
  <c r="CQ55" i="94"/>
  <c r="CQ54" i="94"/>
  <c r="CQ53" i="94"/>
  <c r="CQ52" i="94"/>
  <c r="CQ51" i="94"/>
  <c r="CQ50" i="94"/>
  <c r="CQ49" i="94"/>
  <c r="CQ48" i="94"/>
  <c r="CQ47" i="94"/>
  <c r="CQ46" i="94"/>
  <c r="CQ45" i="94"/>
  <c r="CQ40" i="94"/>
  <c r="CQ36" i="94"/>
  <c r="CQ42" i="94"/>
  <c r="CQ34" i="94"/>
  <c r="CQ30" i="94"/>
  <c r="CQ38" i="94"/>
  <c r="CQ32" i="94"/>
  <c r="CQ44" i="94"/>
  <c r="CQ39" i="94"/>
  <c r="AJ117" i="94"/>
  <c r="AJ1059" i="20" s="1"/>
  <c r="X113" i="94"/>
  <c r="X1055" i="20" s="1"/>
  <c r="AJ108" i="94"/>
  <c r="AJ1050" i="20" s="1"/>
  <c r="T123" i="94"/>
  <c r="T118" i="94"/>
  <c r="T112" i="94"/>
  <c r="T107" i="94"/>
  <c r="T102" i="94"/>
  <c r="T97" i="94"/>
  <c r="T92" i="94"/>
  <c r="T88" i="94"/>
  <c r="T84" i="94"/>
  <c r="T116" i="94"/>
  <c r="T109" i="94"/>
  <c r="T99" i="94"/>
  <c r="T82" i="94"/>
  <c r="T105" i="94"/>
  <c r="T94" i="94"/>
  <c r="T86" i="94"/>
  <c r="T120" i="94"/>
  <c r="T90" i="94"/>
  <c r="T85" i="94"/>
  <c r="T114" i="94"/>
  <c r="T91" i="94"/>
  <c r="T89" i="94"/>
  <c r="T121" i="94"/>
  <c r="T103" i="94"/>
  <c r="T81" i="94"/>
  <c r="T101" i="94"/>
  <c r="CW43" i="94"/>
  <c r="AD189" i="20" s="1"/>
  <c r="CW41" i="94"/>
  <c r="AD187" i="20" s="1"/>
  <c r="CW39" i="94"/>
  <c r="AD185" i="20" s="1"/>
  <c r="CW37" i="94"/>
  <c r="AD183" i="20" s="1"/>
  <c r="CW35" i="94"/>
  <c r="AD181" i="20" s="1"/>
  <c r="CW33" i="94"/>
  <c r="AD179" i="20" s="1"/>
  <c r="CW31" i="94"/>
  <c r="AD177" i="20" s="1"/>
  <c r="CW63" i="94"/>
  <c r="AD209" i="20" s="1"/>
  <c r="CW61" i="94"/>
  <c r="AD207" i="20" s="1"/>
  <c r="CW59" i="94"/>
  <c r="AD205" i="20" s="1"/>
  <c r="CW57" i="94"/>
  <c r="AD203" i="20" s="1"/>
  <c r="CW55" i="94"/>
  <c r="AD201" i="20" s="1"/>
  <c r="CW53" i="94"/>
  <c r="AD199" i="20" s="1"/>
  <c r="CW51" i="94"/>
  <c r="AD197" i="20" s="1"/>
  <c r="CW49" i="94"/>
  <c r="AD195" i="20" s="1"/>
  <c r="CW47" i="94"/>
  <c r="AD193" i="20" s="1"/>
  <c r="CW45" i="94"/>
  <c r="AD191" i="20" s="1"/>
  <c r="CW40" i="94"/>
  <c r="AD186" i="20" s="1"/>
  <c r="CW38" i="94"/>
  <c r="AD184" i="20" s="1"/>
  <c r="CW29" i="94"/>
  <c r="AD175" i="20" s="1"/>
  <c r="CW64" i="94"/>
  <c r="CW62" i="94"/>
  <c r="AD208" i="20" s="1"/>
  <c r="CW60" i="94"/>
  <c r="AD206" i="20" s="1"/>
  <c r="CW58" i="94"/>
  <c r="AD204" i="20" s="1"/>
  <c r="CW56" i="94"/>
  <c r="AD202" i="20" s="1"/>
  <c r="CW54" i="94"/>
  <c r="AD200" i="20" s="1"/>
  <c r="CW52" i="94"/>
  <c r="AD198" i="20" s="1"/>
  <c r="CW50" i="94"/>
  <c r="AD196" i="20" s="1"/>
  <c r="CW48" i="94"/>
  <c r="AD194" i="20" s="1"/>
  <c r="CW46" i="94"/>
  <c r="AD192" i="20" s="1"/>
  <c r="CW32" i="94"/>
  <c r="AD178" i="20" s="1"/>
  <c r="X93" i="94"/>
  <c r="X1035" i="20" s="1"/>
  <c r="X111" i="94"/>
  <c r="X1053" i="20" s="1"/>
  <c r="X119" i="94"/>
  <c r="X1061" i="20" s="1"/>
  <c r="Y118" i="94"/>
  <c r="T111" i="94"/>
  <c r="W107" i="94"/>
  <c r="T106" i="94"/>
  <c r="AJ95" i="94"/>
  <c r="AJ1037" i="20" s="1"/>
  <c r="H123" i="94"/>
  <c r="H1065" i="20" s="1"/>
  <c r="H114" i="94"/>
  <c r="H1056" i="20" s="1"/>
  <c r="H107" i="94"/>
  <c r="H1049" i="20" s="1"/>
  <c r="H102" i="94"/>
  <c r="H1044" i="20" s="1"/>
  <c r="H97" i="94"/>
  <c r="H1039" i="20" s="1"/>
  <c r="H92" i="94"/>
  <c r="H1034" i="20" s="1"/>
  <c r="H88" i="94"/>
  <c r="H1030" i="20" s="1"/>
  <c r="H84" i="94"/>
  <c r="H1026" i="20" s="1"/>
  <c r="H94" i="94"/>
  <c r="H1036" i="20" s="1"/>
  <c r="H120" i="94"/>
  <c r="H1062" i="20" s="1"/>
  <c r="H118" i="94"/>
  <c r="H1060" i="20" s="1"/>
  <c r="H116" i="94"/>
  <c r="H1058" i="20" s="1"/>
  <c r="H109" i="94"/>
  <c r="H1051" i="20" s="1"/>
  <c r="H99" i="94"/>
  <c r="H1041" i="20" s="1"/>
  <c r="H105" i="94"/>
  <c r="H1047" i="20" s="1"/>
  <c r="H98" i="94"/>
  <c r="H1040" i="20" s="1"/>
  <c r="H90" i="94"/>
  <c r="H1032" i="20" s="1"/>
  <c r="H85" i="94"/>
  <c r="H1027" i="20" s="1"/>
  <c r="H112" i="94"/>
  <c r="H1054" i="20" s="1"/>
  <c r="H896" i="20" s="1"/>
  <c r="H103" i="94"/>
  <c r="H1045" i="20" s="1"/>
  <c r="H91" i="94"/>
  <c r="H1033" i="20" s="1"/>
  <c r="H86" i="94"/>
  <c r="H1028" i="20" s="1"/>
  <c r="H82" i="94"/>
  <c r="H115" i="94"/>
  <c r="H1057" i="20" s="1"/>
  <c r="H93" i="94"/>
  <c r="H1035" i="20" s="1"/>
  <c r="M121" i="94"/>
  <c r="M1063" i="20" s="1"/>
  <c r="M124" i="94"/>
  <c r="M1066" i="20" s="1"/>
  <c r="M119" i="94"/>
  <c r="M1061" i="20" s="1"/>
  <c r="M106" i="94"/>
  <c r="M1048" i="20" s="1"/>
  <c r="M101" i="94"/>
  <c r="M1043" i="20" s="1"/>
  <c r="M95" i="94"/>
  <c r="M1037" i="20" s="1"/>
  <c r="M91" i="94"/>
  <c r="M1033" i="20" s="1"/>
  <c r="M87" i="94"/>
  <c r="M1029" i="20" s="1"/>
  <c r="M83" i="94"/>
  <c r="M1025" i="20" s="1"/>
  <c r="M113" i="94"/>
  <c r="M1055" i="20" s="1"/>
  <c r="M108" i="94"/>
  <c r="M1050" i="20" s="1"/>
  <c r="M89" i="94"/>
  <c r="M1031" i="20" s="1"/>
  <c r="M117" i="94"/>
  <c r="M1059" i="20" s="1"/>
  <c r="M115" i="94"/>
  <c r="M1057" i="20" s="1"/>
  <c r="M98" i="94"/>
  <c r="M1040" i="20" s="1"/>
  <c r="M111" i="94"/>
  <c r="M1053" i="20" s="1"/>
  <c r="M107" i="94"/>
  <c r="M1049" i="20" s="1"/>
  <c r="M103" i="94"/>
  <c r="M1045" i="20" s="1"/>
  <c r="M97" i="94"/>
  <c r="M1039" i="20" s="1"/>
  <c r="M88" i="94"/>
  <c r="M1030" i="20" s="1"/>
  <c r="M81" i="94"/>
  <c r="M1023" i="20" s="1"/>
  <c r="M118" i="94"/>
  <c r="M1060" i="20" s="1"/>
  <c r="M99" i="94"/>
  <c r="M1041" i="20" s="1"/>
  <c r="M92" i="94"/>
  <c r="M1034" i="20" s="1"/>
  <c r="M90" i="94"/>
  <c r="M1032" i="20" s="1"/>
  <c r="M85" i="94"/>
  <c r="M1027" i="20" s="1"/>
  <c r="M93" i="94"/>
  <c r="M1035" i="20" s="1"/>
  <c r="R123" i="94"/>
  <c r="R120" i="94"/>
  <c r="R114" i="94"/>
  <c r="R105" i="94"/>
  <c r="R99" i="94"/>
  <c r="R94" i="94"/>
  <c r="R90" i="94"/>
  <c r="R86" i="94"/>
  <c r="R82" i="94"/>
  <c r="R118" i="94"/>
  <c r="R112" i="94"/>
  <c r="R102" i="94"/>
  <c r="R84" i="94"/>
  <c r="R116" i="94"/>
  <c r="R107" i="94"/>
  <c r="R97" i="94"/>
  <c r="R88" i="94"/>
  <c r="R124" i="94"/>
  <c r="R106" i="94"/>
  <c r="R92" i="94"/>
  <c r="R83" i="94"/>
  <c r="R117" i="94"/>
  <c r="R109" i="94"/>
  <c r="R93" i="94"/>
  <c r="R91" i="94"/>
  <c r="R87" i="94"/>
  <c r="CQ43" i="94"/>
  <c r="DD39" i="94"/>
  <c r="AK185" i="20" s="1"/>
  <c r="DD35" i="94"/>
  <c r="AK181" i="20" s="1"/>
  <c r="DD33" i="94"/>
  <c r="AK179" i="20" s="1"/>
  <c r="DD31" i="94"/>
  <c r="AK177" i="20" s="1"/>
  <c r="CT55" i="94"/>
  <c r="CJ38" i="94"/>
  <c r="Q184" i="20" s="1"/>
  <c r="CJ29" i="94"/>
  <c r="Q175" i="20" s="1"/>
  <c r="CR60" i="94"/>
  <c r="CJ58" i="94"/>
  <c r="Q204" i="20" s="1"/>
  <c r="CV55" i="94"/>
  <c r="CR54" i="94"/>
  <c r="CF30" i="94"/>
  <c r="M176" i="20" s="1"/>
  <c r="CF44" i="94"/>
  <c r="M190" i="20" s="1"/>
  <c r="CF36" i="94"/>
  <c r="M182" i="20" s="1"/>
  <c r="CF63" i="94"/>
  <c r="M209" i="20" s="1"/>
  <c r="DD60" i="94"/>
  <c r="AK206" i="20" s="1"/>
  <c r="CR55" i="94"/>
  <c r="DD50" i="94"/>
  <c r="AK196" i="20" s="1"/>
  <c r="CF52" i="94"/>
  <c r="M198" i="20" s="1"/>
  <c r="CF47" i="94"/>
  <c r="M193" i="20" s="1"/>
  <c r="CT39" i="94"/>
  <c r="CI31" i="94"/>
  <c r="BY64" i="94"/>
  <c r="BY63" i="94"/>
  <c r="F209" i="20" s="1"/>
  <c r="BY62" i="94"/>
  <c r="F208" i="20" s="1"/>
  <c r="BY61" i="94"/>
  <c r="F207" i="20" s="1"/>
  <c r="BY60" i="94"/>
  <c r="F206" i="20" s="1"/>
  <c r="BY59" i="94"/>
  <c r="F205" i="20" s="1"/>
  <c r="BY58" i="94"/>
  <c r="F204" i="20" s="1"/>
  <c r="BY57" i="94"/>
  <c r="F203" i="20" s="1"/>
  <c r="BY56" i="94"/>
  <c r="F202" i="20" s="1"/>
  <c r="BY55" i="94"/>
  <c r="F201" i="20" s="1"/>
  <c r="BY54" i="94"/>
  <c r="F200" i="20" s="1"/>
  <c r="BY53" i="94"/>
  <c r="F199" i="20" s="1"/>
  <c r="BY52" i="94"/>
  <c r="F198" i="20" s="1"/>
  <c r="BY51" i="94"/>
  <c r="F197" i="20" s="1"/>
  <c r="BY50" i="94"/>
  <c r="F196" i="20" s="1"/>
  <c r="BY49" i="94"/>
  <c r="F195" i="20" s="1"/>
  <c r="BY48" i="94"/>
  <c r="F194" i="20" s="1"/>
  <c r="BY47" i="94"/>
  <c r="F193" i="20" s="1"/>
  <c r="BY46" i="94"/>
  <c r="F192" i="20" s="1"/>
  <c r="BY45" i="94"/>
  <c r="F191" i="20" s="1"/>
  <c r="BY41" i="94"/>
  <c r="F187" i="20" s="1"/>
  <c r="BY33" i="94"/>
  <c r="F179" i="20" s="1"/>
  <c r="BY35" i="94"/>
  <c r="F181" i="20" s="1"/>
  <c r="BY43" i="94"/>
  <c r="F189" i="20" s="1"/>
  <c r="BY39" i="94"/>
  <c r="F185" i="20" s="1"/>
  <c r="BY31" i="94"/>
  <c r="F177" i="20" s="1"/>
  <c r="BY29" i="94"/>
  <c r="F175" i="20" s="1"/>
  <c r="BY37" i="94"/>
  <c r="F183" i="20" s="1"/>
  <c r="CF62" i="94"/>
  <c r="M208" i="20" s="1"/>
  <c r="BY36" i="94"/>
  <c r="F182" i="20" s="1"/>
  <c r="CF42" i="94"/>
  <c r="M188" i="20" s="1"/>
  <c r="DA38" i="94"/>
  <c r="Y120" i="94"/>
  <c r="Z119" i="94"/>
  <c r="J119" i="94"/>
  <c r="L117" i="94"/>
  <c r="L1059" i="20" s="1"/>
  <c r="M116" i="94"/>
  <c r="M1058" i="20" s="1"/>
  <c r="AE114" i="94"/>
  <c r="W90" i="94"/>
  <c r="Y88" i="94"/>
  <c r="AI124" i="94"/>
  <c r="AI1066" i="20" s="1"/>
  <c r="AI119" i="94"/>
  <c r="AI1061" i="20" s="1"/>
  <c r="AI113" i="94"/>
  <c r="AI1055" i="20" s="1"/>
  <c r="AI103" i="94"/>
  <c r="AI1045" i="20" s="1"/>
  <c r="AI98" i="94"/>
  <c r="AI1040" i="20" s="1"/>
  <c r="AI93" i="94"/>
  <c r="AI1035" i="20" s="1"/>
  <c r="AI89" i="94"/>
  <c r="AI1031" i="20" s="1"/>
  <c r="AI85" i="94"/>
  <c r="AI1027" i="20" s="1"/>
  <c r="AI81" i="94"/>
  <c r="AI1023" i="20" s="1"/>
  <c r="AI121" i="94"/>
  <c r="AI1063" i="20" s="1"/>
  <c r="AI101" i="94"/>
  <c r="AI1043" i="20" s="1"/>
  <c r="AI83" i="94"/>
  <c r="AI1025" i="20" s="1"/>
  <c r="AI123" i="94"/>
  <c r="AI1065" i="20" s="1"/>
  <c r="AI105" i="94"/>
  <c r="AI1047" i="20" s="1"/>
  <c r="AI106" i="94"/>
  <c r="AI1048" i="20" s="1"/>
  <c r="AI115" i="94"/>
  <c r="AI1057" i="20" s="1"/>
  <c r="AI95" i="94"/>
  <c r="AI1037" i="20" s="1"/>
  <c r="AI91" i="94"/>
  <c r="AI1033" i="20" s="1"/>
  <c r="AI108" i="94"/>
  <c r="AI1050" i="20" s="1"/>
  <c r="AI99" i="94"/>
  <c r="AI1041" i="20" s="1"/>
  <c r="AI90" i="94"/>
  <c r="AI1032" i="20" s="1"/>
  <c r="AI97" i="94"/>
  <c r="AI1039" i="20" s="1"/>
  <c r="AI87" i="94"/>
  <c r="AI1029" i="20" s="1"/>
  <c r="AI111" i="94"/>
  <c r="AI1053" i="20" s="1"/>
  <c r="AI84" i="94"/>
  <c r="AI1026" i="20" s="1"/>
  <c r="AI117" i="94"/>
  <c r="AI1059" i="20" s="1"/>
  <c r="AI82" i="94"/>
  <c r="AI1024" i="20" s="1"/>
  <c r="G124" i="94"/>
  <c r="G1066" i="20" s="1"/>
  <c r="G115" i="94"/>
  <c r="G1057" i="20" s="1"/>
  <c r="G108" i="94"/>
  <c r="G1050" i="20" s="1"/>
  <c r="G103" i="94"/>
  <c r="G1045" i="20" s="1"/>
  <c r="G98" i="94"/>
  <c r="G1040" i="20" s="1"/>
  <c r="G93" i="94"/>
  <c r="G1035" i="20" s="1"/>
  <c r="G89" i="94"/>
  <c r="G1031" i="20" s="1"/>
  <c r="G85" i="94"/>
  <c r="G1027" i="20" s="1"/>
  <c r="G81" i="94"/>
  <c r="G1023" i="20" s="1"/>
  <c r="G121" i="94"/>
  <c r="G1063" i="20" s="1"/>
  <c r="G119" i="94"/>
  <c r="G1061" i="20" s="1"/>
  <c r="G95" i="94"/>
  <c r="G1037" i="20" s="1"/>
  <c r="G105" i="94"/>
  <c r="G1047" i="20" s="1"/>
  <c r="G123" i="94"/>
  <c r="G1065" i="20" s="1"/>
  <c r="G106" i="94"/>
  <c r="G1048" i="20" s="1"/>
  <c r="G101" i="94"/>
  <c r="G1043" i="20" s="1"/>
  <c r="G91" i="94"/>
  <c r="G1033" i="20" s="1"/>
  <c r="G113" i="94"/>
  <c r="G1055" i="20" s="1"/>
  <c r="G83" i="94"/>
  <c r="G1025" i="20" s="1"/>
  <c r="G99" i="94"/>
  <c r="G1041" i="20" s="1"/>
  <c r="G97" i="94"/>
  <c r="G1039" i="20" s="1"/>
  <c r="G94" i="94"/>
  <c r="G1036" i="20" s="1"/>
  <c r="G82" i="94"/>
  <c r="G1024" i="20" s="1"/>
  <c r="G117" i="94"/>
  <c r="G1059" i="20" s="1"/>
  <c r="G88" i="94"/>
  <c r="G1030" i="20" s="1"/>
  <c r="G111" i="94"/>
  <c r="G1053" i="20" s="1"/>
  <c r="G87" i="94"/>
  <c r="G1029" i="20" s="1"/>
  <c r="AB123" i="94"/>
  <c r="AB1065" i="20" s="1"/>
  <c r="AB120" i="94"/>
  <c r="AB1062" i="20" s="1"/>
  <c r="AB109" i="94"/>
  <c r="AB1051" i="20" s="1"/>
  <c r="AB107" i="94"/>
  <c r="AB1049" i="20" s="1"/>
  <c r="AB102" i="94"/>
  <c r="AB1044" i="20" s="1"/>
  <c r="AB97" i="94"/>
  <c r="AB1039" i="20" s="1"/>
  <c r="AB92" i="94"/>
  <c r="AB1034" i="20" s="1"/>
  <c r="AB88" i="94"/>
  <c r="AB1030" i="20" s="1"/>
  <c r="AB84" i="94"/>
  <c r="AB1026" i="20" s="1"/>
  <c r="AB116" i="94"/>
  <c r="AB1058" i="20" s="1"/>
  <c r="AB90" i="94"/>
  <c r="AB1032" i="20" s="1"/>
  <c r="AB118" i="94"/>
  <c r="AB1060" i="20" s="1"/>
  <c r="AB105" i="94"/>
  <c r="AB1047" i="20" s="1"/>
  <c r="AB121" i="94"/>
  <c r="AB1063" i="20" s="1"/>
  <c r="AB86" i="94"/>
  <c r="AB1028" i="20" s="1"/>
  <c r="AB114" i="94"/>
  <c r="AB1056" i="20" s="1"/>
  <c r="AB94" i="94"/>
  <c r="AB1036" i="20" s="1"/>
  <c r="AB81" i="94"/>
  <c r="AB1023" i="20" s="1"/>
  <c r="AB87" i="94"/>
  <c r="AB1029" i="20" s="1"/>
  <c r="AB82" i="94"/>
  <c r="AB1024" i="20" s="1"/>
  <c r="AB112" i="94"/>
  <c r="AB1054" i="20" s="1"/>
  <c r="AB896" i="20" s="1"/>
  <c r="AB99" i="94"/>
  <c r="AB1041" i="20" s="1"/>
  <c r="AB93" i="94"/>
  <c r="AB1035" i="20" s="1"/>
  <c r="P123" i="94"/>
  <c r="P116" i="94"/>
  <c r="P107" i="94"/>
  <c r="P102" i="94"/>
  <c r="P97" i="94"/>
  <c r="P92" i="94"/>
  <c r="P88" i="94"/>
  <c r="P84" i="94"/>
  <c r="P120" i="94"/>
  <c r="P114" i="94"/>
  <c r="P105" i="94"/>
  <c r="P86" i="94"/>
  <c r="P112" i="94"/>
  <c r="P109" i="94"/>
  <c r="P118" i="94"/>
  <c r="P99" i="94"/>
  <c r="P90" i="94"/>
  <c r="P93" i="94"/>
  <c r="P89" i="94"/>
  <c r="P115" i="94"/>
  <c r="P108" i="94"/>
  <c r="P94" i="94"/>
  <c r="P85" i="94"/>
  <c r="P82" i="94"/>
  <c r="P83" i="94"/>
  <c r="DE37" i="94"/>
  <c r="AL183" i="20" s="1"/>
  <c r="DE39" i="94"/>
  <c r="AL185" i="20" s="1"/>
  <c r="DE31" i="94"/>
  <c r="AL177" i="20" s="1"/>
  <c r="DE61" i="94"/>
  <c r="AL207" i="20" s="1"/>
  <c r="DE59" i="94"/>
  <c r="AL205" i="20" s="1"/>
  <c r="DE58" i="94"/>
  <c r="AL204" i="20" s="1"/>
  <c r="DE56" i="94"/>
  <c r="AL202" i="20" s="1"/>
  <c r="DE55" i="94"/>
  <c r="AL201" i="20" s="1"/>
  <c r="DE54" i="94"/>
  <c r="AL200" i="20" s="1"/>
  <c r="DE53" i="94"/>
  <c r="AL199" i="20" s="1"/>
  <c r="DE52" i="94"/>
  <c r="AL198" i="20" s="1"/>
  <c r="DE41" i="94"/>
  <c r="AL187" i="20" s="1"/>
  <c r="DE35" i="94"/>
  <c r="AL181" i="20" s="1"/>
  <c r="DE29" i="94"/>
  <c r="AL175" i="20" s="1"/>
  <c r="DE64" i="94"/>
  <c r="DE63" i="94"/>
  <c r="AL209" i="20" s="1"/>
  <c r="DE62" i="94"/>
  <c r="DE60" i="94"/>
  <c r="AL206" i="20" s="1"/>
  <c r="DE57" i="94"/>
  <c r="AL203" i="20" s="1"/>
  <c r="DE51" i="94"/>
  <c r="AL197" i="20" s="1"/>
  <c r="DE50" i="94"/>
  <c r="AL196" i="20" s="1"/>
  <c r="DE49" i="94"/>
  <c r="AL195" i="20" s="1"/>
  <c r="DE48" i="94"/>
  <c r="AL194" i="20" s="1"/>
  <c r="DE46" i="94"/>
  <c r="AL192" i="20" s="1"/>
  <c r="DE47" i="94"/>
  <c r="AL193" i="20" s="1"/>
  <c r="DE33" i="94"/>
  <c r="AL179" i="20" s="1"/>
  <c r="DE44" i="94"/>
  <c r="AL190" i="20" s="1"/>
  <c r="DE43" i="94"/>
  <c r="AL189" i="20" s="1"/>
  <c r="DE45" i="94"/>
  <c r="AL191" i="20" s="1"/>
  <c r="CO43" i="94"/>
  <c r="CO35" i="94"/>
  <c r="CO64" i="94"/>
  <c r="CO61" i="94"/>
  <c r="CO59" i="94"/>
  <c r="CO58" i="94"/>
  <c r="CO57" i="94"/>
  <c r="CO56" i="94"/>
  <c r="CO55" i="94"/>
  <c r="CO52" i="94"/>
  <c r="CO49" i="94"/>
  <c r="CO47" i="94"/>
  <c r="CO46" i="94"/>
  <c r="CO37" i="94"/>
  <c r="CO33" i="94"/>
  <c r="CO29" i="94"/>
  <c r="CO63" i="94"/>
  <c r="CO62" i="94"/>
  <c r="CO60" i="94"/>
  <c r="CO54" i="94"/>
  <c r="CO53" i="94"/>
  <c r="CO51" i="94"/>
  <c r="CO50" i="94"/>
  <c r="CO48" i="94"/>
  <c r="CO45" i="94"/>
  <c r="CO41" i="94"/>
  <c r="CO39" i="94"/>
  <c r="CO31" i="94"/>
  <c r="T108" i="94"/>
  <c r="P103" i="94"/>
  <c r="T98" i="94"/>
  <c r="AB89" i="94"/>
  <c r="AB1031" i="20" s="1"/>
  <c r="CJ43" i="94"/>
  <c r="Q189" i="20" s="1"/>
  <c r="CJ41" i="94"/>
  <c r="Q187" i="20" s="1"/>
  <c r="AJ124" i="94"/>
  <c r="AJ1066" i="20" s="1"/>
  <c r="P124" i="94"/>
  <c r="R121" i="94"/>
  <c r="AI120" i="94"/>
  <c r="AI1062" i="20" s="1"/>
  <c r="AF119" i="94"/>
  <c r="AF1061" i="20" s="1"/>
  <c r="P119" i="94"/>
  <c r="G116" i="94"/>
  <c r="G1058" i="20" s="1"/>
  <c r="L115" i="94"/>
  <c r="L1057" i="20" s="1"/>
  <c r="Y114" i="94"/>
  <c r="AL113" i="94"/>
  <c r="AL1055" i="20" s="1"/>
  <c r="R113" i="94"/>
  <c r="AI112" i="94"/>
  <c r="AI1054" i="20" s="1"/>
  <c r="AI896" i="20" s="1"/>
  <c r="AJ111" i="94"/>
  <c r="AJ1053" i="20" s="1"/>
  <c r="AB111" i="94"/>
  <c r="AB1053" i="20" s="1"/>
  <c r="H111" i="94"/>
  <c r="H1053" i="20" s="1"/>
  <c r="Y109" i="94"/>
  <c r="AL108" i="94"/>
  <c r="AL1050" i="20" s="1"/>
  <c r="R108" i="94"/>
  <c r="AE107" i="94"/>
  <c r="AB106" i="94"/>
  <c r="AB1048" i="20" s="1"/>
  <c r="P106" i="94"/>
  <c r="Y105" i="94"/>
  <c r="M105" i="94"/>
  <c r="M1047" i="20" s="1"/>
  <c r="Z103" i="94"/>
  <c r="W102" i="94"/>
  <c r="P101" i="94"/>
  <c r="Y99" i="94"/>
  <c r="P95" i="94"/>
  <c r="J93" i="94"/>
  <c r="AF91" i="94"/>
  <c r="AF1033" i="20" s="1"/>
  <c r="AJ87" i="94"/>
  <c r="AJ1029" i="20" s="1"/>
  <c r="H87" i="94"/>
  <c r="H1029" i="20" s="1"/>
  <c r="AL85" i="94"/>
  <c r="AL1027" i="20" s="1"/>
  <c r="CT64" i="94"/>
  <c r="CT62" i="94"/>
  <c r="CT60" i="94"/>
  <c r="CT58" i="94"/>
  <c r="CT56" i="94"/>
  <c r="CT54" i="94"/>
  <c r="CT52" i="94"/>
  <c r="CT50" i="94"/>
  <c r="CT48" i="94"/>
  <c r="CT46" i="94"/>
  <c r="W88" i="94"/>
  <c r="R85" i="94"/>
  <c r="O84" i="94"/>
  <c r="O1026" i="20" s="1"/>
  <c r="T83" i="94"/>
  <c r="Y82" i="94"/>
  <c r="Q121" i="94"/>
  <c r="Q1063" i="20" s="1"/>
  <c r="Q115" i="94"/>
  <c r="Q1057" i="20" s="1"/>
  <c r="Q106" i="94"/>
  <c r="Q1048" i="20" s="1"/>
  <c r="Q101" i="94"/>
  <c r="Q1043" i="20" s="1"/>
  <c r="Q95" i="94"/>
  <c r="Q1037" i="20" s="1"/>
  <c r="Q91" i="94"/>
  <c r="Q1033" i="20" s="1"/>
  <c r="Q87" i="94"/>
  <c r="Q1029" i="20" s="1"/>
  <c r="Q83" i="94"/>
  <c r="Q1025" i="20" s="1"/>
  <c r="Q124" i="94"/>
  <c r="Q1066" i="20" s="1"/>
  <c r="Q117" i="94"/>
  <c r="Q1059" i="20" s="1"/>
  <c r="Q103" i="94"/>
  <c r="Q1045" i="20" s="1"/>
  <c r="Q85" i="94"/>
  <c r="Q1027" i="20" s="1"/>
  <c r="Q93" i="94"/>
  <c r="Q1035" i="20" s="1"/>
  <c r="Q102" i="94"/>
  <c r="Q1044" i="20" s="1"/>
  <c r="Q98" i="94"/>
  <c r="Q1040" i="20" s="1"/>
  <c r="Q89" i="94"/>
  <c r="Q1031" i="20" s="1"/>
  <c r="Q113" i="94"/>
  <c r="Q1055" i="20" s="1"/>
  <c r="Q111" i="94"/>
  <c r="Q1053" i="20" s="1"/>
  <c r="Q108" i="94"/>
  <c r="Q1050" i="20" s="1"/>
  <c r="Q94" i="94"/>
  <c r="Q1036" i="20" s="1"/>
  <c r="Q92" i="94"/>
  <c r="Q1034" i="20" s="1"/>
  <c r="Q88" i="94"/>
  <c r="Q1030" i="20" s="1"/>
  <c r="Q84" i="94"/>
  <c r="Q1026" i="20" s="1"/>
  <c r="Q81" i="94"/>
  <c r="Q1023" i="20" s="1"/>
  <c r="Q86" i="94"/>
  <c r="Q1028" i="20" s="1"/>
  <c r="Q123" i="94"/>
  <c r="Q1065" i="20" s="1"/>
  <c r="Q99" i="94"/>
  <c r="Q1041" i="20" s="1"/>
  <c r="Q119" i="94"/>
  <c r="Q1061" i="20" s="1"/>
  <c r="I121" i="94"/>
  <c r="I1063" i="20" s="1"/>
  <c r="I124" i="94"/>
  <c r="I1066" i="20" s="1"/>
  <c r="I895" i="20" s="1"/>
  <c r="I113" i="94"/>
  <c r="I1055" i="20" s="1"/>
  <c r="I106" i="94"/>
  <c r="I1048" i="20" s="1"/>
  <c r="I101" i="94"/>
  <c r="I1043" i="20" s="1"/>
  <c r="I95" i="94"/>
  <c r="I1037" i="20" s="1"/>
  <c r="I91" i="94"/>
  <c r="I1033" i="20" s="1"/>
  <c r="I87" i="94"/>
  <c r="I1029" i="20" s="1"/>
  <c r="I83" i="94"/>
  <c r="I1025" i="20" s="1"/>
  <c r="I117" i="94"/>
  <c r="I1059" i="20" s="1"/>
  <c r="I93" i="94"/>
  <c r="I1035" i="20" s="1"/>
  <c r="I102" i="94"/>
  <c r="I1044" i="20" s="1"/>
  <c r="I115" i="94"/>
  <c r="I1057" i="20" s="1"/>
  <c r="I111" i="94"/>
  <c r="I1053" i="20" s="1"/>
  <c r="I103" i="94"/>
  <c r="I1045" i="20" s="1"/>
  <c r="I108" i="94"/>
  <c r="I1050" i="20" s="1"/>
  <c r="I119" i="94"/>
  <c r="I1061" i="20" s="1"/>
  <c r="I85" i="94"/>
  <c r="I1027" i="20" s="1"/>
  <c r="I81" i="94"/>
  <c r="I86" i="94"/>
  <c r="I1028" i="20" s="1"/>
  <c r="I98" i="94"/>
  <c r="I1040" i="20" s="1"/>
  <c r="I97" i="94"/>
  <c r="I1039" i="20" s="1"/>
  <c r="I89" i="94"/>
  <c r="I1031" i="20" s="1"/>
  <c r="I94" i="94"/>
  <c r="I1036" i="20" s="1"/>
  <c r="I92" i="94"/>
  <c r="I1034" i="20" s="1"/>
  <c r="I105" i="94"/>
  <c r="I1047" i="20" s="1"/>
  <c r="V116" i="94"/>
  <c r="V109" i="94"/>
  <c r="V105" i="94"/>
  <c r="V99" i="94"/>
  <c r="V94" i="94"/>
  <c r="V90" i="94"/>
  <c r="V86" i="94"/>
  <c r="V82" i="94"/>
  <c r="V123" i="94"/>
  <c r="V114" i="94"/>
  <c r="V97" i="94"/>
  <c r="V102" i="94"/>
  <c r="V92" i="94"/>
  <c r="V84" i="94"/>
  <c r="V120" i="94"/>
  <c r="V118" i="94"/>
  <c r="V112" i="94"/>
  <c r="V107" i="94"/>
  <c r="V101" i="94"/>
  <c r="V98" i="94"/>
  <c r="V83" i="94"/>
  <c r="V124" i="94"/>
  <c r="V88" i="94"/>
  <c r="V87" i="94"/>
  <c r="V89" i="94"/>
  <c r="N118" i="94"/>
  <c r="N1060" i="20" s="1"/>
  <c r="N105" i="94"/>
  <c r="N1047" i="20" s="1"/>
  <c r="N99" i="94"/>
  <c r="N1041" i="20" s="1"/>
  <c r="N94" i="94"/>
  <c r="N1036" i="20" s="1"/>
  <c r="N90" i="94"/>
  <c r="N1032" i="20" s="1"/>
  <c r="N86" i="94"/>
  <c r="N1028" i="20" s="1"/>
  <c r="N82" i="94"/>
  <c r="N116" i="94"/>
  <c r="N1058" i="20" s="1"/>
  <c r="N107" i="94"/>
  <c r="N1049" i="20" s="1"/>
  <c r="N88" i="94"/>
  <c r="N1030" i="20" s="1"/>
  <c r="N114" i="94"/>
  <c r="N1056" i="20" s="1"/>
  <c r="N112" i="94"/>
  <c r="N1054" i="20" s="1"/>
  <c r="N896" i="20" s="1"/>
  <c r="N109" i="94"/>
  <c r="N1051" i="20" s="1"/>
  <c r="N102" i="94"/>
  <c r="N1044" i="20" s="1"/>
  <c r="N92" i="94"/>
  <c r="N1034" i="20" s="1"/>
  <c r="N97" i="94"/>
  <c r="N1039" i="20" s="1"/>
  <c r="N91" i="94"/>
  <c r="N1033" i="20" s="1"/>
  <c r="N84" i="94"/>
  <c r="N1026" i="20" s="1"/>
  <c r="N87" i="94"/>
  <c r="N1029" i="20" s="1"/>
  <c r="N123" i="94"/>
  <c r="N1065" i="20" s="1"/>
  <c r="N895" i="20" s="1"/>
  <c r="N120" i="94"/>
  <c r="N1062" i="20" s="1"/>
  <c r="N117" i="94"/>
  <c r="N1059" i="20" s="1"/>
  <c r="N98" i="94"/>
  <c r="N1040" i="20" s="1"/>
  <c r="N95" i="94"/>
  <c r="N1037" i="20" s="1"/>
  <c r="N85" i="94"/>
  <c r="N1027" i="20" s="1"/>
  <c r="CY44" i="94"/>
  <c r="AF190" i="20" s="1"/>
  <c r="CT40" i="94"/>
  <c r="CV39" i="94"/>
  <c r="CF39" i="94"/>
  <c r="M185" i="20" s="1"/>
  <c r="CT38" i="94"/>
  <c r="CV37" i="94"/>
  <c r="CF37" i="94"/>
  <c r="M183" i="20" s="1"/>
  <c r="CT36" i="94"/>
  <c r="CV35" i="94"/>
  <c r="CF35" i="94"/>
  <c r="M181" i="20" s="1"/>
  <c r="CT34" i="94"/>
  <c r="CV33" i="94"/>
  <c r="CF33" i="94"/>
  <c r="M179" i="20" s="1"/>
  <c r="CT32" i="94"/>
  <c r="CT59" i="94"/>
  <c r="CT51" i="94"/>
  <c r="DE40" i="94"/>
  <c r="AL186" i="20" s="1"/>
  <c r="BY40" i="94"/>
  <c r="F186" i="20" s="1"/>
  <c r="AI86" i="94"/>
  <c r="AI1028" i="20" s="1"/>
  <c r="CK44" i="94"/>
  <c r="CL35" i="94"/>
  <c r="CR31" i="94"/>
  <c r="CN29" i="94"/>
  <c r="U175" i="20" s="1"/>
  <c r="CB36" i="94"/>
  <c r="I182" i="20" s="1"/>
  <c r="CB42" i="94"/>
  <c r="I188" i="20" s="1"/>
  <c r="CB38" i="94"/>
  <c r="I184" i="20" s="1"/>
  <c r="CB40" i="94"/>
  <c r="I186" i="20" s="1"/>
  <c r="CB32" i="94"/>
  <c r="I178" i="20" s="1"/>
  <c r="CR63" i="94"/>
  <c r="CN62" i="94"/>
  <c r="U208" i="20" s="1"/>
  <c r="CB61" i="94"/>
  <c r="I207" i="20" s="1"/>
  <c r="DD59" i="94"/>
  <c r="AK205" i="20" s="1"/>
  <c r="DD58" i="94"/>
  <c r="AK204" i="20" s="1"/>
  <c r="CV57" i="94"/>
  <c r="CN56" i="94"/>
  <c r="U202" i="20" s="1"/>
  <c r="CF55" i="94"/>
  <c r="M201" i="20" s="1"/>
  <c r="DD53" i="94"/>
  <c r="AK199" i="20" s="1"/>
  <c r="DD52" i="94"/>
  <c r="AK198" i="20" s="1"/>
  <c r="CJ51" i="94"/>
  <c r="Q197" i="20" s="1"/>
  <c r="CJ50" i="94"/>
  <c r="Q196" i="20" s="1"/>
  <c r="CB49" i="94"/>
  <c r="I195" i="20" s="1"/>
  <c r="CN42" i="94"/>
  <c r="U188" i="20" s="1"/>
  <c r="CE41" i="94"/>
  <c r="L187" i="20" s="1"/>
  <c r="DE38" i="94"/>
  <c r="AL184" i="20" s="1"/>
  <c r="CJ36" i="94"/>
  <c r="Q182" i="20" s="1"/>
  <c r="CL31" i="94"/>
  <c r="CX29" i="94"/>
  <c r="CX43" i="94"/>
  <c r="CX63" i="94"/>
  <c r="CX61" i="94"/>
  <c r="CX59" i="94"/>
  <c r="CX57" i="94"/>
  <c r="CX55" i="94"/>
  <c r="CX53" i="94"/>
  <c r="CX51" i="94"/>
  <c r="CX49" i="94"/>
  <c r="CX47" i="94"/>
  <c r="CX39" i="94"/>
  <c r="CX31" i="94"/>
  <c r="CX33" i="94"/>
  <c r="CX41" i="94"/>
  <c r="BZ41" i="94"/>
  <c r="G187" i="20" s="1"/>
  <c r="BZ39" i="94"/>
  <c r="G185" i="20" s="1"/>
  <c r="BZ29" i="94"/>
  <c r="G175" i="20" s="1"/>
  <c r="BZ31" i="94"/>
  <c r="G177" i="20" s="1"/>
  <c r="BY32" i="94"/>
  <c r="F178" i="20" s="1"/>
  <c r="CV31" i="94"/>
  <c r="CT30" i="94"/>
  <c r="CR29" i="94"/>
  <c r="DD64" i="94"/>
  <c r="CV63" i="94"/>
  <c r="CR62" i="94"/>
  <c r="CN61" i="94"/>
  <c r="U207" i="20" s="1"/>
  <c r="CZ59" i="94"/>
  <c r="CZ58" i="94"/>
  <c r="CJ57" i="94"/>
  <c r="Q203" i="20" s="1"/>
  <c r="CJ56" i="94"/>
  <c r="Q202" i="20" s="1"/>
  <c r="CB55" i="94"/>
  <c r="I201" i="20" s="1"/>
  <c r="CR53" i="94"/>
  <c r="CR52" i="94"/>
  <c r="CN51" i="94"/>
  <c r="U197" i="20" s="1"/>
  <c r="DD49" i="94"/>
  <c r="AK195" i="20" s="1"/>
  <c r="CV64" i="94"/>
  <c r="CF60" i="94"/>
  <c r="M206" i="20" s="1"/>
  <c r="CB56" i="94"/>
  <c r="I202" i="20" s="1"/>
  <c r="DD47" i="94"/>
  <c r="AK193" i="20" s="1"/>
  <c r="CN47" i="94"/>
  <c r="U193" i="20" s="1"/>
  <c r="CX45" i="94"/>
  <c r="CR40" i="94"/>
  <c r="CF38" i="94"/>
  <c r="M184" i="20" s="1"/>
  <c r="CP37" i="94"/>
  <c r="BZ37" i="94"/>
  <c r="G183" i="20" s="1"/>
  <c r="CG34" i="94"/>
  <c r="N180" i="20" s="1"/>
  <c r="CS32" i="94"/>
  <c r="CQ31" i="94"/>
  <c r="CZ48" i="94"/>
  <c r="CJ48" i="94"/>
  <c r="Q194" i="20" s="1"/>
  <c r="CW44" i="94"/>
  <c r="AD190" i="20" s="1"/>
  <c r="CZ34" i="94"/>
  <c r="CF34" i="94"/>
  <c r="M180" i="20" s="1"/>
  <c r="BZ33" i="94"/>
  <c r="G179" i="20" s="1"/>
  <c r="CF32" i="94"/>
  <c r="M178" i="20" s="1"/>
  <c r="CW30" i="94"/>
  <c r="AD176" i="20" s="1"/>
  <c r="CC63" i="94"/>
  <c r="CC61" i="94"/>
  <c r="CC59" i="94"/>
  <c r="CC57" i="94"/>
  <c r="CC55" i="94"/>
  <c r="CC53" i="94"/>
  <c r="CC51" i="94"/>
  <c r="CC49" i="94"/>
  <c r="CC47" i="94"/>
  <c r="CC45" i="94"/>
  <c r="CC38" i="94"/>
  <c r="CC37" i="94"/>
  <c r="CC40" i="94"/>
  <c r="CC32" i="94"/>
  <c r="CC31" i="94"/>
  <c r="CC41" i="94"/>
  <c r="CC35" i="94"/>
  <c r="CC29" i="94"/>
  <c r="CC39" i="94"/>
  <c r="CC30" i="94"/>
  <c r="CC43" i="94"/>
  <c r="CC33" i="94"/>
  <c r="CC34" i="94"/>
  <c r="CV58" i="94"/>
  <c r="CF54" i="94"/>
  <c r="M200" i="20" s="1"/>
  <c r="CB50" i="94"/>
  <c r="I196" i="20" s="1"/>
  <c r="CR45" i="94"/>
  <c r="CB45" i="94"/>
  <c r="I191" i="20" s="1"/>
  <c r="CR44" i="94"/>
  <c r="DE42" i="94"/>
  <c r="AL188" i="20" s="1"/>
  <c r="CK42" i="94"/>
  <c r="DE36" i="94"/>
  <c r="AL182" i="20" s="1"/>
  <c r="CG36" i="94"/>
  <c r="N182" i="20" s="1"/>
  <c r="CT35" i="94"/>
  <c r="CR30" i="94"/>
  <c r="DC64" i="94"/>
  <c r="DC63" i="94"/>
  <c r="AJ209" i="20" s="1"/>
  <c r="DC62" i="94"/>
  <c r="AJ208" i="20" s="1"/>
  <c r="DC61" i="94"/>
  <c r="AJ207" i="20" s="1"/>
  <c r="DC60" i="94"/>
  <c r="AJ206" i="20" s="1"/>
  <c r="DC59" i="94"/>
  <c r="AJ205" i="20" s="1"/>
  <c r="DC58" i="94"/>
  <c r="AJ204" i="20" s="1"/>
  <c r="DC57" i="94"/>
  <c r="AJ203" i="20" s="1"/>
  <c r="DC56" i="94"/>
  <c r="AJ202" i="20" s="1"/>
  <c r="DC55" i="94"/>
  <c r="AJ201" i="20" s="1"/>
  <c r="DC54" i="94"/>
  <c r="AJ200" i="20" s="1"/>
  <c r="DC53" i="94"/>
  <c r="AJ199" i="20" s="1"/>
  <c r="DC52" i="94"/>
  <c r="AJ198" i="20" s="1"/>
  <c r="DC51" i="94"/>
  <c r="AJ197" i="20" s="1"/>
  <c r="DC50" i="94"/>
  <c r="AJ196" i="20" s="1"/>
  <c r="DC49" i="94"/>
  <c r="AJ195" i="20" s="1"/>
  <c r="DC48" i="94"/>
  <c r="AJ194" i="20" s="1"/>
  <c r="DC47" i="94"/>
  <c r="AJ193" i="20" s="1"/>
  <c r="DC46" i="94"/>
  <c r="AJ192" i="20" s="1"/>
  <c r="DC45" i="94"/>
  <c r="AJ191" i="20" s="1"/>
  <c r="DC44" i="94"/>
  <c r="AJ190" i="20" s="1"/>
  <c r="DC42" i="94"/>
  <c r="AJ188" i="20" s="1"/>
  <c r="DC41" i="94"/>
  <c r="AJ187" i="20" s="1"/>
  <c r="DC34" i="94"/>
  <c r="AJ180" i="20" s="1"/>
  <c r="DC36" i="94"/>
  <c r="AJ182" i="20" s="1"/>
  <c r="DC40" i="94"/>
  <c r="AJ186" i="20" s="1"/>
  <c r="DC32" i="94"/>
  <c r="AJ178" i="20" s="1"/>
  <c r="DC30" i="94"/>
  <c r="AJ176" i="20" s="1"/>
  <c r="DC38" i="94"/>
  <c r="AJ184" i="20" s="1"/>
  <c r="CQ29" i="94"/>
  <c r="CI29" i="94"/>
  <c r="CA64" i="94"/>
  <c r="CA63" i="94"/>
  <c r="H209" i="20" s="1"/>
  <c r="CA62" i="94"/>
  <c r="H208" i="20" s="1"/>
  <c r="CA61" i="94"/>
  <c r="H207" i="20" s="1"/>
  <c r="CA60" i="94"/>
  <c r="H206" i="20" s="1"/>
  <c r="CA59" i="94"/>
  <c r="H205" i="20" s="1"/>
  <c r="CA58" i="94"/>
  <c r="H204" i="20" s="1"/>
  <c r="CA57" i="94"/>
  <c r="H203" i="20" s="1"/>
  <c r="CA56" i="94"/>
  <c r="H202" i="20" s="1"/>
  <c r="CA55" i="94"/>
  <c r="H201" i="20" s="1"/>
  <c r="CA54" i="94"/>
  <c r="H200" i="20" s="1"/>
  <c r="CA53" i="94"/>
  <c r="H199" i="20" s="1"/>
  <c r="CA52" i="94"/>
  <c r="H198" i="20" s="1"/>
  <c r="CA51" i="94"/>
  <c r="H197" i="20" s="1"/>
  <c r="CA50" i="94"/>
  <c r="H196" i="20" s="1"/>
  <c r="CA49" i="94"/>
  <c r="H195" i="20" s="1"/>
  <c r="CA48" i="94"/>
  <c r="H194" i="20" s="1"/>
  <c r="CA47" i="94"/>
  <c r="H193" i="20" s="1"/>
  <c r="CA46" i="94"/>
  <c r="H192" i="20" s="1"/>
  <c r="CA45" i="94"/>
  <c r="H191" i="20" s="1"/>
  <c r="CA42" i="94"/>
  <c r="H188" i="20" s="1"/>
  <c r="CA44" i="94"/>
  <c r="H190" i="20" s="1"/>
  <c r="CA34" i="94"/>
  <c r="H180" i="20" s="1"/>
  <c r="CA36" i="94"/>
  <c r="H182" i="20" s="1"/>
  <c r="CA40" i="94"/>
  <c r="H186" i="20" s="1"/>
  <c r="CA32" i="94"/>
  <c r="H178" i="20" s="1"/>
  <c r="CA30" i="94"/>
  <c r="H176" i="20" s="1"/>
  <c r="CA38" i="94"/>
  <c r="H184" i="20" s="1"/>
  <c r="CZ46" i="94"/>
  <c r="CF46" i="94"/>
  <c r="M192" i="20" s="1"/>
  <c r="CY39" i="94"/>
  <c r="AF185" i="20" s="1"/>
  <c r="CE39" i="94"/>
  <c r="L185" i="20" s="1"/>
  <c r="CY37" i="94"/>
  <c r="AF183" i="20" s="1"/>
  <c r="CT37" i="94"/>
  <c r="DC31" i="94"/>
  <c r="AJ177" i="20" s="1"/>
  <c r="C6" i="44"/>
  <c r="C8" i="44"/>
  <c r="C17" i="44"/>
  <c r="C150" i="44" s="1"/>
  <c r="C18" i="44"/>
  <c r="C27" i="44"/>
  <c r="C22" i="44" s="1"/>
  <c r="C153" i="44" s="1"/>
  <c r="C87" i="44"/>
  <c r="C54" i="44"/>
  <c r="AN5" i="20"/>
  <c r="AA184" i="20" l="1"/>
  <c r="AA204" i="20"/>
  <c r="F1117" i="20"/>
  <c r="X1043" i="20"/>
  <c r="L179" i="20"/>
  <c r="L190" i="20"/>
  <c r="L206" i="20"/>
  <c r="K1120" i="20"/>
  <c r="X1048" i="20"/>
  <c r="L189" i="20"/>
  <c r="L192" i="20"/>
  <c r="L710" i="20" s="1"/>
  <c r="L208" i="20"/>
  <c r="L178" i="20"/>
  <c r="L194" i="20"/>
  <c r="X1045" i="20"/>
  <c r="L198" i="20"/>
  <c r="L176" i="20"/>
  <c r="L186" i="20"/>
  <c r="L202" i="20"/>
  <c r="L720" i="20" s="1"/>
  <c r="T21" i="20"/>
  <c r="T175" i="20" s="1"/>
  <c r="X1031" i="20"/>
  <c r="X1066" i="20"/>
  <c r="X895" i="20" s="1"/>
  <c r="AA176" i="20"/>
  <c r="AA206" i="20"/>
  <c r="AC1059" i="20"/>
  <c r="AA183" i="20"/>
  <c r="AA180" i="20"/>
  <c r="AA699" i="20" s="1"/>
  <c r="AA192" i="20"/>
  <c r="AA208" i="20"/>
  <c r="AA186" i="20"/>
  <c r="AA194" i="20"/>
  <c r="AA185" i="20"/>
  <c r="AA201" i="20"/>
  <c r="AA175" i="20"/>
  <c r="AA187" i="20"/>
  <c r="AA705" i="20" s="1"/>
  <c r="AA181" i="20"/>
  <c r="AA196" i="20"/>
  <c r="AA714" i="20" s="1"/>
  <c r="AA197" i="20"/>
  <c r="AA182" i="20"/>
  <c r="AA198" i="20"/>
  <c r="AA195" i="20"/>
  <c r="AA205" i="20"/>
  <c r="AA723" i="20" s="1"/>
  <c r="AA200" i="20"/>
  <c r="AA718" i="20" s="1"/>
  <c r="AA178" i="20"/>
  <c r="AA202" i="20"/>
  <c r="K1053" i="20"/>
  <c r="K1063" i="20"/>
  <c r="K1066" i="20"/>
  <c r="T1033" i="20"/>
  <c r="T1044" i="20"/>
  <c r="X1059" i="20"/>
  <c r="X894" i="20" s="1"/>
  <c r="T1024" i="20"/>
  <c r="T1061" i="20"/>
  <c r="AC1047" i="20"/>
  <c r="T1056" i="20"/>
  <c r="T1041" i="20"/>
  <c r="T1049" i="20"/>
  <c r="T1055" i="20"/>
  <c r="T1027" i="20"/>
  <c r="T1051" i="20"/>
  <c r="T1054" i="20"/>
  <c r="T896" i="20" s="1"/>
  <c r="K181" i="20"/>
  <c r="AA193" i="20"/>
  <c r="T1029" i="20"/>
  <c r="T1025" i="20"/>
  <c r="T1043" i="20"/>
  <c r="T1032" i="20"/>
  <c r="T1058" i="20"/>
  <c r="T1060" i="20"/>
  <c r="K183" i="20"/>
  <c r="K187" i="20"/>
  <c r="AA203" i="20"/>
  <c r="AA721" i="20" s="1"/>
  <c r="AA209" i="20"/>
  <c r="T1023" i="20"/>
  <c r="T897" i="20" s="1"/>
  <c r="T1062" i="20"/>
  <c r="T1026" i="20"/>
  <c r="T1065" i="20"/>
  <c r="K177" i="20"/>
  <c r="T1040" i="20"/>
  <c r="T1048" i="20"/>
  <c r="T1045" i="20"/>
  <c r="T1028" i="20"/>
  <c r="T1030" i="20"/>
  <c r="AA177" i="20"/>
  <c r="K179" i="20"/>
  <c r="T1057" i="20"/>
  <c r="T1066" i="20"/>
  <c r="AA179" i="20"/>
  <c r="P1045" i="20"/>
  <c r="P1057" i="20"/>
  <c r="P1044" i="20"/>
  <c r="T1063" i="20"/>
  <c r="T1034" i="20"/>
  <c r="K189" i="20"/>
  <c r="V21" i="20"/>
  <c r="V188" i="20" s="1"/>
  <c r="P1037" i="20"/>
  <c r="P1028" i="20"/>
  <c r="T1036" i="20"/>
  <c r="T1050" i="20"/>
  <c r="T1053" i="20"/>
  <c r="T1031" i="20"/>
  <c r="T1047" i="20"/>
  <c r="T1039" i="20"/>
  <c r="K185" i="20"/>
  <c r="K703" i="20" s="1"/>
  <c r="AB184" i="20"/>
  <c r="AB204" i="20"/>
  <c r="AB722" i="20" s="1"/>
  <c r="V1120" i="20"/>
  <c r="V1061" i="20" s="1"/>
  <c r="AB190" i="20"/>
  <c r="AB206" i="20"/>
  <c r="AB724" i="20" s="1"/>
  <c r="AB183" i="20"/>
  <c r="V194" i="20"/>
  <c r="AB192" i="20"/>
  <c r="AB208" i="20"/>
  <c r="AB726" i="20" s="1"/>
  <c r="AB175" i="20"/>
  <c r="AB194" i="20"/>
  <c r="AB189" i="20"/>
  <c r="AB707" i="20" s="1"/>
  <c r="AA1066" i="20"/>
  <c r="T183" i="20"/>
  <c r="T203" i="20"/>
  <c r="T195" i="20"/>
  <c r="AB176" i="20"/>
  <c r="AB196" i="20"/>
  <c r="AB186" i="20"/>
  <c r="AB178" i="20"/>
  <c r="AB198" i="20"/>
  <c r="AB188" i="20"/>
  <c r="AB706" i="20" s="1"/>
  <c r="S1056" i="20"/>
  <c r="AB180" i="20"/>
  <c r="AB200" i="20"/>
  <c r="AB197" i="20"/>
  <c r="AB715" i="20" s="1"/>
  <c r="AC21" i="20"/>
  <c r="AC187" i="20" s="1"/>
  <c r="C11" i="44"/>
  <c r="X21" i="20"/>
  <c r="X183" i="20" s="1"/>
  <c r="S21" i="20"/>
  <c r="S178" i="20" s="1"/>
  <c r="AB185" i="20"/>
  <c r="W1065" i="20"/>
  <c r="X195" i="20"/>
  <c r="X713" i="20" s="1"/>
  <c r="W1058" i="20"/>
  <c r="W1037" i="20"/>
  <c r="W1045" i="20"/>
  <c r="W1030" i="20"/>
  <c r="V204" i="20"/>
  <c r="V722" i="20" s="1"/>
  <c r="W1049" i="20"/>
  <c r="W1033" i="20"/>
  <c r="W1024" i="20"/>
  <c r="W1053" i="20"/>
  <c r="W1050" i="20"/>
  <c r="W1054" i="20"/>
  <c r="W896" i="20" s="1"/>
  <c r="W1028" i="20"/>
  <c r="V199" i="20"/>
  <c r="V717" i="20" s="1"/>
  <c r="X205" i="20"/>
  <c r="X723" i="20" s="1"/>
  <c r="W1026" i="20"/>
  <c r="W1025" i="20"/>
  <c r="W1047" i="20"/>
  <c r="W1059" i="20"/>
  <c r="W1057" i="20"/>
  <c r="R21" i="20"/>
  <c r="R204" i="20" s="1"/>
  <c r="R722" i="20" s="1"/>
  <c r="W1032" i="20"/>
  <c r="W1034" i="20"/>
  <c r="W1055" i="20"/>
  <c r="W1023" i="20"/>
  <c r="W897" i="20" s="1"/>
  <c r="W1063" i="20"/>
  <c r="V193" i="20"/>
  <c r="W1044" i="20"/>
  <c r="V195" i="20"/>
  <c r="V713" i="20" s="1"/>
  <c r="X191" i="20"/>
  <c r="X199" i="20"/>
  <c r="X207" i="20"/>
  <c r="W1041" i="20"/>
  <c r="W1036" i="20"/>
  <c r="W1029" i="20"/>
  <c r="W1027" i="20"/>
  <c r="W1066" i="20"/>
  <c r="X176" i="20"/>
  <c r="W1040" i="20"/>
  <c r="X175" i="20"/>
  <c r="V208" i="20"/>
  <c r="X178" i="20"/>
  <c r="X192" i="20"/>
  <c r="X200" i="20"/>
  <c r="X208" i="20"/>
  <c r="W1062" i="20"/>
  <c r="X187" i="20"/>
  <c r="W1039" i="20"/>
  <c r="W1048" i="20"/>
  <c r="W1031" i="20"/>
  <c r="X177" i="20"/>
  <c r="X184" i="20"/>
  <c r="X193" i="20"/>
  <c r="X201" i="20"/>
  <c r="X719" i="20" s="1"/>
  <c r="X209" i="20"/>
  <c r="X727" i="20" s="1"/>
  <c r="W1043" i="20"/>
  <c r="W898" i="20" s="1"/>
  <c r="W1061" i="20"/>
  <c r="W1035" i="20"/>
  <c r="AB187" i="20"/>
  <c r="AA1034" i="20"/>
  <c r="K1037" i="20"/>
  <c r="K1025" i="20"/>
  <c r="K1024" i="20"/>
  <c r="S1061" i="20"/>
  <c r="T1059" i="20"/>
  <c r="AG21" i="20"/>
  <c r="AG189" i="20" s="1"/>
  <c r="K1054" i="20"/>
  <c r="K896" i="20" s="1"/>
  <c r="K1049" i="20"/>
  <c r="K1048" i="20"/>
  <c r="S1033" i="20"/>
  <c r="K1034" i="20"/>
  <c r="K1030" i="20"/>
  <c r="K1039" i="20"/>
  <c r="K1062" i="20"/>
  <c r="S1036" i="20"/>
  <c r="N892" i="20"/>
  <c r="J1035" i="20"/>
  <c r="K1041" i="20"/>
  <c r="K1032" i="20"/>
  <c r="K1036" i="20"/>
  <c r="K1026" i="20"/>
  <c r="AA1032" i="20"/>
  <c r="AA1024" i="20"/>
  <c r="S1044" i="20"/>
  <c r="K1059" i="20"/>
  <c r="K1061" i="20"/>
  <c r="K1055" i="20"/>
  <c r="K1044" i="20"/>
  <c r="K1057" i="20"/>
  <c r="K1023" i="20"/>
  <c r="K897" i="20" s="1"/>
  <c r="K1027" i="20"/>
  <c r="R1120" i="20"/>
  <c r="R1045" i="20" s="1"/>
  <c r="S1025" i="20"/>
  <c r="P21" i="20"/>
  <c r="P190" i="20" s="1"/>
  <c r="K1035" i="20"/>
  <c r="K1040" i="20"/>
  <c r="K1045" i="20"/>
  <c r="T1035" i="20"/>
  <c r="S1057" i="20"/>
  <c r="AE1049" i="20"/>
  <c r="P1031" i="20"/>
  <c r="P1047" i="20"/>
  <c r="P1049" i="20"/>
  <c r="T193" i="20"/>
  <c r="T204" i="20"/>
  <c r="T722" i="20" s="1"/>
  <c r="T196" i="20"/>
  <c r="T714" i="20" s="1"/>
  <c r="T180" i="20"/>
  <c r="T699" i="20" s="1"/>
  <c r="P1023" i="20"/>
  <c r="AE1060" i="20"/>
  <c r="AE1025" i="20"/>
  <c r="AE1053" i="20"/>
  <c r="AE1027" i="20"/>
  <c r="AE1028" i="20"/>
  <c r="P1043" i="20"/>
  <c r="P898" i="20" s="1"/>
  <c r="P1066" i="20"/>
  <c r="P1035" i="20"/>
  <c r="P1056" i="20"/>
  <c r="P1058" i="20"/>
  <c r="T192" i="20"/>
  <c r="T710" i="20" s="1"/>
  <c r="T205" i="20"/>
  <c r="T197" i="20"/>
  <c r="T181" i="20"/>
  <c r="AE1044" i="20"/>
  <c r="AE1051" i="20"/>
  <c r="AE1032" i="20"/>
  <c r="AE1043" i="20"/>
  <c r="AE898" i="20" s="1"/>
  <c r="AE1055" i="20"/>
  <c r="AE1031" i="20"/>
  <c r="AE1061" i="20"/>
  <c r="P1025" i="20"/>
  <c r="P1032" i="20"/>
  <c r="P1062" i="20"/>
  <c r="P1065" i="20"/>
  <c r="AE1056" i="20"/>
  <c r="T182" i="20"/>
  <c r="T208" i="20"/>
  <c r="T200" i="20"/>
  <c r="T718" i="20" s="1"/>
  <c r="T179" i="20"/>
  <c r="AE1065" i="20"/>
  <c r="AE1047" i="20"/>
  <c r="AE1057" i="20"/>
  <c r="AE1035" i="20"/>
  <c r="AC1055" i="20"/>
  <c r="AC1051" i="20"/>
  <c r="AC1058" i="20"/>
  <c r="AC1027" i="20"/>
  <c r="X1050" i="20"/>
  <c r="X893" i="20" s="1"/>
  <c r="Z21" i="20"/>
  <c r="Z196" i="20" s="1"/>
  <c r="Z714" i="20" s="1"/>
  <c r="Y21" i="20"/>
  <c r="Y183" i="20" s="1"/>
  <c r="AE1023" i="20"/>
  <c r="AE897" i="20" s="1"/>
  <c r="P1024" i="20"/>
  <c r="P1041" i="20"/>
  <c r="P1026" i="20"/>
  <c r="T191" i="20"/>
  <c r="T189" i="20"/>
  <c r="T707" i="20" s="1"/>
  <c r="T202" i="20"/>
  <c r="T720" i="20" s="1"/>
  <c r="T188" i="20"/>
  <c r="T706" i="20" s="1"/>
  <c r="AE1034" i="20"/>
  <c r="AC196" i="20"/>
  <c r="AE1030" i="20"/>
  <c r="AE1063" i="20"/>
  <c r="AE1040" i="20"/>
  <c r="P1033" i="20"/>
  <c r="P1053" i="20"/>
  <c r="W21" i="20"/>
  <c r="W22" i="20" s="1"/>
  <c r="AC209" i="20"/>
  <c r="AC727" i="20" s="1"/>
  <c r="P1027" i="20"/>
  <c r="P1060" i="20"/>
  <c r="P1030" i="20"/>
  <c r="AC201" i="20"/>
  <c r="T198" i="20"/>
  <c r="T178" i="20"/>
  <c r="T206" i="20"/>
  <c r="T190" i="20"/>
  <c r="AE1041" i="20"/>
  <c r="AE1033" i="20"/>
  <c r="AE1029" i="20"/>
  <c r="AE1045" i="20"/>
  <c r="AD893" i="20"/>
  <c r="P1061" i="20"/>
  <c r="P1036" i="20"/>
  <c r="P1051" i="20"/>
  <c r="P1034" i="20"/>
  <c r="T199" i="20"/>
  <c r="T176" i="20"/>
  <c r="T207" i="20"/>
  <c r="T186" i="20"/>
  <c r="AC200" i="20"/>
  <c r="AC718" i="20" s="1"/>
  <c r="AE1039" i="20"/>
  <c r="AE1054" i="20"/>
  <c r="AE896" i="20" s="1"/>
  <c r="AE1026" i="20"/>
  <c r="AE1058" i="20"/>
  <c r="AE1048" i="20"/>
  <c r="AE1059" i="20"/>
  <c r="AC184" i="20"/>
  <c r="P1048" i="20"/>
  <c r="P1050" i="20"/>
  <c r="P1054" i="20"/>
  <c r="P896" i="20" s="1"/>
  <c r="P1039" i="20"/>
  <c r="T194" i="20"/>
  <c r="T712" i="20" s="1"/>
  <c r="T201" i="20"/>
  <c r="T719" i="20" s="1"/>
  <c r="T184" i="20"/>
  <c r="T209" i="20"/>
  <c r="T727" i="20" s="1"/>
  <c r="AE1037" i="20"/>
  <c r="AE1036" i="20"/>
  <c r="AE1050" i="20"/>
  <c r="AE1066" i="20"/>
  <c r="AD891" i="20"/>
  <c r="AC1041" i="20"/>
  <c r="AC1056" i="20"/>
  <c r="AC1048" i="20"/>
  <c r="AC1063" i="20"/>
  <c r="AE21" i="20"/>
  <c r="AE180" i="20" s="1"/>
  <c r="AH21" i="20"/>
  <c r="AH182" i="20" s="1"/>
  <c r="J1033" i="20"/>
  <c r="J1043" i="20"/>
  <c r="J898" i="20" s="1"/>
  <c r="J1044" i="20"/>
  <c r="J1060" i="20"/>
  <c r="J1062" i="20"/>
  <c r="J1036" i="20"/>
  <c r="J1065" i="20"/>
  <c r="J1061" i="20"/>
  <c r="J1063" i="20"/>
  <c r="J1055" i="20"/>
  <c r="AG206" i="20"/>
  <c r="AG724" i="20" s="1"/>
  <c r="J1031" i="20"/>
  <c r="J1066" i="20"/>
  <c r="J1058" i="20"/>
  <c r="J1039" i="20"/>
  <c r="J1024" i="20"/>
  <c r="J1041" i="20"/>
  <c r="AA1029" i="20"/>
  <c r="AA1030" i="20"/>
  <c r="AC1035" i="20"/>
  <c r="AC1050" i="20"/>
  <c r="AC1049" i="20"/>
  <c r="AC1029" i="20"/>
  <c r="J1057" i="20"/>
  <c r="V190" i="20"/>
  <c r="P1063" i="20"/>
  <c r="T177" i="20"/>
  <c r="S1066" i="20"/>
  <c r="S1053" i="20"/>
  <c r="AA1065" i="20"/>
  <c r="AA895" i="20" s="1"/>
  <c r="X1025" i="20"/>
  <c r="T185" i="20"/>
  <c r="S1040" i="20"/>
  <c r="S1037" i="20"/>
  <c r="AC1025" i="20"/>
  <c r="Y1120" i="20"/>
  <c r="Y1024" i="20" s="1"/>
  <c r="S1029" i="20"/>
  <c r="J1050" i="20"/>
  <c r="J1025" i="20"/>
  <c r="J1030" i="20"/>
  <c r="J1049" i="20"/>
  <c r="J1028" i="20"/>
  <c r="J1047" i="20"/>
  <c r="X1029" i="20"/>
  <c r="AA1026" i="20"/>
  <c r="AC1039" i="20"/>
  <c r="AC1028" i="20"/>
  <c r="AC1033" i="20"/>
  <c r="J1053" i="20"/>
  <c r="AA1061" i="20"/>
  <c r="AC1066" i="20"/>
  <c r="AC1034" i="20"/>
  <c r="AC1026" i="20"/>
  <c r="V176" i="20"/>
  <c r="AC208" i="20"/>
  <c r="AC726" i="20" s="1"/>
  <c r="AC198" i="20"/>
  <c r="AC716" i="20" s="1"/>
  <c r="S1045" i="20"/>
  <c r="S1039" i="20"/>
  <c r="S1030" i="20"/>
  <c r="AG1120" i="20"/>
  <c r="AG1039" i="20" s="1"/>
  <c r="S1023" i="20"/>
  <c r="S897" i="20" s="1"/>
  <c r="S1026" i="20"/>
  <c r="AC1030" i="20"/>
  <c r="AC1062" i="20"/>
  <c r="Z1120" i="20"/>
  <c r="Z1051" i="20" s="1"/>
  <c r="AC1065" i="20"/>
  <c r="AH1120" i="20"/>
  <c r="AH1048" i="20" s="1"/>
  <c r="AB203" i="20"/>
  <c r="AB721" i="20" s="1"/>
  <c r="J1040" i="20"/>
  <c r="J1045" i="20"/>
  <c r="J1029" i="20"/>
  <c r="J1026" i="20"/>
  <c r="J1051" i="20"/>
  <c r="J1037" i="20"/>
  <c r="J1056" i="20"/>
  <c r="J1034" i="20"/>
  <c r="J1032" i="20"/>
  <c r="J1054" i="20"/>
  <c r="J896" i="20" s="1"/>
  <c r="X1033" i="20"/>
  <c r="AA1037" i="20"/>
  <c r="AA1057" i="20"/>
  <c r="AA1041" i="20"/>
  <c r="S1048" i="20"/>
  <c r="AC1024" i="20"/>
  <c r="AE1024" i="20"/>
  <c r="AC1031" i="20"/>
  <c r="AC1036" i="20"/>
  <c r="AD892" i="20"/>
  <c r="AC1023" i="20"/>
  <c r="AC897" i="20" s="1"/>
  <c r="J1027" i="20"/>
  <c r="AC1060" i="20"/>
  <c r="AC1054" i="20"/>
  <c r="AC896" i="20" s="1"/>
  <c r="AC1040" i="20"/>
  <c r="V180" i="20"/>
  <c r="V699" i="20" s="1"/>
  <c r="K175" i="20"/>
  <c r="G22" i="20"/>
  <c r="S1027" i="20"/>
  <c r="AA1049" i="20"/>
  <c r="S1060" i="20"/>
  <c r="S1063" i="20"/>
  <c r="S1062" i="20"/>
  <c r="AC1045" i="20"/>
  <c r="S1035" i="20"/>
  <c r="S1058" i="20"/>
  <c r="AA1035" i="20"/>
  <c r="AA1063" i="20"/>
  <c r="J1048" i="20"/>
  <c r="AC1032" i="20"/>
  <c r="S1065" i="20"/>
  <c r="AA191" i="20"/>
  <c r="L193" i="20"/>
  <c r="L711" i="20" s="1"/>
  <c r="K192" i="20"/>
  <c r="K710" i="20" s="1"/>
  <c r="K196" i="20"/>
  <c r="K714" i="20" s="1"/>
  <c r="K200" i="20"/>
  <c r="K204" i="20"/>
  <c r="K722" i="20" s="1"/>
  <c r="K208" i="20"/>
  <c r="AA189" i="20"/>
  <c r="AA707" i="20" s="1"/>
  <c r="AA199" i="20"/>
  <c r="AA717" i="20" s="1"/>
  <c r="AB209" i="20"/>
  <c r="AB727" i="20" s="1"/>
  <c r="K199" i="20"/>
  <c r="K717" i="20" s="1"/>
  <c r="K207" i="20"/>
  <c r="AH210" i="20"/>
  <c r="AH33" i="20"/>
  <c r="K176" i="20"/>
  <c r="AG184" i="20"/>
  <c r="L197" i="20"/>
  <c r="L715" i="20" s="1"/>
  <c r="K193" i="20"/>
  <c r="K711" i="20" s="1"/>
  <c r="K201" i="20"/>
  <c r="K209" i="20"/>
  <c r="G895" i="20"/>
  <c r="S1055" i="20"/>
  <c r="AA1055" i="20"/>
  <c r="W1056" i="20"/>
  <c r="J1059" i="20"/>
  <c r="S1032" i="20"/>
  <c r="P210" i="20"/>
  <c r="P33" i="20"/>
  <c r="L175" i="20"/>
  <c r="AE196" i="20"/>
  <c r="AE210" i="20"/>
  <c r="AE33" i="20"/>
  <c r="W210" i="20"/>
  <c r="W33" i="20"/>
  <c r="AG210" i="20"/>
  <c r="AG33" i="20"/>
  <c r="T187" i="20"/>
  <c r="K178" i="20"/>
  <c r="AB193" i="20"/>
  <c r="AB711" i="20" s="1"/>
  <c r="Z210" i="20"/>
  <c r="Z33" i="20"/>
  <c r="J75" i="94"/>
  <c r="J20" i="20" s="1"/>
  <c r="AM74" i="94"/>
  <c r="AA207" i="20"/>
  <c r="K184" i="20"/>
  <c r="AB195" i="20"/>
  <c r="AB713" i="20" s="1"/>
  <c r="K194" i="20"/>
  <c r="K712" i="20" s="1"/>
  <c r="K198" i="20"/>
  <c r="K716" i="20" s="1"/>
  <c r="K202" i="20"/>
  <c r="K720" i="20" s="1"/>
  <c r="K206" i="20"/>
  <c r="AA188" i="20"/>
  <c r="AA706" i="20" s="1"/>
  <c r="AG207" i="20"/>
  <c r="K182" i="20"/>
  <c r="AB201" i="20"/>
  <c r="AB719" i="20" s="1"/>
  <c r="K188" i="20"/>
  <c r="K706" i="20" s="1"/>
  <c r="AA1048" i="20"/>
  <c r="AC1037" i="20"/>
  <c r="AC1061" i="20"/>
  <c r="AG176" i="20"/>
  <c r="K180" i="20"/>
  <c r="K699" i="20" s="1"/>
  <c r="AB199" i="20"/>
  <c r="AB717" i="20" s="1"/>
  <c r="K195" i="20"/>
  <c r="K713" i="20" s="1"/>
  <c r="K203" i="20"/>
  <c r="K721" i="20" s="1"/>
  <c r="AB181" i="20"/>
  <c r="X179" i="20"/>
  <c r="L201" i="20"/>
  <c r="L719" i="20" s="1"/>
  <c r="S210" i="20"/>
  <c r="S33" i="20"/>
  <c r="AB207" i="20"/>
  <c r="K197" i="20"/>
  <c r="K715" i="20" s="1"/>
  <c r="K205" i="20"/>
  <c r="K723" i="20" s="1"/>
  <c r="AL22" i="20"/>
  <c r="AL208" i="20"/>
  <c r="AC1053" i="20"/>
  <c r="AC1057" i="20"/>
  <c r="AC1044" i="20"/>
  <c r="AA210" i="20"/>
  <c r="AA33" i="20"/>
  <c r="R210" i="20"/>
  <c r="R33" i="20"/>
  <c r="K210" i="20"/>
  <c r="K33" i="20"/>
  <c r="L209" i="20"/>
  <c r="L727" i="20" s="1"/>
  <c r="T210" i="20"/>
  <c r="T33" i="20"/>
  <c r="V210" i="20"/>
  <c r="V33" i="20"/>
  <c r="AB179" i="20"/>
  <c r="K191" i="20"/>
  <c r="K186" i="20"/>
  <c r="X210" i="20"/>
  <c r="X33" i="20"/>
  <c r="AC210" i="20"/>
  <c r="AC33" i="20"/>
  <c r="Y210" i="20"/>
  <c r="Y33" i="20"/>
  <c r="AB205" i="20"/>
  <c r="AB723" i="20" s="1"/>
  <c r="W203" i="20"/>
  <c r="W721" i="20" s="1"/>
  <c r="K190" i="20"/>
  <c r="U894" i="20"/>
  <c r="S125" i="94"/>
  <c r="AL895" i="20"/>
  <c r="AD895" i="20"/>
  <c r="U893" i="20"/>
  <c r="U892" i="20"/>
  <c r="N891" i="20"/>
  <c r="M893" i="20"/>
  <c r="H894" i="20"/>
  <c r="M894" i="20"/>
  <c r="H895" i="20"/>
  <c r="AF894" i="20"/>
  <c r="AF891" i="20"/>
  <c r="O893" i="20"/>
  <c r="O894" i="20"/>
  <c r="U890" i="20"/>
  <c r="O891" i="20"/>
  <c r="AJ893" i="20"/>
  <c r="AK890" i="20"/>
  <c r="K1065" i="20"/>
  <c r="K895" i="20" s="1"/>
  <c r="U895" i="20"/>
  <c r="AF895" i="20"/>
  <c r="L891" i="20"/>
  <c r="AC1043" i="20"/>
  <c r="I891" i="20"/>
  <c r="Q895" i="20"/>
  <c r="AB895" i="20"/>
  <c r="H892" i="20"/>
  <c r="G894" i="20"/>
  <c r="F891" i="20"/>
  <c r="I893" i="20"/>
  <c r="AB894" i="20"/>
  <c r="AB893" i="20"/>
  <c r="AI892" i="20"/>
  <c r="AI898" i="20"/>
  <c r="L894" i="20"/>
  <c r="L895" i="20"/>
  <c r="AB892" i="20"/>
  <c r="AB898" i="20"/>
  <c r="AF897" i="20"/>
  <c r="AJ894" i="20"/>
  <c r="H893" i="20"/>
  <c r="M895" i="20"/>
  <c r="O898" i="20"/>
  <c r="O892" i="20"/>
  <c r="O890" i="20"/>
  <c r="O897" i="20"/>
  <c r="AJ895" i="20"/>
  <c r="AK898" i="20"/>
  <c r="AK892" i="20"/>
  <c r="AK893" i="20"/>
  <c r="L897" i="20"/>
  <c r="L890" i="20"/>
  <c r="Q892" i="20"/>
  <c r="Q898" i="20"/>
  <c r="AF893" i="20"/>
  <c r="H891" i="20"/>
  <c r="Q891" i="20"/>
  <c r="I894" i="20"/>
  <c r="Q894" i="20"/>
  <c r="M891" i="20"/>
  <c r="P897" i="20"/>
  <c r="AJ892" i="20"/>
  <c r="AJ898" i="20"/>
  <c r="AJ891" i="20"/>
  <c r="AK894" i="20"/>
  <c r="N894" i="20"/>
  <c r="AI890" i="20"/>
  <c r="AI897" i="20"/>
  <c r="M897" i="20"/>
  <c r="M890" i="20"/>
  <c r="X898" i="20"/>
  <c r="X892" i="20"/>
  <c r="AF898" i="20"/>
  <c r="AF892" i="20"/>
  <c r="AK895" i="20"/>
  <c r="N893" i="20"/>
  <c r="I892" i="20"/>
  <c r="I898" i="20"/>
  <c r="AI891" i="20"/>
  <c r="AI893" i="20"/>
  <c r="AL891" i="20"/>
  <c r="L893" i="20"/>
  <c r="AK891" i="20"/>
  <c r="AL894" i="20"/>
  <c r="AB891" i="20"/>
  <c r="M898" i="20"/>
  <c r="M892" i="20"/>
  <c r="AB897" i="20"/>
  <c r="AB890" i="20"/>
  <c r="AI894" i="20"/>
  <c r="AL893" i="20"/>
  <c r="Q893" i="20"/>
  <c r="AD894" i="20"/>
  <c r="Q897" i="20"/>
  <c r="Q890" i="20"/>
  <c r="AI895" i="20"/>
  <c r="X897" i="20"/>
  <c r="X891" i="20"/>
  <c r="AJ897" i="20"/>
  <c r="AJ890" i="20"/>
  <c r="AL892" i="20"/>
  <c r="AL898" i="20"/>
  <c r="L892" i="20"/>
  <c r="L898" i="20"/>
  <c r="AD897" i="20"/>
  <c r="AD890" i="20"/>
  <c r="J897" i="20"/>
  <c r="F894" i="20"/>
  <c r="F893" i="20"/>
  <c r="G893" i="20"/>
  <c r="G892" i="20"/>
  <c r="G898" i="20"/>
  <c r="G891" i="20"/>
  <c r="G897" i="20"/>
  <c r="G890" i="20"/>
  <c r="F892" i="20"/>
  <c r="F898" i="20"/>
  <c r="F890" i="20"/>
  <c r="F897" i="20"/>
  <c r="H22" i="20"/>
  <c r="AA22" i="20"/>
  <c r="T22" i="20"/>
  <c r="V22" i="20"/>
  <c r="AG22" i="20"/>
  <c r="AA1031" i="20"/>
  <c r="AA1056" i="20"/>
  <c r="W1060" i="20"/>
  <c r="I22" i="20"/>
  <c r="K1050" i="20"/>
  <c r="AA1050" i="20"/>
  <c r="P1029" i="20"/>
  <c r="K1047" i="20"/>
  <c r="AJ22" i="20"/>
  <c r="AC22" i="20"/>
  <c r="S1059" i="20"/>
  <c r="AA1040" i="20"/>
  <c r="S1034" i="20"/>
  <c r="AH1050" i="20"/>
  <c r="AH1037" i="20"/>
  <c r="L22" i="20"/>
  <c r="Q22" i="20"/>
  <c r="P1055" i="20"/>
  <c r="F22" i="20"/>
  <c r="M22" i="20"/>
  <c r="AA1033" i="20"/>
  <c r="K1058" i="20"/>
  <c r="AA1036" i="20"/>
  <c r="AA1051" i="20"/>
  <c r="K1029" i="20"/>
  <c r="AA1059" i="20"/>
  <c r="AA1039" i="20"/>
  <c r="AA1062" i="20"/>
  <c r="AA1028" i="20"/>
  <c r="AA1047" i="20"/>
  <c r="K1056" i="20"/>
  <c r="AF22" i="20"/>
  <c r="S1050" i="20"/>
  <c r="S1041" i="20"/>
  <c r="AA1023" i="20"/>
  <c r="AA1044" i="20"/>
  <c r="AA1054" i="20"/>
  <c r="AA896" i="20" s="1"/>
  <c r="S1051" i="20"/>
  <c r="P1059" i="20"/>
  <c r="AB22" i="20"/>
  <c r="K1043" i="20"/>
  <c r="AA1043" i="20"/>
  <c r="K1028" i="20"/>
  <c r="AE22" i="20"/>
  <c r="X22" i="20"/>
  <c r="AD22" i="20"/>
  <c r="AA1045" i="20"/>
  <c r="K1051" i="20"/>
  <c r="AA1060" i="20"/>
  <c r="S1028" i="20"/>
  <c r="S1031" i="20"/>
  <c r="S1024" i="20"/>
  <c r="K1031" i="20"/>
  <c r="AA1025" i="20"/>
  <c r="AA1058" i="20"/>
  <c r="Z1053" i="20"/>
  <c r="K1060" i="20"/>
  <c r="K1033" i="20"/>
  <c r="AA1053" i="20"/>
  <c r="U22" i="20"/>
  <c r="AA1027" i="20"/>
  <c r="S1054" i="20"/>
  <c r="S896" i="20" s="1"/>
  <c r="S1047" i="20"/>
  <c r="P1040" i="20"/>
  <c r="AK22" i="20"/>
  <c r="N22" i="20"/>
  <c r="S1043" i="20"/>
  <c r="S1049" i="20"/>
  <c r="C159" i="44"/>
  <c r="C89" i="44"/>
  <c r="C7" i="44"/>
  <c r="C53" i="44"/>
  <c r="C152" i="44"/>
  <c r="C86" i="44"/>
  <c r="C91" i="44" s="1"/>
  <c r="C92" i="44" s="1"/>
  <c r="CL65" i="94"/>
  <c r="BY65" i="94"/>
  <c r="CY65" i="94"/>
  <c r="CF65" i="94"/>
  <c r="CM65" i="94"/>
  <c r="CD65" i="94"/>
  <c r="DB65" i="94"/>
  <c r="C19" i="44"/>
  <c r="CA65" i="94"/>
  <c r="CB65" i="94"/>
  <c r="DC65" i="94"/>
  <c r="CZ65" i="94"/>
  <c r="CV65" i="94"/>
  <c r="CE65" i="94"/>
  <c r="L705" i="20"/>
  <c r="C88" i="44"/>
  <c r="C10" i="44"/>
  <c r="C12" i="44"/>
  <c r="C13" i="44" s="1"/>
  <c r="C9" i="44"/>
  <c r="C23" i="44"/>
  <c r="AD125" i="94"/>
  <c r="K125" i="94"/>
  <c r="N125" i="94"/>
  <c r="N1024" i="20"/>
  <c r="N890" i="20" s="1"/>
  <c r="V125" i="94"/>
  <c r="R125" i="94"/>
  <c r="AK125" i="94"/>
  <c r="AF125" i="94"/>
  <c r="AF1024" i="20"/>
  <c r="AF890" i="20" s="1"/>
  <c r="AL125" i="94"/>
  <c r="AL1024" i="20"/>
  <c r="AL890" i="20" s="1"/>
  <c r="AH125" i="94"/>
  <c r="F125" i="94"/>
  <c r="AA125" i="94"/>
  <c r="J125" i="94"/>
  <c r="I125" i="94"/>
  <c r="I1023" i="20"/>
  <c r="AC125" i="94"/>
  <c r="H125" i="94"/>
  <c r="H1024" i="20"/>
  <c r="H890" i="20" s="1"/>
  <c r="Z125" i="94"/>
  <c r="U125" i="94"/>
  <c r="CS65" i="94"/>
  <c r="AJ125" i="94"/>
  <c r="AB125" i="94"/>
  <c r="G125" i="94"/>
  <c r="DA65" i="94"/>
  <c r="CU65" i="94"/>
  <c r="W125" i="94"/>
  <c r="CI65" i="94"/>
  <c r="CC65" i="94"/>
  <c r="CR65" i="94"/>
  <c r="CO65" i="94"/>
  <c r="CW65" i="94"/>
  <c r="Y125" i="94"/>
  <c r="CP65" i="94"/>
  <c r="DD65" i="94"/>
  <c r="P125" i="94"/>
  <c r="CG65" i="94"/>
  <c r="CX65" i="94"/>
  <c r="CN65" i="94"/>
  <c r="AI125" i="94"/>
  <c r="CT65" i="94"/>
  <c r="DE65" i="94"/>
  <c r="X125" i="94"/>
  <c r="AG125" i="94"/>
  <c r="CQ65" i="94"/>
  <c r="BZ65" i="94"/>
  <c r="Q125" i="94"/>
  <c r="CJ65" i="94"/>
  <c r="M125" i="94"/>
  <c r="T125" i="94"/>
  <c r="O125" i="94"/>
  <c r="AE125" i="94"/>
  <c r="CK65" i="94"/>
  <c r="L125" i="94"/>
  <c r="AL729" i="20"/>
  <c r="AK729" i="20"/>
  <c r="AJ729" i="20"/>
  <c r="AI729" i="20"/>
  <c r="AH729" i="20"/>
  <c r="AG729" i="20"/>
  <c r="AF729" i="20"/>
  <c r="AE729" i="20"/>
  <c r="AD729" i="20"/>
  <c r="AC729" i="20"/>
  <c r="AB729" i="20"/>
  <c r="AA729" i="20"/>
  <c r="Z729" i="20"/>
  <c r="Y729" i="20"/>
  <c r="X729" i="20"/>
  <c r="W729" i="20"/>
  <c r="V729" i="20"/>
  <c r="U729" i="20"/>
  <c r="T729" i="20"/>
  <c r="S729" i="20"/>
  <c r="R729" i="20"/>
  <c r="Q729" i="20"/>
  <c r="P729" i="20"/>
  <c r="O729" i="20"/>
  <c r="N729" i="20"/>
  <c r="M729" i="20"/>
  <c r="L729" i="20"/>
  <c r="K729" i="20"/>
  <c r="J729" i="20"/>
  <c r="I729" i="20"/>
  <c r="H729" i="20"/>
  <c r="G729" i="20"/>
  <c r="F729" i="20"/>
  <c r="AK727" i="20"/>
  <c r="AJ727" i="20"/>
  <c r="AI727" i="20"/>
  <c r="AF727" i="20"/>
  <c r="AD727" i="20"/>
  <c r="AA727" i="20"/>
  <c r="U727" i="20"/>
  <c r="Q727" i="20"/>
  <c r="O727" i="20"/>
  <c r="N727" i="20"/>
  <c r="M727" i="20"/>
  <c r="K727" i="20"/>
  <c r="I727" i="20"/>
  <c r="H727" i="20"/>
  <c r="G727" i="20"/>
  <c r="F727" i="20"/>
  <c r="AK726" i="20"/>
  <c r="AJ726" i="20"/>
  <c r="AI726" i="20"/>
  <c r="AF726" i="20"/>
  <c r="AD726" i="20"/>
  <c r="AK724" i="20"/>
  <c r="AJ724" i="20"/>
  <c r="AI724" i="20"/>
  <c r="AF724" i="20"/>
  <c r="AD724" i="20"/>
  <c r="AA724" i="20"/>
  <c r="U724" i="20"/>
  <c r="T724" i="20"/>
  <c r="Q724" i="20"/>
  <c r="O724" i="20"/>
  <c r="N724" i="20"/>
  <c r="M724" i="20"/>
  <c r="L724" i="20"/>
  <c r="K724" i="20"/>
  <c r="I724" i="20"/>
  <c r="H724" i="20"/>
  <c r="G724" i="20"/>
  <c r="F724" i="20"/>
  <c r="AK723" i="20"/>
  <c r="AJ723" i="20"/>
  <c r="AI723" i="20"/>
  <c r="AF723" i="20"/>
  <c r="AD723" i="20"/>
  <c r="U723" i="20"/>
  <c r="T723" i="20"/>
  <c r="Q723" i="20"/>
  <c r="O723" i="20"/>
  <c r="N723" i="20"/>
  <c r="M723" i="20"/>
  <c r="L723" i="20"/>
  <c r="I723" i="20"/>
  <c r="H723" i="20"/>
  <c r="G723" i="20"/>
  <c r="F723" i="20"/>
  <c r="AK722" i="20"/>
  <c r="AJ722" i="20"/>
  <c r="AI722" i="20"/>
  <c r="AF722" i="20"/>
  <c r="AD722" i="20"/>
  <c r="AA722" i="20"/>
  <c r="U722" i="20"/>
  <c r="Q722" i="20"/>
  <c r="O722" i="20"/>
  <c r="N722" i="20"/>
  <c r="M722" i="20"/>
  <c r="L722" i="20"/>
  <c r="I722" i="20"/>
  <c r="H722" i="20"/>
  <c r="G722" i="20"/>
  <c r="F722" i="20"/>
  <c r="AK721" i="20"/>
  <c r="AJ721" i="20"/>
  <c r="AI721" i="20"/>
  <c r="AF721" i="20"/>
  <c r="AD721" i="20"/>
  <c r="U721" i="20"/>
  <c r="T721" i="20"/>
  <c r="Q721" i="20"/>
  <c r="O721" i="20"/>
  <c r="N721" i="20"/>
  <c r="M721" i="20"/>
  <c r="L721" i="20"/>
  <c r="I721" i="20"/>
  <c r="H721" i="20"/>
  <c r="G721" i="20"/>
  <c r="F721" i="20"/>
  <c r="AF720" i="20"/>
  <c r="AD720" i="20"/>
  <c r="AB720" i="20"/>
  <c r="U720" i="20"/>
  <c r="Q720" i="20"/>
  <c r="O720" i="20"/>
  <c r="N720" i="20"/>
  <c r="M720" i="20"/>
  <c r="I720" i="20"/>
  <c r="H720" i="20"/>
  <c r="G720" i="20"/>
  <c r="F720" i="20"/>
  <c r="AK719" i="20"/>
  <c r="AJ719" i="20"/>
  <c r="AI719" i="20"/>
  <c r="AF719" i="20"/>
  <c r="AD719" i="20"/>
  <c r="AC719" i="20"/>
  <c r="AA719" i="20"/>
  <c r="U719" i="20"/>
  <c r="Q719" i="20"/>
  <c r="O719" i="20"/>
  <c r="N719" i="20"/>
  <c r="M719" i="20"/>
  <c r="K719" i="20"/>
  <c r="I719" i="20"/>
  <c r="H719" i="20"/>
  <c r="G719" i="20"/>
  <c r="F719" i="20"/>
  <c r="AK718" i="20"/>
  <c r="AJ718" i="20"/>
  <c r="AI718" i="20"/>
  <c r="AF718" i="20"/>
  <c r="AD718" i="20"/>
  <c r="AB718" i="20"/>
  <c r="X718" i="20"/>
  <c r="U718" i="20"/>
  <c r="Q718" i="20"/>
  <c r="O718" i="20"/>
  <c r="N718" i="20"/>
  <c r="M718" i="20"/>
  <c r="L718" i="20"/>
  <c r="K718" i="20"/>
  <c r="I718" i="20"/>
  <c r="H718" i="20"/>
  <c r="G718" i="20"/>
  <c r="F718" i="20"/>
  <c r="AK717" i="20"/>
  <c r="AJ717" i="20"/>
  <c r="AI717" i="20"/>
  <c r="AF717" i="20"/>
  <c r="AD717" i="20"/>
  <c r="X717" i="20"/>
  <c r="U717" i="20"/>
  <c r="T717" i="20"/>
  <c r="Q717" i="20"/>
  <c r="O717" i="20"/>
  <c r="N717" i="20"/>
  <c r="M717" i="20"/>
  <c r="L717" i="20"/>
  <c r="I717" i="20"/>
  <c r="H717" i="20"/>
  <c r="G717" i="20"/>
  <c r="F717" i="20"/>
  <c r="AK716" i="20"/>
  <c r="AJ716" i="20"/>
  <c r="AI716" i="20"/>
  <c r="AF716" i="20"/>
  <c r="AD716" i="20"/>
  <c r="AB716" i="20"/>
  <c r="AA716" i="20"/>
  <c r="U716" i="20"/>
  <c r="T716" i="20"/>
  <c r="Q716" i="20"/>
  <c r="O716" i="20"/>
  <c r="N716" i="20"/>
  <c r="M716" i="20"/>
  <c r="L716" i="20"/>
  <c r="I716" i="20"/>
  <c r="H716" i="20"/>
  <c r="G716" i="20"/>
  <c r="F716" i="20"/>
  <c r="AK715" i="20"/>
  <c r="AJ715" i="20"/>
  <c r="AI715" i="20"/>
  <c r="AF715" i="20"/>
  <c r="AD715" i="20"/>
  <c r="AA715" i="20"/>
  <c r="U715" i="20"/>
  <c r="T715" i="20"/>
  <c r="Q715" i="20"/>
  <c r="O715" i="20"/>
  <c r="N715" i="20"/>
  <c r="M715" i="20"/>
  <c r="I715" i="20"/>
  <c r="H715" i="20"/>
  <c r="G715" i="20"/>
  <c r="F715" i="20"/>
  <c r="AJ714" i="20"/>
  <c r="AI714" i="20"/>
  <c r="AF714" i="20"/>
  <c r="AD714" i="20"/>
  <c r="Q714" i="20"/>
  <c r="L714" i="20"/>
  <c r="I714" i="20"/>
  <c r="G714" i="20"/>
  <c r="F714" i="20"/>
  <c r="AK713" i="20"/>
  <c r="AJ713" i="20"/>
  <c r="AI713" i="20"/>
  <c r="AF713" i="20"/>
  <c r="AD713" i="20"/>
  <c r="AA713" i="20"/>
  <c r="U713" i="20"/>
  <c r="T713" i="20"/>
  <c r="Q713" i="20"/>
  <c r="O713" i="20"/>
  <c r="N713" i="20"/>
  <c r="M713" i="20"/>
  <c r="L713" i="20"/>
  <c r="I713" i="20"/>
  <c r="H713" i="20"/>
  <c r="G713" i="20"/>
  <c r="F713" i="20"/>
  <c r="AK712" i="20"/>
  <c r="AJ712" i="20"/>
  <c r="AI712" i="20"/>
  <c r="AF712" i="20"/>
  <c r="AD712" i="20"/>
  <c r="AB712" i="20"/>
  <c r="AA712" i="20"/>
  <c r="V712" i="20"/>
  <c r="U712" i="20"/>
  <c r="Q712" i="20"/>
  <c r="O712" i="20"/>
  <c r="N712" i="20"/>
  <c r="L712" i="20"/>
  <c r="G712" i="20"/>
  <c r="F712" i="20"/>
  <c r="AK711" i="20"/>
  <c r="AJ711" i="20"/>
  <c r="AI711" i="20"/>
  <c r="AF711" i="20"/>
  <c r="AD711" i="20"/>
  <c r="AA711" i="20"/>
  <c r="X711" i="20"/>
  <c r="V711" i="20"/>
  <c r="U711" i="20"/>
  <c r="T711" i="20"/>
  <c r="Q711" i="20"/>
  <c r="O711" i="20"/>
  <c r="N711" i="20"/>
  <c r="M711" i="20"/>
  <c r="I711" i="20"/>
  <c r="H711" i="20"/>
  <c r="G711" i="20"/>
  <c r="F711" i="20"/>
  <c r="AK710" i="20"/>
  <c r="AJ710" i="20"/>
  <c r="AI710" i="20"/>
  <c r="AF710" i="20"/>
  <c r="AD710" i="20"/>
  <c r="AB710" i="20"/>
  <c r="AA710" i="20"/>
  <c r="X710" i="20"/>
  <c r="U710" i="20"/>
  <c r="Q710" i="20"/>
  <c r="O710" i="20"/>
  <c r="N710" i="20"/>
  <c r="M710" i="20"/>
  <c r="I710" i="20"/>
  <c r="H710" i="20"/>
  <c r="G710" i="20"/>
  <c r="F710" i="20"/>
  <c r="AK708" i="20"/>
  <c r="AJ708" i="20"/>
  <c r="AI708" i="20"/>
  <c r="AB708" i="20"/>
  <c r="AA708" i="20"/>
  <c r="AK707" i="20"/>
  <c r="AJ707" i="20"/>
  <c r="AI707" i="20"/>
  <c r="AG707" i="20"/>
  <c r="AF707" i="20"/>
  <c r="AD707" i="20"/>
  <c r="U707" i="20"/>
  <c r="Q707" i="20"/>
  <c r="O707" i="20"/>
  <c r="N707" i="20"/>
  <c r="M707" i="20"/>
  <c r="L707" i="20"/>
  <c r="K707" i="20"/>
  <c r="I707" i="20"/>
  <c r="H707" i="20"/>
  <c r="G707" i="20"/>
  <c r="F707" i="20"/>
  <c r="AK706" i="20"/>
  <c r="AJ706" i="20"/>
  <c r="AI706" i="20"/>
  <c r="AF706" i="20"/>
  <c r="AD706" i="20"/>
  <c r="V706" i="20"/>
  <c r="U706" i="20"/>
  <c r="Q706" i="20"/>
  <c r="O706" i="20"/>
  <c r="N706" i="20"/>
  <c r="M706" i="20"/>
  <c r="L706" i="20"/>
  <c r="I706" i="20"/>
  <c r="H706" i="20"/>
  <c r="G706" i="20"/>
  <c r="F706" i="20"/>
  <c r="AK705" i="20"/>
  <c r="AJ705" i="20"/>
  <c r="AI705" i="20"/>
  <c r="AF705" i="20"/>
  <c r="AD705" i="20"/>
  <c r="AC705" i="20"/>
  <c r="AB705" i="20"/>
  <c r="X705" i="20"/>
  <c r="U705" i="20"/>
  <c r="T705" i="20"/>
  <c r="Q705" i="20"/>
  <c r="O705" i="20"/>
  <c r="N705" i="20"/>
  <c r="M705" i="20"/>
  <c r="K705" i="20"/>
  <c r="I705" i="20"/>
  <c r="H705" i="20"/>
  <c r="G705" i="20"/>
  <c r="F705" i="20"/>
  <c r="AD704" i="20"/>
  <c r="AB704" i="20"/>
  <c r="M703" i="20"/>
  <c r="L703" i="20"/>
  <c r="I703" i="20"/>
  <c r="G703" i="20"/>
  <c r="L702" i="20"/>
  <c r="AF699" i="20"/>
  <c r="AE699" i="20"/>
  <c r="AD699" i="20"/>
  <c r="AB699" i="20"/>
  <c r="U699" i="20"/>
  <c r="Q699" i="20"/>
  <c r="O699" i="20"/>
  <c r="N699" i="20"/>
  <c r="M699" i="20"/>
  <c r="L699" i="20"/>
  <c r="I699" i="20"/>
  <c r="H699" i="20"/>
  <c r="G699" i="20"/>
  <c r="F699" i="20"/>
  <c r="AM691" i="20"/>
  <c r="AM690" i="20"/>
  <c r="AM689" i="20"/>
  <c r="AM688" i="20"/>
  <c r="AM687" i="20"/>
  <c r="AM686" i="20"/>
  <c r="AM685" i="20"/>
  <c r="AM684" i="20"/>
  <c r="AM683" i="20"/>
  <c r="AM682" i="20"/>
  <c r="AM681" i="20"/>
  <c r="AM680" i="20"/>
  <c r="AM679" i="20"/>
  <c r="AM677" i="20"/>
  <c r="AM676" i="20"/>
  <c r="AM675" i="20"/>
  <c r="AM674" i="20"/>
  <c r="AM673" i="20"/>
  <c r="AM672" i="20"/>
  <c r="AM671" i="20"/>
  <c r="AM670" i="20"/>
  <c r="AM669" i="20"/>
  <c r="AM668" i="20"/>
  <c r="AM667" i="20"/>
  <c r="AM666" i="20"/>
  <c r="AM665" i="20"/>
  <c r="AM664" i="20"/>
  <c r="AM663" i="20"/>
  <c r="AM662" i="20"/>
  <c r="AM661" i="20"/>
  <c r="AM660" i="20"/>
  <c r="AM659" i="20"/>
  <c r="AM658" i="20"/>
  <c r="AM657" i="20"/>
  <c r="AM656" i="20"/>
  <c r="AE208" i="20" l="1"/>
  <c r="AE726" i="20" s="1"/>
  <c r="V198" i="20"/>
  <c r="V716" i="20" s="1"/>
  <c r="V192" i="20"/>
  <c r="V710" i="20" s="1"/>
  <c r="Z1040" i="20"/>
  <c r="AE198" i="20"/>
  <c r="AE716" i="20" s="1"/>
  <c r="V187" i="20"/>
  <c r="V705" i="20" s="1"/>
  <c r="W182" i="20"/>
  <c r="AG180" i="20"/>
  <c r="AG699" i="20" s="1"/>
  <c r="AE188" i="20"/>
  <c r="AE706" i="20" s="1"/>
  <c r="AE184" i="20"/>
  <c r="V189" i="20"/>
  <c r="V707" i="20" s="1"/>
  <c r="V201" i="20"/>
  <c r="V719" i="20" s="1"/>
  <c r="AE186" i="20"/>
  <c r="V184" i="20"/>
  <c r="V182" i="20"/>
  <c r="V206" i="20"/>
  <c r="V724" i="20" s="1"/>
  <c r="V200" i="20"/>
  <c r="V718" i="20" s="1"/>
  <c r="X182" i="20"/>
  <c r="V203" i="20"/>
  <c r="V721" i="20" s="1"/>
  <c r="V175" i="20"/>
  <c r="W895" i="20"/>
  <c r="X190" i="20"/>
  <c r="X708" i="20" s="1"/>
  <c r="T892" i="20"/>
  <c r="X206" i="20"/>
  <c r="X724" i="20" s="1"/>
  <c r="Y1039" i="20"/>
  <c r="AG185" i="20"/>
  <c r="AC194" i="20"/>
  <c r="AC712" i="20" s="1"/>
  <c r="AC199" i="20"/>
  <c r="AC717" i="20" s="1"/>
  <c r="AG193" i="20"/>
  <c r="AG711" i="20" s="1"/>
  <c r="AC204" i="20"/>
  <c r="AC202" i="20"/>
  <c r="AC193" i="20"/>
  <c r="AC711" i="20" s="1"/>
  <c r="Z1024" i="20"/>
  <c r="Z1023" i="20"/>
  <c r="T898" i="20"/>
  <c r="AG179" i="20"/>
  <c r="AG183" i="20"/>
  <c r="AG201" i="20"/>
  <c r="AG719" i="20" s="1"/>
  <c r="AG191" i="20"/>
  <c r="AC179" i="20"/>
  <c r="AC183" i="20"/>
  <c r="X194" i="20"/>
  <c r="X712" i="20" s="1"/>
  <c r="AG177" i="20"/>
  <c r="AG181" i="20"/>
  <c r="AC197" i="20"/>
  <c r="AC715" i="20" s="1"/>
  <c r="AC195" i="20"/>
  <c r="AC713" i="20" s="1"/>
  <c r="Z1063" i="20"/>
  <c r="AG182" i="20"/>
  <c r="AC191" i="20"/>
  <c r="AG187" i="20"/>
  <c r="AG705" i="20" s="1"/>
  <c r="AG178" i="20"/>
  <c r="AC189" i="20"/>
  <c r="AC707" i="20" s="1"/>
  <c r="AC178" i="20"/>
  <c r="AG200" i="20"/>
  <c r="AG718" i="20" s="1"/>
  <c r="X180" i="20"/>
  <c r="X699" i="20" s="1"/>
  <c r="R1053" i="20"/>
  <c r="Z202" i="20"/>
  <c r="AC177" i="20"/>
  <c r="V181" i="20"/>
  <c r="V205" i="20"/>
  <c r="V723" i="20" s="1"/>
  <c r="J891" i="20"/>
  <c r="AC190" i="20"/>
  <c r="AC182" i="20"/>
  <c r="AC192" i="20"/>
  <c r="AC710" i="20" s="1"/>
  <c r="Z178" i="20"/>
  <c r="AC205" i="20"/>
  <c r="AC723" i="20" s="1"/>
  <c r="AC186" i="20"/>
  <c r="V209" i="20"/>
  <c r="V727" i="20" s="1"/>
  <c r="V185" i="20"/>
  <c r="V183" i="20"/>
  <c r="V179" i="20"/>
  <c r="Y1058" i="20"/>
  <c r="AC175" i="20"/>
  <c r="AE197" i="20"/>
  <c r="AE715" i="20" s="1"/>
  <c r="Z194" i="20"/>
  <c r="Z712" i="20" s="1"/>
  <c r="AC207" i="20"/>
  <c r="AC181" i="20"/>
  <c r="V191" i="20"/>
  <c r="V177" i="20"/>
  <c r="V178" i="20"/>
  <c r="V207" i="20"/>
  <c r="V186" i="20"/>
  <c r="Z183" i="20"/>
  <c r="AC203" i="20"/>
  <c r="AC721" i="20" s="1"/>
  <c r="AC206" i="20"/>
  <c r="AC724" i="20" s="1"/>
  <c r="AE190" i="20"/>
  <c r="AE708" i="20" s="1"/>
  <c r="R1023" i="20"/>
  <c r="R897" i="20" s="1"/>
  <c r="AE206" i="20"/>
  <c r="AE724" i="20" s="1"/>
  <c r="AE181" i="20"/>
  <c r="AE204" i="20"/>
  <c r="AG209" i="20"/>
  <c r="AG727" i="20" s="1"/>
  <c r="AG199" i="20"/>
  <c r="AG717" i="20" s="1"/>
  <c r="AG194" i="20"/>
  <c r="AG712" i="20" s="1"/>
  <c r="R1024" i="20"/>
  <c r="R1037" i="20"/>
  <c r="R1043" i="20"/>
  <c r="R898" i="20" s="1"/>
  <c r="AE202" i="20"/>
  <c r="AE720" i="20" s="1"/>
  <c r="AE200" i="20"/>
  <c r="AE718" i="20" s="1"/>
  <c r="AG202" i="20"/>
  <c r="AG720" i="20" s="1"/>
  <c r="AG195" i="20"/>
  <c r="AG713" i="20" s="1"/>
  <c r="AG188" i="20"/>
  <c r="AG706" i="20" s="1"/>
  <c r="C14" i="44"/>
  <c r="R1040" i="20"/>
  <c r="AG205" i="20"/>
  <c r="AG723" i="20" s="1"/>
  <c r="T893" i="20"/>
  <c r="T891" i="20"/>
  <c r="AE176" i="20"/>
  <c r="AE182" i="20"/>
  <c r="AE194" i="20"/>
  <c r="AE192" i="20"/>
  <c r="AE710" i="20" s="1"/>
  <c r="AG197" i="20"/>
  <c r="AG715" i="20" s="1"/>
  <c r="AG196" i="20"/>
  <c r="AG208" i="20"/>
  <c r="AG726" i="20" s="1"/>
  <c r="P895" i="20"/>
  <c r="R1031" i="20"/>
  <c r="R1061" i="20"/>
  <c r="AE178" i="20"/>
  <c r="AE183" i="20"/>
  <c r="AG175" i="20"/>
  <c r="AG203" i="20"/>
  <c r="AG721" i="20" s="1"/>
  <c r="AG186" i="20"/>
  <c r="AG198" i="20"/>
  <c r="AG716" i="20" s="1"/>
  <c r="AG192" i="20"/>
  <c r="AG710" i="20" s="1"/>
  <c r="AG204" i="20"/>
  <c r="AG722" i="20" s="1"/>
  <c r="W199" i="20"/>
  <c r="W717" i="20" s="1"/>
  <c r="W209" i="20"/>
  <c r="W727" i="20" s="1"/>
  <c r="W208" i="20"/>
  <c r="W195" i="20"/>
  <c r="W713" i="20" s="1"/>
  <c r="W206" i="20"/>
  <c r="W724" i="20" s="1"/>
  <c r="W205" i="20"/>
  <c r="W723" i="20" s="1"/>
  <c r="W191" i="20"/>
  <c r="W202" i="20"/>
  <c r="W720" i="20" s="1"/>
  <c r="W190" i="20"/>
  <c r="AC895" i="20"/>
  <c r="X197" i="20"/>
  <c r="X715" i="20" s="1"/>
  <c r="W893" i="20"/>
  <c r="V197" i="20"/>
  <c r="V715" i="20" s="1"/>
  <c r="X189" i="20"/>
  <c r="X707" i="20" s="1"/>
  <c r="W200" i="20"/>
  <c r="W718" i="20" s="1"/>
  <c r="W198" i="20"/>
  <c r="W716" i="20" s="1"/>
  <c r="W188" i="20"/>
  <c r="W706" i="20" s="1"/>
  <c r="W201" i="20"/>
  <c r="W719" i="20" s="1"/>
  <c r="W194" i="20"/>
  <c r="W712" i="20" s="1"/>
  <c r="W178" i="20"/>
  <c r="W180" i="20"/>
  <c r="W699" i="20" s="1"/>
  <c r="W187" i="20"/>
  <c r="W705" i="20" s="1"/>
  <c r="S193" i="20"/>
  <c r="S711" i="20" s="1"/>
  <c r="T890" i="20"/>
  <c r="T895" i="20"/>
  <c r="W192" i="20"/>
  <c r="W710" i="20" s="1"/>
  <c r="W186" i="20"/>
  <c r="W197" i="20"/>
  <c r="W715" i="20" s="1"/>
  <c r="W175" i="20"/>
  <c r="W176" i="20"/>
  <c r="W193" i="20"/>
  <c r="W711" i="20" s="1"/>
  <c r="Z1047" i="20"/>
  <c r="X198" i="20"/>
  <c r="X716" i="20" s="1"/>
  <c r="V196" i="20"/>
  <c r="W181" i="20"/>
  <c r="W204" i="20"/>
  <c r="W722" i="20" s="1"/>
  <c r="X185" i="20"/>
  <c r="X196" i="20"/>
  <c r="X714" i="20" s="1"/>
  <c r="W207" i="20"/>
  <c r="W184" i="20"/>
  <c r="W196" i="20"/>
  <c r="W714" i="20" s="1"/>
  <c r="AE892" i="20"/>
  <c r="X203" i="20"/>
  <c r="X721" i="20" s="1"/>
  <c r="V202" i="20"/>
  <c r="V720" i="20" s="1"/>
  <c r="V1023" i="20"/>
  <c r="V897" i="20" s="1"/>
  <c r="AC892" i="20"/>
  <c r="Z200" i="20"/>
  <c r="Z718" i="20" s="1"/>
  <c r="P176" i="20"/>
  <c r="Z181" i="20"/>
  <c r="Z187" i="20"/>
  <c r="Z705" i="20" s="1"/>
  <c r="Z177" i="20"/>
  <c r="V1044" i="20"/>
  <c r="V1034" i="20"/>
  <c r="V1031" i="20"/>
  <c r="V1025" i="20"/>
  <c r="R22" i="20"/>
  <c r="T894" i="20"/>
  <c r="S184" i="20"/>
  <c r="S182" i="20"/>
  <c r="Z209" i="20"/>
  <c r="Z727" i="20" s="1"/>
  <c r="Z190" i="20"/>
  <c r="Z708" i="20" s="1"/>
  <c r="Z198" i="20"/>
  <c r="Z716" i="20" s="1"/>
  <c r="Z180" i="20"/>
  <c r="Z699" i="20" s="1"/>
  <c r="R192" i="20"/>
  <c r="R710" i="20" s="1"/>
  <c r="S199" i="20"/>
  <c r="S717" i="20" s="1"/>
  <c r="V1043" i="20"/>
  <c r="V898" i="20" s="1"/>
  <c r="V1048" i="20"/>
  <c r="V1050" i="20"/>
  <c r="V1040" i="20"/>
  <c r="S22" i="20"/>
  <c r="Z22" i="20"/>
  <c r="S183" i="20"/>
  <c r="AG1051" i="20"/>
  <c r="Z201" i="20"/>
  <c r="Z719" i="20" s="1"/>
  <c r="Z208" i="20"/>
  <c r="P198" i="20"/>
  <c r="P716" i="20" s="1"/>
  <c r="Y185" i="20"/>
  <c r="S202" i="20"/>
  <c r="S720" i="20" s="1"/>
  <c r="S179" i="20"/>
  <c r="Z193" i="20"/>
  <c r="Z711" i="20" s="1"/>
  <c r="Z207" i="20"/>
  <c r="Z192" i="20"/>
  <c r="Z710" i="20" s="1"/>
  <c r="J895" i="20"/>
  <c r="Z204" i="20"/>
  <c r="Z722" i="20" s="1"/>
  <c r="W185" i="20"/>
  <c r="X202" i="20"/>
  <c r="X720" i="20" s="1"/>
  <c r="X186" i="20"/>
  <c r="X704" i="20" s="1"/>
  <c r="V1060" i="20"/>
  <c r="V1024" i="20"/>
  <c r="S194" i="20"/>
  <c r="S712" i="20" s="1"/>
  <c r="Z175" i="20"/>
  <c r="P194" i="20"/>
  <c r="P712" i="20" s="1"/>
  <c r="Z199" i="20"/>
  <c r="Z717" i="20" s="1"/>
  <c r="Z203" i="20"/>
  <c r="Z721" i="20" s="1"/>
  <c r="X204" i="20"/>
  <c r="X722" i="20" s="1"/>
  <c r="V1047" i="20"/>
  <c r="V1056" i="20"/>
  <c r="V1057" i="20"/>
  <c r="V1055" i="20"/>
  <c r="S200" i="20"/>
  <c r="S718" i="20" s="1"/>
  <c r="Z206" i="20"/>
  <c r="Z724" i="20" s="1"/>
  <c r="Z188" i="20"/>
  <c r="Z706" i="20" s="1"/>
  <c r="Z191" i="20"/>
  <c r="Z176" i="20"/>
  <c r="Z205" i="20"/>
  <c r="Z723" i="20" s="1"/>
  <c r="Z186" i="20"/>
  <c r="Z195" i="20"/>
  <c r="Z713" i="20" s="1"/>
  <c r="R184" i="20"/>
  <c r="V1037" i="20"/>
  <c r="S192" i="20"/>
  <c r="S710" i="20" s="1"/>
  <c r="Z189" i="20"/>
  <c r="Z707" i="20" s="1"/>
  <c r="Z197" i="20"/>
  <c r="Z715" i="20" s="1"/>
  <c r="W179" i="20"/>
  <c r="Z185" i="20"/>
  <c r="X188" i="20"/>
  <c r="X706" i="20" s="1"/>
  <c r="V1036" i="20"/>
  <c r="AH198" i="20"/>
  <c r="AH716" i="20" s="1"/>
  <c r="AE895" i="20"/>
  <c r="R209" i="20"/>
  <c r="R727" i="20" s="1"/>
  <c r="R191" i="20"/>
  <c r="V1039" i="20"/>
  <c r="AH177" i="20"/>
  <c r="R187" i="20"/>
  <c r="R705" i="20" s="1"/>
  <c r="R179" i="20"/>
  <c r="R205" i="20"/>
  <c r="R723" i="20" s="1"/>
  <c r="V1053" i="20"/>
  <c r="V1059" i="20"/>
  <c r="V1032" i="20"/>
  <c r="V1028" i="20"/>
  <c r="V1058" i="20"/>
  <c r="P180" i="20"/>
  <c r="P699" i="20" s="1"/>
  <c r="V1027" i="20"/>
  <c r="V1033" i="20"/>
  <c r="V1045" i="20"/>
  <c r="V1026" i="20"/>
  <c r="V1062" i="20"/>
  <c r="V1065" i="20"/>
  <c r="S197" i="20"/>
  <c r="S715" i="20" s="1"/>
  <c r="V1066" i="20"/>
  <c r="V1030" i="20"/>
  <c r="V1054" i="20"/>
  <c r="V896" i="20" s="1"/>
  <c r="V1051" i="20"/>
  <c r="Z179" i="20"/>
  <c r="Y194" i="20"/>
  <c r="Y712" i="20" s="1"/>
  <c r="Z182" i="20"/>
  <c r="AG190" i="20"/>
  <c r="Z184" i="20"/>
  <c r="AH179" i="20"/>
  <c r="AC188" i="20"/>
  <c r="AC706" i="20" s="1"/>
  <c r="AC180" i="20"/>
  <c r="AC176" i="20"/>
  <c r="AC185" i="20"/>
  <c r="V1041" i="20"/>
  <c r="V1063" i="20"/>
  <c r="V1029" i="20"/>
  <c r="V1035" i="20"/>
  <c r="V1049" i="20"/>
  <c r="AE893" i="20"/>
  <c r="W892" i="20"/>
  <c r="AC898" i="20"/>
  <c r="AE207" i="20"/>
  <c r="X181" i="20"/>
  <c r="AH22" i="20"/>
  <c r="J892" i="20"/>
  <c r="S176" i="20"/>
  <c r="AH188" i="20"/>
  <c r="AH706" i="20" s="1"/>
  <c r="AH190" i="20"/>
  <c r="AH708" i="20" s="1"/>
  <c r="R193" i="20"/>
  <c r="R711" i="20" s="1"/>
  <c r="R194" i="20"/>
  <c r="R189" i="20"/>
  <c r="R707" i="20" s="1"/>
  <c r="R201" i="20"/>
  <c r="R719" i="20" s="1"/>
  <c r="R181" i="20"/>
  <c r="S189" i="20"/>
  <c r="S707" i="20" s="1"/>
  <c r="AG1065" i="20"/>
  <c r="AH209" i="20"/>
  <c r="AH727" i="20" s="1"/>
  <c r="AH207" i="20"/>
  <c r="R198" i="20"/>
  <c r="R716" i="20" s="1"/>
  <c r="R178" i="20"/>
  <c r="R206" i="20"/>
  <c r="R724" i="20" s="1"/>
  <c r="R176" i="20"/>
  <c r="R197" i="20"/>
  <c r="R715" i="20" s="1"/>
  <c r="S190" i="20"/>
  <c r="S187" i="20"/>
  <c r="S705" i="20" s="1"/>
  <c r="S186" i="20"/>
  <c r="S175" i="20"/>
  <c r="AH201" i="20"/>
  <c r="AH719" i="20" s="1"/>
  <c r="AH199" i="20"/>
  <c r="AH717" i="20" s="1"/>
  <c r="R183" i="20"/>
  <c r="R200" i="20"/>
  <c r="R718" i="20" s="1"/>
  <c r="R177" i="20"/>
  <c r="S195" i="20"/>
  <c r="S713" i="20" s="1"/>
  <c r="S188" i="20"/>
  <c r="S706" i="20" s="1"/>
  <c r="S203" i="20"/>
  <c r="S721" i="20" s="1"/>
  <c r="S181" i="20"/>
  <c r="S208" i="20"/>
  <c r="S726" i="20" s="1"/>
  <c r="AH193" i="20"/>
  <c r="AH711" i="20" s="1"/>
  <c r="AH191" i="20"/>
  <c r="R182" i="20"/>
  <c r="S191" i="20"/>
  <c r="S207" i="20"/>
  <c r="S180" i="20"/>
  <c r="S699" i="20" s="1"/>
  <c r="S206" i="20"/>
  <c r="S724" i="20" s="1"/>
  <c r="S204" i="20"/>
  <c r="S722" i="20" s="1"/>
  <c r="Z1027" i="20"/>
  <c r="AH206" i="20"/>
  <c r="AH724" i="20" s="1"/>
  <c r="AH183" i="20"/>
  <c r="AH204" i="20"/>
  <c r="AH722" i="20" s="1"/>
  <c r="R190" i="20"/>
  <c r="R207" i="20"/>
  <c r="W891" i="20"/>
  <c r="S185" i="20"/>
  <c r="S209" i="20"/>
  <c r="S727" i="20" s="1"/>
  <c r="S205" i="20"/>
  <c r="S723" i="20" s="1"/>
  <c r="P891" i="20"/>
  <c r="S891" i="20"/>
  <c r="S198" i="20"/>
  <c r="S716" i="20" s="1"/>
  <c r="S196" i="20"/>
  <c r="AH187" i="20"/>
  <c r="AH705" i="20" s="1"/>
  <c r="AH184" i="20"/>
  <c r="R196" i="20"/>
  <c r="R714" i="20" s="1"/>
  <c r="R203" i="20"/>
  <c r="R721" i="20" s="1"/>
  <c r="S201" i="20"/>
  <c r="S719" i="20" s="1"/>
  <c r="S177" i="20"/>
  <c r="AC891" i="20"/>
  <c r="R1060" i="20"/>
  <c r="AH189" i="20"/>
  <c r="AH707" i="20" s="1"/>
  <c r="R1039" i="20"/>
  <c r="W890" i="20"/>
  <c r="K891" i="20"/>
  <c r="AE891" i="20"/>
  <c r="AH1033" i="20"/>
  <c r="P205" i="20"/>
  <c r="P723" i="20" s="1"/>
  <c r="P178" i="20"/>
  <c r="P209" i="20"/>
  <c r="P727" i="20" s="1"/>
  <c r="AE189" i="20"/>
  <c r="AE707" i="20" s="1"/>
  <c r="AE177" i="20"/>
  <c r="AE195" i="20"/>
  <c r="AE713" i="20" s="1"/>
  <c r="R1066" i="20"/>
  <c r="R1032" i="20"/>
  <c r="AH1032" i="20"/>
  <c r="P204" i="20"/>
  <c r="P722" i="20" s="1"/>
  <c r="P197" i="20"/>
  <c r="P715" i="20" s="1"/>
  <c r="P208" i="20"/>
  <c r="P201" i="20"/>
  <c r="P719" i="20" s="1"/>
  <c r="AE203" i="20"/>
  <c r="AE721" i="20" s="1"/>
  <c r="AE191" i="20"/>
  <c r="R1033" i="20"/>
  <c r="AH1047" i="20"/>
  <c r="P196" i="20"/>
  <c r="P714" i="20" s="1"/>
  <c r="P187" i="20"/>
  <c r="P705" i="20" s="1"/>
  <c r="P200" i="20"/>
  <c r="P718" i="20" s="1"/>
  <c r="P193" i="20"/>
  <c r="P711" i="20" s="1"/>
  <c r="AE179" i="20"/>
  <c r="R1035" i="20"/>
  <c r="P177" i="20"/>
  <c r="R1027" i="20"/>
  <c r="R202" i="20"/>
  <c r="R720" i="20" s="1"/>
  <c r="P207" i="20"/>
  <c r="P186" i="20"/>
  <c r="P192" i="20"/>
  <c r="P710" i="20" s="1"/>
  <c r="P184" i="20"/>
  <c r="R1063" i="20"/>
  <c r="P22" i="20"/>
  <c r="P199" i="20"/>
  <c r="P717" i="20" s="1"/>
  <c r="P188" i="20"/>
  <c r="P706" i="20" s="1"/>
  <c r="P203" i="20"/>
  <c r="P721" i="20" s="1"/>
  <c r="P179" i="20"/>
  <c r="AE199" i="20"/>
  <c r="AE717" i="20" s="1"/>
  <c r="R180" i="20"/>
  <c r="R699" i="20" s="1"/>
  <c r="R185" i="20"/>
  <c r="R175" i="20"/>
  <c r="P191" i="20"/>
  <c r="Z1058" i="20"/>
  <c r="P195" i="20"/>
  <c r="P713" i="20" s="1"/>
  <c r="AE185" i="20"/>
  <c r="AE175" i="20"/>
  <c r="R1049" i="20"/>
  <c r="R186" i="20"/>
  <c r="R199" i="20"/>
  <c r="R717" i="20" s="1"/>
  <c r="R195" i="20"/>
  <c r="R713" i="20" s="1"/>
  <c r="P189" i="20"/>
  <c r="P707" i="20" s="1"/>
  <c r="P202" i="20"/>
  <c r="P720" i="20" s="1"/>
  <c r="P182" i="20"/>
  <c r="P206" i="20"/>
  <c r="P724" i="20" s="1"/>
  <c r="AE205" i="20"/>
  <c r="AE723" i="20" s="1"/>
  <c r="AH194" i="20"/>
  <c r="AH712" i="20" s="1"/>
  <c r="P175" i="20"/>
  <c r="R1062" i="20"/>
  <c r="R208" i="20"/>
  <c r="R188" i="20"/>
  <c r="R706" i="20" s="1"/>
  <c r="Y178" i="20"/>
  <c r="Z1061" i="20"/>
  <c r="Y197" i="20"/>
  <c r="Y715" i="20" s="1"/>
  <c r="Y196" i="20"/>
  <c r="Y714" i="20" s="1"/>
  <c r="P183" i="20"/>
  <c r="Y204" i="20"/>
  <c r="Y722" i="20" s="1"/>
  <c r="Y188" i="20"/>
  <c r="Y706" i="20" s="1"/>
  <c r="Y181" i="20"/>
  <c r="Y191" i="20"/>
  <c r="Y202" i="20"/>
  <c r="Y720" i="20" s="1"/>
  <c r="Y208" i="20"/>
  <c r="R1036" i="20"/>
  <c r="AH1035" i="20"/>
  <c r="Y201" i="20"/>
  <c r="Y719" i="20" s="1"/>
  <c r="Y176" i="20"/>
  <c r="Y203" i="20"/>
  <c r="Y721" i="20" s="1"/>
  <c r="Y199" i="20"/>
  <c r="Y717" i="20" s="1"/>
  <c r="Y184" i="20"/>
  <c r="Y198" i="20"/>
  <c r="Y716" i="20" s="1"/>
  <c r="AH208" i="20"/>
  <c r="W177" i="20"/>
  <c r="AE894" i="20"/>
  <c r="P893" i="20"/>
  <c r="R1055" i="20"/>
  <c r="R1029" i="20"/>
  <c r="R1041" i="20"/>
  <c r="R1058" i="20"/>
  <c r="Y179" i="20"/>
  <c r="AH1025" i="20"/>
  <c r="AH1060" i="20"/>
  <c r="Y187" i="20"/>
  <c r="Y705" i="20" s="1"/>
  <c r="Y209" i="20"/>
  <c r="Y727" i="20" s="1"/>
  <c r="R1028" i="20"/>
  <c r="R1056" i="20"/>
  <c r="R1047" i="20"/>
  <c r="R1026" i="20"/>
  <c r="R1059" i="20"/>
  <c r="Y22" i="20"/>
  <c r="AE890" i="20"/>
  <c r="Y195" i="20"/>
  <c r="Y713" i="20" s="1"/>
  <c r="Y205" i="20"/>
  <c r="Y723" i="20" s="1"/>
  <c r="Y177" i="20"/>
  <c r="Y200" i="20"/>
  <c r="Y718" i="20" s="1"/>
  <c r="Y1031" i="20"/>
  <c r="Y192" i="20"/>
  <c r="Y710" i="20" s="1"/>
  <c r="Y190" i="20"/>
  <c r="Y708" i="20" s="1"/>
  <c r="Y175" i="20"/>
  <c r="W189" i="20"/>
  <c r="W707" i="20" s="1"/>
  <c r="R1054" i="20"/>
  <c r="R896" i="20" s="1"/>
  <c r="R1044" i="20"/>
  <c r="R1025" i="20"/>
  <c r="AH1029" i="20"/>
  <c r="AH1059" i="20"/>
  <c r="Y189" i="20"/>
  <c r="Y707" i="20" s="1"/>
  <c r="Y180" i="20"/>
  <c r="Y699" i="20" s="1"/>
  <c r="R1065" i="20"/>
  <c r="P181" i="20"/>
  <c r="R1048" i="20"/>
  <c r="R1034" i="20"/>
  <c r="P185" i="20"/>
  <c r="AH1051" i="20"/>
  <c r="Y207" i="20"/>
  <c r="Y193" i="20"/>
  <c r="Y711" i="20" s="1"/>
  <c r="Y182" i="20"/>
  <c r="Y206" i="20"/>
  <c r="Y724" i="20" s="1"/>
  <c r="R1050" i="20"/>
  <c r="R1030" i="20"/>
  <c r="R1057" i="20"/>
  <c r="R1051" i="20"/>
  <c r="AG1061" i="20"/>
  <c r="J893" i="20"/>
  <c r="AC893" i="20"/>
  <c r="Z1059" i="20"/>
  <c r="Y1047" i="20"/>
  <c r="Z1054" i="20"/>
  <c r="Z896" i="20" s="1"/>
  <c r="AH178" i="20"/>
  <c r="AH192" i="20"/>
  <c r="AH710" i="20" s="1"/>
  <c r="P892" i="20"/>
  <c r="S895" i="20"/>
  <c r="AH1027" i="20"/>
  <c r="Z1065" i="20"/>
  <c r="Y1023" i="20"/>
  <c r="Y897" i="20" s="1"/>
  <c r="Y1030" i="20"/>
  <c r="Z1044" i="20"/>
  <c r="Y1037" i="20"/>
  <c r="AH175" i="20"/>
  <c r="AE209" i="20"/>
  <c r="AE727" i="20" s="1"/>
  <c r="P890" i="20"/>
  <c r="AH1034" i="20"/>
  <c r="AC890" i="20"/>
  <c r="AH1039" i="20"/>
  <c r="Z1037" i="20"/>
  <c r="AH1036" i="20"/>
  <c r="AH180" i="20"/>
  <c r="AH699" i="20" s="1"/>
  <c r="AH195" i="20"/>
  <c r="AH713" i="20" s="1"/>
  <c r="AH186" i="20"/>
  <c r="AE193" i="20"/>
  <c r="AE711" i="20" s="1"/>
  <c r="J894" i="20"/>
  <c r="AH1055" i="20"/>
  <c r="AH1058" i="20"/>
  <c r="AH1040" i="20"/>
  <c r="AH196" i="20"/>
  <c r="Y1051" i="20"/>
  <c r="AH200" i="20"/>
  <c r="AH718" i="20" s="1"/>
  <c r="AE201" i="20"/>
  <c r="AE719" i="20" s="1"/>
  <c r="Y186" i="20"/>
  <c r="AC894" i="20"/>
  <c r="J890" i="20"/>
  <c r="AH1054" i="20"/>
  <c r="AH896" i="20" s="1"/>
  <c r="Y1029" i="20"/>
  <c r="AH205" i="20"/>
  <c r="AH723" i="20" s="1"/>
  <c r="AH185" i="20"/>
  <c r="AE187" i="20"/>
  <c r="AE705" i="20" s="1"/>
  <c r="Z1028" i="20"/>
  <c r="Y1034" i="20"/>
  <c r="AH176" i="20"/>
  <c r="AH181" i="20"/>
  <c r="AH197" i="20"/>
  <c r="AH715" i="20" s="1"/>
  <c r="W183" i="20"/>
  <c r="Z1039" i="20"/>
  <c r="X890" i="20"/>
  <c r="Y1050" i="20"/>
  <c r="Y1063" i="20"/>
  <c r="AH202" i="20"/>
  <c r="AH720" i="20" s="1"/>
  <c r="AH203" i="20"/>
  <c r="AH721" i="20" s="1"/>
  <c r="AG1036" i="20"/>
  <c r="AG1033" i="20"/>
  <c r="AG1050" i="20"/>
  <c r="AG1056" i="20"/>
  <c r="AG1031" i="20"/>
  <c r="AG1025" i="20"/>
  <c r="AG1066" i="20"/>
  <c r="AG895" i="20" s="1"/>
  <c r="AG1032" i="20"/>
  <c r="AG1054" i="20"/>
  <c r="AG896" i="20" s="1"/>
  <c r="AG1062" i="20"/>
  <c r="Z1035" i="20"/>
  <c r="Z1057" i="20"/>
  <c r="Z1034" i="20"/>
  <c r="AG1063" i="20"/>
  <c r="AG1034" i="20"/>
  <c r="AH1061" i="20"/>
  <c r="AH1066" i="20"/>
  <c r="AH1065" i="20"/>
  <c r="AH1041" i="20"/>
  <c r="AH1030" i="20"/>
  <c r="AH1031" i="20"/>
  <c r="AH1057" i="20"/>
  <c r="AH1053" i="20"/>
  <c r="AG1024" i="20"/>
  <c r="AH1044" i="20"/>
  <c r="Z1030" i="20"/>
  <c r="AG1027" i="20"/>
  <c r="AH1062" i="20"/>
  <c r="AH1026" i="20"/>
  <c r="Z1036" i="20"/>
  <c r="Z1055" i="20"/>
  <c r="AG1048" i="20"/>
  <c r="AG1044" i="20"/>
  <c r="AH1024" i="20"/>
  <c r="AH1056" i="20"/>
  <c r="Y1035" i="20"/>
  <c r="Y1060" i="20"/>
  <c r="Y1066" i="20"/>
  <c r="Y1059" i="20"/>
  <c r="Y1056" i="20"/>
  <c r="Y1043" i="20"/>
  <c r="Y1028" i="20"/>
  <c r="Y1041" i="20"/>
  <c r="Z1032" i="20"/>
  <c r="Z1050" i="20"/>
  <c r="Y1049" i="20"/>
  <c r="AG1049" i="20"/>
  <c r="Y1026" i="20"/>
  <c r="Z1045" i="20"/>
  <c r="AG1028" i="20"/>
  <c r="AG1047" i="20"/>
  <c r="AG1030" i="20"/>
  <c r="Z1066" i="20"/>
  <c r="W894" i="20"/>
  <c r="AG1060" i="20"/>
  <c r="Z1043" i="20"/>
  <c r="Z1048" i="20"/>
  <c r="Z1062" i="20"/>
  <c r="AG1037" i="20"/>
  <c r="AG1041" i="20"/>
  <c r="AH1043" i="20"/>
  <c r="AH1028" i="20"/>
  <c r="Z1026" i="20"/>
  <c r="AG1053" i="20"/>
  <c r="AH1045" i="20"/>
  <c r="AH1063" i="20"/>
  <c r="Z1060" i="20"/>
  <c r="Z1025" i="20"/>
  <c r="AG1029" i="20"/>
  <c r="AG1023" i="20"/>
  <c r="AG897" i="20" s="1"/>
  <c r="AG1058" i="20"/>
  <c r="AH1023" i="20"/>
  <c r="AH897" i="20" s="1"/>
  <c r="AH1049" i="20"/>
  <c r="Y1040" i="20"/>
  <c r="Y1057" i="20"/>
  <c r="Y1062" i="20"/>
  <c r="Y1055" i="20"/>
  <c r="Y1061" i="20"/>
  <c r="Y1025" i="20"/>
  <c r="Y1032" i="20"/>
  <c r="AG1055" i="20"/>
  <c r="Y1036" i="20"/>
  <c r="AG1045" i="20"/>
  <c r="AG1040" i="20"/>
  <c r="Z1029" i="20"/>
  <c r="Z1033" i="20"/>
  <c r="Z1041" i="20"/>
  <c r="Z1031" i="20"/>
  <c r="AG1057" i="20"/>
  <c r="AG1026" i="20"/>
  <c r="Y1054" i="20"/>
  <c r="Y896" i="20" s="1"/>
  <c r="Y1065" i="20"/>
  <c r="Z1056" i="20"/>
  <c r="AG1059" i="20"/>
  <c r="Y1048" i="20"/>
  <c r="Y1053" i="20"/>
  <c r="Y1027" i="20"/>
  <c r="Y1033" i="20"/>
  <c r="Y1044" i="20"/>
  <c r="Y1045" i="20"/>
  <c r="Z1049" i="20"/>
  <c r="AG1043" i="20"/>
  <c r="AG1035" i="20"/>
  <c r="J210" i="20"/>
  <c r="J33" i="20"/>
  <c r="J21" i="20"/>
  <c r="K894" i="20"/>
  <c r="AA891" i="20"/>
  <c r="K890" i="20"/>
  <c r="K893" i="20"/>
  <c r="S890" i="20"/>
  <c r="P894" i="20"/>
  <c r="S894" i="20"/>
  <c r="AA893" i="20"/>
  <c r="S892" i="20"/>
  <c r="S898" i="20"/>
  <c r="I890" i="20"/>
  <c r="I897" i="20"/>
  <c r="Z897" i="20"/>
  <c r="K898" i="20"/>
  <c r="K892" i="20"/>
  <c r="AA898" i="20"/>
  <c r="AA892" i="20"/>
  <c r="AA894" i="20"/>
  <c r="S893" i="20"/>
  <c r="AA890" i="20"/>
  <c r="AA897" i="20"/>
  <c r="C160" i="44"/>
  <c r="C151" i="44"/>
  <c r="C37" i="44"/>
  <c r="C90" i="44"/>
  <c r="C93" i="44" s="1"/>
  <c r="AM729" i="20"/>
  <c r="R895" i="20" l="1"/>
  <c r="AH893" i="20"/>
  <c r="R892" i="20"/>
  <c r="V890" i="20"/>
  <c r="V894" i="20"/>
  <c r="Z895" i="20"/>
  <c r="R891" i="20"/>
  <c r="V892" i="20"/>
  <c r="V895" i="20"/>
  <c r="V891" i="20"/>
  <c r="V893" i="20"/>
  <c r="Y891" i="20"/>
  <c r="Z891" i="20"/>
  <c r="R890" i="20"/>
  <c r="R894" i="20"/>
  <c r="AG894" i="20"/>
  <c r="R893" i="20"/>
  <c r="Z894" i="20"/>
  <c r="Z890" i="20"/>
  <c r="AG893" i="20"/>
  <c r="Y895" i="20"/>
  <c r="AG891" i="20"/>
  <c r="AH891" i="20"/>
  <c r="AH895" i="20"/>
  <c r="Y893" i="20"/>
  <c r="Y890" i="20"/>
  <c r="AG898" i="20"/>
  <c r="AG892" i="20"/>
  <c r="AH892" i="20"/>
  <c r="AH898" i="20"/>
  <c r="Z893" i="20"/>
  <c r="AH894" i="20"/>
  <c r="Z892" i="20"/>
  <c r="Z898" i="20"/>
  <c r="AG890" i="20"/>
  <c r="Y894" i="20"/>
  <c r="Y898" i="20"/>
  <c r="Y892" i="20"/>
  <c r="AH890" i="20"/>
  <c r="J194" i="20"/>
  <c r="J712" i="20" s="1"/>
  <c r="J208" i="20"/>
  <c r="J204" i="20"/>
  <c r="J722" i="20" s="1"/>
  <c r="J200" i="20"/>
  <c r="J718" i="20" s="1"/>
  <c r="J206" i="20"/>
  <c r="J724" i="20" s="1"/>
  <c r="J196" i="20"/>
  <c r="J714" i="20" s="1"/>
  <c r="J192" i="20"/>
  <c r="J710" i="20" s="1"/>
  <c r="J198" i="20"/>
  <c r="J716" i="20" s="1"/>
  <c r="J182" i="20"/>
  <c r="J202" i="20"/>
  <c r="J720" i="20" s="1"/>
  <c r="J178" i="20"/>
  <c r="J179" i="20"/>
  <c r="J189" i="20"/>
  <c r="J707" i="20" s="1"/>
  <c r="J201" i="20"/>
  <c r="J719" i="20" s="1"/>
  <c r="J187" i="20"/>
  <c r="J705" i="20" s="1"/>
  <c r="J185" i="20"/>
  <c r="J703" i="20" s="1"/>
  <c r="J205" i="20"/>
  <c r="J723" i="20" s="1"/>
  <c r="J188" i="20"/>
  <c r="J706" i="20" s="1"/>
  <c r="J199" i="20"/>
  <c r="J717" i="20" s="1"/>
  <c r="J175" i="20"/>
  <c r="J181" i="20"/>
  <c r="J209" i="20"/>
  <c r="J727" i="20" s="1"/>
  <c r="J176" i="20"/>
  <c r="J183" i="20"/>
  <c r="J177" i="20"/>
  <c r="J191" i="20"/>
  <c r="J186" i="20"/>
  <c r="J195" i="20"/>
  <c r="J713" i="20" s="1"/>
  <c r="J203" i="20"/>
  <c r="J721" i="20" s="1"/>
  <c r="J184" i="20"/>
  <c r="J22" i="20"/>
  <c r="J207" i="20"/>
  <c r="J193" i="20"/>
  <c r="J711" i="20" s="1"/>
  <c r="J180" i="20"/>
  <c r="J699" i="20" s="1"/>
  <c r="J197" i="20"/>
  <c r="J715" i="20" s="1"/>
  <c r="J190" i="20"/>
  <c r="C148" i="44"/>
  <c r="F1115" i="20"/>
  <c r="F1116" i="20" l="1"/>
  <c r="F1119" i="20"/>
  <c r="F1118" i="20"/>
  <c r="AK5" i="44" l="1"/>
  <c r="AM1395" i="20"/>
  <c r="AM1394" i="20"/>
  <c r="AM1393" i="20"/>
  <c r="AM1392" i="20"/>
  <c r="AM1391" i="20"/>
  <c r="AM1390" i="20"/>
  <c r="AM1389" i="20"/>
  <c r="AM1388" i="20"/>
  <c r="AM1387" i="20"/>
  <c r="AM1355" i="20"/>
  <c r="AM1354" i="20"/>
  <c r="AM1352" i="20"/>
  <c r="AM1351" i="20"/>
  <c r="AM1349" i="20"/>
  <c r="AM1348" i="20"/>
  <c r="AM1346" i="20"/>
  <c r="AM1345" i="20"/>
  <c r="AM1343" i="20"/>
  <c r="AM1342" i="20"/>
  <c r="AM1340" i="20"/>
  <c r="AM1339" i="20"/>
  <c r="AM1338" i="20"/>
  <c r="AM1326" i="20"/>
  <c r="AM1325" i="20"/>
  <c r="AM1324" i="20"/>
  <c r="AM1323" i="20"/>
  <c r="AM1322" i="20"/>
  <c r="AM1321" i="20"/>
  <c r="AM1310" i="20"/>
  <c r="AM1309" i="20"/>
  <c r="AM1308" i="20"/>
  <c r="AM1307" i="20"/>
  <c r="AM1306" i="20"/>
  <c r="AM1305" i="20"/>
  <c r="AM1304" i="20"/>
  <c r="AM1303" i="20"/>
  <c r="AM1302" i="20"/>
  <c r="AM1298" i="20"/>
  <c r="AM1297" i="20"/>
  <c r="AM1296" i="20"/>
  <c r="AM1295" i="20"/>
  <c r="AM1294" i="20"/>
  <c r="AM1293" i="20"/>
  <c r="AM1292" i="20"/>
  <c r="AM1291" i="20"/>
  <c r="AM1290" i="20"/>
  <c r="AM1289" i="20"/>
  <c r="AM1288" i="20"/>
  <c r="AM1287" i="20"/>
  <c r="AM1283" i="20"/>
  <c r="AM1282" i="20"/>
  <c r="AM1281" i="20"/>
  <c r="AM1280" i="20"/>
  <c r="AM1279" i="20"/>
  <c r="AM1278" i="20"/>
  <c r="AM1277" i="20"/>
  <c r="AM1276" i="20"/>
  <c r="AM1275" i="20"/>
  <c r="AM1271" i="20"/>
  <c r="AM1270" i="20"/>
  <c r="AM1269" i="20"/>
  <c r="AM1268" i="20"/>
  <c r="AM1267" i="20"/>
  <c r="AM1266" i="20"/>
  <c r="AM1265" i="20"/>
  <c r="AM1264" i="20"/>
  <c r="AM1263" i="20"/>
  <c r="AM1259" i="20"/>
  <c r="AM1258" i="20"/>
  <c r="AM1257" i="20"/>
  <c r="AM1256" i="20"/>
  <c r="AM1255" i="20"/>
  <c r="AM1254" i="20"/>
  <c r="AM1253" i="20"/>
  <c r="AM1252" i="20"/>
  <c r="AM1251" i="20"/>
  <c r="AM1205" i="20"/>
  <c r="AM1204" i="20"/>
  <c r="AM1203" i="20"/>
  <c r="AM1202" i="20"/>
  <c r="AM1201" i="20"/>
  <c r="AM1200" i="20"/>
  <c r="AM1199" i="20"/>
  <c r="AM1198" i="20"/>
  <c r="AM1197" i="20"/>
  <c r="AM1196" i="20"/>
  <c r="AM1195" i="20"/>
  <c r="AM1194" i="20"/>
  <c r="AM1193" i="20"/>
  <c r="AM1191" i="20"/>
  <c r="AM1190" i="20"/>
  <c r="AM1189" i="20"/>
  <c r="AM1188" i="20"/>
  <c r="AM1187" i="20"/>
  <c r="AM1186" i="20"/>
  <c r="AM1185" i="20"/>
  <c r="AM1184" i="20"/>
  <c r="AM1183" i="20"/>
  <c r="AM1182" i="20"/>
  <c r="AM1181" i="20"/>
  <c r="AM1180" i="20"/>
  <c r="AM1179" i="20"/>
  <c r="AM1177" i="20"/>
  <c r="AM1176" i="20"/>
  <c r="AM1175" i="20"/>
  <c r="AM1174" i="20"/>
  <c r="AM1173" i="20"/>
  <c r="AM1172" i="20"/>
  <c r="AM1171" i="20"/>
  <c r="AM1170" i="20"/>
  <c r="AM1169" i="20"/>
  <c r="AM1168" i="20"/>
  <c r="AM1167" i="20"/>
  <c r="AM1166" i="20"/>
  <c r="AM1165" i="20"/>
  <c r="AM1163" i="20"/>
  <c r="AM1162" i="20"/>
  <c r="AM1161" i="20"/>
  <c r="AM1160" i="20"/>
  <c r="AM1159" i="20"/>
  <c r="AM1158" i="20"/>
  <c r="AM1157" i="20"/>
  <c r="AM1156" i="20"/>
  <c r="AM1155" i="20"/>
  <c r="AM1154" i="20"/>
  <c r="AM1153" i="20"/>
  <c r="AM1152" i="20"/>
  <c r="AM1151" i="20"/>
  <c r="AM1149" i="20"/>
  <c r="AM1148" i="20"/>
  <c r="AM1147" i="20"/>
  <c r="AM1146" i="20"/>
  <c r="AM1145" i="20"/>
  <c r="AM1144" i="20"/>
  <c r="AM1143" i="20"/>
  <c r="AM1142" i="20"/>
  <c r="AM1141" i="20"/>
  <c r="AM1140" i="20"/>
  <c r="AM1139" i="20"/>
  <c r="AM1138" i="20"/>
  <c r="AM1137" i="20"/>
  <c r="AM1135" i="20"/>
  <c r="AM1134" i="20"/>
  <c r="AM1133" i="20"/>
  <c r="AM1132" i="20"/>
  <c r="AM1131" i="20"/>
  <c r="AM1130" i="20"/>
  <c r="AM1129" i="20"/>
  <c r="AM1128" i="20"/>
  <c r="AM1127" i="20"/>
  <c r="AM1126" i="20"/>
  <c r="AM1125" i="20"/>
  <c r="AM1124" i="20"/>
  <c r="AM1123" i="20"/>
  <c r="AM1112" i="20"/>
  <c r="AM1111" i="20"/>
  <c r="AM1109" i="20"/>
  <c r="AM1108" i="20"/>
  <c r="AM1107" i="20"/>
  <c r="AM1106" i="20"/>
  <c r="AM1105" i="20"/>
  <c r="AM1104" i="20"/>
  <c r="AM1103" i="20"/>
  <c r="AM1102" i="20"/>
  <c r="AM1101" i="20"/>
  <c r="AM1100" i="20"/>
  <c r="AM1099" i="20"/>
  <c r="AM1097" i="20"/>
  <c r="AM1096" i="20"/>
  <c r="AM1095" i="20"/>
  <c r="AM1094" i="20"/>
  <c r="AM1093" i="20"/>
  <c r="AM1091" i="20"/>
  <c r="AM1090" i="20"/>
  <c r="AM1089" i="20"/>
  <c r="AM1087" i="20"/>
  <c r="AM1086" i="20"/>
  <c r="AM1085" i="20"/>
  <c r="AM1083" i="20"/>
  <c r="AM1082" i="20"/>
  <c r="AM1081" i="20"/>
  <c r="AM1080" i="20"/>
  <c r="AM1079" i="20"/>
  <c r="AM1078" i="20"/>
  <c r="AM1077" i="20"/>
  <c r="AM1076" i="20"/>
  <c r="AM1075" i="20"/>
  <c r="AM1074" i="20"/>
  <c r="AM1073" i="20"/>
  <c r="AM1072" i="20"/>
  <c r="AM1071" i="20"/>
  <c r="AM1070" i="20"/>
  <c r="AM1069" i="20"/>
  <c r="AM1012" i="20"/>
  <c r="AM1011" i="20"/>
  <c r="AM1010" i="20"/>
  <c r="AM1009" i="20"/>
  <c r="AM1008" i="20"/>
  <c r="AM1007" i="20"/>
  <c r="AM1006" i="20"/>
  <c r="AM1005" i="20"/>
  <c r="AM1004" i="20"/>
  <c r="AM1000" i="20"/>
  <c r="AM999" i="20"/>
  <c r="AM998" i="20"/>
  <c r="AM997" i="20"/>
  <c r="AM996" i="20"/>
  <c r="AM995" i="20"/>
  <c r="AM994" i="20"/>
  <c r="AM993" i="20"/>
  <c r="AM992" i="20"/>
  <c r="AM988" i="20"/>
  <c r="AM987" i="20"/>
  <c r="AM986" i="20"/>
  <c r="AM985" i="20"/>
  <c r="AM984" i="20"/>
  <c r="AM983" i="20"/>
  <c r="AM982" i="20"/>
  <c r="AM981" i="20"/>
  <c r="AM980" i="20"/>
  <c r="AM976" i="20"/>
  <c r="AM975" i="20"/>
  <c r="AM974" i="20"/>
  <c r="AM973" i="20"/>
  <c r="AM972" i="20"/>
  <c r="AM971" i="20"/>
  <c r="AM970" i="20"/>
  <c r="AM969" i="20"/>
  <c r="AM968" i="20"/>
  <c r="AM964" i="20"/>
  <c r="AM963" i="20"/>
  <c r="AM962" i="20"/>
  <c r="AM961" i="20"/>
  <c r="AM960" i="20"/>
  <c r="AM959" i="20"/>
  <c r="AM958" i="20"/>
  <c r="AM957" i="20"/>
  <c r="AM956" i="20"/>
  <c r="AM952" i="20"/>
  <c r="AM951" i="20"/>
  <c r="AM950" i="20"/>
  <c r="AM949" i="20"/>
  <c r="AM948" i="20"/>
  <c r="AM947" i="20"/>
  <c r="AM946" i="20"/>
  <c r="AM945" i="20"/>
  <c r="AM944" i="20"/>
  <c r="AM942" i="20"/>
  <c r="AM941" i="20"/>
  <c r="AM940" i="20"/>
  <c r="AM939" i="20"/>
  <c r="AM938" i="20"/>
  <c r="AM937" i="20"/>
  <c r="AM936" i="20"/>
  <c r="AM935" i="20"/>
  <c r="AM934" i="20"/>
  <c r="AM933" i="20"/>
  <c r="AM932" i="20"/>
  <c r="AM931" i="20"/>
  <c r="AM929" i="20"/>
  <c r="AM928" i="20"/>
  <c r="AM927" i="20"/>
  <c r="AM926" i="20"/>
  <c r="AM925" i="20"/>
  <c r="AM924" i="20"/>
  <c r="AM923" i="20"/>
  <c r="AM922" i="20"/>
  <c r="AM921" i="20"/>
  <c r="AM919" i="20"/>
  <c r="AM918" i="20"/>
  <c r="AM917" i="20"/>
  <c r="AM916" i="20"/>
  <c r="AM915" i="20"/>
  <c r="AM914" i="20"/>
  <c r="AM913" i="20"/>
  <c r="AM912" i="20"/>
  <c r="AM911" i="20"/>
  <c r="AM909" i="20"/>
  <c r="AM908" i="20"/>
  <c r="AM907" i="20"/>
  <c r="AM906" i="20"/>
  <c r="AM905" i="20"/>
  <c r="AM904" i="20"/>
  <c r="AM903" i="20"/>
  <c r="AM902" i="20"/>
  <c r="AM901" i="20"/>
  <c r="AM898" i="20"/>
  <c r="AM896" i="20"/>
  <c r="AM895" i="20"/>
  <c r="AM894" i="20"/>
  <c r="AM893" i="20"/>
  <c r="AM892" i="20"/>
  <c r="AM891" i="20"/>
  <c r="AM885" i="20"/>
  <c r="AM837" i="20"/>
  <c r="AM836" i="20"/>
  <c r="AM835" i="20"/>
  <c r="AM834" i="20"/>
  <c r="AM833" i="20"/>
  <c r="AM832" i="20"/>
  <c r="AM831" i="20"/>
  <c r="AM830" i="20"/>
  <c r="AM829" i="20"/>
  <c r="AM828" i="20"/>
  <c r="AM827" i="20"/>
  <c r="AM826" i="20"/>
  <c r="AM825" i="20"/>
  <c r="AM824" i="20"/>
  <c r="AM823" i="20"/>
  <c r="AM822" i="20"/>
  <c r="AM821" i="20"/>
  <c r="AM820" i="20"/>
  <c r="AM819" i="20"/>
  <c r="AM818" i="20"/>
  <c r="AM817" i="20"/>
  <c r="AM816" i="20"/>
  <c r="AM815" i="20"/>
  <c r="AM814" i="20"/>
  <c r="AM813" i="20"/>
  <c r="AM812" i="20"/>
  <c r="AM811" i="20"/>
  <c r="AM810" i="20"/>
  <c r="AM809" i="20"/>
  <c r="AM808" i="20"/>
  <c r="AM807" i="20"/>
  <c r="AM806" i="20"/>
  <c r="AM805" i="20"/>
  <c r="AM804" i="20"/>
  <c r="AM803" i="20"/>
  <c r="AM802" i="20"/>
  <c r="AM764" i="20"/>
  <c r="AM763" i="20"/>
  <c r="AM762" i="20"/>
  <c r="AM761" i="20"/>
  <c r="AM760" i="20"/>
  <c r="AM759" i="20"/>
  <c r="AM758" i="20"/>
  <c r="AM757" i="20"/>
  <c r="AM756" i="20"/>
  <c r="AM755" i="20"/>
  <c r="AM754" i="20"/>
  <c r="AM753" i="20"/>
  <c r="AM752" i="20"/>
  <c r="AM751" i="20"/>
  <c r="AM750" i="20"/>
  <c r="AM749" i="20"/>
  <c r="AM748" i="20"/>
  <c r="AM747" i="20"/>
  <c r="AM746" i="20"/>
  <c r="AM745" i="20"/>
  <c r="AM744" i="20"/>
  <c r="AM743" i="20"/>
  <c r="AM742" i="20"/>
  <c r="AM741" i="20"/>
  <c r="AM740" i="20"/>
  <c r="AM739" i="20"/>
  <c r="AM738" i="20"/>
  <c r="AM737" i="20"/>
  <c r="AM736" i="20"/>
  <c r="AM735" i="20"/>
  <c r="AM581" i="20"/>
  <c r="AM580" i="20"/>
  <c r="AM579" i="20"/>
  <c r="AM578" i="20"/>
  <c r="AM577" i="20"/>
  <c r="AM576" i="20"/>
  <c r="AM573" i="20"/>
  <c r="AM572" i="20"/>
  <c r="AM571" i="20"/>
  <c r="AM570" i="20"/>
  <c r="AM569" i="20"/>
  <c r="AM568" i="20"/>
  <c r="AM489" i="20"/>
  <c r="AM488" i="20"/>
  <c r="AM487" i="20"/>
  <c r="AM486" i="20"/>
  <c r="AM485" i="20"/>
  <c r="AM484" i="20"/>
  <c r="AM483" i="20"/>
  <c r="AM482" i="20"/>
  <c r="AM481" i="20"/>
  <c r="AM480" i="20"/>
  <c r="AM479" i="20"/>
  <c r="AM478" i="20"/>
  <c r="AM477" i="20"/>
  <c r="AM476" i="20"/>
  <c r="AM475" i="20"/>
  <c r="AM474" i="20"/>
  <c r="AM473" i="20"/>
  <c r="AM472" i="20"/>
  <c r="AM471" i="20"/>
  <c r="AM470" i="20"/>
  <c r="AM469" i="20"/>
  <c r="AM468" i="20"/>
  <c r="AM467" i="20"/>
  <c r="AM466" i="20"/>
  <c r="AM465" i="20"/>
  <c r="AM464" i="20"/>
  <c r="AM463" i="20"/>
  <c r="AM462" i="20"/>
  <c r="AM461" i="20"/>
  <c r="AM459" i="20"/>
  <c r="AM458" i="20"/>
  <c r="AM457" i="20"/>
  <c r="AM456" i="20"/>
  <c r="AM455" i="20"/>
  <c r="AM454" i="20"/>
  <c r="AM453" i="20"/>
  <c r="AM450" i="20"/>
  <c r="AM449" i="20"/>
  <c r="AM448" i="20"/>
  <c r="AM447" i="20"/>
  <c r="AM446" i="20"/>
  <c r="AM445" i="20"/>
  <c r="AM444" i="20"/>
  <c r="AM443" i="20"/>
  <c r="AM442" i="20"/>
  <c r="AM441" i="20"/>
  <c r="AM440" i="20"/>
  <c r="AM439" i="20"/>
  <c r="AM438" i="20"/>
  <c r="AM437" i="20"/>
  <c r="AM436" i="20"/>
  <c r="AM435" i="20"/>
  <c r="AM434" i="20"/>
  <c r="AM433" i="20"/>
  <c r="AM432" i="20"/>
  <c r="AM431" i="20"/>
  <c r="AM430" i="20"/>
  <c r="AM429" i="20"/>
  <c r="AM428" i="20"/>
  <c r="AM427" i="20"/>
  <c r="AM426" i="20"/>
  <c r="AM425" i="20"/>
  <c r="AM424" i="20"/>
  <c r="AM423" i="20"/>
  <c r="AM422" i="20"/>
  <c r="AM420" i="20"/>
  <c r="AM419" i="20"/>
  <c r="AM418" i="20"/>
  <c r="AM417" i="20"/>
  <c r="AM416" i="20"/>
  <c r="AM415" i="20"/>
  <c r="AM414" i="20"/>
  <c r="AM411" i="20"/>
  <c r="AM410" i="20"/>
  <c r="AM409" i="20"/>
  <c r="AM408" i="20"/>
  <c r="AM407" i="20"/>
  <c r="AM406" i="20"/>
  <c r="AM405" i="20"/>
  <c r="AM404" i="20"/>
  <c r="AM403" i="20"/>
  <c r="AM402" i="20"/>
  <c r="AM401" i="20"/>
  <c r="AM400" i="20"/>
  <c r="AM399" i="20"/>
  <c r="AM398" i="20"/>
  <c r="AM397" i="20"/>
  <c r="AM396" i="20"/>
  <c r="AM395" i="20"/>
  <c r="AM394" i="20"/>
  <c r="AM393" i="20"/>
  <c r="AM392" i="20"/>
  <c r="AM391" i="20"/>
  <c r="AM390" i="20"/>
  <c r="AM389" i="20"/>
  <c r="AM388" i="20"/>
  <c r="AM387" i="20"/>
  <c r="AM386" i="20"/>
  <c r="AM385" i="20"/>
  <c r="AM384" i="20"/>
  <c r="AM383" i="20"/>
  <c r="AM381" i="20"/>
  <c r="AM380" i="20"/>
  <c r="AM379" i="20"/>
  <c r="AM378" i="20"/>
  <c r="AM377" i="20"/>
  <c r="AM376" i="20"/>
  <c r="AM375" i="20"/>
  <c r="AM372" i="20"/>
  <c r="AM371" i="20"/>
  <c r="AM370" i="20"/>
  <c r="AM369" i="20"/>
  <c r="AM368" i="20"/>
  <c r="AM367" i="20"/>
  <c r="AM366" i="20"/>
  <c r="AM365" i="20"/>
  <c r="AM364" i="20"/>
  <c r="AM363" i="20"/>
  <c r="AM362" i="20"/>
  <c r="AM361" i="20"/>
  <c r="AM360" i="20"/>
  <c r="AM359" i="20"/>
  <c r="AM358" i="20"/>
  <c r="AM357" i="20"/>
  <c r="AM356" i="20"/>
  <c r="AM355" i="20"/>
  <c r="AM354" i="20"/>
  <c r="AM353" i="20"/>
  <c r="AM352" i="20"/>
  <c r="AM351" i="20"/>
  <c r="AM350" i="20"/>
  <c r="AM349" i="20"/>
  <c r="AM348" i="20"/>
  <c r="AM347" i="20"/>
  <c r="AM346" i="20"/>
  <c r="AM345" i="20"/>
  <c r="AM344" i="20"/>
  <c r="AM342" i="20"/>
  <c r="AM341" i="20"/>
  <c r="AM340" i="20"/>
  <c r="AM339" i="20"/>
  <c r="AM338" i="20"/>
  <c r="AM337" i="20"/>
  <c r="AM336" i="20"/>
  <c r="AM286" i="20"/>
  <c r="AM285" i="20"/>
  <c r="AM284" i="20"/>
  <c r="AM283" i="20"/>
  <c r="AM282" i="20"/>
  <c r="AM281" i="20"/>
  <c r="AM280" i="20"/>
  <c r="AM279" i="20"/>
  <c r="AM278" i="20"/>
  <c r="AM277" i="20"/>
  <c r="AM276" i="20"/>
  <c r="AM275" i="20"/>
  <c r="AM274" i="20"/>
  <c r="AM273" i="20"/>
  <c r="AM272" i="20"/>
  <c r="AM271" i="20"/>
  <c r="AM270" i="20"/>
  <c r="AM269" i="20"/>
  <c r="AM268" i="20"/>
  <c r="AM267" i="20"/>
  <c r="AM266" i="20"/>
  <c r="AM265" i="20"/>
  <c r="AM264" i="20"/>
  <c r="AM263" i="20"/>
  <c r="AM262" i="20"/>
  <c r="AM261" i="20"/>
  <c r="AM260" i="20"/>
  <c r="AM259" i="20"/>
  <c r="AM258" i="20"/>
  <c r="AM257" i="20"/>
  <c r="AM256" i="20"/>
  <c r="AM255" i="20"/>
  <c r="AM254" i="20"/>
  <c r="AM253" i="20"/>
  <c r="AM252" i="20"/>
  <c r="AM251" i="20"/>
  <c r="AM250" i="20"/>
  <c r="AM249" i="20"/>
  <c r="AM248" i="20"/>
  <c r="AM247" i="20"/>
  <c r="AM246" i="20"/>
  <c r="AM245" i="20"/>
  <c r="AM244" i="20"/>
  <c r="AM243" i="20"/>
  <c r="AM242" i="20"/>
  <c r="AM241" i="20"/>
  <c r="AM240" i="20"/>
  <c r="AM239" i="20"/>
  <c r="AM238" i="20"/>
  <c r="AM237" i="20"/>
  <c r="AM236" i="20"/>
  <c r="AM235" i="20"/>
  <c r="AM234" i="20"/>
  <c r="AM233" i="20"/>
  <c r="AM232" i="20"/>
  <c r="AM231" i="20"/>
  <c r="AM230" i="20"/>
  <c r="AM229" i="20"/>
  <c r="AM228" i="20"/>
  <c r="AM227" i="20"/>
  <c r="AM226" i="20"/>
  <c r="AM225" i="20"/>
  <c r="AM224" i="20"/>
  <c r="AM223" i="20"/>
  <c r="AM222" i="20"/>
  <c r="AM221" i="20"/>
  <c r="AM220" i="20"/>
  <c r="AM219" i="20"/>
  <c r="AM218" i="20"/>
  <c r="AM217" i="20"/>
  <c r="AM216" i="20"/>
  <c r="AM215" i="20"/>
  <c r="AM214" i="20"/>
  <c r="AM213" i="20"/>
  <c r="AM86" i="20"/>
  <c r="AM85" i="20"/>
  <c r="AM84" i="20"/>
  <c r="AM83" i="20"/>
  <c r="AM82" i="20"/>
  <c r="AM81" i="20"/>
  <c r="AM80" i="20"/>
  <c r="AM79" i="20"/>
  <c r="AM78" i="20"/>
  <c r="AM77" i="20"/>
  <c r="AM76" i="20"/>
  <c r="AM75" i="20"/>
  <c r="AM74" i="20"/>
  <c r="AM73" i="20"/>
  <c r="AM72" i="20"/>
  <c r="AM71" i="20"/>
  <c r="AM70" i="20"/>
  <c r="AM69" i="20"/>
  <c r="AM68" i="20"/>
  <c r="AM67" i="20"/>
  <c r="AM66" i="20"/>
  <c r="AM65" i="20"/>
  <c r="AM64" i="20"/>
  <c r="AM63" i="20"/>
  <c r="AM62" i="20"/>
  <c r="AM61" i="20"/>
  <c r="AM60" i="20"/>
  <c r="AM59" i="20"/>
  <c r="AM58" i="20"/>
  <c r="AM57" i="20"/>
  <c r="AM56" i="20"/>
  <c r="AM55" i="20"/>
  <c r="AM54" i="20"/>
  <c r="AM53" i="20"/>
  <c r="AM47" i="20"/>
  <c r="AM46" i="20"/>
  <c r="AM45" i="20"/>
  <c r="AM44" i="20"/>
  <c r="AM39" i="20"/>
  <c r="AM35" i="20"/>
  <c r="AM34" i="20"/>
  <c r="AM29" i="20"/>
  <c r="AM28" i="20"/>
  <c r="AM27" i="20"/>
  <c r="AM25" i="20"/>
  <c r="AM22" i="20"/>
  <c r="AM21" i="20"/>
  <c r="AM20" i="20"/>
  <c r="AM33" i="20" s="1"/>
  <c r="AM13" i="20"/>
  <c r="AM12" i="20"/>
  <c r="AM11" i="20"/>
  <c r="AM10" i="20"/>
  <c r="AM9" i="20"/>
  <c r="AM8" i="20"/>
  <c r="AN11" i="20" l="1"/>
  <c r="AM1272" i="20"/>
  <c r="AM1273" i="20" s="1"/>
  <c r="AM965" i="20"/>
  <c r="AM977" i="20"/>
  <c r="AM978" i="20" s="1"/>
  <c r="AM1299" i="20"/>
  <c r="AM1300" i="20" s="1"/>
  <c r="AM989" i="20"/>
  <c r="AM990" i="20" s="1"/>
  <c r="AM1001" i="20"/>
  <c r="AM1002" i="20" s="1"/>
  <c r="AM1013" i="20"/>
  <c r="AM1014" i="20" s="1"/>
  <c r="AM1284" i="20"/>
  <c r="AM1285" i="20" s="1"/>
  <c r="AM1311" i="20"/>
  <c r="AM1312" i="20" s="1"/>
  <c r="AM966" i="20"/>
  <c r="AM1260" i="20"/>
  <c r="AM1261" i="20" s="1"/>
  <c r="AL618" i="20" l="1"/>
  <c r="AK618" i="20"/>
  <c r="AJ618" i="20"/>
  <c r="AI618" i="20"/>
  <c r="AH618" i="20"/>
  <c r="AG618" i="20"/>
  <c r="AF618" i="20"/>
  <c r="AE618" i="20"/>
  <c r="AD618" i="20"/>
  <c r="AC618" i="20"/>
  <c r="AB618" i="20"/>
  <c r="AA618" i="20"/>
  <c r="Z618" i="20"/>
  <c r="Y618" i="20"/>
  <c r="X618" i="20"/>
  <c r="W618" i="20"/>
  <c r="V618" i="20"/>
  <c r="U618" i="20"/>
  <c r="T618" i="20"/>
  <c r="S618" i="20"/>
  <c r="R618" i="20"/>
  <c r="Q618" i="20"/>
  <c r="P618" i="20"/>
  <c r="O618" i="20"/>
  <c r="N618" i="20"/>
  <c r="M618" i="20"/>
  <c r="L618" i="20"/>
  <c r="K618" i="20"/>
  <c r="J618" i="20"/>
  <c r="I618" i="20"/>
  <c r="H618" i="20"/>
  <c r="G618" i="20"/>
  <c r="F618" i="20"/>
  <c r="AL617" i="20"/>
  <c r="AK617" i="20"/>
  <c r="AJ617" i="20"/>
  <c r="AI617" i="20"/>
  <c r="AH617" i="20"/>
  <c r="AG617" i="20"/>
  <c r="AF617" i="20"/>
  <c r="AE617" i="20"/>
  <c r="AD617" i="20"/>
  <c r="AC617" i="20"/>
  <c r="AB617" i="20"/>
  <c r="AA617" i="20"/>
  <c r="Z617" i="20"/>
  <c r="Y617" i="20"/>
  <c r="X617" i="20"/>
  <c r="W617" i="20"/>
  <c r="V617" i="20"/>
  <c r="U617" i="20"/>
  <c r="T617" i="20"/>
  <c r="S617" i="20"/>
  <c r="R617" i="20"/>
  <c r="Q617" i="20"/>
  <c r="P617" i="20"/>
  <c r="O617" i="20"/>
  <c r="N617" i="20"/>
  <c r="M617" i="20"/>
  <c r="L617" i="20"/>
  <c r="K617" i="20"/>
  <c r="J617" i="20"/>
  <c r="I617" i="20"/>
  <c r="H617" i="20"/>
  <c r="G617" i="20"/>
  <c r="F617" i="20"/>
  <c r="AL616" i="20"/>
  <c r="AK616" i="20"/>
  <c r="AJ616" i="20"/>
  <c r="AI616" i="20"/>
  <c r="AH616" i="20"/>
  <c r="AG616" i="20"/>
  <c r="AF616" i="20"/>
  <c r="AE616" i="20"/>
  <c r="AD616" i="20"/>
  <c r="AC616" i="20"/>
  <c r="AB616" i="20"/>
  <c r="AA616" i="20"/>
  <c r="Z616" i="20"/>
  <c r="Y616" i="20"/>
  <c r="X616" i="20"/>
  <c r="W616" i="20"/>
  <c r="V616" i="20"/>
  <c r="U616" i="20"/>
  <c r="T616" i="20"/>
  <c r="S616" i="20"/>
  <c r="R616" i="20"/>
  <c r="Q616" i="20"/>
  <c r="P616" i="20"/>
  <c r="O616" i="20"/>
  <c r="N616" i="20"/>
  <c r="M616" i="20"/>
  <c r="L616" i="20"/>
  <c r="K616" i="20"/>
  <c r="J616" i="20"/>
  <c r="I616" i="20"/>
  <c r="H616" i="20"/>
  <c r="G616" i="20"/>
  <c r="F616" i="20"/>
  <c r="AL615" i="20"/>
  <c r="AK615" i="20"/>
  <c r="AJ615" i="20"/>
  <c r="AI615" i="20"/>
  <c r="AH615" i="20"/>
  <c r="AG615" i="20"/>
  <c r="AF615" i="20"/>
  <c r="AE615" i="20"/>
  <c r="AD615" i="20"/>
  <c r="AC615" i="20"/>
  <c r="AB615" i="20"/>
  <c r="AA615" i="20"/>
  <c r="Z615" i="20"/>
  <c r="Y615" i="20"/>
  <c r="X615" i="20"/>
  <c r="W615" i="20"/>
  <c r="V615" i="20"/>
  <c r="U615" i="20"/>
  <c r="T615" i="20"/>
  <c r="S615" i="20"/>
  <c r="R615" i="20"/>
  <c r="Q615" i="20"/>
  <c r="P615" i="20"/>
  <c r="O615" i="20"/>
  <c r="N615" i="20"/>
  <c r="M615" i="20"/>
  <c r="L615" i="20"/>
  <c r="K615" i="20"/>
  <c r="J615" i="20"/>
  <c r="I615" i="20"/>
  <c r="H615" i="20"/>
  <c r="G615" i="20"/>
  <c r="F615" i="20"/>
  <c r="AL613" i="20"/>
  <c r="AK613" i="20"/>
  <c r="AJ613" i="20"/>
  <c r="AI613" i="20"/>
  <c r="AH613" i="20"/>
  <c r="AG613" i="20"/>
  <c r="AF613" i="20"/>
  <c r="AE613" i="20"/>
  <c r="AD613" i="20"/>
  <c r="AC613" i="20"/>
  <c r="AB613" i="20"/>
  <c r="AA613" i="20"/>
  <c r="Z613" i="20"/>
  <c r="Y613" i="20"/>
  <c r="X613" i="20"/>
  <c r="W613" i="20"/>
  <c r="V613" i="20"/>
  <c r="U613" i="20"/>
  <c r="T613" i="20"/>
  <c r="S613" i="20"/>
  <c r="R613" i="20"/>
  <c r="Q613" i="20"/>
  <c r="P613" i="20"/>
  <c r="O613" i="20"/>
  <c r="N613" i="20"/>
  <c r="M613" i="20"/>
  <c r="L613" i="20"/>
  <c r="K613" i="20"/>
  <c r="J613" i="20"/>
  <c r="I613" i="20"/>
  <c r="H613" i="20"/>
  <c r="G613" i="20"/>
  <c r="F613" i="20"/>
  <c r="AL612" i="20"/>
  <c r="AK612" i="20"/>
  <c r="AJ612" i="20"/>
  <c r="AI612" i="20"/>
  <c r="AH612" i="20"/>
  <c r="AG612" i="20"/>
  <c r="AF612" i="20"/>
  <c r="AE612" i="20"/>
  <c r="AD612" i="20"/>
  <c r="AC612" i="20"/>
  <c r="AB612" i="20"/>
  <c r="AA612" i="20"/>
  <c r="Z612" i="20"/>
  <c r="Y612" i="20"/>
  <c r="X612" i="20"/>
  <c r="W612" i="20"/>
  <c r="V612" i="20"/>
  <c r="U612" i="20"/>
  <c r="T612" i="20"/>
  <c r="S612" i="20"/>
  <c r="R612" i="20"/>
  <c r="Q612" i="20"/>
  <c r="P612" i="20"/>
  <c r="O612" i="20"/>
  <c r="N612" i="20"/>
  <c r="M612" i="20"/>
  <c r="L612" i="20"/>
  <c r="K612" i="20"/>
  <c r="J612" i="20"/>
  <c r="I612" i="20"/>
  <c r="H612" i="20"/>
  <c r="G612" i="20"/>
  <c r="F612" i="20"/>
  <c r="AL611" i="20"/>
  <c r="AK611" i="20"/>
  <c r="AJ611" i="20"/>
  <c r="AI611" i="20"/>
  <c r="AH611" i="20"/>
  <c r="AG611" i="20"/>
  <c r="AF611" i="20"/>
  <c r="AE611" i="20"/>
  <c r="AD611" i="20"/>
  <c r="AC611" i="20"/>
  <c r="AB611" i="20"/>
  <c r="AA611" i="20"/>
  <c r="Z611" i="20"/>
  <c r="Y611" i="20"/>
  <c r="X611" i="20"/>
  <c r="W611" i="20"/>
  <c r="V611" i="20"/>
  <c r="U611" i="20"/>
  <c r="T611" i="20"/>
  <c r="S611" i="20"/>
  <c r="R611" i="20"/>
  <c r="Q611" i="20"/>
  <c r="P611" i="20"/>
  <c r="O611" i="20"/>
  <c r="N611" i="20"/>
  <c r="M611" i="20"/>
  <c r="L611" i="20"/>
  <c r="K611" i="20"/>
  <c r="J611" i="20"/>
  <c r="I611" i="20"/>
  <c r="H611" i="20"/>
  <c r="G611" i="20"/>
  <c r="F611" i="20"/>
  <c r="AL610" i="20"/>
  <c r="AK610" i="20"/>
  <c r="AJ610" i="20"/>
  <c r="AI610" i="20"/>
  <c r="AH610" i="20"/>
  <c r="AG610" i="20"/>
  <c r="AF610" i="20"/>
  <c r="AE610" i="20"/>
  <c r="AD610" i="20"/>
  <c r="AC610" i="20"/>
  <c r="AB610" i="20"/>
  <c r="AA610" i="20"/>
  <c r="Z610" i="20"/>
  <c r="Y610" i="20"/>
  <c r="X610" i="20"/>
  <c r="W610" i="20"/>
  <c r="V610" i="20"/>
  <c r="U610" i="20"/>
  <c r="T610" i="20"/>
  <c r="S610" i="20"/>
  <c r="R610" i="20"/>
  <c r="Q610" i="20"/>
  <c r="P610" i="20"/>
  <c r="O610" i="20"/>
  <c r="N610" i="20"/>
  <c r="M610" i="20"/>
  <c r="L610" i="20"/>
  <c r="K610" i="20"/>
  <c r="J610" i="20"/>
  <c r="I610" i="20"/>
  <c r="H610" i="20"/>
  <c r="G610" i="20"/>
  <c r="F610" i="20"/>
  <c r="AL609" i="20"/>
  <c r="AK609" i="20"/>
  <c r="AJ609" i="20"/>
  <c r="AI609" i="20"/>
  <c r="AH609" i="20"/>
  <c r="AG609" i="20"/>
  <c r="AF609" i="20"/>
  <c r="AE609" i="20"/>
  <c r="AD609" i="20"/>
  <c r="AC609" i="20"/>
  <c r="AB609" i="20"/>
  <c r="AA609" i="20"/>
  <c r="Z609" i="20"/>
  <c r="Y609" i="20"/>
  <c r="X609" i="20"/>
  <c r="W609" i="20"/>
  <c r="V609" i="20"/>
  <c r="U609" i="20"/>
  <c r="T609" i="20"/>
  <c r="S609" i="20"/>
  <c r="R609" i="20"/>
  <c r="Q609" i="20"/>
  <c r="P609" i="20"/>
  <c r="O609" i="20"/>
  <c r="N609" i="20"/>
  <c r="M609" i="20"/>
  <c r="L609" i="20"/>
  <c r="K609" i="20"/>
  <c r="J609" i="20"/>
  <c r="I609" i="20"/>
  <c r="H609" i="20"/>
  <c r="G609" i="20"/>
  <c r="F609" i="20"/>
  <c r="AL608" i="20"/>
  <c r="AK608" i="20"/>
  <c r="AJ608" i="20"/>
  <c r="AI608" i="20"/>
  <c r="AH608" i="20"/>
  <c r="AG608" i="20"/>
  <c r="AF608" i="20"/>
  <c r="AE608" i="20"/>
  <c r="AD608" i="20"/>
  <c r="AC608" i="20"/>
  <c r="AB608" i="20"/>
  <c r="AA608" i="20"/>
  <c r="Z608" i="20"/>
  <c r="Y608" i="20"/>
  <c r="X608" i="20"/>
  <c r="W608" i="20"/>
  <c r="V608" i="20"/>
  <c r="U608" i="20"/>
  <c r="T608" i="20"/>
  <c r="S608" i="20"/>
  <c r="R608" i="20"/>
  <c r="Q608" i="20"/>
  <c r="P608" i="20"/>
  <c r="O608" i="20"/>
  <c r="N608" i="20"/>
  <c r="M608" i="20"/>
  <c r="L608" i="20"/>
  <c r="K608" i="20"/>
  <c r="J608" i="20"/>
  <c r="I608" i="20"/>
  <c r="H608" i="20"/>
  <c r="G608" i="20"/>
  <c r="F608" i="20"/>
  <c r="AL607" i="20"/>
  <c r="AK607" i="20"/>
  <c r="AJ607" i="20"/>
  <c r="AI607" i="20"/>
  <c r="AH607" i="20"/>
  <c r="AG607" i="20"/>
  <c r="AF607" i="20"/>
  <c r="AE607" i="20"/>
  <c r="AD607" i="20"/>
  <c r="AC607" i="20"/>
  <c r="AB607" i="20"/>
  <c r="AA607" i="20"/>
  <c r="Z607" i="20"/>
  <c r="Y607" i="20"/>
  <c r="X607" i="20"/>
  <c r="W607" i="20"/>
  <c r="V607" i="20"/>
  <c r="U607" i="20"/>
  <c r="T607" i="20"/>
  <c r="S607" i="20"/>
  <c r="R607" i="20"/>
  <c r="Q607" i="20"/>
  <c r="P607" i="20"/>
  <c r="O607" i="20"/>
  <c r="N607" i="20"/>
  <c r="M607" i="20"/>
  <c r="L607" i="20"/>
  <c r="K607" i="20"/>
  <c r="J607" i="20"/>
  <c r="I607" i="20"/>
  <c r="H607" i="20"/>
  <c r="G607" i="20"/>
  <c r="F607" i="20"/>
  <c r="AL606" i="20"/>
  <c r="AK606" i="20"/>
  <c r="AJ606" i="20"/>
  <c r="AI606" i="20"/>
  <c r="AH606" i="20"/>
  <c r="AG606" i="20"/>
  <c r="AF606" i="20"/>
  <c r="AE606" i="20"/>
  <c r="AD606" i="20"/>
  <c r="AC606" i="20"/>
  <c r="AB606" i="20"/>
  <c r="AA606" i="20"/>
  <c r="Z606" i="20"/>
  <c r="Y606" i="20"/>
  <c r="X606" i="20"/>
  <c r="W606" i="20"/>
  <c r="V606" i="20"/>
  <c r="U606" i="20"/>
  <c r="T606" i="20"/>
  <c r="S606" i="20"/>
  <c r="R606" i="20"/>
  <c r="Q606" i="20"/>
  <c r="P606" i="20"/>
  <c r="O606" i="20"/>
  <c r="N606" i="20"/>
  <c r="M606" i="20"/>
  <c r="L606" i="20"/>
  <c r="K606" i="20"/>
  <c r="J606" i="20"/>
  <c r="I606" i="20"/>
  <c r="H606" i="20"/>
  <c r="G606" i="20"/>
  <c r="F606" i="20"/>
  <c r="AL605" i="20"/>
  <c r="AK605" i="20"/>
  <c r="AJ605" i="20"/>
  <c r="AI605" i="20"/>
  <c r="AH605" i="20"/>
  <c r="AG605" i="20"/>
  <c r="AF605" i="20"/>
  <c r="AE605" i="20"/>
  <c r="AD605" i="20"/>
  <c r="AC605" i="20"/>
  <c r="AB605" i="20"/>
  <c r="AA605" i="20"/>
  <c r="Z605" i="20"/>
  <c r="Y605" i="20"/>
  <c r="X605" i="20"/>
  <c r="W605" i="20"/>
  <c r="V605" i="20"/>
  <c r="U605" i="20"/>
  <c r="T605" i="20"/>
  <c r="S605" i="20"/>
  <c r="R605" i="20"/>
  <c r="Q605" i="20"/>
  <c r="P605" i="20"/>
  <c r="O605" i="20"/>
  <c r="N605" i="20"/>
  <c r="M605" i="20"/>
  <c r="L605" i="20"/>
  <c r="K605" i="20"/>
  <c r="J605" i="20"/>
  <c r="I605" i="20"/>
  <c r="H605" i="20"/>
  <c r="G605" i="20"/>
  <c r="F605" i="20"/>
  <c r="AL604" i="20"/>
  <c r="AK604" i="20"/>
  <c r="AJ604" i="20"/>
  <c r="AI604" i="20"/>
  <c r="AH604" i="20"/>
  <c r="AG604" i="20"/>
  <c r="AF604" i="20"/>
  <c r="AE604" i="20"/>
  <c r="AD604" i="20"/>
  <c r="AC604" i="20"/>
  <c r="AB604" i="20"/>
  <c r="AA604" i="20"/>
  <c r="Z604" i="20"/>
  <c r="Y604" i="20"/>
  <c r="X604" i="20"/>
  <c r="W604" i="20"/>
  <c r="V604" i="20"/>
  <c r="U604" i="20"/>
  <c r="T604" i="20"/>
  <c r="S604" i="20"/>
  <c r="R604" i="20"/>
  <c r="Q604" i="20"/>
  <c r="P604" i="20"/>
  <c r="O604" i="20"/>
  <c r="N604" i="20"/>
  <c r="M604" i="20"/>
  <c r="L604" i="20"/>
  <c r="K604" i="20"/>
  <c r="J604" i="20"/>
  <c r="I604" i="20"/>
  <c r="H604" i="20"/>
  <c r="G604" i="20"/>
  <c r="F604" i="20"/>
  <c r="AL603" i="20"/>
  <c r="AK603" i="20"/>
  <c r="AJ603" i="20"/>
  <c r="AI603" i="20"/>
  <c r="AH603" i="20"/>
  <c r="AG603" i="20"/>
  <c r="AF603" i="20"/>
  <c r="AE603" i="20"/>
  <c r="AD603" i="20"/>
  <c r="AC603" i="20"/>
  <c r="AB603" i="20"/>
  <c r="AA603" i="20"/>
  <c r="Z603" i="20"/>
  <c r="Y603" i="20"/>
  <c r="X603" i="20"/>
  <c r="W603" i="20"/>
  <c r="V603" i="20"/>
  <c r="U603" i="20"/>
  <c r="T603" i="20"/>
  <c r="S603" i="20"/>
  <c r="R603" i="20"/>
  <c r="Q603" i="20"/>
  <c r="P603" i="20"/>
  <c r="O603" i="20"/>
  <c r="N603" i="20"/>
  <c r="M603" i="20"/>
  <c r="L603" i="20"/>
  <c r="K603" i="20"/>
  <c r="J603" i="20"/>
  <c r="I603" i="20"/>
  <c r="H603" i="20"/>
  <c r="G603" i="20"/>
  <c r="F603" i="20"/>
  <c r="AL602" i="20"/>
  <c r="AK602" i="20"/>
  <c r="AJ602" i="20"/>
  <c r="AI602" i="20"/>
  <c r="AH602" i="20"/>
  <c r="AG602" i="20"/>
  <c r="AF602" i="20"/>
  <c r="AE602" i="20"/>
  <c r="AD602" i="20"/>
  <c r="AC602" i="20"/>
  <c r="AB602" i="20"/>
  <c r="AA602" i="20"/>
  <c r="Z602" i="20"/>
  <c r="Y602" i="20"/>
  <c r="X602" i="20"/>
  <c r="W602" i="20"/>
  <c r="V602" i="20"/>
  <c r="U602" i="20"/>
  <c r="T602" i="20"/>
  <c r="S602" i="20"/>
  <c r="R602" i="20"/>
  <c r="Q602" i="20"/>
  <c r="P602" i="20"/>
  <c r="O602" i="20"/>
  <c r="N602" i="20"/>
  <c r="M602" i="20"/>
  <c r="L602" i="20"/>
  <c r="K602" i="20"/>
  <c r="J602" i="20"/>
  <c r="I602" i="20"/>
  <c r="H602" i="20"/>
  <c r="G602" i="20"/>
  <c r="F602" i="20"/>
  <c r="AL601" i="20"/>
  <c r="AK601" i="20"/>
  <c r="AJ601" i="20"/>
  <c r="AI601" i="20"/>
  <c r="AH601" i="20"/>
  <c r="AG601" i="20"/>
  <c r="AF601" i="20"/>
  <c r="AE601" i="20"/>
  <c r="AD601" i="20"/>
  <c r="AC601" i="20"/>
  <c r="AB601" i="20"/>
  <c r="AA601" i="20"/>
  <c r="Z601" i="20"/>
  <c r="Y601" i="20"/>
  <c r="X601" i="20"/>
  <c r="W601" i="20"/>
  <c r="V601" i="20"/>
  <c r="U601" i="20"/>
  <c r="T601" i="20"/>
  <c r="S601" i="20"/>
  <c r="R601" i="20"/>
  <c r="Q601" i="20"/>
  <c r="P601" i="20"/>
  <c r="O601" i="20"/>
  <c r="N601" i="20"/>
  <c r="M601" i="20"/>
  <c r="L601" i="20"/>
  <c r="K601" i="20"/>
  <c r="J601" i="20"/>
  <c r="I601" i="20"/>
  <c r="H601" i="20"/>
  <c r="G601" i="20"/>
  <c r="F601" i="20"/>
  <c r="AL600" i="20"/>
  <c r="AK600" i="20"/>
  <c r="AJ600" i="20"/>
  <c r="AI600" i="20"/>
  <c r="AH600" i="20"/>
  <c r="AG600" i="20"/>
  <c r="AF600" i="20"/>
  <c r="AE600" i="20"/>
  <c r="AD600" i="20"/>
  <c r="AC600" i="20"/>
  <c r="AB600" i="20"/>
  <c r="AA600" i="20"/>
  <c r="Z600" i="20"/>
  <c r="Y600" i="20"/>
  <c r="X600" i="20"/>
  <c r="W600" i="20"/>
  <c r="V600" i="20"/>
  <c r="U600" i="20"/>
  <c r="T600" i="20"/>
  <c r="S600" i="20"/>
  <c r="R600" i="20"/>
  <c r="Q600" i="20"/>
  <c r="P600" i="20"/>
  <c r="O600" i="20"/>
  <c r="N600" i="20"/>
  <c r="M600" i="20"/>
  <c r="L600" i="20"/>
  <c r="K600" i="20"/>
  <c r="J600" i="20"/>
  <c r="I600" i="20"/>
  <c r="H600" i="20"/>
  <c r="G600" i="20"/>
  <c r="F600" i="20"/>
  <c r="AL599" i="20"/>
  <c r="AK599" i="20"/>
  <c r="AJ599" i="20"/>
  <c r="AI599" i="20"/>
  <c r="AH599" i="20"/>
  <c r="AG599" i="20"/>
  <c r="AF599" i="20"/>
  <c r="AE599" i="20"/>
  <c r="AD599" i="20"/>
  <c r="AC599" i="20"/>
  <c r="AB599" i="20"/>
  <c r="AA599" i="20"/>
  <c r="Z599" i="20"/>
  <c r="Y599" i="20"/>
  <c r="X599" i="20"/>
  <c r="W599" i="20"/>
  <c r="V599" i="20"/>
  <c r="U599" i="20"/>
  <c r="T599" i="20"/>
  <c r="S599" i="20"/>
  <c r="R599" i="20"/>
  <c r="Q599" i="20"/>
  <c r="P599" i="20"/>
  <c r="O599" i="20"/>
  <c r="N599" i="20"/>
  <c r="M599" i="20"/>
  <c r="L599" i="20"/>
  <c r="K599" i="20"/>
  <c r="J599" i="20"/>
  <c r="I599" i="20"/>
  <c r="H599" i="20"/>
  <c r="G599" i="20"/>
  <c r="F599" i="20"/>
  <c r="AL598" i="20"/>
  <c r="AK598" i="20"/>
  <c r="AJ598" i="20"/>
  <c r="AI598" i="20"/>
  <c r="AH598" i="20"/>
  <c r="AG598" i="20"/>
  <c r="AF598" i="20"/>
  <c r="AE598" i="20"/>
  <c r="AD598" i="20"/>
  <c r="AC598" i="20"/>
  <c r="AB598" i="20"/>
  <c r="AA598" i="20"/>
  <c r="Z598" i="20"/>
  <c r="Y598" i="20"/>
  <c r="X598" i="20"/>
  <c r="W598" i="20"/>
  <c r="V598" i="20"/>
  <c r="U598" i="20"/>
  <c r="T598" i="20"/>
  <c r="S598" i="20"/>
  <c r="R598" i="20"/>
  <c r="Q598" i="20"/>
  <c r="P598" i="20"/>
  <c r="O598" i="20"/>
  <c r="N598" i="20"/>
  <c r="M598" i="20"/>
  <c r="L598" i="20"/>
  <c r="K598" i="20"/>
  <c r="J598" i="20"/>
  <c r="I598" i="20"/>
  <c r="H598" i="20"/>
  <c r="G598" i="20"/>
  <c r="F598" i="20"/>
  <c r="AL597" i="20"/>
  <c r="AK597" i="20"/>
  <c r="AJ597" i="20"/>
  <c r="AI597" i="20"/>
  <c r="AH597" i="20"/>
  <c r="AG597" i="20"/>
  <c r="AF597" i="20"/>
  <c r="AE597" i="20"/>
  <c r="AD597" i="20"/>
  <c r="AC597" i="20"/>
  <c r="AB597" i="20"/>
  <c r="AA597" i="20"/>
  <c r="Z597" i="20"/>
  <c r="Y597" i="20"/>
  <c r="X597" i="20"/>
  <c r="W597" i="20"/>
  <c r="V597" i="20"/>
  <c r="U597" i="20"/>
  <c r="T597" i="20"/>
  <c r="S597" i="20"/>
  <c r="R597" i="20"/>
  <c r="Q597" i="20"/>
  <c r="P597" i="20"/>
  <c r="O597" i="20"/>
  <c r="N597" i="20"/>
  <c r="M597" i="20"/>
  <c r="L597" i="20"/>
  <c r="K597" i="20"/>
  <c r="J597" i="20"/>
  <c r="I597" i="20"/>
  <c r="H597" i="20"/>
  <c r="G597" i="20"/>
  <c r="F597" i="20"/>
  <c r="AL596" i="20"/>
  <c r="AK596" i="20"/>
  <c r="AJ596" i="20"/>
  <c r="AI596" i="20"/>
  <c r="AH596" i="20"/>
  <c r="AG596" i="20"/>
  <c r="AF596" i="20"/>
  <c r="AE596" i="20"/>
  <c r="AD596" i="20"/>
  <c r="AC596" i="20"/>
  <c r="AB596" i="20"/>
  <c r="AA596" i="20"/>
  <c r="Z596" i="20"/>
  <c r="Y596" i="20"/>
  <c r="X596" i="20"/>
  <c r="W596" i="20"/>
  <c r="V596" i="20"/>
  <c r="U596" i="20"/>
  <c r="T596" i="20"/>
  <c r="S596" i="20"/>
  <c r="R596" i="20"/>
  <c r="Q596" i="20"/>
  <c r="P596" i="20"/>
  <c r="O596" i="20"/>
  <c r="N596" i="20"/>
  <c r="M596" i="20"/>
  <c r="L596" i="20"/>
  <c r="K596" i="20"/>
  <c r="J596" i="20"/>
  <c r="I596" i="20"/>
  <c r="H596" i="20"/>
  <c r="G596" i="20"/>
  <c r="F596" i="20"/>
  <c r="AL595" i="20"/>
  <c r="AK595" i="20"/>
  <c r="AJ595" i="20"/>
  <c r="AI595" i="20"/>
  <c r="AH595" i="20"/>
  <c r="AG595" i="20"/>
  <c r="AF595" i="20"/>
  <c r="AE595" i="20"/>
  <c r="AD595" i="20"/>
  <c r="AC595" i="20"/>
  <c r="AB595" i="20"/>
  <c r="AA595" i="20"/>
  <c r="Z595" i="20"/>
  <c r="Y595" i="20"/>
  <c r="X595" i="20"/>
  <c r="W595" i="20"/>
  <c r="V595" i="20"/>
  <c r="U595" i="20"/>
  <c r="T595" i="20"/>
  <c r="S595" i="20"/>
  <c r="R595" i="20"/>
  <c r="Q595" i="20"/>
  <c r="P595" i="20"/>
  <c r="O595" i="20"/>
  <c r="N595" i="20"/>
  <c r="M595" i="20"/>
  <c r="L595" i="20"/>
  <c r="K595" i="20"/>
  <c r="J595" i="20"/>
  <c r="I595" i="20"/>
  <c r="H595" i="20"/>
  <c r="G595" i="20"/>
  <c r="F595" i="20"/>
  <c r="AL594" i="20"/>
  <c r="AK594" i="20"/>
  <c r="AJ594" i="20"/>
  <c r="AI594" i="20"/>
  <c r="AH594" i="20"/>
  <c r="AG594" i="20"/>
  <c r="AF594" i="20"/>
  <c r="AE594" i="20"/>
  <c r="AD594" i="20"/>
  <c r="AC594" i="20"/>
  <c r="AB594" i="20"/>
  <c r="AA594" i="20"/>
  <c r="Z594" i="20"/>
  <c r="Y594" i="20"/>
  <c r="X594" i="20"/>
  <c r="W594" i="20"/>
  <c r="V594" i="20"/>
  <c r="U594" i="20"/>
  <c r="T594" i="20"/>
  <c r="S594" i="20"/>
  <c r="R594" i="20"/>
  <c r="Q594" i="20"/>
  <c r="P594" i="20"/>
  <c r="O594" i="20"/>
  <c r="N594" i="20"/>
  <c r="M594" i="20"/>
  <c r="L594" i="20"/>
  <c r="K594" i="20"/>
  <c r="J594" i="20"/>
  <c r="I594" i="20"/>
  <c r="H594" i="20"/>
  <c r="G594" i="20"/>
  <c r="F594" i="20"/>
  <c r="AL593" i="20"/>
  <c r="AK593" i="20"/>
  <c r="AJ593" i="20"/>
  <c r="AI593" i="20"/>
  <c r="AH593" i="20"/>
  <c r="AG593" i="20"/>
  <c r="AF593" i="20"/>
  <c r="AE593" i="20"/>
  <c r="AD593" i="20"/>
  <c r="AC593" i="20"/>
  <c r="AB593" i="20"/>
  <c r="AA593" i="20"/>
  <c r="Z593" i="20"/>
  <c r="Y593" i="20"/>
  <c r="X593" i="20"/>
  <c r="W593" i="20"/>
  <c r="V593" i="20"/>
  <c r="U593" i="20"/>
  <c r="T593" i="20"/>
  <c r="S593" i="20"/>
  <c r="R593" i="20"/>
  <c r="Q593" i="20"/>
  <c r="P593" i="20"/>
  <c r="O593" i="20"/>
  <c r="N593" i="20"/>
  <c r="M593" i="20"/>
  <c r="L593" i="20"/>
  <c r="K593" i="20"/>
  <c r="J593" i="20"/>
  <c r="I593" i="20"/>
  <c r="H593" i="20"/>
  <c r="G593" i="20"/>
  <c r="F593" i="20"/>
  <c r="AL592" i="20"/>
  <c r="AK592" i="20"/>
  <c r="AJ592" i="20"/>
  <c r="AI592" i="20"/>
  <c r="AH592" i="20"/>
  <c r="AG592" i="20"/>
  <c r="AF592" i="20"/>
  <c r="AE592" i="20"/>
  <c r="AD592" i="20"/>
  <c r="AC592" i="20"/>
  <c r="AB592" i="20"/>
  <c r="AA592" i="20"/>
  <c r="Z592" i="20"/>
  <c r="Y592" i="20"/>
  <c r="X592" i="20"/>
  <c r="W592" i="20"/>
  <c r="V592" i="20"/>
  <c r="U592" i="20"/>
  <c r="T592" i="20"/>
  <c r="S592" i="20"/>
  <c r="R592" i="20"/>
  <c r="Q592" i="20"/>
  <c r="P592" i="20"/>
  <c r="O592" i="20"/>
  <c r="N592" i="20"/>
  <c r="M592" i="20"/>
  <c r="L592" i="20"/>
  <c r="K592" i="20"/>
  <c r="J592" i="20"/>
  <c r="I592" i="20"/>
  <c r="H592" i="20"/>
  <c r="G592" i="20"/>
  <c r="F592" i="20"/>
  <c r="AL591" i="20"/>
  <c r="AK591" i="20"/>
  <c r="AJ591" i="20"/>
  <c r="AI591" i="20"/>
  <c r="AH591" i="20"/>
  <c r="AG591" i="20"/>
  <c r="AF591" i="20"/>
  <c r="AE591" i="20"/>
  <c r="AD591" i="20"/>
  <c r="AC591" i="20"/>
  <c r="AB591" i="20"/>
  <c r="AA591" i="20"/>
  <c r="Z591" i="20"/>
  <c r="Y591" i="20"/>
  <c r="X591" i="20"/>
  <c r="W591" i="20"/>
  <c r="V591" i="20"/>
  <c r="U591" i="20"/>
  <c r="T591" i="20"/>
  <c r="S591" i="20"/>
  <c r="R591" i="20"/>
  <c r="Q591" i="20"/>
  <c r="P591" i="20"/>
  <c r="O591" i="20"/>
  <c r="N591" i="20"/>
  <c r="M591" i="20"/>
  <c r="L591" i="20"/>
  <c r="K591" i="20"/>
  <c r="J591" i="20"/>
  <c r="I591" i="20"/>
  <c r="H591" i="20"/>
  <c r="G591" i="20"/>
  <c r="F591" i="20"/>
  <c r="AL589" i="20"/>
  <c r="AK589" i="20"/>
  <c r="AJ589" i="20"/>
  <c r="AI589" i="20"/>
  <c r="AH589" i="20"/>
  <c r="AG589" i="20"/>
  <c r="AF589" i="20"/>
  <c r="AE589" i="20"/>
  <c r="AD589" i="20"/>
  <c r="AC589" i="20"/>
  <c r="AB589" i="20"/>
  <c r="AA589" i="20"/>
  <c r="Z589" i="20"/>
  <c r="Y589" i="20"/>
  <c r="X589" i="20"/>
  <c r="W589" i="20"/>
  <c r="V589" i="20"/>
  <c r="U589" i="20"/>
  <c r="T589" i="20"/>
  <c r="S589" i="20"/>
  <c r="R589" i="20"/>
  <c r="Q589" i="20"/>
  <c r="P589" i="20"/>
  <c r="O589" i="20"/>
  <c r="N589" i="20"/>
  <c r="M589" i="20"/>
  <c r="L589" i="20"/>
  <c r="K589" i="20"/>
  <c r="J589" i="20"/>
  <c r="I589" i="20"/>
  <c r="H589" i="20"/>
  <c r="G589" i="20"/>
  <c r="F589" i="20"/>
  <c r="AM594" i="20" l="1"/>
  <c r="AM602" i="20"/>
  <c r="AM610" i="20"/>
  <c r="AM598" i="20"/>
  <c r="AM606" i="20"/>
  <c r="AM618" i="20"/>
  <c r="AM591" i="20"/>
  <c r="AM595" i="20"/>
  <c r="AM599" i="20"/>
  <c r="AM603" i="20"/>
  <c r="AM607" i="20"/>
  <c r="AM611" i="20"/>
  <c r="AM615" i="20"/>
  <c r="AM592" i="20"/>
  <c r="AM596" i="20"/>
  <c r="AM600" i="20"/>
  <c r="AM604" i="20"/>
  <c r="AM608" i="20"/>
  <c r="AM612" i="20"/>
  <c r="AM616" i="20"/>
  <c r="AM589" i="20"/>
  <c r="AM593" i="20"/>
  <c r="AM597" i="20"/>
  <c r="AM601" i="20"/>
  <c r="AM605" i="20"/>
  <c r="AM609" i="20"/>
  <c r="AM613" i="20"/>
  <c r="AM617" i="20"/>
  <c r="AK873" i="20" l="1"/>
  <c r="AJ873" i="20"/>
  <c r="AI873" i="20"/>
  <c r="AH873" i="20"/>
  <c r="AG873" i="20"/>
  <c r="AF873" i="20"/>
  <c r="AE873" i="20"/>
  <c r="AD873" i="20"/>
  <c r="AC873" i="20"/>
  <c r="AB873" i="20"/>
  <c r="AA873" i="20"/>
  <c r="Z873" i="20"/>
  <c r="Y873" i="20"/>
  <c r="X873" i="20"/>
  <c r="W873" i="20"/>
  <c r="V873" i="20"/>
  <c r="U873" i="20"/>
  <c r="T873" i="20"/>
  <c r="S873" i="20"/>
  <c r="R873" i="20"/>
  <c r="Q873" i="20"/>
  <c r="P873" i="20"/>
  <c r="O873" i="20"/>
  <c r="N873" i="20"/>
  <c r="M873" i="20"/>
  <c r="L873" i="20"/>
  <c r="K873" i="20"/>
  <c r="J873" i="20"/>
  <c r="I873" i="20"/>
  <c r="H873" i="20"/>
  <c r="G873" i="20"/>
  <c r="AK872" i="20"/>
  <c r="AJ872" i="20"/>
  <c r="AI872" i="20"/>
  <c r="AG872" i="20"/>
  <c r="AF872" i="20"/>
  <c r="AE872" i="20"/>
  <c r="AD872" i="20"/>
  <c r="AC872" i="20"/>
  <c r="AB872" i="20"/>
  <c r="S872" i="20"/>
  <c r="AK870" i="20"/>
  <c r="AJ870" i="20"/>
  <c r="AI870" i="20"/>
  <c r="AH870" i="20"/>
  <c r="AG870" i="20"/>
  <c r="AF870" i="20"/>
  <c r="AE870" i="20"/>
  <c r="AD870" i="20"/>
  <c r="AC870" i="20"/>
  <c r="AB870" i="20"/>
  <c r="AA870" i="20"/>
  <c r="Z870" i="20"/>
  <c r="Y870" i="20"/>
  <c r="X870" i="20"/>
  <c r="W870" i="20"/>
  <c r="V870" i="20"/>
  <c r="U870" i="20"/>
  <c r="T870" i="20"/>
  <c r="S870" i="20"/>
  <c r="R870" i="20"/>
  <c r="Q870" i="20"/>
  <c r="P870" i="20"/>
  <c r="O870" i="20"/>
  <c r="N870" i="20"/>
  <c r="M870" i="20"/>
  <c r="L870" i="20"/>
  <c r="K870" i="20"/>
  <c r="J870" i="20"/>
  <c r="I870" i="20"/>
  <c r="H870" i="20"/>
  <c r="G870" i="20"/>
  <c r="AK869" i="20"/>
  <c r="AJ869" i="20"/>
  <c r="AI869" i="20"/>
  <c r="AH869" i="20"/>
  <c r="AG869" i="20"/>
  <c r="AF869" i="20"/>
  <c r="AE869" i="20"/>
  <c r="AD869" i="20"/>
  <c r="AC869" i="20"/>
  <c r="AB869" i="20"/>
  <c r="AA869" i="20"/>
  <c r="Z869" i="20"/>
  <c r="Y869" i="20"/>
  <c r="X869" i="20"/>
  <c r="W869" i="20"/>
  <c r="V869" i="20"/>
  <c r="U869" i="20"/>
  <c r="T869" i="20"/>
  <c r="S869" i="20"/>
  <c r="R869" i="20"/>
  <c r="Q869" i="20"/>
  <c r="P869" i="20"/>
  <c r="O869" i="20"/>
  <c r="N869" i="20"/>
  <c r="M869" i="20"/>
  <c r="L869" i="20"/>
  <c r="K869" i="20"/>
  <c r="J869" i="20"/>
  <c r="I869" i="20"/>
  <c r="H869" i="20"/>
  <c r="G869" i="20"/>
  <c r="AK868" i="20"/>
  <c r="AJ868" i="20"/>
  <c r="AI868" i="20"/>
  <c r="AH868" i="20"/>
  <c r="AG868" i="20"/>
  <c r="AF868" i="20"/>
  <c r="AD868" i="20"/>
  <c r="AB868" i="20"/>
  <c r="AA868" i="20"/>
  <c r="Z868" i="20"/>
  <c r="Y868" i="20"/>
  <c r="X868" i="20"/>
  <c r="W868" i="20"/>
  <c r="V868" i="20"/>
  <c r="U868" i="20"/>
  <c r="T868" i="20"/>
  <c r="S868" i="20"/>
  <c r="R868" i="20"/>
  <c r="Q868" i="20"/>
  <c r="P868" i="20"/>
  <c r="O868" i="20"/>
  <c r="N868" i="20"/>
  <c r="M868" i="20"/>
  <c r="L868" i="20"/>
  <c r="K868" i="20"/>
  <c r="J868" i="20"/>
  <c r="I868" i="20"/>
  <c r="H868" i="20"/>
  <c r="G868" i="20"/>
  <c r="AK867" i="20"/>
  <c r="AJ867" i="20"/>
  <c r="AI867" i="20"/>
  <c r="AH867" i="20"/>
  <c r="AG867" i="20"/>
  <c r="AF867" i="20"/>
  <c r="AE867" i="20"/>
  <c r="AD867" i="20"/>
  <c r="AC867" i="20"/>
  <c r="AB867" i="20"/>
  <c r="AA867" i="20"/>
  <c r="Z867" i="20"/>
  <c r="Y867" i="20"/>
  <c r="X867" i="20"/>
  <c r="W867" i="20"/>
  <c r="V867" i="20"/>
  <c r="U867" i="20"/>
  <c r="T867" i="20"/>
  <c r="S867" i="20"/>
  <c r="R867" i="20"/>
  <c r="Q867" i="20"/>
  <c r="P867" i="20"/>
  <c r="O867" i="20"/>
  <c r="N867" i="20"/>
  <c r="M867" i="20"/>
  <c r="L867" i="20"/>
  <c r="K867" i="20"/>
  <c r="J867" i="20"/>
  <c r="I867" i="20"/>
  <c r="H867" i="20"/>
  <c r="G867" i="20"/>
  <c r="AH866" i="20"/>
  <c r="AG866" i="20"/>
  <c r="AF866" i="20"/>
  <c r="AE866" i="20"/>
  <c r="AD866" i="20"/>
  <c r="AB866" i="20"/>
  <c r="Y866" i="20"/>
  <c r="X866" i="20"/>
  <c r="W866" i="20"/>
  <c r="V866" i="20"/>
  <c r="U866" i="20"/>
  <c r="T866" i="20"/>
  <c r="S866" i="20"/>
  <c r="R866" i="20"/>
  <c r="Q866" i="20"/>
  <c r="P866" i="20"/>
  <c r="O866" i="20"/>
  <c r="N866" i="20"/>
  <c r="M866" i="20"/>
  <c r="L866" i="20"/>
  <c r="K866" i="20"/>
  <c r="J866" i="20"/>
  <c r="I866" i="20"/>
  <c r="H866" i="20"/>
  <c r="G866" i="20"/>
  <c r="AK865" i="20"/>
  <c r="AJ865" i="20"/>
  <c r="AI865" i="20"/>
  <c r="AH865" i="20"/>
  <c r="AG865" i="20"/>
  <c r="AF865" i="20"/>
  <c r="AE865" i="20"/>
  <c r="AD865" i="20"/>
  <c r="AC865" i="20"/>
  <c r="AB865" i="20"/>
  <c r="AA865" i="20"/>
  <c r="Z865" i="20"/>
  <c r="Y865" i="20"/>
  <c r="X865" i="20"/>
  <c r="W865" i="20"/>
  <c r="V865" i="20"/>
  <c r="U865" i="20"/>
  <c r="T865" i="20"/>
  <c r="S865" i="20"/>
  <c r="R865" i="20"/>
  <c r="Q865" i="20"/>
  <c r="P865" i="20"/>
  <c r="O865" i="20"/>
  <c r="N865" i="20"/>
  <c r="M865" i="20"/>
  <c r="L865" i="20"/>
  <c r="K865" i="20"/>
  <c r="J865" i="20"/>
  <c r="I865" i="20"/>
  <c r="H865" i="20"/>
  <c r="G865" i="20"/>
  <c r="AK864" i="20"/>
  <c r="AJ864" i="20"/>
  <c r="AI864" i="20"/>
  <c r="AH864" i="20"/>
  <c r="AG864" i="20"/>
  <c r="AF864" i="20"/>
  <c r="AE864" i="20"/>
  <c r="AD864" i="20"/>
  <c r="AC864" i="20"/>
  <c r="AB864" i="20"/>
  <c r="AA864" i="20"/>
  <c r="Z864" i="20"/>
  <c r="Y864" i="20"/>
  <c r="X864" i="20"/>
  <c r="W864" i="20"/>
  <c r="V864" i="20"/>
  <c r="U864" i="20"/>
  <c r="T864" i="20"/>
  <c r="S864" i="20"/>
  <c r="R864" i="20"/>
  <c r="Q864" i="20"/>
  <c r="P864" i="20"/>
  <c r="O864" i="20"/>
  <c r="N864" i="20"/>
  <c r="M864" i="20"/>
  <c r="L864" i="20"/>
  <c r="K864" i="20"/>
  <c r="J864" i="20"/>
  <c r="I864" i="20"/>
  <c r="H864" i="20"/>
  <c r="G864" i="20"/>
  <c r="AK863" i="20"/>
  <c r="AJ863" i="20"/>
  <c r="AI863" i="20"/>
  <c r="AH863" i="20"/>
  <c r="AG863" i="20"/>
  <c r="AF863" i="20"/>
  <c r="AE863" i="20"/>
  <c r="AD863" i="20"/>
  <c r="AC863" i="20"/>
  <c r="AB863" i="20"/>
  <c r="AA863" i="20"/>
  <c r="Z863" i="20"/>
  <c r="Y863" i="20"/>
  <c r="X863" i="20"/>
  <c r="W863" i="20"/>
  <c r="V863" i="20"/>
  <c r="U863" i="20"/>
  <c r="T863" i="20"/>
  <c r="S863" i="20"/>
  <c r="R863" i="20"/>
  <c r="Q863" i="20"/>
  <c r="P863" i="20"/>
  <c r="O863" i="20"/>
  <c r="N863" i="20"/>
  <c r="M863" i="20"/>
  <c r="L863" i="20"/>
  <c r="K863" i="20"/>
  <c r="J863" i="20"/>
  <c r="I863" i="20"/>
  <c r="H863" i="20"/>
  <c r="G863" i="20"/>
  <c r="AK862" i="20"/>
  <c r="AJ862" i="20"/>
  <c r="AI862" i="20"/>
  <c r="AH862" i="20"/>
  <c r="AG862" i="20"/>
  <c r="AF862" i="20"/>
  <c r="AE862" i="20"/>
  <c r="AD862" i="20"/>
  <c r="AC862" i="20"/>
  <c r="AB862" i="20"/>
  <c r="AA862" i="20"/>
  <c r="Z862" i="20"/>
  <c r="Y862" i="20"/>
  <c r="X862" i="20"/>
  <c r="W862" i="20"/>
  <c r="V862" i="20"/>
  <c r="U862" i="20"/>
  <c r="T862" i="20"/>
  <c r="S862" i="20"/>
  <c r="R862" i="20"/>
  <c r="Q862" i="20"/>
  <c r="P862" i="20"/>
  <c r="O862" i="20"/>
  <c r="N862" i="20"/>
  <c r="M862" i="20"/>
  <c r="L862" i="20"/>
  <c r="K862" i="20"/>
  <c r="J862" i="20"/>
  <c r="I862" i="20"/>
  <c r="H862" i="20"/>
  <c r="G862" i="20"/>
  <c r="AK861" i="20"/>
  <c r="AJ861" i="20"/>
  <c r="AI861" i="20"/>
  <c r="AH861" i="20"/>
  <c r="AG861" i="20"/>
  <c r="AF861" i="20"/>
  <c r="AE861" i="20"/>
  <c r="AD861" i="20"/>
  <c r="AC861" i="20"/>
  <c r="AB861" i="20"/>
  <c r="AA861" i="20"/>
  <c r="Z861" i="20"/>
  <c r="Y861" i="20"/>
  <c r="X861" i="20"/>
  <c r="W861" i="20"/>
  <c r="V861" i="20"/>
  <c r="U861" i="20"/>
  <c r="T861" i="20"/>
  <c r="S861" i="20"/>
  <c r="R861" i="20"/>
  <c r="Q861" i="20"/>
  <c r="P861" i="20"/>
  <c r="O861" i="20"/>
  <c r="N861" i="20"/>
  <c r="M861" i="20"/>
  <c r="L861" i="20"/>
  <c r="K861" i="20"/>
  <c r="J861" i="20"/>
  <c r="I861" i="20"/>
  <c r="H861" i="20"/>
  <c r="G861" i="20"/>
  <c r="AJ860" i="20"/>
  <c r="AI860" i="20"/>
  <c r="AF860" i="20"/>
  <c r="AD860" i="20"/>
  <c r="AA860" i="20"/>
  <c r="Z860" i="20"/>
  <c r="Y860" i="20"/>
  <c r="X860" i="20"/>
  <c r="W860" i="20"/>
  <c r="T860" i="20"/>
  <c r="R860" i="20"/>
  <c r="Q860" i="20"/>
  <c r="P860" i="20"/>
  <c r="L860" i="20"/>
  <c r="K860" i="20"/>
  <c r="J860" i="20"/>
  <c r="I860" i="20"/>
  <c r="G860" i="20"/>
  <c r="AK859" i="20"/>
  <c r="AJ859" i="20"/>
  <c r="AI859" i="20"/>
  <c r="AH859" i="20"/>
  <c r="AG859" i="20"/>
  <c r="AF859" i="20"/>
  <c r="AE859" i="20"/>
  <c r="AD859" i="20"/>
  <c r="AC859" i="20"/>
  <c r="AB859" i="20"/>
  <c r="AA859" i="20"/>
  <c r="Z859" i="20"/>
  <c r="Y859" i="20"/>
  <c r="X859" i="20"/>
  <c r="W859" i="20"/>
  <c r="V859" i="20"/>
  <c r="U859" i="20"/>
  <c r="T859" i="20"/>
  <c r="S859" i="20"/>
  <c r="R859" i="20"/>
  <c r="Q859" i="20"/>
  <c r="P859" i="20"/>
  <c r="O859" i="20"/>
  <c r="N859" i="20"/>
  <c r="M859" i="20"/>
  <c r="L859" i="20"/>
  <c r="K859" i="20"/>
  <c r="J859" i="20"/>
  <c r="I859" i="20"/>
  <c r="H859" i="20"/>
  <c r="G859" i="20"/>
  <c r="AK858" i="20"/>
  <c r="AJ858" i="20"/>
  <c r="AI858" i="20"/>
  <c r="AH858" i="20"/>
  <c r="AG858" i="20"/>
  <c r="AF858" i="20"/>
  <c r="AD858" i="20"/>
  <c r="AC858" i="20"/>
  <c r="AB858" i="20"/>
  <c r="AA858" i="20"/>
  <c r="Z858" i="20"/>
  <c r="Y858" i="20"/>
  <c r="X858" i="20"/>
  <c r="W858" i="20"/>
  <c r="V858" i="20"/>
  <c r="U858" i="20"/>
  <c r="T858" i="20"/>
  <c r="S858" i="20"/>
  <c r="Q858" i="20"/>
  <c r="P858" i="20"/>
  <c r="O858" i="20"/>
  <c r="N858" i="20"/>
  <c r="L858" i="20"/>
  <c r="K858" i="20"/>
  <c r="J858" i="20"/>
  <c r="G858" i="20"/>
  <c r="AK857" i="20"/>
  <c r="AJ857" i="20"/>
  <c r="AI857" i="20"/>
  <c r="AH857" i="20"/>
  <c r="AG857" i="20"/>
  <c r="AF857" i="20"/>
  <c r="AE857" i="20"/>
  <c r="AD857" i="20"/>
  <c r="AC857" i="20"/>
  <c r="AB857" i="20"/>
  <c r="AA857" i="20"/>
  <c r="Z857" i="20"/>
  <c r="Y857" i="20"/>
  <c r="X857" i="20"/>
  <c r="W857" i="20"/>
  <c r="V857" i="20"/>
  <c r="U857" i="20"/>
  <c r="T857" i="20"/>
  <c r="S857" i="20"/>
  <c r="R857" i="20"/>
  <c r="Q857" i="20"/>
  <c r="P857" i="20"/>
  <c r="O857" i="20"/>
  <c r="N857" i="20"/>
  <c r="M857" i="20"/>
  <c r="L857" i="20"/>
  <c r="K857" i="20"/>
  <c r="J857" i="20"/>
  <c r="I857" i="20"/>
  <c r="H857" i="20"/>
  <c r="G857" i="20"/>
  <c r="AK856" i="20"/>
  <c r="AJ856" i="20"/>
  <c r="AI856" i="20"/>
  <c r="AH856" i="20"/>
  <c r="AG856" i="20"/>
  <c r="AF856" i="20"/>
  <c r="AE856" i="20"/>
  <c r="AD856" i="20"/>
  <c r="AC856" i="20"/>
  <c r="AB856" i="20"/>
  <c r="AA856" i="20"/>
  <c r="Z856" i="20"/>
  <c r="Y856" i="20"/>
  <c r="X856" i="20"/>
  <c r="W856" i="20"/>
  <c r="V856" i="20"/>
  <c r="U856" i="20"/>
  <c r="T856" i="20"/>
  <c r="S856" i="20"/>
  <c r="R856" i="20"/>
  <c r="Q856" i="20"/>
  <c r="P856" i="20"/>
  <c r="O856" i="20"/>
  <c r="N856" i="20"/>
  <c r="M856" i="20"/>
  <c r="L856" i="20"/>
  <c r="K856" i="20"/>
  <c r="J856" i="20"/>
  <c r="I856" i="20"/>
  <c r="H856" i="20"/>
  <c r="G856" i="20"/>
  <c r="AK854" i="20"/>
  <c r="AJ854" i="20"/>
  <c r="AI854" i="20"/>
  <c r="AH854" i="20"/>
  <c r="AE854" i="20"/>
  <c r="AB854" i="20"/>
  <c r="AA854" i="20"/>
  <c r="Z854" i="20"/>
  <c r="Y854" i="20"/>
  <c r="X854" i="20"/>
  <c r="AK853" i="20"/>
  <c r="AJ853" i="20"/>
  <c r="AI853" i="20"/>
  <c r="AH853" i="20"/>
  <c r="AG853" i="20"/>
  <c r="AF853" i="20"/>
  <c r="AE853" i="20"/>
  <c r="AD853" i="20"/>
  <c r="AC853" i="20"/>
  <c r="AB853" i="20"/>
  <c r="AA853" i="20"/>
  <c r="Z853" i="20"/>
  <c r="Y853" i="20"/>
  <c r="X853" i="20"/>
  <c r="W853" i="20"/>
  <c r="V853" i="20"/>
  <c r="U853" i="20"/>
  <c r="T853" i="20"/>
  <c r="S853" i="20"/>
  <c r="R853" i="20"/>
  <c r="Q853" i="20"/>
  <c r="P853" i="20"/>
  <c r="O853" i="20"/>
  <c r="N853" i="20"/>
  <c r="M853" i="20"/>
  <c r="L853" i="20"/>
  <c r="K853" i="20"/>
  <c r="J853" i="20"/>
  <c r="I853" i="20"/>
  <c r="H853" i="20"/>
  <c r="G853" i="20"/>
  <c r="AK852" i="20"/>
  <c r="AJ852" i="20"/>
  <c r="AI852" i="20"/>
  <c r="AH852" i="20"/>
  <c r="AG852" i="20"/>
  <c r="AF852" i="20"/>
  <c r="AE852" i="20"/>
  <c r="AD852" i="20"/>
  <c r="AC852" i="20"/>
  <c r="AB852" i="20"/>
  <c r="AA852" i="20"/>
  <c r="Z852" i="20"/>
  <c r="Y852" i="20"/>
  <c r="X852" i="20"/>
  <c r="W852" i="20"/>
  <c r="V852" i="20"/>
  <c r="U852" i="20"/>
  <c r="T852" i="20"/>
  <c r="S852" i="20"/>
  <c r="R852" i="20"/>
  <c r="Q852" i="20"/>
  <c r="P852" i="20"/>
  <c r="O852" i="20"/>
  <c r="N852" i="20"/>
  <c r="M852" i="20"/>
  <c r="L852" i="20"/>
  <c r="K852" i="20"/>
  <c r="J852" i="20"/>
  <c r="I852" i="20"/>
  <c r="H852" i="20"/>
  <c r="G852" i="20"/>
  <c r="AK851" i="20"/>
  <c r="AJ851" i="20"/>
  <c r="AI851" i="20"/>
  <c r="AH851" i="20"/>
  <c r="AG851" i="20"/>
  <c r="AF851" i="20"/>
  <c r="AE851" i="20"/>
  <c r="AD851" i="20"/>
  <c r="AC851" i="20"/>
  <c r="AB851" i="20"/>
  <c r="AA851" i="20"/>
  <c r="Z851" i="20"/>
  <c r="Y851" i="20"/>
  <c r="X851" i="20"/>
  <c r="W851" i="20"/>
  <c r="V851" i="20"/>
  <c r="U851" i="20"/>
  <c r="T851" i="20"/>
  <c r="S851" i="20"/>
  <c r="R851" i="20"/>
  <c r="Q851" i="20"/>
  <c r="P851" i="20"/>
  <c r="O851" i="20"/>
  <c r="N851" i="20"/>
  <c r="M851" i="20"/>
  <c r="L851" i="20"/>
  <c r="K851" i="20"/>
  <c r="J851" i="20"/>
  <c r="I851" i="20"/>
  <c r="H851" i="20"/>
  <c r="G851" i="20"/>
  <c r="AD850" i="20"/>
  <c r="AB850" i="20"/>
  <c r="X850" i="20"/>
  <c r="M849" i="20"/>
  <c r="L849" i="20"/>
  <c r="K849" i="20"/>
  <c r="J849" i="20"/>
  <c r="I849" i="20"/>
  <c r="G849" i="20"/>
  <c r="L848" i="20"/>
  <c r="AH845" i="20"/>
  <c r="AG845" i="20"/>
  <c r="AF845" i="20"/>
  <c r="AE845" i="20"/>
  <c r="AD845" i="20"/>
  <c r="AB845" i="20"/>
  <c r="AA845" i="20"/>
  <c r="Z845" i="20"/>
  <c r="Y845" i="20"/>
  <c r="X845" i="20"/>
  <c r="W845" i="20"/>
  <c r="V845" i="20"/>
  <c r="U845" i="20"/>
  <c r="T845" i="20"/>
  <c r="S845" i="20"/>
  <c r="R845" i="20"/>
  <c r="Q845" i="20"/>
  <c r="P845" i="20"/>
  <c r="O845" i="20"/>
  <c r="N845" i="20"/>
  <c r="M845" i="20"/>
  <c r="L845" i="20"/>
  <c r="K845" i="20"/>
  <c r="J845" i="20"/>
  <c r="I845" i="20"/>
  <c r="H845" i="20"/>
  <c r="G845" i="20"/>
  <c r="F852" i="20" l="1"/>
  <c r="F856" i="20"/>
  <c r="F860" i="20"/>
  <c r="F864" i="20"/>
  <c r="F868" i="20"/>
  <c r="F845" i="20"/>
  <c r="F853" i="20"/>
  <c r="F857" i="20"/>
  <c r="F861" i="20"/>
  <c r="F865" i="20"/>
  <c r="F869" i="20"/>
  <c r="F873" i="20"/>
  <c r="F858" i="20"/>
  <c r="F862" i="20"/>
  <c r="F866" i="20"/>
  <c r="F870" i="20"/>
  <c r="F851" i="20"/>
  <c r="F859" i="20"/>
  <c r="F863" i="20"/>
  <c r="F867" i="20"/>
  <c r="AG875" i="20" l="1"/>
  <c r="H875" i="20"/>
  <c r="L875" i="20"/>
  <c r="AH875" i="20"/>
  <c r="Q875" i="20"/>
  <c r="AL875" i="20"/>
  <c r="AD875" i="20"/>
  <c r="P875" i="20"/>
  <c r="V875" i="20"/>
  <c r="R875" i="20"/>
  <c r="S875" i="20"/>
  <c r="O875" i="20"/>
  <c r="T875" i="20"/>
  <c r="AI875" i="20"/>
  <c r="G875" i="20"/>
  <c r="W875" i="20"/>
  <c r="AF875" i="20"/>
  <c r="AE875" i="20"/>
  <c r="AJ875" i="20"/>
  <c r="AB875" i="20"/>
  <c r="AA875" i="20"/>
  <c r="M875" i="20"/>
  <c r="F875" i="20"/>
  <c r="K875" i="20"/>
  <c r="Y875" i="20"/>
  <c r="I875" i="20"/>
  <c r="U875" i="20"/>
  <c r="AK875" i="20"/>
  <c r="N875" i="20"/>
  <c r="Z875" i="20"/>
  <c r="AC875" i="20"/>
  <c r="J875" i="20"/>
  <c r="X875" i="20"/>
  <c r="AM875" i="20" l="1"/>
  <c r="AL49" i="20" l="1"/>
  <c r="AK49" i="20"/>
  <c r="AJ49" i="20"/>
  <c r="AI49" i="20"/>
  <c r="AH49" i="20"/>
  <c r="AG49" i="20"/>
  <c r="AF49" i="20"/>
  <c r="AE49" i="20"/>
  <c r="AD49" i="20"/>
  <c r="AC49" i="20"/>
  <c r="AB49" i="20"/>
  <c r="AA49" i="20"/>
  <c r="Z49" i="20"/>
  <c r="Y49" i="20"/>
  <c r="X49" i="20"/>
  <c r="W49" i="20"/>
  <c r="V49" i="20"/>
  <c r="U49" i="20"/>
  <c r="T49" i="20"/>
  <c r="S49" i="20"/>
  <c r="R49" i="20"/>
  <c r="Q49" i="20"/>
  <c r="P49" i="20"/>
  <c r="O49" i="20"/>
  <c r="N49" i="20"/>
  <c r="M49" i="20"/>
  <c r="L49" i="20"/>
  <c r="K49" i="20"/>
  <c r="J49" i="20"/>
  <c r="F49" i="20"/>
  <c r="C110" i="44" s="1"/>
  <c r="AL48" i="20"/>
  <c r="AK48" i="20"/>
  <c r="AJ48" i="20"/>
  <c r="AI48" i="20"/>
  <c r="AH48" i="20"/>
  <c r="AG48" i="20"/>
  <c r="AF48" i="20"/>
  <c r="AE48" i="20"/>
  <c r="AD48" i="20"/>
  <c r="AC48" i="20"/>
  <c r="AB48" i="20"/>
  <c r="AA48" i="20"/>
  <c r="Z48" i="20"/>
  <c r="Y48" i="20"/>
  <c r="X48" i="20"/>
  <c r="W48" i="20"/>
  <c r="V48" i="20"/>
  <c r="U48" i="20"/>
  <c r="T48" i="20"/>
  <c r="S48" i="20"/>
  <c r="R48" i="20"/>
  <c r="Q48" i="20"/>
  <c r="P48" i="20"/>
  <c r="O48" i="20"/>
  <c r="N48" i="20"/>
  <c r="M48" i="20"/>
  <c r="L48" i="20"/>
  <c r="K48" i="20"/>
  <c r="J48" i="20"/>
  <c r="F48" i="20"/>
  <c r="C39" i="44" s="1"/>
  <c r="H48" i="20" l="1"/>
  <c r="G49" i="20"/>
  <c r="G48" i="20"/>
  <c r="H49" i="20"/>
  <c r="I49" i="20"/>
  <c r="I48" i="20"/>
  <c r="AM48" i="20" l="1"/>
  <c r="AM49" i="20"/>
  <c r="D6" i="44" l="1"/>
  <c r="E6" i="44"/>
  <c r="F6" i="44"/>
  <c r="G6" i="44"/>
  <c r="H6" i="44"/>
  <c r="I6" i="44"/>
  <c r="J6" i="44"/>
  <c r="K6" i="44"/>
  <c r="L6" i="44"/>
  <c r="M6" i="44"/>
  <c r="N6" i="44"/>
  <c r="O6" i="44"/>
  <c r="P6" i="44"/>
  <c r="Q6" i="44"/>
  <c r="R6" i="44"/>
  <c r="S6" i="44"/>
  <c r="T6" i="44"/>
  <c r="U6" i="44"/>
  <c r="V6" i="44"/>
  <c r="W6" i="44"/>
  <c r="X6" i="44"/>
  <c r="Y6" i="44"/>
  <c r="Z6" i="44"/>
  <c r="AA6" i="44"/>
  <c r="AB6" i="44"/>
  <c r="AC6" i="44"/>
  <c r="AD6" i="44"/>
  <c r="AE6" i="44"/>
  <c r="AF6" i="44"/>
  <c r="AG6" i="44"/>
  <c r="AH6" i="44"/>
  <c r="AI6" i="44"/>
  <c r="D8" i="44"/>
  <c r="E8" i="44"/>
  <c r="F8" i="44"/>
  <c r="G8" i="44"/>
  <c r="G7" i="44" s="1"/>
  <c r="H8" i="44"/>
  <c r="I8" i="44"/>
  <c r="J8" i="44"/>
  <c r="K8" i="44"/>
  <c r="L8" i="44"/>
  <c r="M8" i="44"/>
  <c r="N8" i="44"/>
  <c r="O8" i="44"/>
  <c r="O7" i="44" s="1"/>
  <c r="P8" i="44"/>
  <c r="Q8" i="44"/>
  <c r="R8" i="44"/>
  <c r="S8" i="44"/>
  <c r="T8" i="44"/>
  <c r="U8" i="44"/>
  <c r="V8" i="44"/>
  <c r="W8" i="44"/>
  <c r="W7" i="44" s="1"/>
  <c r="X8" i="44"/>
  <c r="Y8" i="44"/>
  <c r="Z8" i="44"/>
  <c r="AA8" i="44"/>
  <c r="AB8" i="44"/>
  <c r="AC8" i="44"/>
  <c r="AD8" i="44"/>
  <c r="AE8" i="44"/>
  <c r="AE7" i="44" s="1"/>
  <c r="AF8" i="44"/>
  <c r="AG8" i="44"/>
  <c r="AH8" i="44"/>
  <c r="AI8" i="44"/>
  <c r="D18" i="44"/>
  <c r="D152" i="44" s="1"/>
  <c r="E18" i="44"/>
  <c r="E152" i="44" s="1"/>
  <c r="F18" i="44"/>
  <c r="F152" i="44" s="1"/>
  <c r="G18" i="44"/>
  <c r="G152" i="44" s="1"/>
  <c r="H18" i="44"/>
  <c r="H152" i="44" s="1"/>
  <c r="I18" i="44"/>
  <c r="I152" i="44" s="1"/>
  <c r="J18" i="44"/>
  <c r="J152" i="44" s="1"/>
  <c r="K18" i="44"/>
  <c r="K152" i="44" s="1"/>
  <c r="L18" i="44"/>
  <c r="L152" i="44" s="1"/>
  <c r="M18" i="44"/>
  <c r="M152" i="44" s="1"/>
  <c r="N18" i="44"/>
  <c r="N152" i="44" s="1"/>
  <c r="O18" i="44"/>
  <c r="O152" i="44" s="1"/>
  <c r="P18" i="44"/>
  <c r="P152" i="44" s="1"/>
  <c r="Q18" i="44"/>
  <c r="Q152" i="44" s="1"/>
  <c r="R18" i="44"/>
  <c r="R152" i="44" s="1"/>
  <c r="S18" i="44"/>
  <c r="S152" i="44" s="1"/>
  <c r="T18" i="44"/>
  <c r="T152" i="44" s="1"/>
  <c r="U18" i="44"/>
  <c r="U152" i="44" s="1"/>
  <c r="V18" i="44"/>
  <c r="V152" i="44" s="1"/>
  <c r="W18" i="44"/>
  <c r="W152" i="44" s="1"/>
  <c r="X18" i="44"/>
  <c r="X152" i="44" s="1"/>
  <c r="Y18" i="44"/>
  <c r="Y152" i="44" s="1"/>
  <c r="Z18" i="44"/>
  <c r="Z152" i="44" s="1"/>
  <c r="AA18" i="44"/>
  <c r="AA152" i="44" s="1"/>
  <c r="AB18" i="44"/>
  <c r="AB152" i="44" s="1"/>
  <c r="AC18" i="44"/>
  <c r="AC152" i="44" s="1"/>
  <c r="AD18" i="44"/>
  <c r="AD152" i="44" s="1"/>
  <c r="AE18" i="44"/>
  <c r="AE152" i="44" s="1"/>
  <c r="AF18" i="44"/>
  <c r="AF152" i="44" s="1"/>
  <c r="AG18" i="44"/>
  <c r="AG152" i="44" s="1"/>
  <c r="AH18" i="44"/>
  <c r="AH152" i="44" s="1"/>
  <c r="AI18" i="44"/>
  <c r="AI152" i="44" s="1"/>
  <c r="D19" i="44"/>
  <c r="E19" i="44"/>
  <c r="F19" i="44"/>
  <c r="G19" i="44"/>
  <c r="H19" i="44"/>
  <c r="I19" i="44"/>
  <c r="J19" i="44"/>
  <c r="K19" i="44"/>
  <c r="L19" i="44"/>
  <c r="M19" i="44"/>
  <c r="N19" i="44"/>
  <c r="O19" i="44"/>
  <c r="P19" i="44"/>
  <c r="Q19" i="44"/>
  <c r="R19" i="44"/>
  <c r="S19" i="44"/>
  <c r="T19" i="44"/>
  <c r="U19" i="44"/>
  <c r="V19" i="44"/>
  <c r="W19" i="44"/>
  <c r="X19" i="44"/>
  <c r="Y19" i="44"/>
  <c r="Z19" i="44"/>
  <c r="AA19" i="44"/>
  <c r="AB19" i="44"/>
  <c r="AC19" i="44"/>
  <c r="AD19" i="44"/>
  <c r="AE19" i="44"/>
  <c r="AF19" i="44"/>
  <c r="AG19" i="44"/>
  <c r="AH19" i="44"/>
  <c r="AI19" i="44"/>
  <c r="D80" i="44"/>
  <c r="D149" i="44" s="1"/>
  <c r="E80" i="44"/>
  <c r="E149" i="44" s="1"/>
  <c r="F80" i="44"/>
  <c r="F149" i="44" s="1"/>
  <c r="G80" i="44"/>
  <c r="G149" i="44" s="1"/>
  <c r="H80" i="44"/>
  <c r="H149" i="44" s="1"/>
  <c r="I80" i="44"/>
  <c r="I149" i="44" s="1"/>
  <c r="J80" i="44"/>
  <c r="J149" i="44" s="1"/>
  <c r="K80" i="44"/>
  <c r="K149" i="44" s="1"/>
  <c r="L80" i="44"/>
  <c r="L149" i="44" s="1"/>
  <c r="M80" i="44"/>
  <c r="M149" i="44" s="1"/>
  <c r="N80" i="44"/>
  <c r="N149" i="44" s="1"/>
  <c r="O80" i="44"/>
  <c r="O149" i="44" s="1"/>
  <c r="P80" i="44"/>
  <c r="P149" i="44" s="1"/>
  <c r="Q80" i="44"/>
  <c r="Q149" i="44" s="1"/>
  <c r="R80" i="44"/>
  <c r="R149" i="44" s="1"/>
  <c r="S80" i="44"/>
  <c r="S149" i="44" s="1"/>
  <c r="T80" i="44"/>
  <c r="T149" i="44" s="1"/>
  <c r="U80" i="44"/>
  <c r="U149" i="44" s="1"/>
  <c r="V80" i="44"/>
  <c r="V149" i="44" s="1"/>
  <c r="W80" i="44"/>
  <c r="W149" i="44" s="1"/>
  <c r="X80" i="44"/>
  <c r="X149" i="44" s="1"/>
  <c r="Y80" i="44"/>
  <c r="Y149" i="44" s="1"/>
  <c r="Z80" i="44"/>
  <c r="Z149" i="44" s="1"/>
  <c r="AA80" i="44"/>
  <c r="AA149" i="44" s="1"/>
  <c r="AB80" i="44"/>
  <c r="AB149" i="44" s="1"/>
  <c r="AC80" i="44"/>
  <c r="AC149" i="44" s="1"/>
  <c r="AD80" i="44"/>
  <c r="AD149" i="44" s="1"/>
  <c r="AE80" i="44"/>
  <c r="AE149" i="44" s="1"/>
  <c r="AF80" i="44"/>
  <c r="AF149" i="44" s="1"/>
  <c r="AG80" i="44"/>
  <c r="AG149" i="44" s="1"/>
  <c r="AH80" i="44"/>
  <c r="AH149" i="44" s="1"/>
  <c r="AI80" i="44"/>
  <c r="AI149" i="44" s="1"/>
  <c r="D87" i="44"/>
  <c r="E87" i="44"/>
  <c r="F87" i="44"/>
  <c r="G87" i="44"/>
  <c r="H87" i="44"/>
  <c r="I87" i="44"/>
  <c r="J87" i="44"/>
  <c r="K87" i="44"/>
  <c r="L87" i="44"/>
  <c r="M87" i="44"/>
  <c r="N87" i="44"/>
  <c r="O87" i="44"/>
  <c r="P87" i="44"/>
  <c r="Q87" i="44"/>
  <c r="R87" i="44"/>
  <c r="S87" i="44"/>
  <c r="T87" i="44"/>
  <c r="U87" i="44"/>
  <c r="V87" i="44"/>
  <c r="W87" i="44"/>
  <c r="X87" i="44"/>
  <c r="Y87" i="44"/>
  <c r="Z87" i="44"/>
  <c r="AA87" i="44"/>
  <c r="AB87" i="44"/>
  <c r="AC87" i="44"/>
  <c r="AD87" i="44"/>
  <c r="AE87" i="44"/>
  <c r="AF87" i="44"/>
  <c r="AG87" i="44"/>
  <c r="AH87" i="44"/>
  <c r="AI87" i="44"/>
  <c r="AH7" i="44" l="1"/>
  <c r="AI9" i="44"/>
  <c r="AA9" i="44"/>
  <c r="S12" i="44"/>
  <c r="S13" i="44" s="1"/>
  <c r="K9" i="44"/>
  <c r="Z88" i="44"/>
  <c r="J88" i="44"/>
  <c r="AG88" i="44"/>
  <c r="Y88" i="44"/>
  <c r="Q88" i="44"/>
  <c r="I88" i="44"/>
  <c r="AF9" i="44"/>
  <c r="X9" i="44"/>
  <c r="P9" i="44"/>
  <c r="H10" i="44"/>
  <c r="AE9" i="44"/>
  <c r="W10" i="44"/>
  <c r="O10" i="44"/>
  <c r="G9" i="44"/>
  <c r="V88" i="44"/>
  <c r="AC88" i="44"/>
  <c r="U88" i="44"/>
  <c r="M88" i="44"/>
  <c r="E88" i="44"/>
  <c r="AB9" i="44"/>
  <c r="T9" i="44"/>
  <c r="L9" i="44"/>
  <c r="D9" i="44"/>
  <c r="AI7" i="44"/>
  <c r="AA7" i="44"/>
  <c r="S7" i="44"/>
  <c r="H9" i="44"/>
  <c r="AI151" i="44"/>
  <c r="AH151" i="44"/>
  <c r="AH160" i="44"/>
  <c r="V151" i="44"/>
  <c r="V160" i="44"/>
  <c r="R151" i="44"/>
  <c r="R160" i="44"/>
  <c r="J151" i="44"/>
  <c r="J160" i="44"/>
  <c r="F151" i="44"/>
  <c r="F160" i="44"/>
  <c r="AG151" i="44"/>
  <c r="AG160" i="44"/>
  <c r="Y151" i="44"/>
  <c r="Y160" i="44"/>
  <c r="Q151" i="44"/>
  <c r="Q160" i="44"/>
  <c r="M151" i="44"/>
  <c r="M160" i="44"/>
  <c r="E151" i="44"/>
  <c r="E160" i="44"/>
  <c r="AF151" i="44"/>
  <c r="AF160" i="44"/>
  <c r="AB151" i="44"/>
  <c r="AB160" i="44"/>
  <c r="X151" i="44"/>
  <c r="X160" i="44"/>
  <c r="T151" i="44"/>
  <c r="T160" i="44"/>
  <c r="P151" i="44"/>
  <c r="P160" i="44"/>
  <c r="L151" i="44"/>
  <c r="L160" i="44"/>
  <c r="H151" i="44"/>
  <c r="H160" i="44"/>
  <c r="D151" i="44"/>
  <c r="D160" i="44"/>
  <c r="AD151" i="44"/>
  <c r="AD160" i="44"/>
  <c r="Z151" i="44"/>
  <c r="Z160" i="44"/>
  <c r="N151" i="44"/>
  <c r="N160" i="44"/>
  <c r="AC151" i="44"/>
  <c r="AC160" i="44"/>
  <c r="U151" i="44"/>
  <c r="U160" i="44"/>
  <c r="I151" i="44"/>
  <c r="I160" i="44"/>
  <c r="AE151" i="44"/>
  <c r="AE160" i="44"/>
  <c r="AA151" i="44"/>
  <c r="AA160" i="44"/>
  <c r="W151" i="44"/>
  <c r="W160" i="44"/>
  <c r="S151" i="44"/>
  <c r="S160" i="44"/>
  <c r="O151" i="44"/>
  <c r="O160" i="44"/>
  <c r="K151" i="44"/>
  <c r="K160" i="44"/>
  <c r="G151" i="44"/>
  <c r="G160" i="44"/>
  <c r="AK152" i="44"/>
  <c r="K7" i="44"/>
  <c r="E37" i="44"/>
  <c r="D37" i="44"/>
  <c r="AI88" i="44"/>
  <c r="K88" i="44"/>
  <c r="S89" i="44"/>
  <c r="AE88" i="44"/>
  <c r="O89" i="44"/>
  <c r="G88" i="44"/>
  <c r="AK81" i="44"/>
  <c r="AK18" i="44"/>
  <c r="AK19" i="44"/>
  <c r="AK6" i="44"/>
  <c r="AI89" i="44"/>
  <c r="K89" i="44"/>
  <c r="S88" i="44"/>
  <c r="AI86" i="44"/>
  <c r="AI90" i="44" s="1"/>
  <c r="AE86" i="44"/>
  <c r="AE90" i="44" s="1"/>
  <c r="AA86" i="44"/>
  <c r="AA90" i="44" s="1"/>
  <c r="W86" i="44"/>
  <c r="W90" i="44" s="1"/>
  <c r="S86" i="44"/>
  <c r="S90" i="44" s="1"/>
  <c r="O86" i="44"/>
  <c r="O91" i="44" s="1"/>
  <c r="O92" i="44" s="1"/>
  <c r="K86" i="44"/>
  <c r="K90" i="44" s="1"/>
  <c r="G86" i="44"/>
  <c r="G91" i="44" s="1"/>
  <c r="G92" i="44" s="1"/>
  <c r="AE89" i="44"/>
  <c r="G89" i="44"/>
  <c r="O88" i="44"/>
  <c r="J7" i="44"/>
  <c r="AA89" i="44"/>
  <c r="AA88" i="44"/>
  <c r="W89" i="44"/>
  <c r="W88" i="44"/>
  <c r="AF89" i="44"/>
  <c r="X89" i="44"/>
  <c r="P89" i="44"/>
  <c r="H89" i="44"/>
  <c r="AF88" i="44"/>
  <c r="X88" i="44"/>
  <c r="P88" i="44"/>
  <c r="H88" i="44"/>
  <c r="AB89" i="44"/>
  <c r="T89" i="44"/>
  <c r="L89" i="44"/>
  <c r="D89" i="44"/>
  <c r="AB88" i="44"/>
  <c r="T88" i="44"/>
  <c r="L88" i="44"/>
  <c r="D88" i="44"/>
  <c r="AF86" i="44"/>
  <c r="AF90" i="44" s="1"/>
  <c r="AB86" i="44"/>
  <c r="AB90" i="44" s="1"/>
  <c r="X86" i="44"/>
  <c r="X91" i="44" s="1"/>
  <c r="X92" i="44" s="1"/>
  <c r="T86" i="44"/>
  <c r="T90" i="44" s="1"/>
  <c r="P86" i="44"/>
  <c r="P90" i="44" s="1"/>
  <c r="L86" i="44"/>
  <c r="L91" i="44" s="1"/>
  <c r="L92" i="44" s="1"/>
  <c r="H86" i="44"/>
  <c r="H91" i="44" s="1"/>
  <c r="H92" i="44" s="1"/>
  <c r="D86" i="44"/>
  <c r="D91" i="44" s="1"/>
  <c r="D92" i="44" s="1"/>
  <c r="AA53" i="44"/>
  <c r="AF53" i="44"/>
  <c r="H11" i="44"/>
  <c r="N89" i="44"/>
  <c r="AD88" i="44"/>
  <c r="N88" i="44"/>
  <c r="P53" i="44"/>
  <c r="AD89" i="44"/>
  <c r="I53" i="44"/>
  <c r="U53" i="44"/>
  <c r="AG53" i="44"/>
  <c r="Y53" i="44"/>
  <c r="M53" i="44"/>
  <c r="G11" i="44"/>
  <c r="AE12" i="44"/>
  <c r="AE13" i="44" s="1"/>
  <c r="S10" i="44"/>
  <c r="AC53" i="44"/>
  <c r="Q53" i="44"/>
  <c r="E53" i="44"/>
  <c r="Q12" i="44"/>
  <c r="Q13" i="44" s="1"/>
  <c r="AH89" i="44"/>
  <c r="R89" i="44"/>
  <c r="AH88" i="44"/>
  <c r="R88" i="44"/>
  <c r="AH86" i="44"/>
  <c r="AH91" i="44" s="1"/>
  <c r="AH92" i="44" s="1"/>
  <c r="AD86" i="44"/>
  <c r="AD91" i="44" s="1"/>
  <c r="AD92" i="44" s="1"/>
  <c r="Z86" i="44"/>
  <c r="Z90" i="44" s="1"/>
  <c r="V86" i="44"/>
  <c r="V90" i="44" s="1"/>
  <c r="R86" i="44"/>
  <c r="R90" i="44" s="1"/>
  <c r="N86" i="44"/>
  <c r="N91" i="44" s="1"/>
  <c r="N92" i="44" s="1"/>
  <c r="J86" i="44"/>
  <c r="J90" i="44" s="1"/>
  <c r="F86" i="44"/>
  <c r="F90" i="44" s="1"/>
  <c r="O53" i="44"/>
  <c r="W9" i="44"/>
  <c r="V89" i="44"/>
  <c r="F89" i="44"/>
  <c r="F88" i="44"/>
  <c r="AE53" i="44"/>
  <c r="Z89" i="44"/>
  <c r="J89" i="44"/>
  <c r="K53" i="44"/>
  <c r="D12" i="44"/>
  <c r="D13" i="44" s="1"/>
  <c r="T11" i="44"/>
  <c r="O37" i="44"/>
  <c r="AA12" i="44"/>
  <c r="AA13" i="44" s="1"/>
  <c r="O12" i="44"/>
  <c r="O13" i="44" s="1"/>
  <c r="AI11" i="44"/>
  <c r="S11" i="44"/>
  <c r="AI10" i="44"/>
  <c r="K10" i="44"/>
  <c r="S9" i="44"/>
  <c r="W12" i="44"/>
  <c r="W13" i="44" s="1"/>
  <c r="K12" i="44"/>
  <c r="K13" i="44" s="1"/>
  <c r="AE11" i="44"/>
  <c r="K11" i="44"/>
  <c r="AE10" i="44"/>
  <c r="G10" i="44"/>
  <c r="O9" i="44"/>
  <c r="AI12" i="44"/>
  <c r="AI13" i="44" s="1"/>
  <c r="G12" i="44"/>
  <c r="G13" i="44" s="1"/>
  <c r="W11" i="44"/>
  <c r="AA10" i="44"/>
  <c r="AB37" i="44"/>
  <c r="X37" i="44"/>
  <c r="AG89" i="44"/>
  <c r="AC89" i="44"/>
  <c r="Y89" i="44"/>
  <c r="U89" i="44"/>
  <c r="Q89" i="44"/>
  <c r="M89" i="44"/>
  <c r="I89" i="44"/>
  <c r="E89" i="44"/>
  <c r="AG86" i="44"/>
  <c r="AG90" i="44" s="1"/>
  <c r="AC86" i="44"/>
  <c r="AC90" i="44" s="1"/>
  <c r="Y86" i="44"/>
  <c r="Y91" i="44" s="1"/>
  <c r="Y92" i="44" s="1"/>
  <c r="U86" i="44"/>
  <c r="U90" i="44" s="1"/>
  <c r="Q86" i="44"/>
  <c r="Q90" i="44" s="1"/>
  <c r="M86" i="44"/>
  <c r="M90" i="44" s="1"/>
  <c r="I86" i="44"/>
  <c r="I91" i="44" s="1"/>
  <c r="I92" i="44" s="1"/>
  <c r="E86" i="44"/>
  <c r="E91" i="44" s="1"/>
  <c r="E92" i="44" s="1"/>
  <c r="AB53" i="44"/>
  <c r="W53" i="44"/>
  <c r="L53" i="44"/>
  <c r="G53" i="44"/>
  <c r="AE37" i="44"/>
  <c r="S37" i="44"/>
  <c r="AB12" i="44"/>
  <c r="AB13" i="44" s="1"/>
  <c r="H12" i="44"/>
  <c r="H13" i="44" s="1"/>
  <c r="T53" i="44"/>
  <c r="D53" i="44"/>
  <c r="L37" i="44"/>
  <c r="AI53" i="44"/>
  <c r="X53" i="44"/>
  <c r="S53" i="44"/>
  <c r="H53" i="44"/>
  <c r="AI37" i="44"/>
  <c r="W37" i="44"/>
  <c r="G37" i="44"/>
  <c r="T12" i="44"/>
  <c r="T13" i="44" s="1"/>
  <c r="T14" i="44" s="1"/>
  <c r="P10" i="44"/>
  <c r="AB11" i="44"/>
  <c r="X10" i="44"/>
  <c r="X11" i="44"/>
  <c r="L11" i="44"/>
  <c r="D10" i="44"/>
  <c r="AG9" i="44"/>
  <c r="AG10" i="44"/>
  <c r="AG12" i="44"/>
  <c r="AG13" i="44" s="1"/>
  <c r="AG11" i="44"/>
  <c r="AC9" i="44"/>
  <c r="AC11" i="44"/>
  <c r="AC10" i="44"/>
  <c r="AC12" i="44"/>
  <c r="AC13" i="44" s="1"/>
  <c r="Y9" i="44"/>
  <c r="Y12" i="44"/>
  <c r="Y13" i="44" s="1"/>
  <c r="Y10" i="44"/>
  <c r="Y11" i="44"/>
  <c r="U10" i="44"/>
  <c r="U12" i="44"/>
  <c r="U13" i="44" s="1"/>
  <c r="U9" i="44"/>
  <c r="U11" i="44"/>
  <c r="Q9" i="44"/>
  <c r="Q11" i="44"/>
  <c r="Q10" i="44"/>
  <c r="M9" i="44"/>
  <c r="M12" i="44"/>
  <c r="M13" i="44" s="1"/>
  <c r="M10" i="44"/>
  <c r="M11" i="44"/>
  <c r="I9" i="44"/>
  <c r="I10" i="44"/>
  <c r="I12" i="44"/>
  <c r="I13" i="44" s="1"/>
  <c r="I11" i="44"/>
  <c r="E11" i="44"/>
  <c r="E9" i="44"/>
  <c r="E10" i="44"/>
  <c r="E12" i="44"/>
  <c r="E13" i="44" s="1"/>
  <c r="T37" i="44"/>
  <c r="H37" i="44"/>
  <c r="X12" i="44"/>
  <c r="X13" i="44" s="1"/>
  <c r="L12" i="44"/>
  <c r="L13" i="44" s="1"/>
  <c r="AA11" i="44"/>
  <c r="O11" i="44"/>
  <c r="D11" i="44"/>
  <c r="AC37" i="44"/>
  <c r="Q37" i="44"/>
  <c r="I37" i="44"/>
  <c r="U37" i="44"/>
  <c r="Q7" i="44"/>
  <c r="AG37" i="44"/>
  <c r="Y37" i="44"/>
  <c r="M37" i="44"/>
  <c r="AG7" i="44"/>
  <c r="AC7" i="44"/>
  <c r="Y7" i="44"/>
  <c r="U7" i="44"/>
  <c r="M7" i="44"/>
  <c r="I7" i="44"/>
  <c r="E7" i="44"/>
  <c r="AF37" i="44"/>
  <c r="AA37" i="44"/>
  <c r="P37" i="44"/>
  <c r="K37" i="44"/>
  <c r="AF12" i="44"/>
  <c r="AF13" i="44" s="1"/>
  <c r="P12" i="44"/>
  <c r="P13" i="44" s="1"/>
  <c r="AF11" i="44"/>
  <c r="P11" i="44"/>
  <c r="AF10" i="44"/>
  <c r="T10" i="44"/>
  <c r="AF7" i="44"/>
  <c r="AB7" i="44"/>
  <c r="X7" i="44"/>
  <c r="T7" i="44"/>
  <c r="P7" i="44"/>
  <c r="L7" i="44"/>
  <c r="H7" i="44"/>
  <c r="D7" i="44"/>
  <c r="AB10" i="44"/>
  <c r="L10" i="44"/>
  <c r="AH9" i="44"/>
  <c r="AH10" i="44"/>
  <c r="AH11" i="44"/>
  <c r="AH12" i="44"/>
  <c r="AH13" i="44" s="1"/>
  <c r="Z9" i="44"/>
  <c r="Z10" i="44"/>
  <c r="Z11" i="44"/>
  <c r="Z12" i="44"/>
  <c r="Z13" i="44" s="1"/>
  <c r="R9" i="44"/>
  <c r="R10" i="44"/>
  <c r="R11" i="44"/>
  <c r="R12" i="44"/>
  <c r="R13" i="44" s="1"/>
  <c r="J9" i="44"/>
  <c r="J10" i="44"/>
  <c r="J11" i="44"/>
  <c r="J12" i="44"/>
  <c r="J13" i="44" s="1"/>
  <c r="AD9" i="44"/>
  <c r="AD10" i="44"/>
  <c r="AD11" i="44"/>
  <c r="AD12" i="44"/>
  <c r="AD13" i="44" s="1"/>
  <c r="V9" i="44"/>
  <c r="V10" i="44"/>
  <c r="V11" i="44"/>
  <c r="V12" i="44"/>
  <c r="V13" i="44" s="1"/>
  <c r="N9" i="44"/>
  <c r="N10" i="44"/>
  <c r="N11" i="44"/>
  <c r="N12" i="44"/>
  <c r="N13" i="44" s="1"/>
  <c r="F9" i="44"/>
  <c r="F10" i="44"/>
  <c r="F11" i="44"/>
  <c r="F12" i="44"/>
  <c r="F13" i="44" s="1"/>
  <c r="AH37" i="44"/>
  <c r="AD37" i="44"/>
  <c r="Z37" i="44"/>
  <c r="V37" i="44"/>
  <c r="R37" i="44"/>
  <c r="N37" i="44"/>
  <c r="J37" i="44"/>
  <c r="F37" i="44"/>
  <c r="AH53" i="44"/>
  <c r="AD53" i="44"/>
  <c r="Z53" i="44"/>
  <c r="V53" i="44"/>
  <c r="R53" i="44"/>
  <c r="N53" i="44"/>
  <c r="J53" i="44"/>
  <c r="F53" i="44"/>
  <c r="AD7" i="44"/>
  <c r="Z7" i="44"/>
  <c r="V7" i="44"/>
  <c r="R7" i="44"/>
  <c r="N7" i="44"/>
  <c r="F7" i="44"/>
  <c r="S14" i="44" l="1"/>
  <c r="AI14" i="44"/>
  <c r="F148" i="44"/>
  <c r="K148" i="44"/>
  <c r="I148" i="44"/>
  <c r="G148" i="44"/>
  <c r="Z148" i="44"/>
  <c r="P148" i="44"/>
  <c r="AG148" i="44"/>
  <c r="T148" i="44"/>
  <c r="W148" i="44"/>
  <c r="N148" i="44"/>
  <c r="AD148" i="44"/>
  <c r="AA148" i="44"/>
  <c r="AC148" i="44"/>
  <c r="AI148" i="44"/>
  <c r="X148" i="44"/>
  <c r="O148" i="44"/>
  <c r="V148" i="44"/>
  <c r="Y148" i="44"/>
  <c r="H148" i="44"/>
  <c r="S148" i="44"/>
  <c r="E148" i="44"/>
  <c r="J148" i="44"/>
  <c r="Q148" i="44"/>
  <c r="AE148" i="44"/>
  <c r="R148" i="44"/>
  <c r="AH148" i="44"/>
  <c r="AF148" i="44"/>
  <c r="M148" i="44"/>
  <c r="U148" i="44"/>
  <c r="L148" i="44"/>
  <c r="AB148" i="44"/>
  <c r="D148" i="44"/>
  <c r="G90" i="44"/>
  <c r="G93" i="44" s="1"/>
  <c r="J91" i="44"/>
  <c r="J92" i="44" s="1"/>
  <c r="J93" i="44" s="1"/>
  <c r="S91" i="44"/>
  <c r="S92" i="44" s="1"/>
  <c r="S93" i="44" s="1"/>
  <c r="AK86" i="44"/>
  <c r="W91" i="44"/>
  <c r="W92" i="44" s="1"/>
  <c r="W93" i="44" s="1"/>
  <c r="Q14" i="44"/>
  <c r="AK53" i="44"/>
  <c r="O90" i="44"/>
  <c r="O93" i="44" s="1"/>
  <c r="AK11" i="44"/>
  <c r="AK88" i="44"/>
  <c r="AK89" i="44"/>
  <c r="AK13" i="44"/>
  <c r="AK12" i="44"/>
  <c r="AK10" i="44"/>
  <c r="AK9" i="44"/>
  <c r="AK7" i="44"/>
  <c r="AK37" i="44"/>
  <c r="AI91" i="44"/>
  <c r="AI92" i="44" s="1"/>
  <c r="AI93" i="44" s="1"/>
  <c r="K91" i="44"/>
  <c r="K92" i="44" s="1"/>
  <c r="K93" i="44" s="1"/>
  <c r="E90" i="44"/>
  <c r="E93" i="44" s="1"/>
  <c r="AA91" i="44"/>
  <c r="AA92" i="44" s="1"/>
  <c r="AA93" i="44" s="1"/>
  <c r="N90" i="44"/>
  <c r="N93" i="44" s="1"/>
  <c r="AD90" i="44"/>
  <c r="AD93" i="44" s="1"/>
  <c r="X90" i="44"/>
  <c r="X93" i="44" s="1"/>
  <c r="AC91" i="44"/>
  <c r="AC92" i="44" s="1"/>
  <c r="AC93" i="44" s="1"/>
  <c r="M91" i="44"/>
  <c r="M92" i="44" s="1"/>
  <c r="M93" i="44" s="1"/>
  <c r="AE91" i="44"/>
  <c r="AE92" i="44" s="1"/>
  <c r="AE93" i="44" s="1"/>
  <c r="AB91" i="44"/>
  <c r="AB92" i="44" s="1"/>
  <c r="AB93" i="44" s="1"/>
  <c r="L90" i="44"/>
  <c r="L93" i="44" s="1"/>
  <c r="O14" i="44"/>
  <c r="H90" i="44"/>
  <c r="H93" i="44" s="1"/>
  <c r="AF91" i="44"/>
  <c r="AF92" i="44" s="1"/>
  <c r="AF93" i="44" s="1"/>
  <c r="H14" i="44"/>
  <c r="P91" i="44"/>
  <c r="P92" i="44" s="1"/>
  <c r="P93" i="44" s="1"/>
  <c r="Y90" i="44"/>
  <c r="Y93" i="44" s="1"/>
  <c r="D90" i="44"/>
  <c r="D93" i="44" s="1"/>
  <c r="T91" i="44"/>
  <c r="T92" i="44" s="1"/>
  <c r="T93" i="44" s="1"/>
  <c r="AH90" i="44"/>
  <c r="AH93" i="44" s="1"/>
  <c r="U91" i="44"/>
  <c r="U92" i="44" s="1"/>
  <c r="U93" i="44" s="1"/>
  <c r="G14" i="44"/>
  <c r="AE14" i="44"/>
  <c r="R91" i="44"/>
  <c r="R92" i="44" s="1"/>
  <c r="R93" i="44" s="1"/>
  <c r="L14" i="44"/>
  <c r="D14" i="44"/>
  <c r="V91" i="44"/>
  <c r="V92" i="44" s="1"/>
  <c r="V93" i="44" s="1"/>
  <c r="I90" i="44"/>
  <c r="I93" i="44" s="1"/>
  <c r="X14" i="44"/>
  <c r="Z91" i="44"/>
  <c r="Z92" i="44" s="1"/>
  <c r="Z93" i="44" s="1"/>
  <c r="AB14" i="44"/>
  <c r="W14" i="44"/>
  <c r="F91" i="44"/>
  <c r="F92" i="44" s="1"/>
  <c r="F93" i="44" s="1"/>
  <c r="AA14" i="44"/>
  <c r="K14" i="44"/>
  <c r="P14" i="44"/>
  <c r="Q91" i="44"/>
  <c r="Q92" i="44" s="1"/>
  <c r="Q93" i="44" s="1"/>
  <c r="AG91" i="44"/>
  <c r="AG92" i="44" s="1"/>
  <c r="AG93" i="44" s="1"/>
  <c r="E14" i="44"/>
  <c r="I14" i="44"/>
  <c r="U14" i="44"/>
  <c r="Y14" i="44"/>
  <c r="M14" i="44"/>
  <c r="AC14" i="44"/>
  <c r="AG14" i="44"/>
  <c r="AF14" i="44"/>
  <c r="J14" i="44"/>
  <c r="R14" i="44"/>
  <c r="Z14" i="44"/>
  <c r="AH14" i="44"/>
  <c r="F14" i="44"/>
  <c r="N14" i="44"/>
  <c r="V14" i="44"/>
  <c r="AD14" i="44"/>
  <c r="AK14" i="44" l="1"/>
  <c r="AL1315" i="20" l="1"/>
  <c r="AK1315" i="20"/>
  <c r="AJ1315" i="20"/>
  <c r="AI1315" i="20"/>
  <c r="AH1315" i="20"/>
  <c r="AG1315" i="20"/>
  <c r="AF1315" i="20"/>
  <c r="AE1315" i="20"/>
  <c r="AD1315" i="20"/>
  <c r="AC1315" i="20"/>
  <c r="AB1315" i="20"/>
  <c r="AA1315" i="20"/>
  <c r="Z1315" i="20"/>
  <c r="Y1315" i="20"/>
  <c r="X1315" i="20"/>
  <c r="W1315" i="20"/>
  <c r="V1315" i="20"/>
  <c r="U1315" i="20"/>
  <c r="T1315" i="20"/>
  <c r="S1315" i="20"/>
  <c r="R1315" i="20"/>
  <c r="Q1315" i="20"/>
  <c r="P1315" i="20"/>
  <c r="O1315" i="20"/>
  <c r="N1315" i="20"/>
  <c r="M1315" i="20"/>
  <c r="L1315" i="20"/>
  <c r="K1315" i="20"/>
  <c r="J1315" i="20"/>
  <c r="I1315" i="20"/>
  <c r="H1315" i="20"/>
  <c r="G1315" i="20"/>
  <c r="AL1311" i="20"/>
  <c r="AL1312" i="20" s="1"/>
  <c r="AK1311" i="20"/>
  <c r="AK1312" i="20" s="1"/>
  <c r="AJ1311" i="20"/>
  <c r="AJ1312" i="20" s="1"/>
  <c r="AI1311" i="20"/>
  <c r="AI1312" i="20" s="1"/>
  <c r="AH1311" i="20"/>
  <c r="AH1312" i="20" s="1"/>
  <c r="AG1311" i="20"/>
  <c r="AG1312" i="20" s="1"/>
  <c r="AF1311" i="20"/>
  <c r="AF1312" i="20" s="1"/>
  <c r="AE1311" i="20"/>
  <c r="AE1312" i="20" s="1"/>
  <c r="AD1311" i="20"/>
  <c r="AD1312" i="20" s="1"/>
  <c r="AC1311" i="20"/>
  <c r="AC1312" i="20" s="1"/>
  <c r="AB1311" i="20"/>
  <c r="AB1312" i="20" s="1"/>
  <c r="AA1311" i="20"/>
  <c r="AA1312" i="20" s="1"/>
  <c r="Z1311" i="20"/>
  <c r="Z1312" i="20" s="1"/>
  <c r="Y1311" i="20"/>
  <c r="Y1312" i="20" s="1"/>
  <c r="X1311" i="20"/>
  <c r="X1312" i="20" s="1"/>
  <c r="W1311" i="20"/>
  <c r="W1312" i="20" s="1"/>
  <c r="V1311" i="20"/>
  <c r="V1312" i="20" s="1"/>
  <c r="U1311" i="20"/>
  <c r="U1312" i="20" s="1"/>
  <c r="T1311" i="20"/>
  <c r="T1312" i="20" s="1"/>
  <c r="S1311" i="20"/>
  <c r="S1312" i="20" s="1"/>
  <c r="R1311" i="20"/>
  <c r="R1312" i="20" s="1"/>
  <c r="Q1311" i="20"/>
  <c r="Q1312" i="20" s="1"/>
  <c r="P1311" i="20"/>
  <c r="P1312" i="20" s="1"/>
  <c r="O1311" i="20"/>
  <c r="O1312" i="20" s="1"/>
  <c r="N1311" i="20"/>
  <c r="N1312" i="20" s="1"/>
  <c r="M1311" i="20"/>
  <c r="M1312" i="20" s="1"/>
  <c r="L1311" i="20"/>
  <c r="L1312" i="20" s="1"/>
  <c r="K1311" i="20"/>
  <c r="K1312" i="20" s="1"/>
  <c r="J1311" i="20"/>
  <c r="J1312" i="20" s="1"/>
  <c r="I1311" i="20"/>
  <c r="I1312" i="20" s="1"/>
  <c r="H1311" i="20"/>
  <c r="H1312" i="20" s="1"/>
  <c r="G1311" i="20"/>
  <c r="G1312" i="20" s="1"/>
  <c r="F1311" i="20"/>
  <c r="F1312" i="20" s="1"/>
  <c r="AL1299" i="20"/>
  <c r="AL1300" i="20" s="1"/>
  <c r="AK1299" i="20"/>
  <c r="AK1300" i="20" s="1"/>
  <c r="AJ1299" i="20"/>
  <c r="AJ1300" i="20" s="1"/>
  <c r="AI1299" i="20"/>
  <c r="AI1300" i="20" s="1"/>
  <c r="AH1299" i="20"/>
  <c r="AH1300" i="20" s="1"/>
  <c r="AG1299" i="20"/>
  <c r="AG1300" i="20" s="1"/>
  <c r="AF1299" i="20"/>
  <c r="AF1300" i="20" s="1"/>
  <c r="AE1299" i="20"/>
  <c r="AE1300" i="20" s="1"/>
  <c r="AD1299" i="20"/>
  <c r="AD1300" i="20" s="1"/>
  <c r="AC1299" i="20"/>
  <c r="AC1300" i="20" s="1"/>
  <c r="AB1299" i="20"/>
  <c r="AB1300" i="20" s="1"/>
  <c r="AA1299" i="20"/>
  <c r="AA1300" i="20" s="1"/>
  <c r="Z1299" i="20"/>
  <c r="Z1300" i="20" s="1"/>
  <c r="Y1299" i="20"/>
  <c r="Y1300" i="20" s="1"/>
  <c r="X1299" i="20"/>
  <c r="X1300" i="20" s="1"/>
  <c r="W1299" i="20"/>
  <c r="W1300" i="20" s="1"/>
  <c r="V1299" i="20"/>
  <c r="V1300" i="20" s="1"/>
  <c r="U1299" i="20"/>
  <c r="U1300" i="20" s="1"/>
  <c r="T1299" i="20"/>
  <c r="T1300" i="20" s="1"/>
  <c r="S1299" i="20"/>
  <c r="S1300" i="20" s="1"/>
  <c r="R1299" i="20"/>
  <c r="R1300" i="20" s="1"/>
  <c r="Q1299" i="20"/>
  <c r="Q1300" i="20" s="1"/>
  <c r="P1299" i="20"/>
  <c r="P1300" i="20" s="1"/>
  <c r="O1299" i="20"/>
  <c r="O1300" i="20" s="1"/>
  <c r="N1299" i="20"/>
  <c r="N1300" i="20" s="1"/>
  <c r="M1299" i="20"/>
  <c r="M1300" i="20" s="1"/>
  <c r="L1299" i="20"/>
  <c r="L1300" i="20" s="1"/>
  <c r="K1299" i="20"/>
  <c r="K1300" i="20" s="1"/>
  <c r="J1299" i="20"/>
  <c r="J1300" i="20" s="1"/>
  <c r="I1299" i="20"/>
  <c r="I1300" i="20" s="1"/>
  <c r="H1299" i="20"/>
  <c r="H1300" i="20" s="1"/>
  <c r="G1299" i="20"/>
  <c r="G1300" i="20" s="1"/>
  <c r="F1299" i="20"/>
  <c r="F1300" i="20" s="1"/>
  <c r="AL1284" i="20"/>
  <c r="AL1285" i="20" s="1"/>
  <c r="AK1284" i="20"/>
  <c r="AK1285" i="20" s="1"/>
  <c r="AJ1284" i="20"/>
  <c r="AJ1285" i="20" s="1"/>
  <c r="AI1284" i="20"/>
  <c r="AI1285" i="20" s="1"/>
  <c r="AH1284" i="20"/>
  <c r="AH1285" i="20" s="1"/>
  <c r="AG1284" i="20"/>
  <c r="AG1285" i="20" s="1"/>
  <c r="AF1284" i="20"/>
  <c r="AF1285" i="20" s="1"/>
  <c r="AE1284" i="20"/>
  <c r="AE1285" i="20" s="1"/>
  <c r="AD1284" i="20"/>
  <c r="AD1285" i="20" s="1"/>
  <c r="AC1284" i="20"/>
  <c r="AC1285" i="20" s="1"/>
  <c r="AB1284" i="20"/>
  <c r="AB1285" i="20" s="1"/>
  <c r="AA1284" i="20"/>
  <c r="AA1285" i="20" s="1"/>
  <c r="Z1284" i="20"/>
  <c r="Z1285" i="20" s="1"/>
  <c r="Y1284" i="20"/>
  <c r="Y1285" i="20" s="1"/>
  <c r="X1284" i="20"/>
  <c r="X1285" i="20" s="1"/>
  <c r="W1284" i="20"/>
  <c r="W1285" i="20" s="1"/>
  <c r="V1284" i="20"/>
  <c r="V1285" i="20" s="1"/>
  <c r="U1284" i="20"/>
  <c r="U1285" i="20" s="1"/>
  <c r="T1284" i="20"/>
  <c r="T1285" i="20" s="1"/>
  <c r="S1284" i="20"/>
  <c r="S1285" i="20" s="1"/>
  <c r="R1284" i="20"/>
  <c r="R1285" i="20" s="1"/>
  <c r="Q1284" i="20"/>
  <c r="Q1285" i="20" s="1"/>
  <c r="P1284" i="20"/>
  <c r="P1285" i="20" s="1"/>
  <c r="O1284" i="20"/>
  <c r="O1285" i="20" s="1"/>
  <c r="N1284" i="20"/>
  <c r="N1285" i="20" s="1"/>
  <c r="M1284" i="20"/>
  <c r="M1285" i="20" s="1"/>
  <c r="L1284" i="20"/>
  <c r="L1285" i="20" s="1"/>
  <c r="K1284" i="20"/>
  <c r="K1285" i="20" s="1"/>
  <c r="J1284" i="20"/>
  <c r="J1285" i="20" s="1"/>
  <c r="I1284" i="20"/>
  <c r="I1285" i="20" s="1"/>
  <c r="H1284" i="20"/>
  <c r="H1285" i="20" s="1"/>
  <c r="G1284" i="20"/>
  <c r="G1285" i="20" s="1"/>
  <c r="F1284" i="20"/>
  <c r="F1285" i="20" s="1"/>
  <c r="AL1272" i="20"/>
  <c r="AL1273" i="20" s="1"/>
  <c r="AK1272" i="20"/>
  <c r="AK1273" i="20" s="1"/>
  <c r="AJ1272" i="20"/>
  <c r="AJ1273" i="20" s="1"/>
  <c r="AI1272" i="20"/>
  <c r="AI1273" i="20" s="1"/>
  <c r="AH1272" i="20"/>
  <c r="AH1273" i="20" s="1"/>
  <c r="AG1272" i="20"/>
  <c r="AG1273" i="20" s="1"/>
  <c r="AF1272" i="20"/>
  <c r="AF1273" i="20" s="1"/>
  <c r="AE1272" i="20"/>
  <c r="AE1273" i="20" s="1"/>
  <c r="AD1272" i="20"/>
  <c r="AD1273" i="20" s="1"/>
  <c r="AC1272" i="20"/>
  <c r="AC1273" i="20" s="1"/>
  <c r="AB1272" i="20"/>
  <c r="AB1273" i="20" s="1"/>
  <c r="AA1272" i="20"/>
  <c r="AA1273" i="20" s="1"/>
  <c r="Z1272" i="20"/>
  <c r="Z1273" i="20" s="1"/>
  <c r="Y1272" i="20"/>
  <c r="Y1273" i="20" s="1"/>
  <c r="X1272" i="20"/>
  <c r="X1273" i="20" s="1"/>
  <c r="W1272" i="20"/>
  <c r="W1273" i="20" s="1"/>
  <c r="V1272" i="20"/>
  <c r="V1273" i="20" s="1"/>
  <c r="U1272" i="20"/>
  <c r="U1273" i="20" s="1"/>
  <c r="T1272" i="20"/>
  <c r="T1273" i="20" s="1"/>
  <c r="S1272" i="20"/>
  <c r="S1273" i="20" s="1"/>
  <c r="R1272" i="20"/>
  <c r="R1273" i="20" s="1"/>
  <c r="Q1272" i="20"/>
  <c r="Q1273" i="20" s="1"/>
  <c r="P1272" i="20"/>
  <c r="P1273" i="20" s="1"/>
  <c r="O1272" i="20"/>
  <c r="O1273" i="20" s="1"/>
  <c r="N1272" i="20"/>
  <c r="N1273" i="20" s="1"/>
  <c r="M1272" i="20"/>
  <c r="M1273" i="20" s="1"/>
  <c r="L1272" i="20"/>
  <c r="L1273" i="20" s="1"/>
  <c r="K1272" i="20"/>
  <c r="K1273" i="20" s="1"/>
  <c r="J1272" i="20"/>
  <c r="J1273" i="20" s="1"/>
  <c r="I1272" i="20"/>
  <c r="I1273" i="20" s="1"/>
  <c r="H1272" i="20"/>
  <c r="H1273" i="20" s="1"/>
  <c r="G1272" i="20"/>
  <c r="G1273" i="20" s="1"/>
  <c r="F1272" i="20"/>
  <c r="F1273" i="20" s="1"/>
  <c r="AL1260" i="20"/>
  <c r="AK1260" i="20"/>
  <c r="AJ1260" i="20"/>
  <c r="AI1260" i="20"/>
  <c r="AH1260" i="20"/>
  <c r="AG1260" i="20"/>
  <c r="AF1260" i="20"/>
  <c r="AE1260" i="20"/>
  <c r="AD1260" i="20"/>
  <c r="AC1260" i="20"/>
  <c r="AB1260" i="20"/>
  <c r="AA1260" i="20"/>
  <c r="Z1260" i="20"/>
  <c r="Y1260" i="20"/>
  <c r="X1260" i="20"/>
  <c r="W1260" i="20"/>
  <c r="V1260" i="20"/>
  <c r="U1260" i="20"/>
  <c r="T1260" i="20"/>
  <c r="S1260" i="20"/>
  <c r="R1260" i="20"/>
  <c r="Q1260" i="20"/>
  <c r="P1260" i="20"/>
  <c r="O1260" i="20"/>
  <c r="N1260" i="20"/>
  <c r="M1260" i="20"/>
  <c r="L1260" i="20"/>
  <c r="K1260" i="20"/>
  <c r="J1260" i="20"/>
  <c r="I1260" i="20"/>
  <c r="H1260" i="20"/>
  <c r="G1260" i="20"/>
  <c r="F1260" i="20"/>
  <c r="AL1119" i="20"/>
  <c r="AK1119" i="20"/>
  <c r="AK1233" i="20" s="1"/>
  <c r="AK1235" i="20" s="1"/>
  <c r="AK1376" i="20" s="1"/>
  <c r="AJ1119" i="20"/>
  <c r="AI1119" i="20"/>
  <c r="AI1232" i="20" s="1"/>
  <c r="AH1119" i="20"/>
  <c r="AG1119" i="20"/>
  <c r="AG1232" i="20" s="1"/>
  <c r="AF1119" i="20"/>
  <c r="AE1119" i="20"/>
  <c r="AE1233" i="20" s="1"/>
  <c r="AD1119" i="20"/>
  <c r="AC1119" i="20"/>
  <c r="AB1119" i="20"/>
  <c r="AA1119" i="20"/>
  <c r="AA1233" i="20" s="1"/>
  <c r="AA1235" i="20" s="1"/>
  <c r="AA1376" i="20" s="1"/>
  <c r="Z1119" i="20"/>
  <c r="Y1119" i="20"/>
  <c r="Y1232" i="20" s="1"/>
  <c r="Y1234" i="20" s="1"/>
  <c r="X1119" i="20"/>
  <c r="W1119" i="20"/>
  <c r="W1233" i="20" s="1"/>
  <c r="W1235" i="20" s="1"/>
  <c r="W1376" i="20" s="1"/>
  <c r="V1119" i="20"/>
  <c r="U1119" i="20"/>
  <c r="U1233" i="20" s="1"/>
  <c r="T1119" i="20"/>
  <c r="T1233" i="20" s="1"/>
  <c r="S1119" i="20"/>
  <c r="S1232" i="20" s="1"/>
  <c r="R1119" i="20"/>
  <c r="Q1119" i="20"/>
  <c r="Q1232" i="20" s="1"/>
  <c r="P1119" i="20"/>
  <c r="O1119" i="20"/>
  <c r="O1233" i="20" s="1"/>
  <c r="N1119" i="20"/>
  <c r="M1119" i="20"/>
  <c r="M1232" i="20" s="1"/>
  <c r="L1119" i="20"/>
  <c r="K1119" i="20"/>
  <c r="K1232" i="20" s="1"/>
  <c r="J1119" i="20"/>
  <c r="I1119" i="20"/>
  <c r="I1232" i="20" s="1"/>
  <c r="I1234" i="20" s="1"/>
  <c r="H1119" i="20"/>
  <c r="G1119" i="20"/>
  <c r="AL1118" i="20"/>
  <c r="AL1227" i="20" s="1"/>
  <c r="AK1118" i="20"/>
  <c r="AJ1118" i="20"/>
  <c r="AI1118" i="20"/>
  <c r="AH1118" i="20"/>
  <c r="AG1118" i="20"/>
  <c r="AG1228" i="20" s="1"/>
  <c r="AF1118" i="20"/>
  <c r="AE1118" i="20"/>
  <c r="AE1228" i="20" s="1"/>
  <c r="AE1230" i="20" s="1"/>
  <c r="AD1118" i="20"/>
  <c r="AD1227" i="20" s="1"/>
  <c r="AC1118" i="20"/>
  <c r="AB1118" i="20"/>
  <c r="AA1118" i="20"/>
  <c r="AA1227" i="20" s="1"/>
  <c r="AA1229" i="20" s="1"/>
  <c r="Z1118" i="20"/>
  <c r="Y1118" i="20"/>
  <c r="Y1228" i="20" s="1"/>
  <c r="X1118" i="20"/>
  <c r="W1118" i="20"/>
  <c r="W1228" i="20" s="1"/>
  <c r="V1118" i="20"/>
  <c r="V1227" i="20" s="1"/>
  <c r="U1118" i="20"/>
  <c r="T1118" i="20"/>
  <c r="S1118" i="20"/>
  <c r="S1227" i="20" s="1"/>
  <c r="R1118" i="20"/>
  <c r="Q1118" i="20"/>
  <c r="Q1228" i="20" s="1"/>
  <c r="P1118" i="20"/>
  <c r="O1118" i="20"/>
  <c r="N1118" i="20"/>
  <c r="N1227" i="20" s="1"/>
  <c r="M1118" i="20"/>
  <c r="L1118" i="20"/>
  <c r="K1118" i="20"/>
  <c r="K1227" i="20" s="1"/>
  <c r="K1229" i="20" s="1"/>
  <c r="J1118" i="20"/>
  <c r="I1118" i="20"/>
  <c r="I1227" i="20" s="1"/>
  <c r="H1118" i="20"/>
  <c r="G1118" i="20"/>
  <c r="AL1117" i="20"/>
  <c r="AK1117" i="20"/>
  <c r="AK1223" i="20" s="1"/>
  <c r="AK1225" i="20" s="1"/>
  <c r="AJ1117" i="20"/>
  <c r="AJ1223" i="20" s="1"/>
  <c r="AI1117" i="20"/>
  <c r="AH1117" i="20"/>
  <c r="AG1117" i="20"/>
  <c r="AG1223" i="20" s="1"/>
  <c r="AG1225" i="20" s="1"/>
  <c r="AF1117" i="20"/>
  <c r="AE1117" i="20"/>
  <c r="AD1117" i="20"/>
  <c r="AC1117" i="20"/>
  <c r="AB1117" i="20"/>
  <c r="AB1222" i="20" s="1"/>
  <c r="AA1117" i="20"/>
  <c r="Z1117" i="20"/>
  <c r="Y1117" i="20"/>
  <c r="Y1223" i="20" s="1"/>
  <c r="X1117" i="20"/>
  <c r="X1223" i="20" s="1"/>
  <c r="W1117" i="20"/>
  <c r="V1117" i="20"/>
  <c r="U1117" i="20"/>
  <c r="T1117" i="20"/>
  <c r="T1223" i="20" s="1"/>
  <c r="S1117" i="20"/>
  <c r="R1117" i="20"/>
  <c r="Q1117" i="20"/>
  <c r="Q1223" i="20" s="1"/>
  <c r="Q1225" i="20" s="1"/>
  <c r="P1117" i="20"/>
  <c r="O1117" i="20"/>
  <c r="N1117" i="20"/>
  <c r="M1117" i="20"/>
  <c r="M1223" i="20" s="1"/>
  <c r="M1225" i="20" s="1"/>
  <c r="L1117" i="20"/>
  <c r="L1222" i="20" s="1"/>
  <c r="K1117" i="20"/>
  <c r="J1117" i="20"/>
  <c r="I1117" i="20"/>
  <c r="I1223" i="20" s="1"/>
  <c r="I1225" i="20" s="1"/>
  <c r="H1117" i="20"/>
  <c r="G1117" i="20"/>
  <c r="AL1116" i="20"/>
  <c r="AL1331" i="20" s="1"/>
  <c r="AK1116" i="20"/>
  <c r="AK1331" i="20" s="1"/>
  <c r="AJ1116" i="20"/>
  <c r="AI1116" i="20"/>
  <c r="AI1331" i="20" s="1"/>
  <c r="AH1116" i="20"/>
  <c r="AH1331" i="20" s="1"/>
  <c r="AG1116" i="20"/>
  <c r="AG1331" i="20" s="1"/>
  <c r="AF1116" i="20"/>
  <c r="AE1116" i="20"/>
  <c r="AE1331" i="20" s="1"/>
  <c r="AD1116" i="20"/>
  <c r="AD1331" i="20" s="1"/>
  <c r="AC1116" i="20"/>
  <c r="AC1331" i="20" s="1"/>
  <c r="AB1116" i="20"/>
  <c r="AA1116" i="20"/>
  <c r="AA1331" i="20" s="1"/>
  <c r="Z1116" i="20"/>
  <c r="Z1331" i="20" s="1"/>
  <c r="Y1116" i="20"/>
  <c r="Y1331" i="20" s="1"/>
  <c r="X1116" i="20"/>
  <c r="W1116" i="20"/>
  <c r="W1331" i="20" s="1"/>
  <c r="V1116" i="20"/>
  <c r="V1331" i="20" s="1"/>
  <c r="U1116" i="20"/>
  <c r="U1331" i="20" s="1"/>
  <c r="T1116" i="20"/>
  <c r="S1116" i="20"/>
  <c r="S1331" i="20" s="1"/>
  <c r="R1116" i="20"/>
  <c r="R1331" i="20" s="1"/>
  <c r="Q1116" i="20"/>
  <c r="Q1331" i="20" s="1"/>
  <c r="P1116" i="20"/>
  <c r="O1116" i="20"/>
  <c r="O1331" i="20" s="1"/>
  <c r="N1116" i="20"/>
  <c r="N1331" i="20" s="1"/>
  <c r="M1116" i="20"/>
  <c r="M1331" i="20" s="1"/>
  <c r="L1116" i="20"/>
  <c r="K1116" i="20"/>
  <c r="K1331" i="20" s="1"/>
  <c r="J1116" i="20"/>
  <c r="J1331" i="20" s="1"/>
  <c r="I1116" i="20"/>
  <c r="I1331" i="20" s="1"/>
  <c r="H1116" i="20"/>
  <c r="G1116" i="20"/>
  <c r="F1331" i="20"/>
  <c r="AL1115" i="20"/>
  <c r="AK1115" i="20"/>
  <c r="AK1330" i="20" s="1"/>
  <c r="AJ1115" i="20"/>
  <c r="AJ1330" i="20" s="1"/>
  <c r="AI1115" i="20"/>
  <c r="AI1330" i="20" s="1"/>
  <c r="AH1115" i="20"/>
  <c r="AG1115" i="20"/>
  <c r="AG1330" i="20" s="1"/>
  <c r="AF1115" i="20"/>
  <c r="AF1330" i="20" s="1"/>
  <c r="AE1115" i="20"/>
  <c r="AE1330" i="20" s="1"/>
  <c r="AD1115" i="20"/>
  <c r="AC1115" i="20"/>
  <c r="AC1330" i="20" s="1"/>
  <c r="AB1115" i="20"/>
  <c r="AB1330" i="20" s="1"/>
  <c r="AA1115" i="20"/>
  <c r="AA1330" i="20" s="1"/>
  <c r="Z1115" i="20"/>
  <c r="Z1213" i="20" s="1"/>
  <c r="Y1115" i="20"/>
  <c r="Y1330" i="20" s="1"/>
  <c r="X1115" i="20"/>
  <c r="X1330" i="20" s="1"/>
  <c r="W1115" i="20"/>
  <c r="W1330" i="20" s="1"/>
  <c r="V1115" i="20"/>
  <c r="U1115" i="20"/>
  <c r="U1330" i="20" s="1"/>
  <c r="T1115" i="20"/>
  <c r="T1330" i="20" s="1"/>
  <c r="S1115" i="20"/>
  <c r="S1330" i="20" s="1"/>
  <c r="R1115" i="20"/>
  <c r="Q1115" i="20"/>
  <c r="Q1330" i="20" s="1"/>
  <c r="P1115" i="20"/>
  <c r="P1330" i="20" s="1"/>
  <c r="O1115" i="20"/>
  <c r="O1330" i="20" s="1"/>
  <c r="N1115" i="20"/>
  <c r="M1115" i="20"/>
  <c r="M1330" i="20" s="1"/>
  <c r="L1115" i="20"/>
  <c r="L1330" i="20" s="1"/>
  <c r="K1115" i="20"/>
  <c r="K1330" i="20" s="1"/>
  <c r="J1115" i="20"/>
  <c r="I1115" i="20"/>
  <c r="I1330" i="20" s="1"/>
  <c r="H1115" i="20"/>
  <c r="H1330" i="20" s="1"/>
  <c r="G1115" i="20"/>
  <c r="AL1114" i="20"/>
  <c r="AK1114" i="20"/>
  <c r="AJ1114" i="20"/>
  <c r="AI1114" i="20"/>
  <c r="AH1114" i="20"/>
  <c r="AG1114" i="20"/>
  <c r="AF1114" i="20"/>
  <c r="AE1114" i="20"/>
  <c r="AD1114" i="20"/>
  <c r="AC1114" i="20"/>
  <c r="AB1114" i="20"/>
  <c r="AA1114" i="20"/>
  <c r="Z1114" i="20"/>
  <c r="Y1114" i="20"/>
  <c r="X1114" i="20"/>
  <c r="W1114" i="20"/>
  <c r="V1114" i="20"/>
  <c r="U1114" i="20"/>
  <c r="T1114" i="20"/>
  <c r="S1114" i="20"/>
  <c r="R1114" i="20"/>
  <c r="Q1114" i="20"/>
  <c r="P1114" i="20"/>
  <c r="O1114" i="20"/>
  <c r="N1114" i="20"/>
  <c r="M1114" i="20"/>
  <c r="L1114" i="20"/>
  <c r="K1114" i="20"/>
  <c r="J1114" i="20"/>
  <c r="I1114" i="20"/>
  <c r="H1114" i="20"/>
  <c r="G1114" i="20"/>
  <c r="AL1017" i="20"/>
  <c r="AK1017" i="20"/>
  <c r="AJ1017" i="20"/>
  <c r="AI1017" i="20"/>
  <c r="AH1017" i="20"/>
  <c r="AG1017" i="20"/>
  <c r="AF1017" i="20"/>
  <c r="AE1017" i="20"/>
  <c r="AD1017" i="20"/>
  <c r="AC1017" i="20"/>
  <c r="AB1017" i="20"/>
  <c r="AA1017" i="20"/>
  <c r="Z1017" i="20"/>
  <c r="Y1017" i="20"/>
  <c r="X1017" i="20"/>
  <c r="W1017" i="20"/>
  <c r="V1017" i="20"/>
  <c r="U1017" i="20"/>
  <c r="T1017" i="20"/>
  <c r="S1017" i="20"/>
  <c r="R1017" i="20"/>
  <c r="Q1017" i="20"/>
  <c r="P1017" i="20"/>
  <c r="O1017" i="20"/>
  <c r="N1017" i="20"/>
  <c r="M1017" i="20"/>
  <c r="L1017" i="20"/>
  <c r="K1017" i="20"/>
  <c r="J1017" i="20"/>
  <c r="I1017" i="20"/>
  <c r="H1017" i="20"/>
  <c r="G1017" i="20"/>
  <c r="AL1013" i="20"/>
  <c r="AL1014" i="20" s="1"/>
  <c r="AK1013" i="20"/>
  <c r="AK1014" i="20" s="1"/>
  <c r="AJ1013" i="20"/>
  <c r="AJ1014" i="20" s="1"/>
  <c r="AI1013" i="20"/>
  <c r="AI1014" i="20" s="1"/>
  <c r="AH1013" i="20"/>
  <c r="AH1014" i="20" s="1"/>
  <c r="AG1013" i="20"/>
  <c r="AG1014" i="20" s="1"/>
  <c r="AF1013" i="20"/>
  <c r="AF1014" i="20" s="1"/>
  <c r="AE1013" i="20"/>
  <c r="AE1014" i="20" s="1"/>
  <c r="AD1013" i="20"/>
  <c r="AD1014" i="20" s="1"/>
  <c r="AC1013" i="20"/>
  <c r="AC1014" i="20" s="1"/>
  <c r="AB1013" i="20"/>
  <c r="AB1014" i="20" s="1"/>
  <c r="AA1013" i="20"/>
  <c r="AA1014" i="20" s="1"/>
  <c r="Z1013" i="20"/>
  <c r="Z1014" i="20" s="1"/>
  <c r="Y1013" i="20"/>
  <c r="Y1014" i="20" s="1"/>
  <c r="X1013" i="20"/>
  <c r="X1014" i="20" s="1"/>
  <c r="W1013" i="20"/>
  <c r="W1014" i="20" s="1"/>
  <c r="V1013" i="20"/>
  <c r="V1014" i="20" s="1"/>
  <c r="U1013" i="20"/>
  <c r="U1014" i="20" s="1"/>
  <c r="T1013" i="20"/>
  <c r="T1014" i="20" s="1"/>
  <c r="S1013" i="20"/>
  <c r="S1014" i="20" s="1"/>
  <c r="R1013" i="20"/>
  <c r="R1014" i="20" s="1"/>
  <c r="Q1013" i="20"/>
  <c r="Q1014" i="20" s="1"/>
  <c r="P1013" i="20"/>
  <c r="P1014" i="20" s="1"/>
  <c r="O1013" i="20"/>
  <c r="O1014" i="20" s="1"/>
  <c r="N1013" i="20"/>
  <c r="N1014" i="20" s="1"/>
  <c r="M1013" i="20"/>
  <c r="M1014" i="20" s="1"/>
  <c r="L1013" i="20"/>
  <c r="L1014" i="20" s="1"/>
  <c r="K1013" i="20"/>
  <c r="K1014" i="20" s="1"/>
  <c r="J1013" i="20"/>
  <c r="J1014" i="20" s="1"/>
  <c r="I1013" i="20"/>
  <c r="I1014" i="20" s="1"/>
  <c r="H1013" i="20"/>
  <c r="H1014" i="20" s="1"/>
  <c r="G1013" i="20"/>
  <c r="G1014" i="20" s="1"/>
  <c r="F1013" i="20"/>
  <c r="F1014" i="20" s="1"/>
  <c r="AL1001" i="20"/>
  <c r="AK1001" i="20"/>
  <c r="AJ1001" i="20"/>
  <c r="AJ1002" i="20" s="1"/>
  <c r="AI1001" i="20"/>
  <c r="AI1002" i="20" s="1"/>
  <c r="AH1001" i="20"/>
  <c r="AG1001" i="20"/>
  <c r="AF1001" i="20"/>
  <c r="AF1002" i="20" s="1"/>
  <c r="AE1001" i="20"/>
  <c r="AE1002" i="20" s="1"/>
  <c r="AD1001" i="20"/>
  <c r="AC1001" i="20"/>
  <c r="AB1001" i="20"/>
  <c r="AB1002" i="20" s="1"/>
  <c r="AA1001" i="20"/>
  <c r="AA1002" i="20" s="1"/>
  <c r="Z1001" i="20"/>
  <c r="Y1001" i="20"/>
  <c r="X1001" i="20"/>
  <c r="X1002" i="20" s="1"/>
  <c r="W1001" i="20"/>
  <c r="W1002" i="20" s="1"/>
  <c r="V1001" i="20"/>
  <c r="U1001" i="20"/>
  <c r="T1001" i="20"/>
  <c r="T1002" i="20" s="1"/>
  <c r="S1001" i="20"/>
  <c r="S1002" i="20" s="1"/>
  <c r="R1001" i="20"/>
  <c r="Q1001" i="20"/>
  <c r="P1001" i="20"/>
  <c r="P1002" i="20" s="1"/>
  <c r="O1001" i="20"/>
  <c r="O1002" i="20" s="1"/>
  <c r="N1001" i="20"/>
  <c r="M1001" i="20"/>
  <c r="L1001" i="20"/>
  <c r="L1002" i="20" s="1"/>
  <c r="K1001" i="20"/>
  <c r="K1002" i="20" s="1"/>
  <c r="J1001" i="20"/>
  <c r="J1002" i="20" s="1"/>
  <c r="I1001" i="20"/>
  <c r="H1001" i="20"/>
  <c r="H1002" i="20" s="1"/>
  <c r="G1001" i="20"/>
  <c r="G1002" i="20" s="1"/>
  <c r="F1001" i="20"/>
  <c r="AL989" i="20"/>
  <c r="AK989" i="20"/>
  <c r="AJ989" i="20"/>
  <c r="AI989" i="20"/>
  <c r="AH989" i="20"/>
  <c r="AG989" i="20"/>
  <c r="AG990" i="20" s="1"/>
  <c r="AF989" i="20"/>
  <c r="AE989" i="20"/>
  <c r="AD989" i="20"/>
  <c r="AC989" i="20"/>
  <c r="AB989" i="20"/>
  <c r="AA989" i="20"/>
  <c r="Z989" i="20"/>
  <c r="Y989" i="20"/>
  <c r="X989" i="20"/>
  <c r="W989" i="20"/>
  <c r="V989" i="20"/>
  <c r="U989" i="20"/>
  <c r="T989" i="20"/>
  <c r="S989" i="20"/>
  <c r="R989" i="20"/>
  <c r="Q989" i="20"/>
  <c r="P989" i="20"/>
  <c r="O989" i="20"/>
  <c r="N989" i="20"/>
  <c r="M989" i="20"/>
  <c r="L989" i="20"/>
  <c r="K989" i="20"/>
  <c r="J989" i="20"/>
  <c r="I989" i="20"/>
  <c r="H989" i="20"/>
  <c r="G989" i="20"/>
  <c r="F989" i="20"/>
  <c r="AL977" i="20"/>
  <c r="AL978" i="20" s="1"/>
  <c r="AK977" i="20"/>
  <c r="AK978" i="20" s="1"/>
  <c r="AJ977" i="20"/>
  <c r="AJ978" i="20" s="1"/>
  <c r="AI977" i="20"/>
  <c r="AI978" i="20" s="1"/>
  <c r="AH977" i="20"/>
  <c r="AH978" i="20" s="1"/>
  <c r="AG977" i="20"/>
  <c r="AG978" i="20" s="1"/>
  <c r="AF977" i="20"/>
  <c r="AF978" i="20" s="1"/>
  <c r="AE977" i="20"/>
  <c r="AE978" i="20" s="1"/>
  <c r="AD977" i="20"/>
  <c r="AD978" i="20" s="1"/>
  <c r="AC977" i="20"/>
  <c r="AC978" i="20" s="1"/>
  <c r="AB977" i="20"/>
  <c r="AB978" i="20" s="1"/>
  <c r="AA977" i="20"/>
  <c r="Z977" i="20"/>
  <c r="Z978" i="20" s="1"/>
  <c r="Y977" i="20"/>
  <c r="Y978" i="20" s="1"/>
  <c r="X977" i="20"/>
  <c r="X978" i="20" s="1"/>
  <c r="W977" i="20"/>
  <c r="V977" i="20"/>
  <c r="V978" i="20" s="1"/>
  <c r="U977" i="20"/>
  <c r="U978" i="20" s="1"/>
  <c r="T977" i="20"/>
  <c r="T978" i="20" s="1"/>
  <c r="S977" i="20"/>
  <c r="R977" i="20"/>
  <c r="R978" i="20" s="1"/>
  <c r="Q977" i="20"/>
  <c r="Q978" i="20" s="1"/>
  <c r="P977" i="20"/>
  <c r="P978" i="20" s="1"/>
  <c r="O977" i="20"/>
  <c r="O978" i="20" s="1"/>
  <c r="N977" i="20"/>
  <c r="N978" i="20" s="1"/>
  <c r="M977" i="20"/>
  <c r="M978" i="20" s="1"/>
  <c r="L977" i="20"/>
  <c r="L978" i="20" s="1"/>
  <c r="K977" i="20"/>
  <c r="J977" i="20"/>
  <c r="J978" i="20" s="1"/>
  <c r="I977" i="20"/>
  <c r="I978" i="20" s="1"/>
  <c r="H977" i="20"/>
  <c r="H978" i="20" s="1"/>
  <c r="G977" i="20"/>
  <c r="F977" i="20"/>
  <c r="F978" i="20" s="1"/>
  <c r="AL965" i="20"/>
  <c r="AL966" i="20" s="1"/>
  <c r="AK965" i="20"/>
  <c r="AK966" i="20" s="1"/>
  <c r="AJ965" i="20"/>
  <c r="AJ966" i="20" s="1"/>
  <c r="AI965" i="20"/>
  <c r="AI966" i="20" s="1"/>
  <c r="AH965" i="20"/>
  <c r="AH966" i="20" s="1"/>
  <c r="AG965" i="20"/>
  <c r="AG966" i="20" s="1"/>
  <c r="AF965" i="20"/>
  <c r="AF966" i="20" s="1"/>
  <c r="AE965" i="20"/>
  <c r="AE966" i="20" s="1"/>
  <c r="AD965" i="20"/>
  <c r="AD966" i="20" s="1"/>
  <c r="AC965" i="20"/>
  <c r="AC966" i="20" s="1"/>
  <c r="AB965" i="20"/>
  <c r="AB966" i="20" s="1"/>
  <c r="AA965" i="20"/>
  <c r="AA966" i="20" s="1"/>
  <c r="Z965" i="20"/>
  <c r="Z966" i="20" s="1"/>
  <c r="Y965" i="20"/>
  <c r="Y966" i="20" s="1"/>
  <c r="X965" i="20"/>
  <c r="X966" i="20" s="1"/>
  <c r="W965" i="20"/>
  <c r="W966" i="20" s="1"/>
  <c r="V965" i="20"/>
  <c r="V966" i="20" s="1"/>
  <c r="U965" i="20"/>
  <c r="U966" i="20" s="1"/>
  <c r="T965" i="20"/>
  <c r="T966" i="20" s="1"/>
  <c r="S965" i="20"/>
  <c r="S966" i="20" s="1"/>
  <c r="R965" i="20"/>
  <c r="R966" i="20" s="1"/>
  <c r="Q965" i="20"/>
  <c r="Q966" i="20" s="1"/>
  <c r="P965" i="20"/>
  <c r="P966" i="20" s="1"/>
  <c r="O965" i="20"/>
  <c r="N965" i="20"/>
  <c r="N966" i="20" s="1"/>
  <c r="M965" i="20"/>
  <c r="M966" i="20" s="1"/>
  <c r="L965" i="20"/>
  <c r="L966" i="20" s="1"/>
  <c r="K965" i="20"/>
  <c r="K966" i="20" s="1"/>
  <c r="J965" i="20"/>
  <c r="J966" i="20" s="1"/>
  <c r="I965" i="20"/>
  <c r="I966" i="20" s="1"/>
  <c r="H965" i="20"/>
  <c r="H966" i="20" s="1"/>
  <c r="G965" i="20"/>
  <c r="G966" i="20" s="1"/>
  <c r="F965" i="20"/>
  <c r="AL886" i="20"/>
  <c r="AK886" i="20"/>
  <c r="AJ886" i="20"/>
  <c r="AI886" i="20"/>
  <c r="AH886" i="20"/>
  <c r="AG886" i="20"/>
  <c r="AF886" i="20"/>
  <c r="AE886" i="20"/>
  <c r="AD886" i="20"/>
  <c r="AC886" i="20"/>
  <c r="AB886" i="20"/>
  <c r="AA886" i="20"/>
  <c r="Z886" i="20"/>
  <c r="Y886" i="20"/>
  <c r="X886" i="20"/>
  <c r="W886" i="20"/>
  <c r="V886" i="20"/>
  <c r="U886" i="20"/>
  <c r="T886" i="20"/>
  <c r="S886" i="20"/>
  <c r="R886" i="20"/>
  <c r="Q886" i="20"/>
  <c r="P886" i="20"/>
  <c r="O886" i="20"/>
  <c r="N886" i="20"/>
  <c r="M886" i="20"/>
  <c r="L886" i="20"/>
  <c r="K886" i="20"/>
  <c r="J886" i="20"/>
  <c r="I886" i="20"/>
  <c r="H886" i="20"/>
  <c r="G886" i="20"/>
  <c r="F886" i="20"/>
  <c r="AL41" i="20"/>
  <c r="AI55" i="44" s="1"/>
  <c r="AK41" i="20"/>
  <c r="AH55" i="44" s="1"/>
  <c r="AJ41" i="20"/>
  <c r="AG55" i="44" s="1"/>
  <c r="AI41" i="20"/>
  <c r="AF55" i="44" s="1"/>
  <c r="AH41" i="20"/>
  <c r="AE55" i="44" s="1"/>
  <c r="AG41" i="20"/>
  <c r="AD55" i="44" s="1"/>
  <c r="AF41" i="20"/>
  <c r="AC55" i="44" s="1"/>
  <c r="AE41" i="20"/>
  <c r="AB55" i="44" s="1"/>
  <c r="AD41" i="20"/>
  <c r="AA55" i="44" s="1"/>
  <c r="AC41" i="20"/>
  <c r="Z55" i="44" s="1"/>
  <c r="AB41" i="20"/>
  <c r="Y55" i="44" s="1"/>
  <c r="AA41" i="20"/>
  <c r="X55" i="44" s="1"/>
  <c r="Z41" i="20"/>
  <c r="W55" i="44" s="1"/>
  <c r="Y41" i="20"/>
  <c r="V55" i="44" s="1"/>
  <c r="X41" i="20"/>
  <c r="U55" i="44" s="1"/>
  <c r="W41" i="20"/>
  <c r="T55" i="44" s="1"/>
  <c r="V41" i="20"/>
  <c r="S55" i="44" s="1"/>
  <c r="U41" i="20"/>
  <c r="R55" i="44" s="1"/>
  <c r="T41" i="20"/>
  <c r="Q55" i="44" s="1"/>
  <c r="S41" i="20"/>
  <c r="P55" i="44" s="1"/>
  <c r="R41" i="20"/>
  <c r="O55" i="44" s="1"/>
  <c r="Q41" i="20"/>
  <c r="N55" i="44" s="1"/>
  <c r="P41" i="20"/>
  <c r="M55" i="44" s="1"/>
  <c r="O41" i="20"/>
  <c r="L55" i="44" s="1"/>
  <c r="N41" i="20"/>
  <c r="K55" i="44" s="1"/>
  <c r="M41" i="20"/>
  <c r="J55" i="44" s="1"/>
  <c r="L41" i="20"/>
  <c r="I55" i="44" s="1"/>
  <c r="K41" i="20"/>
  <c r="H55" i="44" s="1"/>
  <c r="J41" i="20"/>
  <c r="G55" i="44" s="1"/>
  <c r="I41" i="20"/>
  <c r="F55" i="44" s="1"/>
  <c r="H41" i="20"/>
  <c r="E55" i="44" s="1"/>
  <c r="G41" i="20"/>
  <c r="D55" i="44" s="1"/>
  <c r="F41" i="20"/>
  <c r="C55" i="44" s="1"/>
  <c r="AL40" i="20"/>
  <c r="AI40" i="44" s="1"/>
  <c r="AK40" i="20"/>
  <c r="AH40" i="44" s="1"/>
  <c r="AJ40" i="20"/>
  <c r="AG40" i="44" s="1"/>
  <c r="AI40" i="20"/>
  <c r="AF40" i="44" s="1"/>
  <c r="AH40" i="20"/>
  <c r="AE40" i="44" s="1"/>
  <c r="AG40" i="20"/>
  <c r="AD40" i="44" s="1"/>
  <c r="AF40" i="20"/>
  <c r="AC40" i="44" s="1"/>
  <c r="AE40" i="20"/>
  <c r="AB40" i="44" s="1"/>
  <c r="AD40" i="20"/>
  <c r="AA40" i="44" s="1"/>
  <c r="AC40" i="20"/>
  <c r="Z40" i="44" s="1"/>
  <c r="AB40" i="20"/>
  <c r="Y40" i="44" s="1"/>
  <c r="AA40" i="20"/>
  <c r="X40" i="44" s="1"/>
  <c r="Z40" i="20"/>
  <c r="W40" i="44" s="1"/>
  <c r="Y40" i="20"/>
  <c r="V40" i="44" s="1"/>
  <c r="X40" i="20"/>
  <c r="U40" i="44" s="1"/>
  <c r="W40" i="20"/>
  <c r="T40" i="44" s="1"/>
  <c r="V40" i="20"/>
  <c r="S40" i="44" s="1"/>
  <c r="U40" i="20"/>
  <c r="R40" i="44" s="1"/>
  <c r="T40" i="20"/>
  <c r="Q40" i="44" s="1"/>
  <c r="S40" i="20"/>
  <c r="P40" i="44" s="1"/>
  <c r="R40" i="20"/>
  <c r="O40" i="44" s="1"/>
  <c r="Q40" i="20"/>
  <c r="N40" i="44" s="1"/>
  <c r="P40" i="20"/>
  <c r="M40" i="44" s="1"/>
  <c r="O40" i="20"/>
  <c r="L40" i="44" s="1"/>
  <c r="N40" i="20"/>
  <c r="K40" i="44" s="1"/>
  <c r="M40" i="20"/>
  <c r="J40" i="44" s="1"/>
  <c r="L40" i="20"/>
  <c r="I40" i="44" s="1"/>
  <c r="K40" i="20"/>
  <c r="H40" i="44" s="1"/>
  <c r="J40" i="20"/>
  <c r="G40" i="44" s="1"/>
  <c r="I40" i="20"/>
  <c r="F40" i="44" s="1"/>
  <c r="H40" i="20"/>
  <c r="E40" i="44" s="1"/>
  <c r="G40" i="20"/>
  <c r="D40" i="44" s="1"/>
  <c r="F40" i="20"/>
  <c r="C40" i="44" s="1"/>
  <c r="AL36" i="20"/>
  <c r="AK36" i="20"/>
  <c r="AJ36" i="20"/>
  <c r="AG54" i="44" s="1"/>
  <c r="AI36" i="20"/>
  <c r="AF54" i="44" s="1"/>
  <c r="AH36" i="20"/>
  <c r="AG36" i="20"/>
  <c r="AD54" i="44" s="1"/>
  <c r="AF36" i="20"/>
  <c r="AC54" i="44" s="1"/>
  <c r="AE36" i="20"/>
  <c r="AB54" i="44" s="1"/>
  <c r="AD36" i="20"/>
  <c r="AC36" i="20"/>
  <c r="Z54" i="44" s="1"/>
  <c r="AB36" i="20"/>
  <c r="Y54" i="44" s="1"/>
  <c r="AA36" i="20"/>
  <c r="X54" i="44" s="1"/>
  <c r="Z36" i="20"/>
  <c r="Y36" i="20"/>
  <c r="V54" i="44" s="1"/>
  <c r="X36" i="20"/>
  <c r="U54" i="44" s="1"/>
  <c r="W36" i="20"/>
  <c r="T54" i="44" s="1"/>
  <c r="V36" i="20"/>
  <c r="U36" i="20"/>
  <c r="R54" i="44" s="1"/>
  <c r="T36" i="20"/>
  <c r="Q54" i="44" s="1"/>
  <c r="S36" i="20"/>
  <c r="P54" i="44" s="1"/>
  <c r="R36" i="20"/>
  <c r="Q36" i="20"/>
  <c r="N54" i="44" s="1"/>
  <c r="P36" i="20"/>
  <c r="M54" i="44" s="1"/>
  <c r="O36" i="20"/>
  <c r="L54" i="44" s="1"/>
  <c r="N36" i="20"/>
  <c r="M36" i="20"/>
  <c r="J54" i="44" s="1"/>
  <c r="L36" i="20"/>
  <c r="I54" i="44" s="1"/>
  <c r="K36" i="20"/>
  <c r="H54" i="44" s="1"/>
  <c r="J36" i="20"/>
  <c r="I36" i="20"/>
  <c r="H36" i="20"/>
  <c r="E54" i="44" s="1"/>
  <c r="G36" i="20"/>
  <c r="D54" i="44" s="1"/>
  <c r="F36" i="20"/>
  <c r="AH54" i="44"/>
  <c r="F54" i="44"/>
  <c r="AI17" i="44"/>
  <c r="AI150" i="44" s="1"/>
  <c r="AH17" i="44"/>
  <c r="AH150" i="44" s="1"/>
  <c r="AG17" i="44"/>
  <c r="AG150" i="44" s="1"/>
  <c r="AF17" i="44"/>
  <c r="AF150" i="44" s="1"/>
  <c r="AE17" i="44"/>
  <c r="AE150" i="44" s="1"/>
  <c r="AD17" i="44"/>
  <c r="AD150" i="44" s="1"/>
  <c r="AC17" i="44"/>
  <c r="AC150" i="44" s="1"/>
  <c r="AB17" i="44"/>
  <c r="AB150" i="44" s="1"/>
  <c r="AA17" i="44"/>
  <c r="AA150" i="44" s="1"/>
  <c r="Z17" i="44"/>
  <c r="Z150" i="44" s="1"/>
  <c r="Y17" i="44"/>
  <c r="Y150" i="44" s="1"/>
  <c r="X17" i="44"/>
  <c r="X150" i="44" s="1"/>
  <c r="W17" i="44"/>
  <c r="W150" i="44" s="1"/>
  <c r="V17" i="44"/>
  <c r="V150" i="44" s="1"/>
  <c r="U17" i="44"/>
  <c r="U150" i="44" s="1"/>
  <c r="T17" i="44"/>
  <c r="T150" i="44" s="1"/>
  <c r="S17" i="44"/>
  <c r="S150" i="44" s="1"/>
  <c r="R17" i="44"/>
  <c r="R150" i="44" s="1"/>
  <c r="Q17" i="44"/>
  <c r="Q150" i="44" s="1"/>
  <c r="P17" i="44"/>
  <c r="P150" i="44" s="1"/>
  <c r="O17" i="44"/>
  <c r="O150" i="44" s="1"/>
  <c r="N17" i="44"/>
  <c r="N150" i="44" s="1"/>
  <c r="M17" i="44"/>
  <c r="M150" i="44" s="1"/>
  <c r="L17" i="44"/>
  <c r="L150" i="44" s="1"/>
  <c r="K17" i="44"/>
  <c r="K150" i="44" s="1"/>
  <c r="J17" i="44"/>
  <c r="J150" i="44" s="1"/>
  <c r="I17" i="44"/>
  <c r="I150" i="44" s="1"/>
  <c r="H17" i="44"/>
  <c r="H150" i="44" s="1"/>
  <c r="G17" i="44"/>
  <c r="G150" i="44" s="1"/>
  <c r="F17" i="44"/>
  <c r="F150" i="44" s="1"/>
  <c r="E17" i="44"/>
  <c r="E150" i="44" s="1"/>
  <c r="D17" i="44"/>
  <c r="D150" i="44" s="1"/>
  <c r="H159" i="44" l="1"/>
  <c r="P159" i="44"/>
  <c r="AB159" i="44"/>
  <c r="I159" i="44"/>
  <c r="Q159" i="44"/>
  <c r="Y159" i="44"/>
  <c r="AG159" i="44"/>
  <c r="F159" i="44"/>
  <c r="J159" i="44"/>
  <c r="N159" i="44"/>
  <c r="R159" i="44"/>
  <c r="V159" i="44"/>
  <c r="Z159" i="44"/>
  <c r="AD159" i="44"/>
  <c r="AH159" i="44"/>
  <c r="D159" i="44"/>
  <c r="L159" i="44"/>
  <c r="T159" i="44"/>
  <c r="X159" i="44"/>
  <c r="AF159" i="44"/>
  <c r="E159" i="44"/>
  <c r="M159" i="44"/>
  <c r="U159" i="44"/>
  <c r="AC159" i="44"/>
  <c r="G159" i="44"/>
  <c r="K159" i="44"/>
  <c r="O159" i="44"/>
  <c r="S159" i="44"/>
  <c r="W159" i="44"/>
  <c r="AA159" i="44"/>
  <c r="AE159" i="44"/>
  <c r="AK17" i="44"/>
  <c r="AK55" i="44"/>
  <c r="AM41" i="20"/>
  <c r="AM886" i="20"/>
  <c r="G1330" i="20"/>
  <c r="AM1115" i="20"/>
  <c r="G54" i="44"/>
  <c r="O54" i="44"/>
  <c r="W54" i="44"/>
  <c r="AE54" i="44"/>
  <c r="AM290" i="20"/>
  <c r="G1331" i="20"/>
  <c r="AM1116" i="20"/>
  <c r="AM1117" i="20"/>
  <c r="G1228" i="20"/>
  <c r="G1230" i="20" s="1"/>
  <c r="AM1118" i="20"/>
  <c r="G1233" i="20"/>
  <c r="G1235" i="20" s="1"/>
  <c r="G1376" i="20" s="1"/>
  <c r="AM1119" i="20"/>
  <c r="J1314" i="20"/>
  <c r="J1317" i="20" s="1"/>
  <c r="G96" i="44" s="1"/>
  <c r="G143" i="44" s="1"/>
  <c r="N1314" i="20"/>
  <c r="N1317" i="20" s="1"/>
  <c r="K96" i="44" s="1"/>
  <c r="K143" i="44" s="1"/>
  <c r="R1314" i="20"/>
  <c r="V1314" i="20"/>
  <c r="V1317" i="20" s="1"/>
  <c r="S96" i="44" s="1"/>
  <c r="S143" i="44" s="1"/>
  <c r="Z1314" i="20"/>
  <c r="Z1317" i="20" s="1"/>
  <c r="W96" i="44" s="1"/>
  <c r="W143" i="44" s="1"/>
  <c r="AD1314" i="20"/>
  <c r="AD1317" i="20" s="1"/>
  <c r="AA96" i="44" s="1"/>
  <c r="AA143" i="44" s="1"/>
  <c r="AH1314" i="20"/>
  <c r="AH1317" i="20" s="1"/>
  <c r="AE96" i="44" s="1"/>
  <c r="AE143" i="44" s="1"/>
  <c r="AL1314" i="20"/>
  <c r="AL1317" i="20" s="1"/>
  <c r="AI96" i="44" s="1"/>
  <c r="AI143" i="44" s="1"/>
  <c r="AM19" i="20"/>
  <c r="AM36" i="20"/>
  <c r="K54" i="44"/>
  <c r="S54" i="44"/>
  <c r="AA54" i="44"/>
  <c r="AI54" i="44"/>
  <c r="AK40" i="44"/>
  <c r="AM40" i="20"/>
  <c r="AM291" i="20"/>
  <c r="G1314" i="20"/>
  <c r="G1317" i="20" s="1"/>
  <c r="D96" i="44" s="1"/>
  <c r="D143" i="44" s="1"/>
  <c r="K1314" i="20"/>
  <c r="K1317" i="20" s="1"/>
  <c r="H96" i="44" s="1"/>
  <c r="H143" i="44" s="1"/>
  <c r="O1314" i="20"/>
  <c r="O1317" i="20" s="1"/>
  <c r="L96" i="44" s="1"/>
  <c r="L143" i="44" s="1"/>
  <c r="S1314" i="20"/>
  <c r="W1314" i="20"/>
  <c r="W1317" i="20" s="1"/>
  <c r="T96" i="44" s="1"/>
  <c r="T143" i="44" s="1"/>
  <c r="AA1314" i="20"/>
  <c r="AA1317" i="20" s="1"/>
  <c r="X96" i="44" s="1"/>
  <c r="X143" i="44" s="1"/>
  <c r="AE1314" i="20"/>
  <c r="AE1317" i="20" s="1"/>
  <c r="AB96" i="44" s="1"/>
  <c r="AB143" i="44" s="1"/>
  <c r="AI1314" i="20"/>
  <c r="AI1317" i="20" s="1"/>
  <c r="AF96" i="44" s="1"/>
  <c r="AF143" i="44" s="1"/>
  <c r="E29" i="44"/>
  <c r="M29" i="44"/>
  <c r="Q29" i="44"/>
  <c r="U29" i="44"/>
  <c r="AC29" i="44"/>
  <c r="AG29" i="44"/>
  <c r="W1261" i="20"/>
  <c r="W1316" i="20" s="1"/>
  <c r="AL1261" i="20"/>
  <c r="AL1316" i="20" s="1"/>
  <c r="F966" i="20"/>
  <c r="G29" i="44"/>
  <c r="O29" i="44"/>
  <c r="W29" i="44"/>
  <c r="G1261" i="20"/>
  <c r="G1316" i="20" s="1"/>
  <c r="F29" i="44"/>
  <c r="J29" i="44"/>
  <c r="N29" i="44"/>
  <c r="R29" i="44"/>
  <c r="V29" i="44"/>
  <c r="Z29" i="44"/>
  <c r="AD29" i="44"/>
  <c r="AH29" i="44"/>
  <c r="N1208" i="20"/>
  <c r="N1210" i="20" s="1"/>
  <c r="K29" i="44"/>
  <c r="V1208" i="20"/>
  <c r="V1210" i="20" s="1"/>
  <c r="S29" i="44"/>
  <c r="AD1208" i="20"/>
  <c r="AD1210" i="20" s="1"/>
  <c r="AA29" i="44"/>
  <c r="AE29" i="44"/>
  <c r="AL1208" i="20"/>
  <c r="AL1210" i="20" s="1"/>
  <c r="AI29" i="44"/>
  <c r="G1207" i="20"/>
  <c r="G1209" i="20" s="1"/>
  <c r="K1207" i="20"/>
  <c r="K1209" i="20" s="1"/>
  <c r="O1207" i="20"/>
  <c r="O1209" i="20" s="1"/>
  <c r="S1207" i="20"/>
  <c r="S1209" i="20" s="1"/>
  <c r="W1207" i="20"/>
  <c r="W1209" i="20" s="1"/>
  <c r="AA1207" i="20"/>
  <c r="AA1209" i="20" s="1"/>
  <c r="AE1207" i="20"/>
  <c r="AE1209" i="20" s="1"/>
  <c r="AB29" i="44"/>
  <c r="AI1207" i="20"/>
  <c r="AI1209" i="20" s="1"/>
  <c r="AF29" i="44"/>
  <c r="L1208" i="20"/>
  <c r="L1210" i="20" s="1"/>
  <c r="I29" i="44"/>
  <c r="AB1208" i="20"/>
  <c r="AB1210" i="20" s="1"/>
  <c r="Y29" i="44"/>
  <c r="AI990" i="20"/>
  <c r="AI1018" i="20" s="1"/>
  <c r="T1222" i="20"/>
  <c r="T1224" i="20" s="1"/>
  <c r="AE1227" i="20"/>
  <c r="AE1229" i="20" s="1"/>
  <c r="F1261" i="20"/>
  <c r="V1261" i="20"/>
  <c r="V1316" i="20" s="1"/>
  <c r="N990" i="20"/>
  <c r="AA990" i="20"/>
  <c r="AC1232" i="20"/>
  <c r="AC1234" i="20" s="1"/>
  <c r="AG1233" i="20"/>
  <c r="AG1235" i="20" s="1"/>
  <c r="AG1376" i="20" s="1"/>
  <c r="N1261" i="20"/>
  <c r="N1316" i="20" s="1"/>
  <c r="AD1261" i="20"/>
  <c r="AD1316" i="20" s="1"/>
  <c r="AE990" i="20"/>
  <c r="AE1018" i="20" s="1"/>
  <c r="X1225" i="20"/>
  <c r="R1218" i="20"/>
  <c r="R1220" i="20" s="1"/>
  <c r="R1366" i="20" s="1"/>
  <c r="Q1227" i="20"/>
  <c r="Q1229" i="20" s="1"/>
  <c r="Q1233" i="20"/>
  <c r="Q1235" i="20" s="1"/>
  <c r="Q1376" i="20" s="1"/>
  <c r="O1261" i="20"/>
  <c r="O1316" i="20" s="1"/>
  <c r="AE1261" i="20"/>
  <c r="AE1316" i="20" s="1"/>
  <c r="K990" i="20"/>
  <c r="S990" i="20"/>
  <c r="AB990" i="20"/>
  <c r="AB1018" i="20" s="1"/>
  <c r="AJ1016" i="20"/>
  <c r="AJ1019" i="20" s="1"/>
  <c r="AG25" i="44" s="1"/>
  <c r="O27" i="44"/>
  <c r="AH1208" i="20"/>
  <c r="AH1210" i="20" s="1"/>
  <c r="AH1360" i="20" s="1"/>
  <c r="AJ1212" i="20"/>
  <c r="AJ1214" i="20" s="1"/>
  <c r="AJ1362" i="20" s="1"/>
  <c r="Q1213" i="20"/>
  <c r="Q1215" i="20" s="1"/>
  <c r="Q1363" i="20" s="1"/>
  <c r="AJ1213" i="20"/>
  <c r="AJ1215" i="20" s="1"/>
  <c r="AJ1363" i="20" s="1"/>
  <c r="G1217" i="20"/>
  <c r="G1219" i="20" s="1"/>
  <c r="G1365" i="20" s="1"/>
  <c r="S1217" i="20"/>
  <c r="S1219" i="20" s="1"/>
  <c r="S1365" i="20" s="1"/>
  <c r="AA1217" i="20"/>
  <c r="AA1219" i="20" s="1"/>
  <c r="AA1365" i="20" s="1"/>
  <c r="AH1218" i="20"/>
  <c r="AH1220" i="20" s="1"/>
  <c r="AH1366" i="20" s="1"/>
  <c r="AJ1222" i="20"/>
  <c r="AJ1224" i="20" s="1"/>
  <c r="AF1223" i="20"/>
  <c r="AF1225" i="20" s="1"/>
  <c r="Y1227" i="20"/>
  <c r="Y1229" i="20" s="1"/>
  <c r="AI1227" i="20"/>
  <c r="AI1229" i="20" s="1"/>
  <c r="S1228" i="20"/>
  <c r="S1230" i="20" s="1"/>
  <c r="AI1228" i="20"/>
  <c r="AI1230" i="20" s="1"/>
  <c r="L990" i="20"/>
  <c r="L1018" i="20" s="1"/>
  <c r="W990" i="20"/>
  <c r="AD990" i="20"/>
  <c r="R1207" i="20"/>
  <c r="R1209" i="20" s="1"/>
  <c r="AL1207" i="20"/>
  <c r="AL1209" i="20" s="1"/>
  <c r="R1208" i="20"/>
  <c r="R1210" i="20" s="1"/>
  <c r="R1360" i="20" s="1"/>
  <c r="L1212" i="20"/>
  <c r="L1214" i="20" s="1"/>
  <c r="L1362" i="20" s="1"/>
  <c r="I1213" i="20"/>
  <c r="I1215" i="20" s="1"/>
  <c r="I1363" i="20" s="1"/>
  <c r="T1213" i="20"/>
  <c r="T1215" i="20" s="1"/>
  <c r="T1363" i="20" s="1"/>
  <c r="AC1213" i="20"/>
  <c r="AC1215" i="20" s="1"/>
  <c r="AC1363" i="20" s="1"/>
  <c r="AK1213" i="20"/>
  <c r="AK1215" i="20" s="1"/>
  <c r="AK1363" i="20" s="1"/>
  <c r="J1217" i="20"/>
  <c r="J1219" i="20" s="1"/>
  <c r="J1365" i="20" s="1"/>
  <c r="V1217" i="20"/>
  <c r="V1219" i="20" s="1"/>
  <c r="V1365" i="20" s="1"/>
  <c r="AE1217" i="20"/>
  <c r="AE1219" i="20" s="1"/>
  <c r="AE1365" i="20" s="1"/>
  <c r="J1218" i="20"/>
  <c r="J1220" i="20" s="1"/>
  <c r="J1366" i="20" s="1"/>
  <c r="H1223" i="20"/>
  <c r="H1225" i="20" s="1"/>
  <c r="U1223" i="20"/>
  <c r="U1225" i="20" s="1"/>
  <c r="O1227" i="20"/>
  <c r="O1229" i="20" s="1"/>
  <c r="AA1232" i="20"/>
  <c r="AA1234" i="20" s="1"/>
  <c r="I1233" i="20"/>
  <c r="I1235" i="20" s="1"/>
  <c r="I1376" i="20" s="1"/>
  <c r="AI1234" i="20"/>
  <c r="G990" i="20"/>
  <c r="X990" i="20"/>
  <c r="X1018" i="20" s="1"/>
  <c r="Z1208" i="20"/>
  <c r="Z1210" i="20" s="1"/>
  <c r="Z1360" i="20" s="1"/>
  <c r="T1212" i="20"/>
  <c r="T1214" i="20" s="1"/>
  <c r="T1362" i="20" s="1"/>
  <c r="M1213" i="20"/>
  <c r="M1215" i="20" s="1"/>
  <c r="M1363" i="20" s="1"/>
  <c r="U1213" i="20"/>
  <c r="U1215" i="20" s="1"/>
  <c r="U1363" i="20" s="1"/>
  <c r="AF1213" i="20"/>
  <c r="AF1215" i="20" s="1"/>
  <c r="AF1363" i="20" s="1"/>
  <c r="K1217" i="20"/>
  <c r="K1219" i="20" s="1"/>
  <c r="K1365" i="20" s="1"/>
  <c r="W1217" i="20"/>
  <c r="W1219" i="20" s="1"/>
  <c r="W1365" i="20" s="1"/>
  <c r="AI1217" i="20"/>
  <c r="AI1219" i="20" s="1"/>
  <c r="AI1365" i="20" s="1"/>
  <c r="I1228" i="20"/>
  <c r="I1230" i="20" s="1"/>
  <c r="H990" i="20"/>
  <c r="H1018" i="20" s="1"/>
  <c r="O990" i="20"/>
  <c r="L1016" i="20"/>
  <c r="L1019" i="20" s="1"/>
  <c r="I25" i="44" s="1"/>
  <c r="AB1016" i="20"/>
  <c r="AB1019" i="20" s="1"/>
  <c r="Y25" i="44" s="1"/>
  <c r="T1016" i="20"/>
  <c r="T1019" i="20" s="1"/>
  <c r="Q25" i="44" s="1"/>
  <c r="V1207" i="20"/>
  <c r="V1209" i="20" s="1"/>
  <c r="AH1207" i="20"/>
  <c r="AH1209" i="20" s="1"/>
  <c r="J1208" i="20"/>
  <c r="J1210" i="20" s="1"/>
  <c r="J1360" i="20" s="1"/>
  <c r="AB1212" i="20"/>
  <c r="AB1214" i="20" s="1"/>
  <c r="AB1362" i="20" s="1"/>
  <c r="P1213" i="20"/>
  <c r="P1215" i="20" s="1"/>
  <c r="P1363" i="20" s="1"/>
  <c r="Y1213" i="20"/>
  <c r="Y1215" i="20" s="1"/>
  <c r="Y1363" i="20" s="1"/>
  <c r="AG1213" i="20"/>
  <c r="AG1215" i="20" s="1"/>
  <c r="AG1363" i="20" s="1"/>
  <c r="F1217" i="20"/>
  <c r="O1217" i="20"/>
  <c r="O1219" i="20" s="1"/>
  <c r="O1365" i="20" s="1"/>
  <c r="Z1217" i="20"/>
  <c r="Z1219" i="20" s="1"/>
  <c r="Z1365" i="20" s="1"/>
  <c r="AL1217" i="20"/>
  <c r="AL1219" i="20" s="1"/>
  <c r="AL1365" i="20" s="1"/>
  <c r="Z1218" i="20"/>
  <c r="Z1220" i="20" s="1"/>
  <c r="Z1366" i="20" s="1"/>
  <c r="AC1223" i="20"/>
  <c r="AC1225" i="20" s="1"/>
  <c r="AG1227" i="20"/>
  <c r="AG1229" i="20" s="1"/>
  <c r="O1228" i="20"/>
  <c r="O1230" i="20" s="1"/>
  <c r="J1261" i="20"/>
  <c r="J1316" i="20" s="1"/>
  <c r="R1261" i="20"/>
  <c r="R1316" i="20" s="1"/>
  <c r="Z1261" i="20"/>
  <c r="Z1316" i="20" s="1"/>
  <c r="AH1261" i="20"/>
  <c r="AH1316" i="20" s="1"/>
  <c r="K1261" i="20"/>
  <c r="K1316" i="20" s="1"/>
  <c r="S1261" i="20"/>
  <c r="S1316" i="20" s="1"/>
  <c r="AA1261" i="20"/>
  <c r="AA1316" i="20" s="1"/>
  <c r="AI1261" i="20"/>
  <c r="AI1316" i="20" s="1"/>
  <c r="H1314" i="20"/>
  <c r="H1261" i="20"/>
  <c r="H1316" i="20" s="1"/>
  <c r="L1314" i="20"/>
  <c r="L1261" i="20"/>
  <c r="L1316" i="20" s="1"/>
  <c r="P1314" i="20"/>
  <c r="P1261" i="20"/>
  <c r="P1316" i="20" s="1"/>
  <c r="T1314" i="20"/>
  <c r="T1261" i="20"/>
  <c r="T1316" i="20" s="1"/>
  <c r="X1314" i="20"/>
  <c r="X1261" i="20"/>
  <c r="X1316" i="20" s="1"/>
  <c r="AB1314" i="20"/>
  <c r="AB1261" i="20"/>
  <c r="AB1316" i="20" s="1"/>
  <c r="AF1314" i="20"/>
  <c r="AF1261" i="20"/>
  <c r="AF1316" i="20" s="1"/>
  <c r="AJ1314" i="20"/>
  <c r="AJ1261" i="20"/>
  <c r="AJ1316" i="20" s="1"/>
  <c r="O966" i="20"/>
  <c r="O1016" i="20"/>
  <c r="O1019" i="20" s="1"/>
  <c r="L25" i="44" s="1"/>
  <c r="F1002" i="20"/>
  <c r="N1016" i="20"/>
  <c r="N1019" i="20" s="1"/>
  <c r="K25" i="44" s="1"/>
  <c r="N1002" i="20"/>
  <c r="R1002" i="20"/>
  <c r="R1016" i="20"/>
  <c r="R1019" i="20" s="1"/>
  <c r="V1002" i="20"/>
  <c r="V1016" i="20"/>
  <c r="V1019" i="20" s="1"/>
  <c r="S25" i="44" s="1"/>
  <c r="Z1002" i="20"/>
  <c r="Z1016" i="20"/>
  <c r="Z1019" i="20" s="1"/>
  <c r="W25" i="44" s="1"/>
  <c r="AD1016" i="20"/>
  <c r="AD1019" i="20" s="1"/>
  <c r="AA25" i="44" s="1"/>
  <c r="AD1002" i="20"/>
  <c r="AH1002" i="20"/>
  <c r="AH1016" i="20"/>
  <c r="AL1002" i="20"/>
  <c r="AL1016" i="20"/>
  <c r="AL1019" i="20" s="1"/>
  <c r="AI25" i="44" s="1"/>
  <c r="AE1016" i="20"/>
  <c r="AE1019" i="20" s="1"/>
  <c r="AB25" i="44" s="1"/>
  <c r="J1016" i="20"/>
  <c r="J1019" i="20" s="1"/>
  <c r="G25" i="44" s="1"/>
  <c r="H1359" i="20"/>
  <c r="H1358" i="20"/>
  <c r="H1329" i="20"/>
  <c r="E27" i="44"/>
  <c r="H1208" i="20"/>
  <c r="H1210" i="20" s="1"/>
  <c r="H1207" i="20"/>
  <c r="H1209" i="20" s="1"/>
  <c r="L1359" i="20"/>
  <c r="L1358" i="20"/>
  <c r="L1329" i="20"/>
  <c r="I27" i="44"/>
  <c r="P1359" i="20"/>
  <c r="P1358" i="20"/>
  <c r="P1329" i="20"/>
  <c r="P1207" i="20"/>
  <c r="P1209" i="20" s="1"/>
  <c r="M27" i="44"/>
  <c r="P1208" i="20"/>
  <c r="T1359" i="20"/>
  <c r="T1358" i="20"/>
  <c r="T1329" i="20"/>
  <c r="T1207" i="20"/>
  <c r="T1209" i="20" s="1"/>
  <c r="Q27" i="44"/>
  <c r="X1359" i="20"/>
  <c r="X1358" i="20"/>
  <c r="X1329" i="20"/>
  <c r="U27" i="44"/>
  <c r="X1208" i="20"/>
  <c r="X1210" i="20" s="1"/>
  <c r="X1207" i="20"/>
  <c r="X1209" i="20" s="1"/>
  <c r="AB1359" i="20"/>
  <c r="AB1358" i="20"/>
  <c r="AB1329" i="20"/>
  <c r="Y27" i="44"/>
  <c r="AF1359" i="20"/>
  <c r="AF1358" i="20"/>
  <c r="AF1329" i="20"/>
  <c r="AF1207" i="20"/>
  <c r="AF1209" i="20" s="1"/>
  <c r="AC27" i="44"/>
  <c r="AF1208" i="20"/>
  <c r="AF1210" i="20" s="1"/>
  <c r="AJ1359" i="20"/>
  <c r="AJ1358" i="20"/>
  <c r="AJ1329" i="20"/>
  <c r="AJ1207" i="20"/>
  <c r="AJ1209" i="20" s="1"/>
  <c r="AG27" i="44"/>
  <c r="F1330" i="20"/>
  <c r="F1213" i="20"/>
  <c r="J1330" i="20"/>
  <c r="J1212" i="20"/>
  <c r="J1214" i="20" s="1"/>
  <c r="J1362" i="20" s="1"/>
  <c r="N1330" i="20"/>
  <c r="N1213" i="20"/>
  <c r="N1215" i="20" s="1"/>
  <c r="N1363" i="20" s="1"/>
  <c r="R1330" i="20"/>
  <c r="R1213" i="20"/>
  <c r="R1215" i="20" s="1"/>
  <c r="R1363" i="20" s="1"/>
  <c r="R1212" i="20"/>
  <c r="R1214" i="20" s="1"/>
  <c r="R1362" i="20" s="1"/>
  <c r="V1330" i="20"/>
  <c r="V1213" i="20"/>
  <c r="V1215" i="20" s="1"/>
  <c r="V1363" i="20" s="1"/>
  <c r="Z1330" i="20"/>
  <c r="Z1212" i="20"/>
  <c r="Z1214" i="20" s="1"/>
  <c r="Z1362" i="20" s="1"/>
  <c r="Z1215" i="20"/>
  <c r="Z1363" i="20" s="1"/>
  <c r="AD1330" i="20"/>
  <c r="AD1213" i="20"/>
  <c r="AD1215" i="20" s="1"/>
  <c r="AD1363" i="20" s="1"/>
  <c r="AH1330" i="20"/>
  <c r="AH1213" i="20"/>
  <c r="AH1215" i="20" s="1"/>
  <c r="AH1212" i="20"/>
  <c r="AH1214" i="20" s="1"/>
  <c r="AH1362" i="20" s="1"/>
  <c r="AL1330" i="20"/>
  <c r="AL1213" i="20"/>
  <c r="AL1215" i="20" s="1"/>
  <c r="AL1363" i="20" s="1"/>
  <c r="H1331" i="20"/>
  <c r="H1218" i="20"/>
  <c r="H1220" i="20" s="1"/>
  <c r="H1366" i="20" s="1"/>
  <c r="H1217" i="20"/>
  <c r="H1219" i="20" s="1"/>
  <c r="H1365" i="20" s="1"/>
  <c r="L1331" i="20"/>
  <c r="L1218" i="20"/>
  <c r="L1220" i="20" s="1"/>
  <c r="L1366" i="20" s="1"/>
  <c r="L1217" i="20"/>
  <c r="L1219" i="20" s="1"/>
  <c r="L1365" i="20" s="1"/>
  <c r="P1331" i="20"/>
  <c r="P1218" i="20"/>
  <c r="P1220" i="20" s="1"/>
  <c r="P1366" i="20" s="1"/>
  <c r="T1331" i="20"/>
  <c r="T1217" i="20"/>
  <c r="T1219" i="20" s="1"/>
  <c r="T1365" i="20" s="1"/>
  <c r="T1218" i="20"/>
  <c r="T1220" i="20" s="1"/>
  <c r="T1366" i="20" s="1"/>
  <c r="X1331" i="20"/>
  <c r="X1218" i="20"/>
  <c r="X1220" i="20" s="1"/>
  <c r="X1366" i="20" s="1"/>
  <c r="X1217" i="20"/>
  <c r="X1219" i="20" s="1"/>
  <c r="X1365" i="20" s="1"/>
  <c r="AB1331" i="20"/>
  <c r="AB1218" i="20"/>
  <c r="AB1220" i="20" s="1"/>
  <c r="AB1366" i="20" s="1"/>
  <c r="AB1217" i="20"/>
  <c r="AB1219" i="20" s="1"/>
  <c r="AB1365" i="20" s="1"/>
  <c r="AF1331" i="20"/>
  <c r="AF1218" i="20"/>
  <c r="AF1220" i="20" s="1"/>
  <c r="AF1366" i="20" s="1"/>
  <c r="AJ1331" i="20"/>
  <c r="AJ1217" i="20"/>
  <c r="AJ1219" i="20" s="1"/>
  <c r="AJ1365" i="20" s="1"/>
  <c r="AJ1218" i="20"/>
  <c r="AJ1220" i="20" s="1"/>
  <c r="AJ1366" i="20" s="1"/>
  <c r="F1368" i="20"/>
  <c r="F1369" i="20"/>
  <c r="F1332" i="20"/>
  <c r="F1223" i="20"/>
  <c r="F1225" i="20" s="1"/>
  <c r="F1222" i="20"/>
  <c r="J1368" i="20"/>
  <c r="J1369" i="20"/>
  <c r="J1332" i="20"/>
  <c r="J1222" i="20"/>
  <c r="J1224" i="20" s="1"/>
  <c r="J1223" i="20"/>
  <c r="J1225" i="20" s="1"/>
  <c r="N1368" i="20"/>
  <c r="N1369" i="20"/>
  <c r="N1332" i="20"/>
  <c r="N1222" i="20"/>
  <c r="N1224" i="20" s="1"/>
  <c r="R1368" i="20"/>
  <c r="R1369" i="20"/>
  <c r="R1332" i="20"/>
  <c r="R1223" i="20"/>
  <c r="R1225" i="20" s="1"/>
  <c r="R1222" i="20"/>
  <c r="R1224" i="20" s="1"/>
  <c r="V1368" i="20"/>
  <c r="V1369" i="20"/>
  <c r="V1332" i="20"/>
  <c r="V1223" i="20"/>
  <c r="V1225" i="20" s="1"/>
  <c r="V1222" i="20"/>
  <c r="V1224" i="20" s="1"/>
  <c r="Z1368" i="20"/>
  <c r="Z1369" i="20"/>
  <c r="Z1332" i="20"/>
  <c r="Z1222" i="20"/>
  <c r="Z1224" i="20" s="1"/>
  <c r="Z1223" i="20"/>
  <c r="Z1225" i="20" s="1"/>
  <c r="AD1368" i="20"/>
  <c r="AD1369" i="20"/>
  <c r="AD1332" i="20"/>
  <c r="AD1222" i="20"/>
  <c r="AD1224" i="20" s="1"/>
  <c r="AH1368" i="20"/>
  <c r="AH1369" i="20"/>
  <c r="AH1332" i="20"/>
  <c r="AH1223" i="20"/>
  <c r="AH1225" i="20" s="1"/>
  <c r="AH1222" i="20"/>
  <c r="AH1224" i="20" s="1"/>
  <c r="AL1368" i="20"/>
  <c r="AL1369" i="20"/>
  <c r="AL1332" i="20"/>
  <c r="AL1223" i="20"/>
  <c r="AL1225" i="20" s="1"/>
  <c r="AL1222" i="20"/>
  <c r="AL1224" i="20" s="1"/>
  <c r="H1372" i="20"/>
  <c r="H1371" i="20"/>
  <c r="H1333" i="20"/>
  <c r="H1227" i="20"/>
  <c r="H1229" i="20" s="1"/>
  <c r="H1228" i="20"/>
  <c r="H1230" i="20" s="1"/>
  <c r="L1372" i="20"/>
  <c r="L1371" i="20"/>
  <c r="L1333" i="20"/>
  <c r="L1227" i="20"/>
  <c r="L1229" i="20" s="1"/>
  <c r="L1228" i="20"/>
  <c r="L1230" i="20" s="1"/>
  <c r="P1372" i="20"/>
  <c r="P1371" i="20"/>
  <c r="P1333" i="20"/>
  <c r="P1227" i="20"/>
  <c r="P1229" i="20" s="1"/>
  <c r="P1228" i="20"/>
  <c r="P1230" i="20" s="1"/>
  <c r="T1372" i="20"/>
  <c r="T1371" i="20"/>
  <c r="T1333" i="20"/>
  <c r="T1227" i="20"/>
  <c r="T1229" i="20" s="1"/>
  <c r="T1228" i="20"/>
  <c r="T1230" i="20" s="1"/>
  <c r="X1372" i="20"/>
  <c r="X1371" i="20"/>
  <c r="X1333" i="20"/>
  <c r="X1227" i="20"/>
  <c r="X1229" i="20" s="1"/>
  <c r="X1228" i="20"/>
  <c r="X1230" i="20" s="1"/>
  <c r="AB1372" i="20"/>
  <c r="AB1371" i="20"/>
  <c r="AB1333" i="20"/>
  <c r="AB1227" i="20"/>
  <c r="AB1229" i="20" s="1"/>
  <c r="AB1228" i="20"/>
  <c r="AB1230" i="20" s="1"/>
  <c r="AF1372" i="20"/>
  <c r="AF1371" i="20"/>
  <c r="AF1333" i="20"/>
  <c r="AF1227" i="20"/>
  <c r="AF1229" i="20" s="1"/>
  <c r="AF1228" i="20"/>
  <c r="AF1230" i="20" s="1"/>
  <c r="AJ1372" i="20"/>
  <c r="AJ1371" i="20"/>
  <c r="AJ1333" i="20"/>
  <c r="AJ1227" i="20"/>
  <c r="AJ1229" i="20" s="1"/>
  <c r="AJ1228" i="20"/>
  <c r="AJ1230" i="20" s="1"/>
  <c r="F1375" i="20"/>
  <c r="F1374" i="20"/>
  <c r="F1334" i="20"/>
  <c r="F1233" i="20"/>
  <c r="F1232" i="20"/>
  <c r="J1374" i="20"/>
  <c r="J1375" i="20"/>
  <c r="J1334" i="20"/>
  <c r="J1233" i="20"/>
  <c r="J1235" i="20" s="1"/>
  <c r="J1376" i="20" s="1"/>
  <c r="J1232" i="20"/>
  <c r="J1234" i="20" s="1"/>
  <c r="N1375" i="20"/>
  <c r="N1374" i="20"/>
  <c r="N1334" i="20"/>
  <c r="N1233" i="20"/>
  <c r="N1235" i="20" s="1"/>
  <c r="N1376" i="20" s="1"/>
  <c r="N1232" i="20"/>
  <c r="N1234" i="20" s="1"/>
  <c r="R1374" i="20"/>
  <c r="R1375" i="20"/>
  <c r="R1334" i="20"/>
  <c r="R1233" i="20"/>
  <c r="R1235" i="20" s="1"/>
  <c r="R1376" i="20" s="1"/>
  <c r="R1232" i="20"/>
  <c r="R1234" i="20" s="1"/>
  <c r="V1375" i="20"/>
  <c r="V1374" i="20"/>
  <c r="V1334" i="20"/>
  <c r="V1233" i="20"/>
  <c r="V1235" i="20" s="1"/>
  <c r="V1376" i="20" s="1"/>
  <c r="Z1374" i="20"/>
  <c r="Z1375" i="20"/>
  <c r="Z1334" i="20"/>
  <c r="Z1233" i="20"/>
  <c r="Z1235" i="20" s="1"/>
  <c r="Z1376" i="20" s="1"/>
  <c r="Z1232" i="20"/>
  <c r="Z1234" i="20" s="1"/>
  <c r="AD1375" i="20"/>
  <c r="AD1374" i="20"/>
  <c r="AD1334" i="20"/>
  <c r="AD1233" i="20"/>
  <c r="AD1235" i="20" s="1"/>
  <c r="AD1376" i="20" s="1"/>
  <c r="AH1374" i="20"/>
  <c r="AH1375" i="20"/>
  <c r="AH1334" i="20"/>
  <c r="AH1233" i="20"/>
  <c r="AH1235" i="20" s="1"/>
  <c r="AH1376" i="20" s="1"/>
  <c r="AH1232" i="20"/>
  <c r="AH1234" i="20" s="1"/>
  <c r="AL1374" i="20"/>
  <c r="AL1375" i="20"/>
  <c r="AL1334" i="20"/>
  <c r="AL1233" i="20"/>
  <c r="AL1235" i="20" s="1"/>
  <c r="AL1376" i="20" s="1"/>
  <c r="AL1232" i="20"/>
  <c r="AL1234" i="20" s="1"/>
  <c r="W27" i="44"/>
  <c r="AB1207" i="20"/>
  <c r="N1212" i="20"/>
  <c r="N1214" i="20" s="1"/>
  <c r="N1362" i="20" s="1"/>
  <c r="AD1212" i="20"/>
  <c r="AD1214" i="20" s="1"/>
  <c r="AD1362" i="20" s="1"/>
  <c r="J1213" i="20"/>
  <c r="J1215" i="20" s="1"/>
  <c r="AD1223" i="20"/>
  <c r="AD1225" i="20" s="1"/>
  <c r="G1016" i="20"/>
  <c r="G1019" i="20" s="1"/>
  <c r="D25" i="44" s="1"/>
  <c r="G978" i="20"/>
  <c r="D29" i="44" s="1"/>
  <c r="K978" i="20"/>
  <c r="K1016" i="20"/>
  <c r="K1019" i="20" s="1"/>
  <c r="H25" i="44" s="1"/>
  <c r="S1016" i="20"/>
  <c r="S1019" i="20" s="1"/>
  <c r="P25" i="44" s="1"/>
  <c r="S978" i="20"/>
  <c r="W1016" i="20"/>
  <c r="W1019" i="20" s="1"/>
  <c r="T25" i="44" s="1"/>
  <c r="W978" i="20"/>
  <c r="AA978" i="20"/>
  <c r="X29" i="44" s="1"/>
  <c r="AA1016" i="20"/>
  <c r="AA1019" i="20" s="1"/>
  <c r="X25" i="44" s="1"/>
  <c r="AI1016" i="20"/>
  <c r="AI1019" i="20" s="1"/>
  <c r="AF25" i="44" s="1"/>
  <c r="I990" i="20"/>
  <c r="M990" i="20"/>
  <c r="Q990" i="20"/>
  <c r="U990" i="20"/>
  <c r="AE27" i="44"/>
  <c r="L1207" i="20"/>
  <c r="T1208" i="20"/>
  <c r="AJ1208" i="20"/>
  <c r="AJ1210" i="20" s="1"/>
  <c r="AF1217" i="20"/>
  <c r="AF1219" i="20" s="1"/>
  <c r="AF1365" i="20" s="1"/>
  <c r="N1223" i="20"/>
  <c r="N1225" i="20" s="1"/>
  <c r="F990" i="20"/>
  <c r="J990" i="20"/>
  <c r="J1018" i="20" s="1"/>
  <c r="R990" i="20"/>
  <c r="V990" i="20"/>
  <c r="Z990" i="20"/>
  <c r="AH990" i="20"/>
  <c r="AL990" i="20"/>
  <c r="G27" i="44"/>
  <c r="F1212" i="20"/>
  <c r="V1212" i="20"/>
  <c r="V1214" i="20" s="1"/>
  <c r="V1362" i="20" s="1"/>
  <c r="AL1212" i="20"/>
  <c r="P1217" i="20"/>
  <c r="P1219" i="20" s="1"/>
  <c r="P1365" i="20" s="1"/>
  <c r="V1232" i="20"/>
  <c r="V1234" i="20" s="1"/>
  <c r="AD1232" i="20"/>
  <c r="AD1234" i="20" s="1"/>
  <c r="T990" i="20"/>
  <c r="T1018" i="20" s="1"/>
  <c r="AJ990" i="20"/>
  <c r="AJ1018" i="20" s="1"/>
  <c r="P1016" i="20"/>
  <c r="AF1016" i="20"/>
  <c r="I1359" i="20"/>
  <c r="I1358" i="20"/>
  <c r="I1329" i="20"/>
  <c r="I1207" i="20"/>
  <c r="I1209" i="20" s="1"/>
  <c r="I1208" i="20"/>
  <c r="F27" i="44"/>
  <c r="M1359" i="20"/>
  <c r="M1358" i="20"/>
  <c r="M1329" i="20"/>
  <c r="M1207" i="20"/>
  <c r="M1209" i="20" s="1"/>
  <c r="M1208" i="20"/>
  <c r="J27" i="44"/>
  <c r="Q1359" i="20"/>
  <c r="Q1358" i="20"/>
  <c r="Q1329" i="20"/>
  <c r="Q1207" i="20"/>
  <c r="Q1209" i="20" s="1"/>
  <c r="Q1208" i="20"/>
  <c r="N27" i="44"/>
  <c r="U1359" i="20"/>
  <c r="U1358" i="20"/>
  <c r="U1329" i="20"/>
  <c r="U1207" i="20"/>
  <c r="U1209" i="20" s="1"/>
  <c r="U1208" i="20"/>
  <c r="R27" i="44"/>
  <c r="N1207" i="20"/>
  <c r="N1209" i="20" s="1"/>
  <c r="AD1207" i="20"/>
  <c r="AD1209" i="20" s="1"/>
  <c r="H1212" i="20"/>
  <c r="H1214" i="20" s="1"/>
  <c r="H1362" i="20" s="1"/>
  <c r="P1212" i="20"/>
  <c r="P1214" i="20" s="1"/>
  <c r="P1362" i="20" s="1"/>
  <c r="X1212" i="20"/>
  <c r="X1214" i="20" s="1"/>
  <c r="X1362" i="20" s="1"/>
  <c r="AF1212" i="20"/>
  <c r="AF1214" i="20" s="1"/>
  <c r="AF1362" i="20" s="1"/>
  <c r="L1213" i="20"/>
  <c r="L1215" i="20" s="1"/>
  <c r="L1363" i="20" s="1"/>
  <c r="AB1213" i="20"/>
  <c r="AB1215" i="20" s="1"/>
  <c r="AB1363" i="20" s="1"/>
  <c r="R1217" i="20"/>
  <c r="R1219" i="20" s="1"/>
  <c r="R1365" i="20" s="1"/>
  <c r="AH1217" i="20"/>
  <c r="AH1219" i="20" s="1"/>
  <c r="AH1365" i="20" s="1"/>
  <c r="P1223" i="20"/>
  <c r="P1225" i="20" s="1"/>
  <c r="P990" i="20"/>
  <c r="P1018" i="20" s="1"/>
  <c r="AF990" i="20"/>
  <c r="AF1018" i="20" s="1"/>
  <c r="J1358" i="20"/>
  <c r="J1329" i="20"/>
  <c r="J1359" i="20"/>
  <c r="N1358" i="20"/>
  <c r="N1329" i="20"/>
  <c r="N1359" i="20"/>
  <c r="R1358" i="20"/>
  <c r="R1329" i="20"/>
  <c r="R1359" i="20"/>
  <c r="V1358" i="20"/>
  <c r="V1329" i="20"/>
  <c r="V1359" i="20"/>
  <c r="Z1358" i="20"/>
  <c r="Z1329" i="20"/>
  <c r="Z1359" i="20"/>
  <c r="AD1358" i="20"/>
  <c r="AD1329" i="20"/>
  <c r="AD1359" i="20"/>
  <c r="AH1358" i="20"/>
  <c r="AH1329" i="20"/>
  <c r="AH1359" i="20"/>
  <c r="AL1358" i="20"/>
  <c r="AL1329" i="20"/>
  <c r="AL1359" i="20"/>
  <c r="H1369" i="20"/>
  <c r="H1332" i="20"/>
  <c r="H1368" i="20"/>
  <c r="L1369" i="20"/>
  <c r="L1368" i="20"/>
  <c r="L1332" i="20"/>
  <c r="P1369" i="20"/>
  <c r="P1332" i="20"/>
  <c r="P1368" i="20"/>
  <c r="T1369" i="20"/>
  <c r="T1368" i="20"/>
  <c r="T1332" i="20"/>
  <c r="T1225" i="20"/>
  <c r="X1369" i="20"/>
  <c r="X1332" i="20"/>
  <c r="X1368" i="20"/>
  <c r="AB1369" i="20"/>
  <c r="AB1368" i="20"/>
  <c r="AB1332" i="20"/>
  <c r="AF1369" i="20"/>
  <c r="AF1332" i="20"/>
  <c r="AF1368" i="20"/>
  <c r="AJ1369" i="20"/>
  <c r="AJ1368" i="20"/>
  <c r="AJ1332" i="20"/>
  <c r="AJ1225" i="20"/>
  <c r="F1371" i="20"/>
  <c r="F1372" i="20"/>
  <c r="F1333" i="20"/>
  <c r="F1228" i="20"/>
  <c r="J1371" i="20"/>
  <c r="J1372" i="20"/>
  <c r="J1333" i="20"/>
  <c r="J1228" i="20"/>
  <c r="J1230" i="20" s="1"/>
  <c r="J1227" i="20"/>
  <c r="J1229" i="20" s="1"/>
  <c r="N1371" i="20"/>
  <c r="N1333" i="20"/>
  <c r="N1372" i="20"/>
  <c r="N1228" i="20"/>
  <c r="N1230" i="20" s="1"/>
  <c r="N1229" i="20"/>
  <c r="R1371" i="20"/>
  <c r="R1372" i="20"/>
  <c r="R1333" i="20"/>
  <c r="R1228" i="20"/>
  <c r="R1230" i="20" s="1"/>
  <c r="R1227" i="20"/>
  <c r="R1229" i="20" s="1"/>
  <c r="V1371" i="20"/>
  <c r="V1372" i="20"/>
  <c r="V1333" i="20"/>
  <c r="V1228" i="20"/>
  <c r="V1230" i="20" s="1"/>
  <c r="V1229" i="20"/>
  <c r="Z1371" i="20"/>
  <c r="Z1372" i="20"/>
  <c r="Z1333" i="20"/>
  <c r="Z1228" i="20"/>
  <c r="Z1230" i="20" s="1"/>
  <c r="Z1227" i="20"/>
  <c r="Z1229" i="20" s="1"/>
  <c r="AD1371" i="20"/>
  <c r="AD1333" i="20"/>
  <c r="AD1372" i="20"/>
  <c r="AD1228" i="20"/>
  <c r="AD1230" i="20" s="1"/>
  <c r="AD1229" i="20"/>
  <c r="AH1371" i="20"/>
  <c r="AH1372" i="20"/>
  <c r="AH1333" i="20"/>
  <c r="AH1228" i="20"/>
  <c r="AH1230" i="20" s="1"/>
  <c r="AH1227" i="20"/>
  <c r="AH1229" i="20" s="1"/>
  <c r="AL1371" i="20"/>
  <c r="AL1372" i="20"/>
  <c r="AL1333" i="20"/>
  <c r="AL1228" i="20"/>
  <c r="AL1230" i="20" s="1"/>
  <c r="AL1229" i="20"/>
  <c r="H1375" i="20"/>
  <c r="H1374" i="20"/>
  <c r="H1334" i="20"/>
  <c r="H1232" i="20"/>
  <c r="H1234" i="20" s="1"/>
  <c r="H1233" i="20"/>
  <c r="H1235" i="20" s="1"/>
  <c r="H1376" i="20" s="1"/>
  <c r="L1375" i="20"/>
  <c r="L1334" i="20"/>
  <c r="L1374" i="20"/>
  <c r="L1232" i="20"/>
  <c r="L1234" i="20" s="1"/>
  <c r="P1375" i="20"/>
  <c r="P1374" i="20"/>
  <c r="P1334" i="20"/>
  <c r="P1232" i="20"/>
  <c r="P1234" i="20" s="1"/>
  <c r="P1233" i="20"/>
  <c r="P1235" i="20" s="1"/>
  <c r="P1376" i="20" s="1"/>
  <c r="T1375" i="20"/>
  <c r="T1374" i="20"/>
  <c r="T1334" i="20"/>
  <c r="T1232" i="20"/>
  <c r="T1234" i="20" s="1"/>
  <c r="T1235" i="20"/>
  <c r="T1376" i="20" s="1"/>
  <c r="X1375" i="20"/>
  <c r="X1374" i="20"/>
  <c r="X1334" i="20"/>
  <c r="X1232" i="20"/>
  <c r="X1234" i="20" s="1"/>
  <c r="X1233" i="20"/>
  <c r="X1235" i="20" s="1"/>
  <c r="X1376" i="20" s="1"/>
  <c r="AB1375" i="20"/>
  <c r="AB1334" i="20"/>
  <c r="AB1374" i="20"/>
  <c r="AB1232" i="20"/>
  <c r="AB1234" i="20" s="1"/>
  <c r="AB1233" i="20"/>
  <c r="AB1235" i="20" s="1"/>
  <c r="AB1376" i="20" s="1"/>
  <c r="AF1375" i="20"/>
  <c r="AF1374" i="20"/>
  <c r="AF1334" i="20"/>
  <c r="AF1232" i="20"/>
  <c r="AF1234" i="20" s="1"/>
  <c r="AF1233" i="20"/>
  <c r="AF1235" i="20" s="1"/>
  <c r="AF1376" i="20" s="1"/>
  <c r="AJ1375" i="20"/>
  <c r="AJ1374" i="20"/>
  <c r="AJ1334" i="20"/>
  <c r="AJ1232" i="20"/>
  <c r="AJ1234" i="20" s="1"/>
  <c r="AJ1233" i="20"/>
  <c r="AJ1235" i="20" s="1"/>
  <c r="AJ1376" i="20" s="1"/>
  <c r="K27" i="44"/>
  <c r="S27" i="44"/>
  <c r="AA27" i="44"/>
  <c r="AI27" i="44"/>
  <c r="J1207" i="20"/>
  <c r="Z1207" i="20"/>
  <c r="H1213" i="20"/>
  <c r="H1215" i="20" s="1"/>
  <c r="H1363" i="20" s="1"/>
  <c r="X1213" i="20"/>
  <c r="X1215" i="20" s="1"/>
  <c r="X1363" i="20" s="1"/>
  <c r="N1217" i="20"/>
  <c r="N1219" i="20" s="1"/>
  <c r="N1365" i="20" s="1"/>
  <c r="AD1217" i="20"/>
  <c r="AD1219" i="20" s="1"/>
  <c r="AD1365" i="20" s="1"/>
  <c r="F1218" i="20"/>
  <c r="N1218" i="20"/>
  <c r="N1220" i="20" s="1"/>
  <c r="N1366" i="20" s="1"/>
  <c r="V1218" i="20"/>
  <c r="V1220" i="20" s="1"/>
  <c r="V1366" i="20" s="1"/>
  <c r="AD1218" i="20"/>
  <c r="AD1220" i="20" s="1"/>
  <c r="AD1366" i="20" s="1"/>
  <c r="AL1218" i="20"/>
  <c r="AL1220" i="20" s="1"/>
  <c r="AL1366" i="20" s="1"/>
  <c r="H1222" i="20"/>
  <c r="H1224" i="20" s="1"/>
  <c r="P1222" i="20"/>
  <c r="P1224" i="20" s="1"/>
  <c r="X1222" i="20"/>
  <c r="X1224" i="20" s="1"/>
  <c r="AF1222" i="20"/>
  <c r="AF1224" i="20" s="1"/>
  <c r="L1223" i="20"/>
  <c r="L1225" i="20" s="1"/>
  <c r="AB1223" i="20"/>
  <c r="AB1225" i="20" s="1"/>
  <c r="L1224" i="20"/>
  <c r="AB1224" i="20"/>
  <c r="F1227" i="20"/>
  <c r="L1233" i="20"/>
  <c r="L1235" i="20" s="1"/>
  <c r="L1376" i="20" s="1"/>
  <c r="Y990" i="20"/>
  <c r="AC990" i="20"/>
  <c r="AK990" i="20"/>
  <c r="I1016" i="20"/>
  <c r="I1002" i="20"/>
  <c r="M1016" i="20"/>
  <c r="M1002" i="20"/>
  <c r="Q1016" i="20"/>
  <c r="Q1002" i="20"/>
  <c r="U1016" i="20"/>
  <c r="U1002" i="20"/>
  <c r="Y1016" i="20"/>
  <c r="Y1019" i="20" s="1"/>
  <c r="V25" i="44" s="1"/>
  <c r="Y1002" i="20"/>
  <c r="AC1016" i="20"/>
  <c r="AC1002" i="20"/>
  <c r="AG1016" i="20"/>
  <c r="AG1002" i="20"/>
  <c r="AG1018" i="20" s="1"/>
  <c r="AK1016" i="20"/>
  <c r="AK1002" i="20"/>
  <c r="H1016" i="20"/>
  <c r="X1016" i="20"/>
  <c r="Y1359" i="20"/>
  <c r="Y1358" i="20"/>
  <c r="Y1329" i="20"/>
  <c r="AC1359" i="20"/>
  <c r="AC1358" i="20"/>
  <c r="AC1329" i="20"/>
  <c r="AG1359" i="20"/>
  <c r="AG1358" i="20"/>
  <c r="AG1329" i="20"/>
  <c r="AK1359" i="20"/>
  <c r="AK1358" i="20"/>
  <c r="AK1329" i="20"/>
  <c r="G1368" i="20"/>
  <c r="G1369" i="20"/>
  <c r="G1332" i="20"/>
  <c r="K1368" i="20"/>
  <c r="K1369" i="20"/>
  <c r="K1332" i="20"/>
  <c r="O1368" i="20"/>
  <c r="O1369" i="20"/>
  <c r="O1332" i="20"/>
  <c r="S1368" i="20"/>
  <c r="S1369" i="20"/>
  <c r="S1332" i="20"/>
  <c r="W1368" i="20"/>
  <c r="W1369" i="20"/>
  <c r="W1332" i="20"/>
  <c r="AA1369" i="20"/>
  <c r="AA1368" i="20"/>
  <c r="AA1332" i="20"/>
  <c r="AE1369" i="20"/>
  <c r="AE1368" i="20"/>
  <c r="AE1332" i="20"/>
  <c r="AI1369" i="20"/>
  <c r="AI1368" i="20"/>
  <c r="AI1332" i="20"/>
  <c r="I1371" i="20"/>
  <c r="I1372" i="20"/>
  <c r="I1333" i="20"/>
  <c r="M1371" i="20"/>
  <c r="M1372" i="20"/>
  <c r="M1333" i="20"/>
  <c r="Q1371" i="20"/>
  <c r="Q1372" i="20"/>
  <c r="Q1333" i="20"/>
  <c r="U1371" i="20"/>
  <c r="U1372" i="20"/>
  <c r="U1333" i="20"/>
  <c r="Y1371" i="20"/>
  <c r="Y1372" i="20"/>
  <c r="Y1333" i="20"/>
  <c r="AC1371" i="20"/>
  <c r="AC1372" i="20"/>
  <c r="AC1333" i="20"/>
  <c r="AG1371" i="20"/>
  <c r="AG1372" i="20"/>
  <c r="AG1333" i="20"/>
  <c r="AK1371" i="20"/>
  <c r="AK1372" i="20"/>
  <c r="AK1333" i="20"/>
  <c r="G1375" i="20"/>
  <c r="G1374" i="20"/>
  <c r="G1334" i="20"/>
  <c r="K1375" i="20"/>
  <c r="K1374" i="20"/>
  <c r="K1334" i="20"/>
  <c r="K1234" i="20"/>
  <c r="O1375" i="20"/>
  <c r="O1374" i="20"/>
  <c r="O1334" i="20"/>
  <c r="O1235" i="20"/>
  <c r="O1376" i="20" s="1"/>
  <c r="S1375" i="20"/>
  <c r="S1374" i="20"/>
  <c r="S1334" i="20"/>
  <c r="W1375" i="20"/>
  <c r="W1374" i="20"/>
  <c r="W1334" i="20"/>
  <c r="AA1375" i="20"/>
  <c r="AA1374" i="20"/>
  <c r="AA1334" i="20"/>
  <c r="AE1375" i="20"/>
  <c r="AE1374" i="20"/>
  <c r="AE1334" i="20"/>
  <c r="AE1235" i="20"/>
  <c r="AE1376" i="20" s="1"/>
  <c r="AI1375" i="20"/>
  <c r="AI1374" i="20"/>
  <c r="AI1334" i="20"/>
  <c r="AI1233" i="20"/>
  <c r="AI1235" i="20" s="1"/>
  <c r="AI1376" i="20" s="1"/>
  <c r="V27" i="44"/>
  <c r="Z27" i="44"/>
  <c r="AD27" i="44"/>
  <c r="AH27" i="44"/>
  <c r="Y1208" i="20"/>
  <c r="Y1210" i="20" s="1"/>
  <c r="AC1208" i="20"/>
  <c r="AC1210" i="20" s="1"/>
  <c r="AG1208" i="20"/>
  <c r="AG1210" i="20" s="1"/>
  <c r="AK1208" i="20"/>
  <c r="AK1210" i="20" s="1"/>
  <c r="G1212" i="20"/>
  <c r="G1214" i="20" s="1"/>
  <c r="G1362" i="20" s="1"/>
  <c r="K1212" i="20"/>
  <c r="K1214" i="20" s="1"/>
  <c r="K1362" i="20" s="1"/>
  <c r="O1212" i="20"/>
  <c r="S1212" i="20"/>
  <c r="S1214" i="20" s="1"/>
  <c r="S1362" i="20" s="1"/>
  <c r="W1212" i="20"/>
  <c r="W1214" i="20" s="1"/>
  <c r="W1362" i="20" s="1"/>
  <c r="AA1212" i="20"/>
  <c r="AA1214" i="20" s="1"/>
  <c r="AA1362" i="20" s="1"/>
  <c r="AE1212" i="20"/>
  <c r="AE1214" i="20" s="1"/>
  <c r="AI1212" i="20"/>
  <c r="AI1214" i="20" s="1"/>
  <c r="AI1362" i="20" s="1"/>
  <c r="I1218" i="20"/>
  <c r="I1220" i="20" s="1"/>
  <c r="I1366" i="20" s="1"/>
  <c r="M1218" i="20"/>
  <c r="M1220" i="20" s="1"/>
  <c r="M1366" i="20" s="1"/>
  <c r="Q1218" i="20"/>
  <c r="Q1220" i="20" s="1"/>
  <c r="Q1366" i="20" s="1"/>
  <c r="U1218" i="20"/>
  <c r="U1220" i="20" s="1"/>
  <c r="U1366" i="20" s="1"/>
  <c r="Y1218" i="20"/>
  <c r="Y1220" i="20" s="1"/>
  <c r="Y1366" i="20" s="1"/>
  <c r="AC1218" i="20"/>
  <c r="AC1220" i="20" s="1"/>
  <c r="AC1366" i="20" s="1"/>
  <c r="AG1218" i="20"/>
  <c r="AG1220" i="20" s="1"/>
  <c r="AG1366" i="20" s="1"/>
  <c r="AK1218" i="20"/>
  <c r="AK1220" i="20" s="1"/>
  <c r="AK1366" i="20" s="1"/>
  <c r="G1222" i="20"/>
  <c r="G1224" i="20" s="1"/>
  <c r="K1222" i="20"/>
  <c r="K1224" i="20" s="1"/>
  <c r="O1222" i="20"/>
  <c r="O1224" i="20" s="1"/>
  <c r="S1222" i="20"/>
  <c r="S1224" i="20" s="1"/>
  <c r="W1222" i="20"/>
  <c r="W1224" i="20" s="1"/>
  <c r="AA1222" i="20"/>
  <c r="AA1224" i="20" s="1"/>
  <c r="AE1222" i="20"/>
  <c r="AE1224" i="20" s="1"/>
  <c r="AI1222" i="20"/>
  <c r="AI1224" i="20" s="1"/>
  <c r="U1227" i="20"/>
  <c r="U1229" i="20" s="1"/>
  <c r="AK1227" i="20"/>
  <c r="AK1229" i="20" s="1"/>
  <c r="M1228" i="20"/>
  <c r="M1230" i="20" s="1"/>
  <c r="AC1228" i="20"/>
  <c r="AC1230" i="20" s="1"/>
  <c r="Y1230" i="20"/>
  <c r="G1232" i="20"/>
  <c r="G1234" i="20" s="1"/>
  <c r="W1232" i="20"/>
  <c r="W1234" i="20" s="1"/>
  <c r="K1233" i="20"/>
  <c r="K1235" i="20" s="1"/>
  <c r="K1376" i="20" s="1"/>
  <c r="G1358" i="20"/>
  <c r="G1359" i="20"/>
  <c r="G1329" i="20"/>
  <c r="K1358" i="20"/>
  <c r="K1359" i="20"/>
  <c r="K1329" i="20"/>
  <c r="O1358" i="20"/>
  <c r="O1359" i="20"/>
  <c r="O1329" i="20"/>
  <c r="S1358" i="20"/>
  <c r="S1359" i="20"/>
  <c r="S1329" i="20"/>
  <c r="W1358" i="20"/>
  <c r="W1359" i="20"/>
  <c r="W1329" i="20"/>
  <c r="AA1358" i="20"/>
  <c r="AA1359" i="20"/>
  <c r="AA1329" i="20"/>
  <c r="AE1358" i="20"/>
  <c r="AE1359" i="20"/>
  <c r="AE1329" i="20"/>
  <c r="AI1358" i="20"/>
  <c r="AI1359" i="20"/>
  <c r="AI1329" i="20"/>
  <c r="I1369" i="20"/>
  <c r="I1368" i="20"/>
  <c r="I1332" i="20"/>
  <c r="M1369" i="20"/>
  <c r="M1368" i="20"/>
  <c r="M1332" i="20"/>
  <c r="Q1369" i="20"/>
  <c r="Q1368" i="20"/>
  <c r="Q1332" i="20"/>
  <c r="U1369" i="20"/>
  <c r="U1368" i="20"/>
  <c r="U1332" i="20"/>
  <c r="Y1369" i="20"/>
  <c r="Y1368" i="20"/>
  <c r="Y1332" i="20"/>
  <c r="AC1369" i="20"/>
  <c r="AC1368" i="20"/>
  <c r="AC1332" i="20"/>
  <c r="AG1369" i="20"/>
  <c r="AG1368" i="20"/>
  <c r="AG1332" i="20"/>
  <c r="AK1369" i="20"/>
  <c r="AK1368" i="20"/>
  <c r="AK1332" i="20"/>
  <c r="G1372" i="20"/>
  <c r="G1371" i="20"/>
  <c r="G1333" i="20"/>
  <c r="K1372" i="20"/>
  <c r="K1371" i="20"/>
  <c r="K1333" i="20"/>
  <c r="O1372" i="20"/>
  <c r="O1371" i="20"/>
  <c r="O1333" i="20"/>
  <c r="S1372" i="20"/>
  <c r="S1371" i="20"/>
  <c r="S1333" i="20"/>
  <c r="W1372" i="20"/>
  <c r="W1371" i="20"/>
  <c r="W1333" i="20"/>
  <c r="AA1372" i="20"/>
  <c r="AA1371" i="20"/>
  <c r="AA1333" i="20"/>
  <c r="AE1372" i="20"/>
  <c r="AE1371" i="20"/>
  <c r="AE1333" i="20"/>
  <c r="AI1372" i="20"/>
  <c r="AI1371" i="20"/>
  <c r="AI1333" i="20"/>
  <c r="I1375" i="20"/>
  <c r="I1374" i="20"/>
  <c r="I1334" i="20"/>
  <c r="M1375" i="20"/>
  <c r="M1374" i="20"/>
  <c r="M1334" i="20"/>
  <c r="Q1375" i="20"/>
  <c r="Q1374" i="20"/>
  <c r="Q1334" i="20"/>
  <c r="Q1234" i="20"/>
  <c r="U1375" i="20"/>
  <c r="U1374" i="20"/>
  <c r="U1334" i="20"/>
  <c r="Y1375" i="20"/>
  <c r="Y1374" i="20"/>
  <c r="Y1334" i="20"/>
  <c r="AC1375" i="20"/>
  <c r="AC1374" i="20"/>
  <c r="AC1334" i="20"/>
  <c r="AC1233" i="20"/>
  <c r="AC1235" i="20" s="1"/>
  <c r="AC1376" i="20" s="1"/>
  <c r="AG1375" i="20"/>
  <c r="AG1374" i="20"/>
  <c r="AG1334" i="20"/>
  <c r="AG1234" i="20"/>
  <c r="AK1375" i="20"/>
  <c r="AK1374" i="20"/>
  <c r="AK1334" i="20"/>
  <c r="H27" i="44"/>
  <c r="L27" i="44"/>
  <c r="P27" i="44"/>
  <c r="T27" i="44"/>
  <c r="X27" i="44"/>
  <c r="AB27" i="44"/>
  <c r="AF27" i="44"/>
  <c r="Y1207" i="20"/>
  <c r="Y1209" i="20" s="1"/>
  <c r="AC1207" i="20"/>
  <c r="AC1209" i="20" s="1"/>
  <c r="AG1207" i="20"/>
  <c r="AG1209" i="20" s="1"/>
  <c r="AK1207" i="20"/>
  <c r="AK1209" i="20" s="1"/>
  <c r="G1208" i="20"/>
  <c r="G1210" i="20" s="1"/>
  <c r="K1208" i="20"/>
  <c r="K1210" i="20" s="1"/>
  <c r="O1208" i="20"/>
  <c r="O1210" i="20" s="1"/>
  <c r="S1208" i="20"/>
  <c r="S1210" i="20" s="1"/>
  <c r="W1208" i="20"/>
  <c r="W1210" i="20" s="1"/>
  <c r="AA1208" i="20"/>
  <c r="AA1210" i="20" s="1"/>
  <c r="AE1208" i="20"/>
  <c r="AE1210" i="20" s="1"/>
  <c r="AI1208" i="20"/>
  <c r="AI1210" i="20" s="1"/>
  <c r="I1212" i="20"/>
  <c r="I1214" i="20" s="1"/>
  <c r="I1362" i="20" s="1"/>
  <c r="M1212" i="20"/>
  <c r="M1214" i="20" s="1"/>
  <c r="M1362" i="20" s="1"/>
  <c r="Q1212" i="20"/>
  <c r="Q1214" i="20" s="1"/>
  <c r="Q1362" i="20" s="1"/>
  <c r="U1212" i="20"/>
  <c r="U1214" i="20" s="1"/>
  <c r="U1362" i="20" s="1"/>
  <c r="Y1212" i="20"/>
  <c r="Y1214" i="20" s="1"/>
  <c r="Y1362" i="20" s="1"/>
  <c r="AC1212" i="20"/>
  <c r="AC1214" i="20" s="1"/>
  <c r="AC1362" i="20" s="1"/>
  <c r="AG1212" i="20"/>
  <c r="AG1214" i="20" s="1"/>
  <c r="AG1362" i="20" s="1"/>
  <c r="AK1212" i="20"/>
  <c r="AK1214" i="20" s="1"/>
  <c r="AK1362" i="20" s="1"/>
  <c r="G1213" i="20"/>
  <c r="G1215" i="20" s="1"/>
  <c r="G1363" i="20" s="1"/>
  <c r="K1213" i="20"/>
  <c r="K1215" i="20" s="1"/>
  <c r="K1363" i="20" s="1"/>
  <c r="O1213" i="20"/>
  <c r="O1215" i="20" s="1"/>
  <c r="O1363" i="20" s="1"/>
  <c r="S1213" i="20"/>
  <c r="S1215" i="20" s="1"/>
  <c r="S1363" i="20" s="1"/>
  <c r="W1213" i="20"/>
  <c r="W1215" i="20" s="1"/>
  <c r="W1363" i="20" s="1"/>
  <c r="AA1213" i="20"/>
  <c r="AA1215" i="20" s="1"/>
  <c r="AA1363" i="20" s="1"/>
  <c r="AE1213" i="20"/>
  <c r="AE1215" i="20" s="1"/>
  <c r="AE1363" i="20" s="1"/>
  <c r="AI1213" i="20"/>
  <c r="AI1215" i="20" s="1"/>
  <c r="AI1363" i="20" s="1"/>
  <c r="I1217" i="20"/>
  <c r="I1219" i="20" s="1"/>
  <c r="I1365" i="20" s="1"/>
  <c r="M1217" i="20"/>
  <c r="M1219" i="20" s="1"/>
  <c r="M1365" i="20" s="1"/>
  <c r="Q1217" i="20"/>
  <c r="Q1219" i="20" s="1"/>
  <c r="Q1365" i="20" s="1"/>
  <c r="U1217" i="20"/>
  <c r="U1219" i="20" s="1"/>
  <c r="U1365" i="20" s="1"/>
  <c r="Y1217" i="20"/>
  <c r="Y1219" i="20" s="1"/>
  <c r="Y1365" i="20" s="1"/>
  <c r="AC1217" i="20"/>
  <c r="AC1219" i="20" s="1"/>
  <c r="AC1365" i="20" s="1"/>
  <c r="AG1217" i="20"/>
  <c r="AG1219" i="20" s="1"/>
  <c r="AG1365" i="20" s="1"/>
  <c r="AK1217" i="20"/>
  <c r="AK1219" i="20" s="1"/>
  <c r="AK1365" i="20" s="1"/>
  <c r="G1218" i="20"/>
  <c r="G1220" i="20" s="1"/>
  <c r="G1366" i="20" s="1"/>
  <c r="K1218" i="20"/>
  <c r="K1220" i="20" s="1"/>
  <c r="K1366" i="20" s="1"/>
  <c r="O1218" i="20"/>
  <c r="O1220" i="20" s="1"/>
  <c r="O1366" i="20" s="1"/>
  <c r="S1218" i="20"/>
  <c r="S1220" i="20" s="1"/>
  <c r="S1366" i="20" s="1"/>
  <c r="W1218" i="20"/>
  <c r="W1220" i="20" s="1"/>
  <c r="W1366" i="20" s="1"/>
  <c r="AA1218" i="20"/>
  <c r="AA1220" i="20" s="1"/>
  <c r="AA1366" i="20" s="1"/>
  <c r="AE1218" i="20"/>
  <c r="AE1220" i="20" s="1"/>
  <c r="AE1366" i="20" s="1"/>
  <c r="AI1218" i="20"/>
  <c r="AI1220" i="20" s="1"/>
  <c r="AI1366" i="20" s="1"/>
  <c r="I1222" i="20"/>
  <c r="I1224" i="20" s="1"/>
  <c r="M1222" i="20"/>
  <c r="M1224" i="20" s="1"/>
  <c r="Q1222" i="20"/>
  <c r="Q1224" i="20" s="1"/>
  <c r="U1222" i="20"/>
  <c r="U1224" i="20" s="1"/>
  <c r="Y1222" i="20"/>
  <c r="Y1224" i="20" s="1"/>
  <c r="AC1222" i="20"/>
  <c r="AC1224" i="20" s="1"/>
  <c r="AG1222" i="20"/>
  <c r="AG1224" i="20" s="1"/>
  <c r="AK1222" i="20"/>
  <c r="AK1224" i="20" s="1"/>
  <c r="G1223" i="20"/>
  <c r="G1225" i="20" s="1"/>
  <c r="K1223" i="20"/>
  <c r="K1225" i="20" s="1"/>
  <c r="O1223" i="20"/>
  <c r="O1225" i="20" s="1"/>
  <c r="S1223" i="20"/>
  <c r="S1225" i="20" s="1"/>
  <c r="W1223" i="20"/>
  <c r="W1225" i="20" s="1"/>
  <c r="AA1223" i="20"/>
  <c r="AA1225" i="20" s="1"/>
  <c r="AE1223" i="20"/>
  <c r="AE1225" i="20" s="1"/>
  <c r="AI1223" i="20"/>
  <c r="AI1225" i="20" s="1"/>
  <c r="Y1225" i="20"/>
  <c r="G1227" i="20"/>
  <c r="G1229" i="20" s="1"/>
  <c r="M1227" i="20"/>
  <c r="M1229" i="20" s="1"/>
  <c r="W1227" i="20"/>
  <c r="W1229" i="20" s="1"/>
  <c r="AC1227" i="20"/>
  <c r="AC1229" i="20" s="1"/>
  <c r="K1228" i="20"/>
  <c r="K1230" i="20" s="1"/>
  <c r="U1228" i="20"/>
  <c r="U1230" i="20" s="1"/>
  <c r="AA1228" i="20"/>
  <c r="AA1230" i="20" s="1"/>
  <c r="AK1228" i="20"/>
  <c r="AK1230" i="20" s="1"/>
  <c r="I1229" i="20"/>
  <c r="S1229" i="20"/>
  <c r="Q1230" i="20"/>
  <c r="W1230" i="20"/>
  <c r="AG1230" i="20"/>
  <c r="O1232" i="20"/>
  <c r="O1234" i="20" s="1"/>
  <c r="U1232" i="20"/>
  <c r="U1234" i="20" s="1"/>
  <c r="AE1232" i="20"/>
  <c r="AE1234" i="20" s="1"/>
  <c r="AK1232" i="20"/>
  <c r="AK1234" i="20" s="1"/>
  <c r="M1233" i="20"/>
  <c r="M1235" i="20" s="1"/>
  <c r="M1376" i="20" s="1"/>
  <c r="S1233" i="20"/>
  <c r="S1235" i="20" s="1"/>
  <c r="S1376" i="20" s="1"/>
  <c r="Y1233" i="20"/>
  <c r="Y1235" i="20" s="1"/>
  <c r="Y1376" i="20" s="1"/>
  <c r="M1234" i="20"/>
  <c r="S1234" i="20"/>
  <c r="U1235" i="20"/>
  <c r="U1376" i="20" s="1"/>
  <c r="I1314" i="20"/>
  <c r="I1261" i="20"/>
  <c r="I1316" i="20" s="1"/>
  <c r="M1314" i="20"/>
  <c r="M1261" i="20"/>
  <c r="M1316" i="20" s="1"/>
  <c r="Q1314" i="20"/>
  <c r="Q1261" i="20"/>
  <c r="Q1316" i="20" s="1"/>
  <c r="U1314" i="20"/>
  <c r="U1261" i="20"/>
  <c r="U1316" i="20" s="1"/>
  <c r="Y1314" i="20"/>
  <c r="Y1261" i="20"/>
  <c r="Y1316" i="20" s="1"/>
  <c r="AC1314" i="20"/>
  <c r="AC1261" i="20"/>
  <c r="AC1316" i="20" s="1"/>
  <c r="AG1314" i="20"/>
  <c r="AG1261" i="20"/>
  <c r="AG1316" i="20" s="1"/>
  <c r="AK1314" i="20"/>
  <c r="AK1261" i="20"/>
  <c r="AK1316" i="20" s="1"/>
  <c r="S1018" i="20" l="1"/>
  <c r="Q1018" i="20"/>
  <c r="H75" i="44"/>
  <c r="AG75" i="44"/>
  <c r="AF75" i="44"/>
  <c r="X75" i="44"/>
  <c r="D75" i="44"/>
  <c r="Q75" i="44"/>
  <c r="AA75" i="44"/>
  <c r="K75" i="44"/>
  <c r="Y75" i="44"/>
  <c r="T75" i="44"/>
  <c r="G75" i="44"/>
  <c r="W75" i="44"/>
  <c r="I75" i="44"/>
  <c r="V75" i="44"/>
  <c r="AB75" i="44"/>
  <c r="L75" i="44"/>
  <c r="P75" i="44"/>
  <c r="AI75" i="44"/>
  <c r="S75" i="44"/>
  <c r="AK1018" i="20"/>
  <c r="AK1020" i="20" s="1"/>
  <c r="AH24" i="44" s="1"/>
  <c r="O1018" i="20"/>
  <c r="AA1018" i="20"/>
  <c r="AA1020" i="20" s="1"/>
  <c r="X24" i="44" s="1"/>
  <c r="W1018" i="20"/>
  <c r="W1020" i="20" s="1"/>
  <c r="T24" i="44" s="1"/>
  <c r="K1018" i="20"/>
  <c r="K1020" i="20" s="1"/>
  <c r="H24" i="44" s="1"/>
  <c r="I1018" i="20"/>
  <c r="I1020" i="20" s="1"/>
  <c r="F24" i="44" s="1"/>
  <c r="Z1318" i="20"/>
  <c r="W97" i="44" s="1"/>
  <c r="U1018" i="20"/>
  <c r="U1020" i="20" s="1"/>
  <c r="R24" i="44" s="1"/>
  <c r="M1018" i="20"/>
  <c r="M1020" i="20" s="1"/>
  <c r="J24" i="44" s="1"/>
  <c r="J1318" i="20"/>
  <c r="G97" i="44" s="1"/>
  <c r="O1318" i="20"/>
  <c r="L97" i="44" s="1"/>
  <c r="AE1318" i="20"/>
  <c r="AB97" i="44" s="1"/>
  <c r="AA1318" i="20"/>
  <c r="X97" i="44" s="1"/>
  <c r="T1020" i="20"/>
  <c r="Q24" i="44" s="1"/>
  <c r="AL1318" i="20"/>
  <c r="AI97" i="44" s="1"/>
  <c r="J1238" i="20"/>
  <c r="J1242" i="20" s="1"/>
  <c r="G62" i="44" s="1"/>
  <c r="S1318" i="20"/>
  <c r="P97" i="44" s="1"/>
  <c r="V1318" i="20"/>
  <c r="S97" i="44" s="1"/>
  <c r="N1318" i="20"/>
  <c r="K97" i="44" s="1"/>
  <c r="AI1318" i="20"/>
  <c r="AF97" i="44" s="1"/>
  <c r="R1318" i="20"/>
  <c r="O97" i="44" s="1"/>
  <c r="AJ1020" i="20"/>
  <c r="AG24" i="44" s="1"/>
  <c r="G1318" i="20"/>
  <c r="D97" i="44" s="1"/>
  <c r="AH1318" i="20"/>
  <c r="AE97" i="44" s="1"/>
  <c r="S1317" i="20"/>
  <c r="P96" i="44" s="1"/>
  <c r="P143" i="44" s="1"/>
  <c r="W1318" i="20"/>
  <c r="T97" i="44" s="1"/>
  <c r="AD1318" i="20"/>
  <c r="AA97" i="44" s="1"/>
  <c r="AM1331" i="20"/>
  <c r="K1318" i="20"/>
  <c r="H97" i="44" s="1"/>
  <c r="R1317" i="20"/>
  <c r="O96" i="44" s="1"/>
  <c r="O143" i="44" s="1"/>
  <c r="F1220" i="20"/>
  <c r="AM1218" i="20"/>
  <c r="AM1375" i="20"/>
  <c r="V1237" i="20"/>
  <c r="F1229" i="20"/>
  <c r="AM1229" i="20" s="1"/>
  <c r="AM1227" i="20"/>
  <c r="F1230" i="20"/>
  <c r="AM1230" i="20" s="1"/>
  <c r="AM1228" i="20"/>
  <c r="F1214" i="20"/>
  <c r="AM1212" i="20"/>
  <c r="AM1225" i="20"/>
  <c r="T1238" i="20"/>
  <c r="T1242" i="20" s="1"/>
  <c r="Q62" i="44" s="1"/>
  <c r="L1020" i="20"/>
  <c r="I24" i="44" s="1"/>
  <c r="F1235" i="20"/>
  <c r="AM1233" i="20"/>
  <c r="AM1223" i="20"/>
  <c r="AD1018" i="20"/>
  <c r="AD1020" i="20" s="1"/>
  <c r="AA24" i="44" s="1"/>
  <c r="N1018" i="20"/>
  <c r="N1020" i="20" s="1"/>
  <c r="K24" i="44" s="1"/>
  <c r="F1219" i="20"/>
  <c r="AM1217" i="20"/>
  <c r="AM1371" i="20"/>
  <c r="F1234" i="20"/>
  <c r="AM1234" i="20" s="1"/>
  <c r="AM1232" i="20"/>
  <c r="F1224" i="20"/>
  <c r="AM1224" i="20" s="1"/>
  <c r="AM1222" i="20"/>
  <c r="AM1333" i="20"/>
  <c r="AM1334" i="20"/>
  <c r="AM1332" i="20"/>
  <c r="F1215" i="20"/>
  <c r="AM1213" i="20"/>
  <c r="AM1368" i="20"/>
  <c r="D27" i="44"/>
  <c r="Z1238" i="20"/>
  <c r="Z1242" i="20" s="1"/>
  <c r="W62" i="44" s="1"/>
  <c r="AM1372" i="20"/>
  <c r="AM1374" i="20"/>
  <c r="AM1369" i="20"/>
  <c r="AM1330" i="20"/>
  <c r="AK54" i="44"/>
  <c r="G1018" i="20"/>
  <c r="G1020" i="20" s="1"/>
  <c r="D24" i="44" s="1"/>
  <c r="AG110" i="44"/>
  <c r="AG39" i="44"/>
  <c r="Q110" i="44"/>
  <c r="Q39" i="44"/>
  <c r="T110" i="44"/>
  <c r="T39" i="44"/>
  <c r="D110" i="44"/>
  <c r="D39" i="44"/>
  <c r="AI110" i="44"/>
  <c r="AI39" i="44"/>
  <c r="S110" i="44"/>
  <c r="S39" i="44"/>
  <c r="P29" i="44"/>
  <c r="H29" i="44"/>
  <c r="AC110" i="44"/>
  <c r="AC39" i="44"/>
  <c r="M110" i="44"/>
  <c r="M39" i="44"/>
  <c r="AF110" i="44"/>
  <c r="AF39" i="44"/>
  <c r="P110" i="44"/>
  <c r="P39" i="44"/>
  <c r="AE110" i="44"/>
  <c r="AE39" i="44"/>
  <c r="O110" i="44"/>
  <c r="O39" i="44"/>
  <c r="V110" i="44"/>
  <c r="V39" i="44"/>
  <c r="Z110" i="44"/>
  <c r="Z39" i="44"/>
  <c r="Y110" i="44"/>
  <c r="Y39" i="44"/>
  <c r="I110" i="44"/>
  <c r="I39" i="44"/>
  <c r="AB110" i="44"/>
  <c r="AB39" i="44"/>
  <c r="L110" i="44"/>
  <c r="L39" i="44"/>
  <c r="AA110" i="44"/>
  <c r="AA39" i="44"/>
  <c r="K110" i="44"/>
  <c r="K39" i="44"/>
  <c r="F110" i="44"/>
  <c r="F39" i="44"/>
  <c r="AH110" i="44"/>
  <c r="AH39" i="44"/>
  <c r="AD110" i="44"/>
  <c r="AD39" i="44"/>
  <c r="T29" i="44"/>
  <c r="L29" i="44"/>
  <c r="AE1020" i="20"/>
  <c r="AB24" i="44" s="1"/>
  <c r="U110" i="44"/>
  <c r="U39" i="44"/>
  <c r="E110" i="44"/>
  <c r="E39" i="44"/>
  <c r="X110" i="44"/>
  <c r="X39" i="44"/>
  <c r="H110" i="44"/>
  <c r="H39" i="44"/>
  <c r="W110" i="44"/>
  <c r="W39" i="44"/>
  <c r="G110" i="44"/>
  <c r="G39" i="44"/>
  <c r="N110" i="44"/>
  <c r="N39" i="44"/>
  <c r="J110" i="44"/>
  <c r="J39" i="44"/>
  <c r="R110" i="44"/>
  <c r="R39" i="44"/>
  <c r="AH1238" i="20"/>
  <c r="AH1242" i="20" s="1"/>
  <c r="AL1237" i="20"/>
  <c r="R1238" i="20"/>
  <c r="R1242" i="20" s="1"/>
  <c r="T22" i="44"/>
  <c r="T153" i="44" s="1"/>
  <c r="V22" i="44"/>
  <c r="V153" i="44" s="1"/>
  <c r="AA22" i="44"/>
  <c r="AA153" i="44" s="1"/>
  <c r="I22" i="44"/>
  <c r="I153" i="44" s="1"/>
  <c r="AF22" i="44"/>
  <c r="AF153" i="44" s="1"/>
  <c r="P22" i="44"/>
  <c r="P153" i="44" s="1"/>
  <c r="AH22" i="44"/>
  <c r="AH153" i="44" s="1"/>
  <c r="S22" i="44"/>
  <c r="S153" i="44" s="1"/>
  <c r="N22" i="44"/>
  <c r="N153" i="44" s="1"/>
  <c r="F22" i="44"/>
  <c r="F153" i="44" s="1"/>
  <c r="W22" i="44"/>
  <c r="W153" i="44" s="1"/>
  <c r="AC22" i="44"/>
  <c r="AC153" i="44" s="1"/>
  <c r="U22" i="44"/>
  <c r="U153" i="44" s="1"/>
  <c r="Q22" i="44"/>
  <c r="Q153" i="44" s="1"/>
  <c r="O22" i="44"/>
  <c r="O153" i="44" s="1"/>
  <c r="AB22" i="44"/>
  <c r="AB153" i="44" s="1"/>
  <c r="L22" i="44"/>
  <c r="L153" i="44" s="1"/>
  <c r="AD22" i="44"/>
  <c r="AD153" i="44" s="1"/>
  <c r="K22" i="44"/>
  <c r="K153" i="44" s="1"/>
  <c r="G22" i="44"/>
  <c r="G153" i="44" s="1"/>
  <c r="AE22" i="44"/>
  <c r="AE153" i="44" s="1"/>
  <c r="Y22" i="44"/>
  <c r="Y153" i="44" s="1"/>
  <c r="X22" i="44"/>
  <c r="X153" i="44" s="1"/>
  <c r="H22" i="44"/>
  <c r="H153" i="44" s="1"/>
  <c r="Z22" i="44"/>
  <c r="Z153" i="44" s="1"/>
  <c r="AI22" i="44"/>
  <c r="AI153" i="44" s="1"/>
  <c r="R22" i="44"/>
  <c r="R153" i="44" s="1"/>
  <c r="J22" i="44"/>
  <c r="J153" i="44" s="1"/>
  <c r="AG22" i="44"/>
  <c r="AG153" i="44" s="1"/>
  <c r="M22" i="44"/>
  <c r="M153" i="44" s="1"/>
  <c r="E22" i="44"/>
  <c r="E153" i="44" s="1"/>
  <c r="AB1020" i="20"/>
  <c r="Y24" i="44" s="1"/>
  <c r="AC1018" i="20"/>
  <c r="AC1020" i="20" s="1"/>
  <c r="Z24" i="44" s="1"/>
  <c r="W1335" i="20"/>
  <c r="T99" i="44" s="1"/>
  <c r="G1335" i="20"/>
  <c r="D99" i="44" s="1"/>
  <c r="W1237" i="20"/>
  <c r="G1237" i="20"/>
  <c r="R1237" i="20"/>
  <c r="S1237" i="20"/>
  <c r="AB1238" i="20"/>
  <c r="AB1242" i="20" s="1"/>
  <c r="T1239" i="20"/>
  <c r="O1237" i="20"/>
  <c r="L1238" i="20"/>
  <c r="L1242" i="20" s="1"/>
  <c r="AA1237" i="20"/>
  <c r="K1237" i="20"/>
  <c r="AH1237" i="20"/>
  <c r="W1360" i="20"/>
  <c r="W1240" i="20"/>
  <c r="W1244" i="20" s="1"/>
  <c r="T52" i="44" s="1"/>
  <c r="AK1360" i="20"/>
  <c r="AK1240" i="20"/>
  <c r="AK1244" i="20" s="1"/>
  <c r="AH52" i="44" s="1"/>
  <c r="AH1363" i="20"/>
  <c r="AH1380" i="20" s="1"/>
  <c r="AH1384" i="20" s="1"/>
  <c r="AE126" i="44" s="1"/>
  <c r="AH1240" i="20"/>
  <c r="AH1244" i="20" s="1"/>
  <c r="AE52" i="44" s="1"/>
  <c r="AF1239" i="20"/>
  <c r="Y1239" i="20"/>
  <c r="AE1362" i="20"/>
  <c r="AE1398" i="20" s="1"/>
  <c r="AE1239" i="20"/>
  <c r="AJ1360" i="20"/>
  <c r="AJ1240" i="20"/>
  <c r="AJ1244" i="20" s="1"/>
  <c r="AG52" i="44" s="1"/>
  <c r="X1239" i="20"/>
  <c r="G1360" i="20"/>
  <c r="G1240" i="20"/>
  <c r="G1244" i="20" s="1"/>
  <c r="D52" i="44" s="1"/>
  <c r="Y1360" i="20"/>
  <c r="Y1240" i="20"/>
  <c r="Y1244" i="20" s="1"/>
  <c r="V52" i="44" s="1"/>
  <c r="J1363" i="20"/>
  <c r="J1399" i="20" s="1"/>
  <c r="J1402" i="20" s="1"/>
  <c r="G132" i="44" s="1"/>
  <c r="J1240" i="20"/>
  <c r="J1244" i="20" s="1"/>
  <c r="G52" i="44" s="1"/>
  <c r="U1317" i="20"/>
  <c r="R96" i="44" s="1"/>
  <c r="R143" i="44" s="1"/>
  <c r="U1318" i="20"/>
  <c r="R97" i="44" s="1"/>
  <c r="Y1317" i="20"/>
  <c r="V96" i="44" s="1"/>
  <c r="V143" i="44" s="1"/>
  <c r="Y1318" i="20"/>
  <c r="V97" i="44" s="1"/>
  <c r="I1317" i="20"/>
  <c r="F96" i="44" s="1"/>
  <c r="F143" i="44" s="1"/>
  <c r="I1318" i="20"/>
  <c r="F97" i="44" s="1"/>
  <c r="AA1360" i="20"/>
  <c r="AA1240" i="20"/>
  <c r="AA1244" i="20" s="1"/>
  <c r="X52" i="44" s="1"/>
  <c r="K1360" i="20"/>
  <c r="K1240" i="20"/>
  <c r="K1244" i="20" s="1"/>
  <c r="H52" i="44" s="1"/>
  <c r="AC1239" i="20"/>
  <c r="AE1238" i="20"/>
  <c r="AE1242" i="20" s="1"/>
  <c r="O1238" i="20"/>
  <c r="O1242" i="20" s="1"/>
  <c r="AG1237" i="20"/>
  <c r="AG1238" i="20"/>
  <c r="AG1242" i="20" s="1"/>
  <c r="AC1335" i="20"/>
  <c r="Z99" i="44" s="1"/>
  <c r="Y1398" i="20"/>
  <c r="Y1379" i="20"/>
  <c r="AC1019" i="20"/>
  <c r="Z25" i="44" s="1"/>
  <c r="M1019" i="20"/>
  <c r="J25" i="44" s="1"/>
  <c r="V1239" i="20"/>
  <c r="Z1237" i="20"/>
  <c r="Z1209" i="20"/>
  <c r="Z1239" i="20" s="1"/>
  <c r="AH1335" i="20"/>
  <c r="AE99" i="44" s="1"/>
  <c r="AD1398" i="20"/>
  <c r="AD1379" i="20"/>
  <c r="R1335" i="20"/>
  <c r="O99" i="44" s="1"/>
  <c r="N1398" i="20"/>
  <c r="N1379" i="20"/>
  <c r="AD1237" i="20"/>
  <c r="U1238" i="20"/>
  <c r="U1242" i="20" s="1"/>
  <c r="U1335" i="20"/>
  <c r="R99" i="44" s="1"/>
  <c r="Q1238" i="20"/>
  <c r="Q1242" i="20" s="1"/>
  <c r="Q1335" i="20"/>
  <c r="N99" i="44" s="1"/>
  <c r="M1238" i="20"/>
  <c r="M1242" i="20" s="1"/>
  <c r="M1335" i="20"/>
  <c r="J99" i="44" s="1"/>
  <c r="I1238" i="20"/>
  <c r="I1242" i="20" s="1"/>
  <c r="I1335" i="20"/>
  <c r="F99" i="44" s="1"/>
  <c r="P1019" i="20"/>
  <c r="M25" i="44" s="1"/>
  <c r="P1020" i="20"/>
  <c r="M24" i="44" s="1"/>
  <c r="AL1360" i="20"/>
  <c r="AL1240" i="20"/>
  <c r="AL1244" i="20" s="1"/>
  <c r="AI52" i="44" s="1"/>
  <c r="AD1360" i="20"/>
  <c r="AD1240" i="20"/>
  <c r="AD1244" i="20" s="1"/>
  <c r="AA52" i="44" s="1"/>
  <c r="V1360" i="20"/>
  <c r="V1240" i="20"/>
  <c r="V1244" i="20" s="1"/>
  <c r="S52" i="44" s="1"/>
  <c r="N1360" i="20"/>
  <c r="N1240" i="20"/>
  <c r="N1244" i="20" s="1"/>
  <c r="K52" i="44" s="1"/>
  <c r="L1237" i="20"/>
  <c r="AI1020" i="20"/>
  <c r="AF24" i="44" s="1"/>
  <c r="X1360" i="20"/>
  <c r="X1240" i="20"/>
  <c r="X1244" i="20" s="1"/>
  <c r="U52" i="44" s="1"/>
  <c r="AJ1237" i="20"/>
  <c r="AB1398" i="20"/>
  <c r="AB1379" i="20"/>
  <c r="T1210" i="20"/>
  <c r="P1238" i="20"/>
  <c r="P1242" i="20" s="1"/>
  <c r="P1210" i="20"/>
  <c r="P1335" i="20"/>
  <c r="M99" i="44" s="1"/>
  <c r="L1209" i="20"/>
  <c r="L1239" i="20" s="1"/>
  <c r="H1239" i="20"/>
  <c r="AK1019" i="20"/>
  <c r="AH25" i="44" s="1"/>
  <c r="AA1239" i="20"/>
  <c r="AH1019" i="20"/>
  <c r="AE25" i="44" s="1"/>
  <c r="O25" i="44"/>
  <c r="M1317" i="20"/>
  <c r="J96" i="44" s="1"/>
  <c r="J143" i="44" s="1"/>
  <c r="M1318" i="20"/>
  <c r="J97" i="44" s="1"/>
  <c r="AG1317" i="20"/>
  <c r="AD96" i="44" s="1"/>
  <c r="AD143" i="44" s="1"/>
  <c r="AG1318" i="20"/>
  <c r="AD97" i="44" s="1"/>
  <c r="Q1317" i="20"/>
  <c r="N96" i="44" s="1"/>
  <c r="N143" i="44" s="1"/>
  <c r="Q1318" i="20"/>
  <c r="N97" i="44" s="1"/>
  <c r="AA1238" i="20"/>
  <c r="AA1242" i="20" s="1"/>
  <c r="K1238" i="20"/>
  <c r="K1242" i="20" s="1"/>
  <c r="AC1237" i="20"/>
  <c r="AI1398" i="20"/>
  <c r="AI1379" i="20"/>
  <c r="AA1335" i="20"/>
  <c r="X99" i="44" s="1"/>
  <c r="S1398" i="20"/>
  <c r="S1379" i="20"/>
  <c r="K1335" i="20"/>
  <c r="H99" i="44" s="1"/>
  <c r="O1214" i="20"/>
  <c r="O1362" i="20" s="1"/>
  <c r="O1398" i="20" s="1"/>
  <c r="AI1237" i="20"/>
  <c r="K1239" i="20"/>
  <c r="AC1238" i="20"/>
  <c r="AC1242" i="20" s="1"/>
  <c r="AG1335" i="20"/>
  <c r="AD99" i="44" s="1"/>
  <c r="AC1398" i="20"/>
  <c r="AC1379" i="20"/>
  <c r="X1020" i="20"/>
  <c r="U24" i="44" s="1"/>
  <c r="X1019" i="20"/>
  <c r="U25" i="44" s="1"/>
  <c r="Y1018" i="20"/>
  <c r="Y1020" i="20" s="1"/>
  <c r="V24" i="44" s="1"/>
  <c r="N1239" i="20"/>
  <c r="AL1335" i="20"/>
  <c r="AI99" i="44" s="1"/>
  <c r="AH1398" i="20"/>
  <c r="AH1379" i="20"/>
  <c r="V1335" i="20"/>
  <c r="S99" i="44" s="1"/>
  <c r="R1398" i="20"/>
  <c r="R1379" i="20"/>
  <c r="U1210" i="20"/>
  <c r="U1398" i="20"/>
  <c r="U1379" i="20"/>
  <c r="Q1210" i="20"/>
  <c r="Q1398" i="20"/>
  <c r="Q1379" i="20"/>
  <c r="M1210" i="20"/>
  <c r="M1398" i="20"/>
  <c r="M1379" i="20"/>
  <c r="I1210" i="20"/>
  <c r="I1398" i="20"/>
  <c r="I1379" i="20"/>
  <c r="AL1238" i="20"/>
  <c r="AL1242" i="20" s="1"/>
  <c r="AD1238" i="20"/>
  <c r="AD1242" i="20" s="1"/>
  <c r="V1238" i="20"/>
  <c r="V1242" i="20" s="1"/>
  <c r="N1238" i="20"/>
  <c r="N1242" i="20" s="1"/>
  <c r="AF1360" i="20"/>
  <c r="AF1240" i="20"/>
  <c r="AF1244" i="20" s="1"/>
  <c r="AC52" i="44" s="1"/>
  <c r="AB1237" i="20"/>
  <c r="AL1214" i="20"/>
  <c r="AL1362" i="20" s="1"/>
  <c r="AL1379" i="20" s="1"/>
  <c r="AF1238" i="20"/>
  <c r="AF1242" i="20" s="1"/>
  <c r="AF1335" i="20"/>
  <c r="AC99" i="44" s="1"/>
  <c r="AB1209" i="20"/>
  <c r="AB1239" i="20" s="1"/>
  <c r="T1335" i="20"/>
  <c r="Q99" i="44" s="1"/>
  <c r="P1398" i="20"/>
  <c r="P1379" i="20"/>
  <c r="L1360" i="20"/>
  <c r="L1240" i="20"/>
  <c r="L1244" i="20" s="1"/>
  <c r="I52" i="44" s="1"/>
  <c r="H1237" i="20"/>
  <c r="H1335" i="20"/>
  <c r="E99" i="44" s="1"/>
  <c r="AH1018" i="20"/>
  <c r="AH1020" i="20" s="1"/>
  <c r="AE24" i="44" s="1"/>
  <c r="Z1018" i="20"/>
  <c r="Z1020" i="20" s="1"/>
  <c r="W24" i="44" s="1"/>
  <c r="R1018" i="20"/>
  <c r="R1020" i="20" s="1"/>
  <c r="O24" i="44" s="1"/>
  <c r="AF1318" i="20"/>
  <c r="AC97" i="44" s="1"/>
  <c r="AF1317" i="20"/>
  <c r="AC96" i="44" s="1"/>
  <c r="AC143" i="44" s="1"/>
  <c r="X1318" i="20"/>
  <c r="U97" i="44" s="1"/>
  <c r="X1317" i="20"/>
  <c r="U96" i="44" s="1"/>
  <c r="U143" i="44" s="1"/>
  <c r="P1318" i="20"/>
  <c r="M97" i="44" s="1"/>
  <c r="P1317" i="20"/>
  <c r="M96" i="44" s="1"/>
  <c r="M143" i="44" s="1"/>
  <c r="H1318" i="20"/>
  <c r="E97" i="44" s="1"/>
  <c r="H1317" i="20"/>
  <c r="E96" i="44" s="1"/>
  <c r="E143" i="44" s="1"/>
  <c r="AK1317" i="20"/>
  <c r="AH96" i="44" s="1"/>
  <c r="AH143" i="44" s="1"/>
  <c r="AK1318" i="20"/>
  <c r="AH97" i="44" s="1"/>
  <c r="AI1360" i="20"/>
  <c r="AI1240" i="20"/>
  <c r="AI1244" i="20" s="1"/>
  <c r="AF52" i="44" s="1"/>
  <c r="S1360" i="20"/>
  <c r="S1240" i="20"/>
  <c r="S1244" i="20" s="1"/>
  <c r="P52" i="44" s="1"/>
  <c r="AK1239" i="20"/>
  <c r="W1238" i="20"/>
  <c r="W1242" i="20" s="1"/>
  <c r="G1238" i="20"/>
  <c r="G1242" i="20" s="1"/>
  <c r="Y1237" i="20"/>
  <c r="AE1335" i="20"/>
  <c r="AB99" i="44" s="1"/>
  <c r="W1398" i="20"/>
  <c r="W1379" i="20"/>
  <c r="O1335" i="20"/>
  <c r="L99" i="44" s="1"/>
  <c r="G1398" i="20"/>
  <c r="G1379" i="20"/>
  <c r="AE1237" i="20"/>
  <c r="AG1360" i="20"/>
  <c r="AG1240" i="20"/>
  <c r="AG1244" i="20" s="1"/>
  <c r="AD52" i="44" s="1"/>
  <c r="W1239" i="20"/>
  <c r="G1239" i="20"/>
  <c r="Y1238" i="20"/>
  <c r="Y1242" i="20" s="1"/>
  <c r="AK1335" i="20"/>
  <c r="AH99" i="44" s="1"/>
  <c r="AG1398" i="20"/>
  <c r="AG1379" i="20"/>
  <c r="H1020" i="20"/>
  <c r="E24" i="44" s="1"/>
  <c r="H1019" i="20"/>
  <c r="E25" i="44" s="1"/>
  <c r="AG1020" i="20"/>
  <c r="AD24" i="44" s="1"/>
  <c r="AG1019" i="20"/>
  <c r="AD25" i="44" s="1"/>
  <c r="Q1020" i="20"/>
  <c r="N24" i="44" s="1"/>
  <c r="Q1019" i="20"/>
  <c r="N25" i="44" s="1"/>
  <c r="J1209" i="20"/>
  <c r="J1239" i="20" s="1"/>
  <c r="J1237" i="20"/>
  <c r="Z1335" i="20"/>
  <c r="W99" i="44" s="1"/>
  <c r="V1398" i="20"/>
  <c r="V1379" i="20"/>
  <c r="J1335" i="20"/>
  <c r="G99" i="44" s="1"/>
  <c r="N1237" i="20"/>
  <c r="U1237" i="20"/>
  <c r="Q1237" i="20"/>
  <c r="M1237" i="20"/>
  <c r="I1237" i="20"/>
  <c r="H1360" i="20"/>
  <c r="H1240" i="20"/>
  <c r="H1244" i="20" s="1"/>
  <c r="E52" i="44" s="1"/>
  <c r="Z1240" i="20"/>
  <c r="Z1244" i="20" s="1"/>
  <c r="W52" i="44" s="1"/>
  <c r="R1240" i="20"/>
  <c r="R1244" i="20" s="1"/>
  <c r="O52" i="44" s="1"/>
  <c r="AJ1238" i="20"/>
  <c r="AJ1242" i="20" s="1"/>
  <c r="S1020" i="20"/>
  <c r="P24" i="44" s="1"/>
  <c r="AJ1335" i="20"/>
  <c r="AG99" i="44" s="1"/>
  <c r="AF1398" i="20"/>
  <c r="AF1379" i="20"/>
  <c r="AB1360" i="20"/>
  <c r="AB1240" i="20"/>
  <c r="AB1244" i="20" s="1"/>
  <c r="Y52" i="44" s="1"/>
  <c r="X1237" i="20"/>
  <c r="X1335" i="20"/>
  <c r="U99" i="44" s="1"/>
  <c r="T1398" i="20"/>
  <c r="T1379" i="20"/>
  <c r="P1237" i="20"/>
  <c r="L1335" i="20"/>
  <c r="I99" i="44" s="1"/>
  <c r="H1238" i="20"/>
  <c r="H1242" i="20" s="1"/>
  <c r="H1398" i="20"/>
  <c r="H1379" i="20"/>
  <c r="U1019" i="20"/>
  <c r="R25" i="44" s="1"/>
  <c r="J1020" i="20"/>
  <c r="G24" i="44" s="1"/>
  <c r="O1020" i="20"/>
  <c r="L24" i="44" s="1"/>
  <c r="AC1317" i="20"/>
  <c r="Z96" i="44" s="1"/>
  <c r="Z143" i="44" s="1"/>
  <c r="AC1318" i="20"/>
  <c r="Z97" i="44" s="1"/>
  <c r="AE1360" i="20"/>
  <c r="AE1240" i="20"/>
  <c r="AE1244" i="20" s="1"/>
  <c r="AB52" i="44" s="1"/>
  <c r="O1360" i="20"/>
  <c r="O1240" i="20"/>
  <c r="O1244" i="20" s="1"/>
  <c r="L52" i="44" s="1"/>
  <c r="AG1239" i="20"/>
  <c r="AI1238" i="20"/>
  <c r="AI1242" i="20" s="1"/>
  <c r="S1238" i="20"/>
  <c r="S1242" i="20" s="1"/>
  <c r="AK1237" i="20"/>
  <c r="AI1335" i="20"/>
  <c r="AF99" i="44" s="1"/>
  <c r="AA1398" i="20"/>
  <c r="AA1379" i="20"/>
  <c r="S1335" i="20"/>
  <c r="P99" i="44" s="1"/>
  <c r="K1398" i="20"/>
  <c r="K1379" i="20"/>
  <c r="AC1360" i="20"/>
  <c r="AC1240" i="20"/>
  <c r="AC1244" i="20" s="1"/>
  <c r="Z52" i="44" s="1"/>
  <c r="S1239" i="20"/>
  <c r="AK1238" i="20"/>
  <c r="AK1242" i="20" s="1"/>
  <c r="AK1398" i="20"/>
  <c r="AK1379" i="20"/>
  <c r="Y1335" i="20"/>
  <c r="V99" i="44" s="1"/>
  <c r="AD1239" i="20"/>
  <c r="AD1335" i="20"/>
  <c r="AA99" i="44" s="1"/>
  <c r="Z1398" i="20"/>
  <c r="Z1379" i="20"/>
  <c r="N1335" i="20"/>
  <c r="K99" i="44" s="1"/>
  <c r="J1398" i="20"/>
  <c r="J1379" i="20"/>
  <c r="AI1239" i="20"/>
  <c r="U1239" i="20"/>
  <c r="Q1239" i="20"/>
  <c r="M1239" i="20"/>
  <c r="I1239" i="20"/>
  <c r="AF1019" i="20"/>
  <c r="AC25" i="44" s="1"/>
  <c r="AF1020" i="20"/>
  <c r="AC24" i="44" s="1"/>
  <c r="Z1399" i="20"/>
  <c r="Z1402" i="20" s="1"/>
  <c r="W132" i="44" s="1"/>
  <c r="Z1380" i="20"/>
  <c r="Z1384" i="20" s="1"/>
  <c r="W126" i="44" s="1"/>
  <c r="R1399" i="20"/>
  <c r="R1402" i="20" s="1"/>
  <c r="O132" i="44" s="1"/>
  <c r="R1380" i="20"/>
  <c r="R1384" i="20" s="1"/>
  <c r="O126" i="44" s="1"/>
  <c r="AJ1239" i="20"/>
  <c r="AJ1398" i="20"/>
  <c r="AJ1379" i="20"/>
  <c r="AF1237" i="20"/>
  <c r="AB1335" i="20"/>
  <c r="Y99" i="44" s="1"/>
  <c r="X1238" i="20"/>
  <c r="X1242" i="20" s="1"/>
  <c r="X1379" i="20"/>
  <c r="X1398" i="20"/>
  <c r="T1237" i="20"/>
  <c r="P1239" i="20"/>
  <c r="L1398" i="20"/>
  <c r="L1379" i="20"/>
  <c r="I1019" i="20"/>
  <c r="F25" i="44" s="1"/>
  <c r="R1239" i="20"/>
  <c r="AH1239" i="20"/>
  <c r="AL1018" i="20"/>
  <c r="AL1020" i="20" s="1"/>
  <c r="AI24" i="44" s="1"/>
  <c r="V1018" i="20"/>
  <c r="V1020" i="20" s="1"/>
  <c r="S24" i="44" s="1"/>
  <c r="AJ1318" i="20"/>
  <c r="AG97" i="44" s="1"/>
  <c r="AJ1317" i="20"/>
  <c r="AG96" i="44" s="1"/>
  <c r="AG143" i="44" s="1"/>
  <c r="AB1318" i="20"/>
  <c r="Y97" i="44" s="1"/>
  <c r="AB1317" i="20"/>
  <c r="Y96" i="44" s="1"/>
  <c r="Y143" i="44" s="1"/>
  <c r="T1318" i="20"/>
  <c r="Q97" i="44" s="1"/>
  <c r="T1317" i="20"/>
  <c r="Q96" i="44" s="1"/>
  <c r="Q143" i="44" s="1"/>
  <c r="L1318" i="20"/>
  <c r="I97" i="44" s="1"/>
  <c r="L1317" i="20"/>
  <c r="I96" i="44" s="1"/>
  <c r="I143" i="44" s="1"/>
  <c r="J1401" i="20" l="1"/>
  <c r="G116" i="44" s="1"/>
  <c r="G119" i="44" s="1"/>
  <c r="AC75" i="44"/>
  <c r="O75" i="44"/>
  <c r="N75" i="44"/>
  <c r="AE75" i="44"/>
  <c r="U75" i="44"/>
  <c r="M75" i="44"/>
  <c r="R75" i="44"/>
  <c r="AD75" i="44"/>
  <c r="AH75" i="44"/>
  <c r="F75" i="44"/>
  <c r="E75" i="44"/>
  <c r="J75" i="44"/>
  <c r="Z75" i="44"/>
  <c r="L1243" i="20"/>
  <c r="I48" i="44" s="1"/>
  <c r="T1243" i="20"/>
  <c r="Q48" i="44" s="1"/>
  <c r="Q67" i="44" s="1"/>
  <c r="Q68" i="44" s="1"/>
  <c r="AJ1245" i="20"/>
  <c r="AG36" i="44" s="1"/>
  <c r="AK1245" i="20"/>
  <c r="AH36" i="44" s="1"/>
  <c r="Q26" i="44"/>
  <c r="K1245" i="20"/>
  <c r="H36" i="44" s="1"/>
  <c r="AH1243" i="20"/>
  <c r="AE48" i="44" s="1"/>
  <c r="AA1245" i="20"/>
  <c r="X36" i="44" s="1"/>
  <c r="U1243" i="20"/>
  <c r="R48" i="44" s="1"/>
  <c r="S1245" i="20"/>
  <c r="P36" i="44" s="1"/>
  <c r="R1243" i="20"/>
  <c r="O48" i="44" s="1"/>
  <c r="Q1243" i="20"/>
  <c r="N48" i="44" s="1"/>
  <c r="I26" i="44"/>
  <c r="J1243" i="20"/>
  <c r="G48" i="44" s="1"/>
  <c r="G67" i="44" s="1"/>
  <c r="G68" i="44" s="1"/>
  <c r="AL1398" i="20"/>
  <c r="AB1243" i="20"/>
  <c r="Y48" i="44" s="1"/>
  <c r="AG26" i="44"/>
  <c r="AF1243" i="20"/>
  <c r="AC48" i="44" s="1"/>
  <c r="AA1243" i="20"/>
  <c r="X48" i="44" s="1"/>
  <c r="AL1243" i="20"/>
  <c r="AI48" i="44" s="1"/>
  <c r="AH1399" i="20"/>
  <c r="AH1402" i="20" s="1"/>
  <c r="AE132" i="44" s="1"/>
  <c r="AI1245" i="20"/>
  <c r="AF36" i="44" s="1"/>
  <c r="AE1243" i="20"/>
  <c r="AB48" i="44" s="1"/>
  <c r="R1245" i="20"/>
  <c r="O36" i="44" s="1"/>
  <c r="AD1245" i="20"/>
  <c r="AA36" i="44" s="1"/>
  <c r="AG1245" i="20"/>
  <c r="AD36" i="44" s="1"/>
  <c r="M1243" i="20"/>
  <c r="J48" i="44" s="1"/>
  <c r="AL1239" i="20"/>
  <c r="AL1245" i="20" s="1"/>
  <c r="AI36" i="44" s="1"/>
  <c r="D22" i="44"/>
  <c r="D153" i="44" s="1"/>
  <c r="N1245" i="20"/>
  <c r="K36" i="44" s="1"/>
  <c r="Z1243" i="20"/>
  <c r="W48" i="44" s="1"/>
  <c r="W67" i="44" s="1"/>
  <c r="W68" i="44" s="1"/>
  <c r="F1362" i="20"/>
  <c r="AM1214" i="20"/>
  <c r="F1363" i="20"/>
  <c r="AM1363" i="20" s="1"/>
  <c r="AM1215" i="20"/>
  <c r="F1365" i="20"/>
  <c r="AM1365" i="20" s="1"/>
  <c r="AM1219" i="20"/>
  <c r="AH1245" i="20"/>
  <c r="AE36" i="44" s="1"/>
  <c r="J1380" i="20"/>
  <c r="J1384" i="20" s="1"/>
  <c r="G126" i="44" s="1"/>
  <c r="P1243" i="20"/>
  <c r="M48" i="44" s="1"/>
  <c r="AK39" i="44"/>
  <c r="I1243" i="20"/>
  <c r="F48" i="44" s="1"/>
  <c r="N1243" i="20"/>
  <c r="K48" i="44" s="1"/>
  <c r="AK110" i="44"/>
  <c r="F1376" i="20"/>
  <c r="AM1376" i="20" s="1"/>
  <c r="AM1235" i="20"/>
  <c r="F1366" i="20"/>
  <c r="AM1366" i="20" s="1"/>
  <c r="AM1220" i="20"/>
  <c r="AB26" i="44"/>
  <c r="G1245" i="20"/>
  <c r="D36" i="44" s="1"/>
  <c r="W1245" i="20"/>
  <c r="T36" i="44" s="1"/>
  <c r="V1243" i="20"/>
  <c r="S48" i="44" s="1"/>
  <c r="J1245" i="20"/>
  <c r="G36" i="44" s="1"/>
  <c r="K26" i="44"/>
  <c r="U62" i="44"/>
  <c r="AF62" i="44"/>
  <c r="E62" i="44"/>
  <c r="T62" i="44"/>
  <c r="AI62" i="44"/>
  <c r="AB62" i="44"/>
  <c r="M26" i="44"/>
  <c r="AI26" i="44"/>
  <c r="U26" i="44"/>
  <c r="N26" i="44"/>
  <c r="AF26" i="44"/>
  <c r="AA26" i="44"/>
  <c r="AH62" i="44"/>
  <c r="K62" i="44"/>
  <c r="Z62" i="44"/>
  <c r="J62" i="44"/>
  <c r="R62" i="44"/>
  <c r="AD62" i="44"/>
  <c r="Y62" i="44"/>
  <c r="E26" i="44"/>
  <c r="R26" i="44"/>
  <c r="X26" i="44"/>
  <c r="G26" i="44"/>
  <c r="F26" i="44"/>
  <c r="P26" i="44"/>
  <c r="O62" i="44"/>
  <c r="AE62" i="44"/>
  <c r="AG62" i="44"/>
  <c r="V62" i="44"/>
  <c r="AC62" i="44"/>
  <c r="S62" i="44"/>
  <c r="H62" i="44"/>
  <c r="J26" i="44"/>
  <c r="H26" i="44"/>
  <c r="AE26" i="44"/>
  <c r="L26" i="44"/>
  <c r="O26" i="44"/>
  <c r="W26" i="44"/>
  <c r="AH26" i="44"/>
  <c r="D26" i="44"/>
  <c r="T26" i="44"/>
  <c r="P62" i="44"/>
  <c r="D62" i="44"/>
  <c r="AA62" i="44"/>
  <c r="X62" i="44"/>
  <c r="M62" i="44"/>
  <c r="F62" i="44"/>
  <c r="N62" i="44"/>
  <c r="L62" i="44"/>
  <c r="I62" i="44"/>
  <c r="Z26" i="44"/>
  <c r="Y26" i="44"/>
  <c r="AD26" i="44"/>
  <c r="AC26" i="44"/>
  <c r="S26" i="44"/>
  <c r="V26" i="44"/>
  <c r="Z56" i="44"/>
  <c r="AC292" i="20" s="1"/>
  <c r="AC163" i="20" s="1"/>
  <c r="H292" i="20"/>
  <c r="H163" i="20" s="1"/>
  <c r="AD56" i="44"/>
  <c r="AG292" i="20" s="1"/>
  <c r="AG163" i="20" s="1"/>
  <c r="AI292" i="20"/>
  <c r="AI163" i="20" s="1"/>
  <c r="S56" i="44"/>
  <c r="V292" i="20" s="1"/>
  <c r="V163" i="20" s="1"/>
  <c r="AL292" i="20"/>
  <c r="AL163" i="20" s="1"/>
  <c r="AJ292" i="20"/>
  <c r="AJ163" i="20" s="1"/>
  <c r="AE56" i="44"/>
  <c r="AH292" i="20" s="1"/>
  <c r="AH163" i="20" s="1"/>
  <c r="E23" i="44"/>
  <c r="AG23" i="44"/>
  <c r="J23" i="44"/>
  <c r="X23" i="44"/>
  <c r="AE23" i="44"/>
  <c r="AD23" i="44"/>
  <c r="L23" i="44"/>
  <c r="Q23" i="44"/>
  <c r="AF23" i="44"/>
  <c r="I23" i="44"/>
  <c r="AB56" i="44"/>
  <c r="AE292" i="20" s="1"/>
  <c r="AE163" i="20" s="1"/>
  <c r="AF292" i="20"/>
  <c r="AF163" i="20" s="1"/>
  <c r="H56" i="44"/>
  <c r="K292" i="20" s="1"/>
  <c r="K163" i="20" s="1"/>
  <c r="G56" i="44"/>
  <c r="J292" i="20" s="1"/>
  <c r="J163" i="20" s="1"/>
  <c r="D56" i="44"/>
  <c r="G292" i="20" s="1"/>
  <c r="G163" i="20" s="1"/>
  <c r="T56" i="44"/>
  <c r="W292" i="20" s="1"/>
  <c r="W163" i="20" s="1"/>
  <c r="Z23" i="44"/>
  <c r="H23" i="44"/>
  <c r="Y23" i="44"/>
  <c r="O23" i="44"/>
  <c r="W23" i="44"/>
  <c r="P23" i="44"/>
  <c r="AA23" i="44"/>
  <c r="Y56" i="44"/>
  <c r="AB292" i="20" s="1"/>
  <c r="AB163" i="20" s="1"/>
  <c r="O56" i="44"/>
  <c r="R292" i="20" s="1"/>
  <c r="R163" i="20" s="1"/>
  <c r="P56" i="44"/>
  <c r="S292" i="20" s="1"/>
  <c r="S163" i="20" s="1"/>
  <c r="I56" i="44"/>
  <c r="L292" i="20" s="1"/>
  <c r="L163" i="20" s="1"/>
  <c r="N292" i="20"/>
  <c r="N163" i="20" s="1"/>
  <c r="AD292" i="20"/>
  <c r="AD163" i="20" s="1"/>
  <c r="AK292" i="20"/>
  <c r="AK163" i="20" s="1"/>
  <c r="K23" i="44"/>
  <c r="AC23" i="44"/>
  <c r="N23" i="44"/>
  <c r="S23" i="44"/>
  <c r="AH23" i="44"/>
  <c r="O292" i="20"/>
  <c r="O163" i="20" s="1"/>
  <c r="W56" i="44"/>
  <c r="Z292" i="20" s="1"/>
  <c r="Z163" i="20" s="1"/>
  <c r="U56" i="44"/>
  <c r="X292" i="20" s="1"/>
  <c r="X163" i="20" s="1"/>
  <c r="X56" i="44"/>
  <c r="AA292" i="20" s="1"/>
  <c r="AA163" i="20" s="1"/>
  <c r="V56" i="44"/>
  <c r="Y292" i="20" s="1"/>
  <c r="Y163" i="20" s="1"/>
  <c r="M23" i="44"/>
  <c r="R23" i="44"/>
  <c r="AI23" i="44"/>
  <c r="G23" i="44"/>
  <c r="AB23" i="44"/>
  <c r="U23" i="44"/>
  <c r="F23" i="44"/>
  <c r="V23" i="44"/>
  <c r="T23" i="44"/>
  <c r="Z1401" i="20"/>
  <c r="W116" i="44" s="1"/>
  <c r="W119" i="44" s="1"/>
  <c r="AK1243" i="20"/>
  <c r="AH48" i="44" s="1"/>
  <c r="O1243" i="20"/>
  <c r="L48" i="44" s="1"/>
  <c r="AE1379" i="20"/>
  <c r="AC1243" i="20"/>
  <c r="Z48" i="44" s="1"/>
  <c r="X1245" i="20"/>
  <c r="U36" i="44" s="1"/>
  <c r="AC1399" i="20"/>
  <c r="AC1402" i="20" s="1"/>
  <c r="Z132" i="44" s="1"/>
  <c r="AC1380" i="20"/>
  <c r="AC1384" i="20" s="1"/>
  <c r="Z126" i="44" s="1"/>
  <c r="AB1399" i="20"/>
  <c r="AB1402" i="20" s="1"/>
  <c r="Y132" i="44" s="1"/>
  <c r="AB1380" i="20"/>
  <c r="AB1384" i="20" s="1"/>
  <c r="Y126" i="44" s="1"/>
  <c r="S1399" i="20"/>
  <c r="S1402" i="20" s="1"/>
  <c r="P132" i="44" s="1"/>
  <c r="S1380" i="20"/>
  <c r="S1384" i="20" s="1"/>
  <c r="P126" i="44" s="1"/>
  <c r="L1399" i="20"/>
  <c r="L1402" i="20" s="1"/>
  <c r="I132" i="44" s="1"/>
  <c r="L1380" i="20"/>
  <c r="L1384" i="20" s="1"/>
  <c r="I126" i="44" s="1"/>
  <c r="AB1245" i="20"/>
  <c r="Y36" i="44" s="1"/>
  <c r="U1360" i="20"/>
  <c r="U1240" i="20"/>
  <c r="U1244" i="20" s="1"/>
  <c r="R52" i="44" s="1"/>
  <c r="R1383" i="20"/>
  <c r="O109" i="44" s="1"/>
  <c r="AI1243" i="20"/>
  <c r="AF48" i="44" s="1"/>
  <c r="H1245" i="20"/>
  <c r="E36" i="44" s="1"/>
  <c r="AJ1243" i="20"/>
  <c r="AG48" i="44" s="1"/>
  <c r="V1245" i="20"/>
  <c r="S36" i="44" s="1"/>
  <c r="O1379" i="20"/>
  <c r="AG1243" i="20"/>
  <c r="AD48" i="44" s="1"/>
  <c r="W1243" i="20"/>
  <c r="T48" i="44" s="1"/>
  <c r="Z1383" i="20"/>
  <c r="W109" i="44" s="1"/>
  <c r="AE1399" i="20"/>
  <c r="AE1402" i="20" s="1"/>
  <c r="AB132" i="44" s="1"/>
  <c r="AE1380" i="20"/>
  <c r="AE1384" i="20" s="1"/>
  <c r="AB126" i="44" s="1"/>
  <c r="Q1360" i="20"/>
  <c r="Q1240" i="20"/>
  <c r="Q1244" i="20" s="1"/>
  <c r="N52" i="44" s="1"/>
  <c r="R1401" i="20"/>
  <c r="O116" i="44" s="1"/>
  <c r="O119" i="44" s="1"/>
  <c r="L1245" i="20"/>
  <c r="I36" i="44" s="1"/>
  <c r="T1360" i="20"/>
  <c r="T1240" i="20"/>
  <c r="N1399" i="20"/>
  <c r="N1402" i="20" s="1"/>
  <c r="K132" i="44" s="1"/>
  <c r="N1380" i="20"/>
  <c r="N1384" i="20" s="1"/>
  <c r="K126" i="44" s="1"/>
  <c r="AD1399" i="20"/>
  <c r="AD1402" i="20" s="1"/>
  <c r="AA132" i="44" s="1"/>
  <c r="AD1380" i="20"/>
  <c r="AD1384" i="20" s="1"/>
  <c r="AA126" i="44" s="1"/>
  <c r="K1399" i="20"/>
  <c r="K1402" i="20" s="1"/>
  <c r="H132" i="44" s="1"/>
  <c r="K1380" i="20"/>
  <c r="K1384" i="20" s="1"/>
  <c r="H126" i="44" s="1"/>
  <c r="AJ1399" i="20"/>
  <c r="AJ1402" i="20" s="1"/>
  <c r="AG132" i="44" s="1"/>
  <c r="AJ1380" i="20"/>
  <c r="AJ1384" i="20" s="1"/>
  <c r="AG126" i="44" s="1"/>
  <c r="Y1245" i="20"/>
  <c r="V36" i="44" s="1"/>
  <c r="X1243" i="20"/>
  <c r="U48" i="44" s="1"/>
  <c r="H1399" i="20"/>
  <c r="H1402" i="20" s="1"/>
  <c r="E132" i="44" s="1"/>
  <c r="H1380" i="20"/>
  <c r="H1384" i="20" s="1"/>
  <c r="E126" i="44" s="1"/>
  <c r="AG1399" i="20"/>
  <c r="AG1402" i="20" s="1"/>
  <c r="AD132" i="44" s="1"/>
  <c r="AG1380" i="20"/>
  <c r="AG1384" i="20" s="1"/>
  <c r="AD126" i="44" s="1"/>
  <c r="Y1243" i="20"/>
  <c r="V48" i="44" s="1"/>
  <c r="AI1399" i="20"/>
  <c r="AI1402" i="20" s="1"/>
  <c r="AF132" i="44" s="1"/>
  <c r="AI1380" i="20"/>
  <c r="AI1384" i="20" s="1"/>
  <c r="AF126" i="44" s="1"/>
  <c r="H1243" i="20"/>
  <c r="E48" i="44" s="1"/>
  <c r="M1360" i="20"/>
  <c r="M1240" i="20"/>
  <c r="M1244" i="20" s="1"/>
  <c r="J52" i="44" s="1"/>
  <c r="X1399" i="20"/>
  <c r="X1402" i="20" s="1"/>
  <c r="U132" i="44" s="1"/>
  <c r="X1380" i="20"/>
  <c r="X1384" i="20" s="1"/>
  <c r="U126" i="44" s="1"/>
  <c r="Z1245" i="20"/>
  <c r="W36" i="44" s="1"/>
  <c r="Y1399" i="20"/>
  <c r="Y1402" i="20" s="1"/>
  <c r="V132" i="44" s="1"/>
  <c r="Y1380" i="20"/>
  <c r="Y1384" i="20" s="1"/>
  <c r="V126" i="44" s="1"/>
  <c r="K1243" i="20"/>
  <c r="H48" i="44" s="1"/>
  <c r="AF1245" i="20"/>
  <c r="AC36" i="44" s="1"/>
  <c r="AK1399" i="20"/>
  <c r="AK1402" i="20" s="1"/>
  <c r="AH132" i="44" s="1"/>
  <c r="AK1380" i="20"/>
  <c r="AK1384" i="20" s="1"/>
  <c r="AH126" i="44" s="1"/>
  <c r="O1399" i="20"/>
  <c r="O1402" i="20" s="1"/>
  <c r="L132" i="44" s="1"/>
  <c r="O1380" i="20"/>
  <c r="O1384" i="20" s="1"/>
  <c r="L126" i="44" s="1"/>
  <c r="AF1399" i="20"/>
  <c r="AF1402" i="20" s="1"/>
  <c r="AC132" i="44" s="1"/>
  <c r="AF1380" i="20"/>
  <c r="AF1384" i="20" s="1"/>
  <c r="AC126" i="44" s="1"/>
  <c r="I1360" i="20"/>
  <c r="I1240" i="20"/>
  <c r="I1244" i="20" s="1"/>
  <c r="F52" i="44" s="1"/>
  <c r="AH1383" i="20"/>
  <c r="AE109" i="44" s="1"/>
  <c r="P1360" i="20"/>
  <c r="P1240" i="20"/>
  <c r="P1244" i="20" s="1"/>
  <c r="M52" i="44" s="1"/>
  <c r="V1399" i="20"/>
  <c r="V1402" i="20" s="1"/>
  <c r="S132" i="44" s="1"/>
  <c r="V1380" i="20"/>
  <c r="V1384" i="20" s="1"/>
  <c r="S126" i="44" s="1"/>
  <c r="AL1380" i="20"/>
  <c r="AL1384" i="20" s="1"/>
  <c r="AI126" i="44" s="1"/>
  <c r="AL1399" i="20"/>
  <c r="AL1402" i="20" s="1"/>
  <c r="AI132" i="44" s="1"/>
  <c r="AD1243" i="20"/>
  <c r="AA48" i="44" s="1"/>
  <c r="O1239" i="20"/>
  <c r="O1245" i="20" s="1"/>
  <c r="L36" i="44" s="1"/>
  <c r="AC1245" i="20"/>
  <c r="Z36" i="44" s="1"/>
  <c r="AA1399" i="20"/>
  <c r="AA1402" i="20" s="1"/>
  <c r="X132" i="44" s="1"/>
  <c r="AA1380" i="20"/>
  <c r="AA1384" i="20" s="1"/>
  <c r="X126" i="44" s="1"/>
  <c r="G1243" i="20"/>
  <c r="D48" i="44" s="1"/>
  <c r="G1399" i="20"/>
  <c r="G1402" i="20" s="1"/>
  <c r="D132" i="44" s="1"/>
  <c r="G1380" i="20"/>
  <c r="G1384" i="20" s="1"/>
  <c r="D126" i="44" s="1"/>
  <c r="AE1245" i="20"/>
  <c r="AB36" i="44" s="1"/>
  <c r="S1243" i="20"/>
  <c r="P48" i="44" s="1"/>
  <c r="W1399" i="20"/>
  <c r="W1402" i="20" s="1"/>
  <c r="T132" i="44" s="1"/>
  <c r="W1380" i="20"/>
  <c r="W1384" i="20" s="1"/>
  <c r="T126" i="44" s="1"/>
  <c r="I67" i="44" l="1"/>
  <c r="I68" i="44" s="1"/>
  <c r="X67" i="44"/>
  <c r="X68" i="44" s="1"/>
  <c r="R67" i="44"/>
  <c r="R68" i="44" s="1"/>
  <c r="D23" i="44"/>
  <c r="AE67" i="44"/>
  <c r="AE68" i="44" s="1"/>
  <c r="S67" i="44"/>
  <c r="S68" i="44" s="1"/>
  <c r="AC67" i="44"/>
  <c r="AC68" i="44" s="1"/>
  <c r="AB67" i="44"/>
  <c r="AB68" i="44" s="1"/>
  <c r="Y67" i="44"/>
  <c r="Y68" i="44" s="1"/>
  <c r="O67" i="44"/>
  <c r="O68" i="44" s="1"/>
  <c r="N67" i="44"/>
  <c r="N68" i="44" s="1"/>
  <c r="N1401" i="20"/>
  <c r="K116" i="44" s="1"/>
  <c r="K119" i="44" s="1"/>
  <c r="J67" i="44"/>
  <c r="J68" i="44" s="1"/>
  <c r="J1383" i="20"/>
  <c r="G109" i="44" s="1"/>
  <c r="AI67" i="44"/>
  <c r="AI68" i="44" s="1"/>
  <c r="AE1383" i="20"/>
  <c r="AB109" i="44" s="1"/>
  <c r="W60" i="44"/>
  <c r="I60" i="44"/>
  <c r="G60" i="44"/>
  <c r="AB1401" i="20"/>
  <c r="Y116" i="44" s="1"/>
  <c r="Y119" i="44" s="1"/>
  <c r="V60" i="44"/>
  <c r="H60" i="44"/>
  <c r="S60" i="44"/>
  <c r="Z60" i="44"/>
  <c r="T60" i="44"/>
  <c r="AE60" i="44"/>
  <c r="X60" i="44"/>
  <c r="O60" i="44"/>
  <c r="AD60" i="44"/>
  <c r="AB1383" i="20"/>
  <c r="Y109" i="44" s="1"/>
  <c r="AH1401" i="20"/>
  <c r="AE116" i="44" s="1"/>
  <c r="AE119" i="44" s="1"/>
  <c r="U60" i="44"/>
  <c r="P60" i="44"/>
  <c r="Y60" i="44"/>
  <c r="D60" i="44"/>
  <c r="AB60" i="44"/>
  <c r="H67" i="44"/>
  <c r="H68" i="44" s="1"/>
  <c r="AA67" i="44"/>
  <c r="AA68" i="44" s="1"/>
  <c r="M67" i="44"/>
  <c r="M68" i="44" s="1"/>
  <c r="K67" i="44"/>
  <c r="K68" i="44" s="1"/>
  <c r="F67" i="44"/>
  <c r="F68" i="44" s="1"/>
  <c r="AM1362" i="20"/>
  <c r="AD1383" i="20"/>
  <c r="AA109" i="44" s="1"/>
  <c r="Z67" i="44"/>
  <c r="Z68" i="44" s="1"/>
  <c r="T67" i="44"/>
  <c r="T68" i="44" s="1"/>
  <c r="AD67" i="44"/>
  <c r="AD68" i="44" s="1"/>
  <c r="L67" i="44"/>
  <c r="L68" i="44" s="1"/>
  <c r="AH67" i="44"/>
  <c r="AH68" i="44" s="1"/>
  <c r="U67" i="44"/>
  <c r="U68" i="44" s="1"/>
  <c r="D67" i="44"/>
  <c r="D68" i="44" s="1"/>
  <c r="E67" i="44"/>
  <c r="E68" i="44" s="1"/>
  <c r="V67" i="44"/>
  <c r="V68" i="44" s="1"/>
  <c r="P67" i="44"/>
  <c r="P68" i="44" s="1"/>
  <c r="AG67" i="44"/>
  <c r="AG68" i="44" s="1"/>
  <c r="AF67" i="44"/>
  <c r="AF68" i="44" s="1"/>
  <c r="U292" i="20"/>
  <c r="U163" i="20" s="1"/>
  <c r="M56" i="44"/>
  <c r="P292" i="20" s="1"/>
  <c r="P163" i="20" s="1"/>
  <c r="M292" i="20"/>
  <c r="M163" i="20" s="1"/>
  <c r="L1383" i="20"/>
  <c r="I109" i="44" s="1"/>
  <c r="I292" i="20"/>
  <c r="I163" i="20" s="1"/>
  <c r="AJ1383" i="20"/>
  <c r="AG109" i="44" s="1"/>
  <c r="S1401" i="20"/>
  <c r="P116" i="44" s="1"/>
  <c r="Q292" i="20"/>
  <c r="Q163" i="20" s="1"/>
  <c r="AC1401" i="20"/>
  <c r="Z116" i="44" s="1"/>
  <c r="AL1401" i="20"/>
  <c r="AI116" i="44" s="1"/>
  <c r="S1383" i="20"/>
  <c r="P109" i="44" s="1"/>
  <c r="V1383" i="20"/>
  <c r="S109" i="44" s="1"/>
  <c r="AC1383" i="20"/>
  <c r="Z109" i="44" s="1"/>
  <c r="AA1383" i="20"/>
  <c r="X109" i="44" s="1"/>
  <c r="AE1401" i="20"/>
  <c r="AB116" i="44" s="1"/>
  <c r="AK1383" i="20"/>
  <c r="AH109" i="44" s="1"/>
  <c r="L1401" i="20"/>
  <c r="I116" i="44" s="1"/>
  <c r="Y1383" i="20"/>
  <c r="V109" i="44" s="1"/>
  <c r="G1401" i="20"/>
  <c r="D116" i="44" s="1"/>
  <c r="I1245" i="20"/>
  <c r="F36" i="44" s="1"/>
  <c r="AF1401" i="20"/>
  <c r="AC116" i="44" s="1"/>
  <c r="U1245" i="20"/>
  <c r="R36" i="44" s="1"/>
  <c r="AF1383" i="20"/>
  <c r="AC109" i="44" s="1"/>
  <c r="N1383" i="20"/>
  <c r="K109" i="44" s="1"/>
  <c r="U1399" i="20"/>
  <c r="U1380" i="20"/>
  <c r="V1401" i="20"/>
  <c r="S116" i="44" s="1"/>
  <c r="AA1401" i="20"/>
  <c r="X116" i="44" s="1"/>
  <c r="AK1401" i="20"/>
  <c r="AH116" i="44" s="1"/>
  <c r="P1399" i="20"/>
  <c r="P1380" i="20"/>
  <c r="I1399" i="20"/>
  <c r="I1380" i="20"/>
  <c r="AG1383" i="20"/>
  <c r="AD109" i="44" s="1"/>
  <c r="H1401" i="20"/>
  <c r="E116" i="44" s="1"/>
  <c r="M1399" i="20"/>
  <c r="M1380" i="20"/>
  <c r="W1401" i="20"/>
  <c r="T116" i="44" s="1"/>
  <c r="AL1383" i="20"/>
  <c r="AI109" i="44" s="1"/>
  <c r="X1401" i="20"/>
  <c r="U116" i="44" s="1"/>
  <c r="K1401" i="20"/>
  <c r="H116" i="44" s="1"/>
  <c r="X1383" i="20"/>
  <c r="U109" i="44" s="1"/>
  <c r="Y1401" i="20"/>
  <c r="V116" i="44" s="1"/>
  <c r="K1383" i="20"/>
  <c r="H109" i="44" s="1"/>
  <c r="M1245" i="20"/>
  <c r="J36" i="44" s="1"/>
  <c r="G1383" i="20"/>
  <c r="D109" i="44" s="1"/>
  <c r="H1383" i="20"/>
  <c r="E109" i="44" s="1"/>
  <c r="T1244" i="20"/>
  <c r="Q52" i="44" s="1"/>
  <c r="T1245" i="20"/>
  <c r="Q36" i="44" s="1"/>
  <c r="W1383" i="20"/>
  <c r="T109" i="44" s="1"/>
  <c r="O1383" i="20"/>
  <c r="L109" i="44" s="1"/>
  <c r="AJ1401" i="20"/>
  <c r="AG116" i="44" s="1"/>
  <c r="O1401" i="20"/>
  <c r="L116" i="44" s="1"/>
  <c r="T1399" i="20"/>
  <c r="T1380" i="20"/>
  <c r="AI1401" i="20"/>
  <c r="AF116" i="44" s="1"/>
  <c r="Q1399" i="20"/>
  <c r="Q1380" i="20"/>
  <c r="Q1245" i="20"/>
  <c r="N36" i="44" s="1"/>
  <c r="AD1401" i="20"/>
  <c r="AA116" i="44" s="1"/>
  <c r="AI1383" i="20"/>
  <c r="AF109" i="44" s="1"/>
  <c r="AG1401" i="20"/>
  <c r="AD116" i="44" s="1"/>
  <c r="P1245" i="20"/>
  <c r="M36" i="44" s="1"/>
  <c r="Z30" i="44" l="1"/>
  <c r="Z61" i="44"/>
  <c r="Z57" i="44"/>
  <c r="AD61" i="44"/>
  <c r="AD30" i="44"/>
  <c r="AD57" i="44"/>
  <c r="T61" i="44"/>
  <c r="T30" i="44"/>
  <c r="T57" i="44"/>
  <c r="G30" i="44"/>
  <c r="G61" i="44"/>
  <c r="G57" i="44"/>
  <c r="W61" i="44"/>
  <c r="W30" i="44"/>
  <c r="W57" i="44"/>
  <c r="AB30" i="44"/>
  <c r="AB61" i="44"/>
  <c r="AB57" i="44"/>
  <c r="Y61" i="44"/>
  <c r="Y30" i="44"/>
  <c r="Y57" i="44"/>
  <c r="V61" i="44"/>
  <c r="V30" i="44"/>
  <c r="V57" i="44"/>
  <c r="M60" i="44"/>
  <c r="O61" i="44"/>
  <c r="O30" i="44"/>
  <c r="O57" i="44"/>
  <c r="X61" i="44"/>
  <c r="X30" i="44"/>
  <c r="X57" i="44"/>
  <c r="AE30" i="44"/>
  <c r="AE61" i="44"/>
  <c r="AE57" i="44"/>
  <c r="I30" i="44"/>
  <c r="I61" i="44"/>
  <c r="I57" i="44"/>
  <c r="D61" i="44"/>
  <c r="D30" i="44"/>
  <c r="D57" i="44"/>
  <c r="P61" i="44"/>
  <c r="P30" i="44"/>
  <c r="P57" i="44"/>
  <c r="U30" i="44"/>
  <c r="U61" i="44"/>
  <c r="U57" i="44"/>
  <c r="S30" i="44"/>
  <c r="S61" i="44"/>
  <c r="S57" i="44"/>
  <c r="H61" i="44"/>
  <c r="H57" i="44"/>
  <c r="H30" i="44"/>
  <c r="AA119" i="44"/>
  <c r="AC119" i="44"/>
  <c r="AF119" i="44"/>
  <c r="V119" i="44"/>
  <c r="U119" i="44"/>
  <c r="X119" i="44"/>
  <c r="L119" i="44"/>
  <c r="I119" i="44"/>
  <c r="AD119" i="44"/>
  <c r="AG119" i="44"/>
  <c r="E119" i="44"/>
  <c r="S119" i="44"/>
  <c r="D119" i="44"/>
  <c r="AB119" i="44"/>
  <c r="Z119" i="44"/>
  <c r="AH119" i="44"/>
  <c r="AI119" i="44"/>
  <c r="H119" i="44"/>
  <c r="T119" i="44"/>
  <c r="P119" i="44"/>
  <c r="Q56" i="44"/>
  <c r="T292" i="20" s="1"/>
  <c r="T163" i="20" s="1"/>
  <c r="Q1402" i="20"/>
  <c r="N132" i="44" s="1"/>
  <c r="Q1401" i="20"/>
  <c r="N116" i="44" s="1"/>
  <c r="M1384" i="20"/>
  <c r="J126" i="44" s="1"/>
  <c r="M1383" i="20"/>
  <c r="J109" i="44" s="1"/>
  <c r="I1384" i="20"/>
  <c r="F126" i="44" s="1"/>
  <c r="I1383" i="20"/>
  <c r="F109" i="44" s="1"/>
  <c r="U1402" i="20"/>
  <c r="R132" i="44" s="1"/>
  <c r="U1401" i="20"/>
  <c r="R116" i="44" s="1"/>
  <c r="M1402" i="20"/>
  <c r="J132" i="44" s="1"/>
  <c r="M1401" i="20"/>
  <c r="J116" i="44" s="1"/>
  <c r="I1402" i="20"/>
  <c r="F132" i="44" s="1"/>
  <c r="I1401" i="20"/>
  <c r="F116" i="44" s="1"/>
  <c r="T1384" i="20"/>
  <c r="Q126" i="44" s="1"/>
  <c r="T1383" i="20"/>
  <c r="Q109" i="44" s="1"/>
  <c r="P1384" i="20"/>
  <c r="M126" i="44" s="1"/>
  <c r="P1383" i="20"/>
  <c r="M109" i="44" s="1"/>
  <c r="Q1384" i="20"/>
  <c r="N126" i="44" s="1"/>
  <c r="Q1383" i="20"/>
  <c r="N109" i="44" s="1"/>
  <c r="T1402" i="20"/>
  <c r="Q132" i="44" s="1"/>
  <c r="T1401" i="20"/>
  <c r="Q116" i="44" s="1"/>
  <c r="P1402" i="20"/>
  <c r="M132" i="44" s="1"/>
  <c r="P1401" i="20"/>
  <c r="M116" i="44" s="1"/>
  <c r="U1384" i="20"/>
  <c r="R126" i="44" s="1"/>
  <c r="U1383" i="20"/>
  <c r="R109" i="44" s="1"/>
  <c r="V58" i="44" l="1"/>
  <c r="V59" i="44" s="1"/>
  <c r="Y58" i="44"/>
  <c r="Y59" i="44" s="1"/>
  <c r="AB58" i="44"/>
  <c r="AB59" i="44" s="1"/>
  <c r="W58" i="44"/>
  <c r="W59" i="44" s="1"/>
  <c r="G58" i="44"/>
  <c r="G59" i="44" s="1"/>
  <c r="T58" i="44"/>
  <c r="T59" i="44" s="1"/>
  <c r="AD58" i="44"/>
  <c r="AD59" i="44" s="1"/>
  <c r="Z58" i="44"/>
  <c r="Z59" i="44" s="1"/>
  <c r="S58" i="44"/>
  <c r="S59" i="44" s="1"/>
  <c r="U58" i="44"/>
  <c r="U59" i="44" s="1"/>
  <c r="P58" i="44"/>
  <c r="P59" i="44" s="1"/>
  <c r="D58" i="44"/>
  <c r="D59" i="44" s="1"/>
  <c r="I58" i="44"/>
  <c r="I59" i="44" s="1"/>
  <c r="AE58" i="44"/>
  <c r="AE59" i="44" s="1"/>
  <c r="X58" i="44"/>
  <c r="X59" i="44" s="1"/>
  <c r="O58" i="44"/>
  <c r="O59" i="44" s="1"/>
  <c r="M61" i="44"/>
  <c r="M30" i="44"/>
  <c r="M57" i="44"/>
  <c r="Q60" i="44"/>
  <c r="H58" i="44"/>
  <c r="H59" i="44" s="1"/>
  <c r="M119" i="44"/>
  <c r="J119" i="44"/>
  <c r="N119" i="44"/>
  <c r="Q119" i="44"/>
  <c r="F119" i="44"/>
  <c r="R119" i="44"/>
  <c r="M58" i="44" l="1"/>
  <c r="M59" i="44" s="1"/>
  <c r="Q61" i="44"/>
  <c r="Q30" i="44"/>
  <c r="Q57" i="44"/>
  <c r="Q58" i="44" l="1"/>
  <c r="Q59" i="44" s="1"/>
  <c r="AM108" i="20" l="1"/>
  <c r="AM109" i="20"/>
  <c r="AM122" i="20"/>
  <c r="AM110" i="20"/>
  <c r="AM107" i="20" l="1"/>
  <c r="AM1120" i="20" l="1"/>
  <c r="F1114" i="20"/>
  <c r="AM1025" i="20" l="1"/>
  <c r="AM1029" i="20"/>
  <c r="AM1033" i="20"/>
  <c r="AM1037" i="20"/>
  <c r="AM1043" i="20"/>
  <c r="AM1048" i="20"/>
  <c r="AM1053" i="20"/>
  <c r="AM1057" i="20"/>
  <c r="AM1061" i="20"/>
  <c r="AM1066" i="20"/>
  <c r="AM1026" i="20"/>
  <c r="AM1030" i="20"/>
  <c r="AM1034" i="20"/>
  <c r="AM1039" i="20"/>
  <c r="AM1044" i="20"/>
  <c r="AM1049" i="20"/>
  <c r="AM1054" i="20"/>
  <c r="AM1058" i="20"/>
  <c r="AM1062" i="20"/>
  <c r="AM1023" i="20"/>
  <c r="AM1027" i="20"/>
  <c r="AM1031" i="20"/>
  <c r="AM1035" i="20"/>
  <c r="AM1040" i="20"/>
  <c r="AM1045" i="20"/>
  <c r="AM1050" i="20"/>
  <c r="AM1055" i="20"/>
  <c r="AM1059" i="20"/>
  <c r="AM1063" i="20"/>
  <c r="AM1024" i="20"/>
  <c r="AM1028" i="20"/>
  <c r="AM1032" i="20"/>
  <c r="AM1036" i="20"/>
  <c r="AM1041" i="20"/>
  <c r="AM1047" i="20"/>
  <c r="AM1051" i="20"/>
  <c r="AM1056" i="20"/>
  <c r="AM1060" i="20"/>
  <c r="AM1065" i="20"/>
  <c r="AK27" i="44"/>
  <c r="AM1114" i="20"/>
  <c r="F1359" i="20"/>
  <c r="AM1359" i="20" s="1"/>
  <c r="F1208" i="20"/>
  <c r="F1358" i="20"/>
  <c r="F1207" i="20"/>
  <c r="F1209" i="20" s="1"/>
  <c r="F1329" i="20"/>
  <c r="C29" i="44"/>
  <c r="AK29" i="44" s="1"/>
  <c r="AM1329" i="20" l="1"/>
  <c r="F1335" i="20"/>
  <c r="C99" i="44" s="1"/>
  <c r="AM1208" i="20"/>
  <c r="F1238" i="20"/>
  <c r="F1210" i="20"/>
  <c r="AK22" i="44"/>
  <c r="AK23" i="44" s="1"/>
  <c r="AM1207" i="20"/>
  <c r="F1237" i="20"/>
  <c r="F1379" i="20"/>
  <c r="AM1358" i="20"/>
  <c r="F1398" i="20"/>
  <c r="AM890" i="20"/>
  <c r="F1016" i="20"/>
  <c r="F1018" i="20"/>
  <c r="AM1018" i="20" s="1"/>
  <c r="F1314" i="20"/>
  <c r="F1316" i="20"/>
  <c r="AM1316" i="20" s="1"/>
  <c r="AM1209" i="20"/>
  <c r="F1239" i="20"/>
  <c r="AM897" i="20"/>
  <c r="F1315" i="20"/>
  <c r="AM1315" i="20" s="1"/>
  <c r="F1017" i="20"/>
  <c r="AM1016" i="20" l="1"/>
  <c r="F1020" i="20"/>
  <c r="C24" i="44" s="1"/>
  <c r="C26" i="44" s="1"/>
  <c r="AM1239" i="20"/>
  <c r="AM1398" i="20"/>
  <c r="AM1238" i="20"/>
  <c r="F1242" i="20"/>
  <c r="C62" i="44" s="1"/>
  <c r="AM1314" i="20"/>
  <c r="F1317" i="20"/>
  <c r="C96" i="44" s="1"/>
  <c r="C143" i="44" s="1"/>
  <c r="F1318" i="20"/>
  <c r="C97" i="44" s="1"/>
  <c r="AM1379" i="20"/>
  <c r="AM1335" i="20"/>
  <c r="AK99" i="44"/>
  <c r="F1019" i="20"/>
  <c r="C25" i="44" s="1"/>
  <c r="AM1017" i="20"/>
  <c r="AM1237" i="20"/>
  <c r="F1243" i="20"/>
  <c r="C48" i="44" s="1"/>
  <c r="AM1210" i="20"/>
  <c r="F1360" i="20"/>
  <c r="F1240" i="20"/>
  <c r="F1245" i="20" s="1"/>
  <c r="C36" i="44" s="1"/>
  <c r="C75" i="44" l="1"/>
  <c r="AK75" i="44" s="1"/>
  <c r="C67" i="44"/>
  <c r="C68" i="44" s="1"/>
  <c r="AM1245" i="20"/>
  <c r="AM1317" i="20"/>
  <c r="AM1020" i="20"/>
  <c r="AM1360" i="20"/>
  <c r="F1380" i="20"/>
  <c r="F1399" i="20"/>
  <c r="AM1019" i="20"/>
  <c r="AK62" i="44"/>
  <c r="AM1242" i="20"/>
  <c r="AM1243" i="20"/>
  <c r="AM1240" i="20"/>
  <c r="F1244" i="20"/>
  <c r="C52" i="44" s="1"/>
  <c r="F292" i="20" s="1"/>
  <c r="F163" i="20" s="1"/>
  <c r="AM1318" i="20"/>
  <c r="AK97" i="44"/>
  <c r="AM1380" i="20" l="1"/>
  <c r="F1384" i="20"/>
  <c r="C126" i="44" s="1"/>
  <c r="F1383" i="20"/>
  <c r="C109" i="44" s="1"/>
  <c r="AM1244" i="20"/>
  <c r="AK48" i="44"/>
  <c r="AK67" i="44" s="1"/>
  <c r="AK68" i="44" s="1"/>
  <c r="AK24" i="44"/>
  <c r="AK36" i="44"/>
  <c r="AK96" i="44"/>
  <c r="AK143" i="44"/>
  <c r="AK25" i="44"/>
  <c r="AM1399" i="20"/>
  <c r="F1402" i="20"/>
  <c r="C132" i="44" s="1"/>
  <c r="F1401" i="20"/>
  <c r="C116" i="44" s="1"/>
  <c r="C119" i="44" s="1"/>
  <c r="AM1402" i="20" l="1"/>
  <c r="AK132" i="44"/>
  <c r="AK52" i="44"/>
  <c r="AM1383" i="20"/>
  <c r="AK109" i="44"/>
  <c r="AM1401" i="20"/>
  <c r="AK26" i="44"/>
  <c r="AM1384" i="20"/>
  <c r="AK126" i="44"/>
  <c r="AM292" i="20" l="1"/>
  <c r="AK116" i="44"/>
  <c r="AK119" i="44" s="1"/>
  <c r="AK56" i="44"/>
  <c r="AK60" i="44" l="1"/>
  <c r="AK61" i="44" l="1"/>
  <c r="AK30" i="44"/>
  <c r="AK57" i="44"/>
  <c r="AK58" i="44" l="1"/>
  <c r="AK59" i="44" s="1"/>
  <c r="AM120" i="20" l="1"/>
  <c r="AM115" i="20"/>
  <c r="AM96" i="20"/>
  <c r="AM114" i="20"/>
  <c r="AM111" i="20"/>
  <c r="AM106" i="20"/>
  <c r="AM101" i="20"/>
  <c r="AM93" i="20"/>
  <c r="AM97" i="20"/>
  <c r="AM94" i="20"/>
  <c r="AM119" i="20"/>
  <c r="AM103" i="20"/>
  <c r="AM102" i="20"/>
  <c r="AM91" i="20"/>
  <c r="AM112" i="20"/>
  <c r="AM92" i="20"/>
  <c r="AM117" i="20"/>
  <c r="AM95" i="20"/>
  <c r="AM99" i="20"/>
  <c r="AM113" i="20"/>
  <c r="AM98" i="20"/>
  <c r="AM105" i="20"/>
  <c r="AM90" i="20"/>
  <c r="AM104" i="20"/>
  <c r="AM100" i="20"/>
  <c r="AM116" i="20"/>
  <c r="V124" i="20"/>
  <c r="S41" i="44" s="1"/>
  <c r="S42" i="44" s="1"/>
  <c r="AI124" i="20"/>
  <c r="AF41" i="44" s="1"/>
  <c r="AF42" i="44" s="1"/>
  <c r="AM121" i="20"/>
  <c r="AM118" i="20"/>
  <c r="U124" i="20"/>
  <c r="R41" i="44" s="1"/>
  <c r="W124" i="20"/>
  <c r="T41" i="44" s="1"/>
  <c r="T42" i="44" s="1"/>
  <c r="K124" i="20"/>
  <c r="H41" i="44" s="1"/>
  <c r="H42" i="44" s="1"/>
  <c r="AE124" i="20"/>
  <c r="AB41" i="44" s="1"/>
  <c r="AB42" i="44" s="1"/>
  <c r="J124" i="20"/>
  <c r="G41" i="44" s="1"/>
  <c r="G42" i="44" s="1"/>
  <c r="J289" i="20" s="1"/>
  <c r="J128" i="20" s="1"/>
  <c r="J492" i="20" s="1"/>
  <c r="Y124" i="20"/>
  <c r="V41" i="44" s="1"/>
  <c r="V42" i="44" s="1"/>
  <c r="AJ124" i="20"/>
  <c r="AG41" i="44" s="1"/>
  <c r="AG42" i="44" s="1"/>
  <c r="AH124" i="20"/>
  <c r="AE41" i="44" s="1"/>
  <c r="AE42" i="44" s="1"/>
  <c r="AC124" i="20"/>
  <c r="Z41" i="44" s="1"/>
  <c r="Z42" i="44" s="1"/>
  <c r="N124" i="20"/>
  <c r="K41" i="44" s="1"/>
  <c r="AG124" i="20"/>
  <c r="AD41" i="44" s="1"/>
  <c r="AD42" i="44" s="1"/>
  <c r="X124" i="20"/>
  <c r="U41" i="44" s="1"/>
  <c r="U42" i="44" s="1"/>
  <c r="AF124" i="20"/>
  <c r="AC41" i="44" s="1"/>
  <c r="M124" i="20"/>
  <c r="J41" i="44" s="1"/>
  <c r="J42" i="44" s="1"/>
  <c r="L124" i="20"/>
  <c r="I41" i="44" s="1"/>
  <c r="I42" i="44" s="1"/>
  <c r="O124" i="20"/>
  <c r="L41" i="44" s="1"/>
  <c r="Z124" i="20"/>
  <c r="W41" i="44" s="1"/>
  <c r="W42" i="44" s="1"/>
  <c r="AL124" i="20"/>
  <c r="AI41" i="44" s="1"/>
  <c r="AI42" i="44" s="1"/>
  <c r="AK124" i="20"/>
  <c r="AH41" i="44" s="1"/>
  <c r="AH42" i="44" s="1"/>
  <c r="S124" i="20"/>
  <c r="P41" i="44" s="1"/>
  <c r="P42" i="44" s="1"/>
  <c r="R124" i="20"/>
  <c r="O41" i="44" s="1"/>
  <c r="O42" i="44" s="1"/>
  <c r="AD124" i="20"/>
  <c r="AA41" i="44" s="1"/>
  <c r="AA42" i="44" s="1"/>
  <c r="Q124" i="20"/>
  <c r="N41" i="44" s="1"/>
  <c r="T124" i="20"/>
  <c r="Q41" i="44" s="1"/>
  <c r="Q42" i="44" s="1"/>
  <c r="P124" i="20"/>
  <c r="M41" i="44" s="1"/>
  <c r="M42" i="44" s="1"/>
  <c r="AB124" i="20"/>
  <c r="Y41" i="44" s="1"/>
  <c r="Y42" i="44" s="1"/>
  <c r="I124" i="20"/>
  <c r="F41" i="44" s="1"/>
  <c r="AA124" i="20"/>
  <c r="X41" i="44" s="1"/>
  <c r="X42" i="44" s="1"/>
  <c r="H124" i="20"/>
  <c r="E41" i="44" s="1"/>
  <c r="G124" i="20"/>
  <c r="D41" i="44" s="1"/>
  <c r="D42" i="44" s="1"/>
  <c r="AC42" i="44" l="1"/>
  <c r="L42" i="44"/>
  <c r="E42" i="44"/>
  <c r="F42" i="44"/>
  <c r="R42" i="44"/>
  <c r="N42" i="44"/>
  <c r="K42" i="44"/>
  <c r="T587" i="20"/>
  <c r="L590" i="20"/>
  <c r="V584" i="20"/>
  <c r="M585" i="20"/>
  <c r="H586" i="20"/>
  <c r="AH587" i="20"/>
  <c r="AH590" i="20"/>
  <c r="AL587" i="20"/>
  <c r="AL585" i="20"/>
  <c r="T584" i="20"/>
  <c r="T586" i="20"/>
  <c r="V587" i="20"/>
  <c r="V590" i="20"/>
  <c r="M586" i="20"/>
  <c r="H584" i="20"/>
  <c r="H590" i="20"/>
  <c r="H585" i="20"/>
  <c r="AF587" i="20"/>
  <c r="AF590" i="20"/>
  <c r="X584" i="20"/>
  <c r="X585" i="20"/>
  <c r="X590" i="20"/>
  <c r="O585" i="20"/>
  <c r="AH585" i="20"/>
  <c r="L585" i="20"/>
  <c r="L584" i="20"/>
  <c r="L586" i="20"/>
  <c r="O587" i="20"/>
  <c r="AL584" i="20"/>
  <c r="AL590" i="20"/>
  <c r="AL586" i="20"/>
  <c r="T585" i="20"/>
  <c r="M587" i="20"/>
  <c r="H587" i="20"/>
  <c r="AF586" i="20"/>
  <c r="O590" i="20"/>
  <c r="O586" i="20"/>
  <c r="AH584" i="20"/>
  <c r="T590" i="20"/>
  <c r="M590" i="20"/>
  <c r="AF584" i="20"/>
  <c r="X586" i="20"/>
  <c r="AH586" i="20"/>
  <c r="V585" i="20"/>
  <c r="V586" i="20"/>
  <c r="M584" i="20"/>
  <c r="AF585" i="20"/>
  <c r="X587" i="20"/>
  <c r="O584" i="20"/>
  <c r="L587" i="20"/>
  <c r="S586" i="20" l="1"/>
  <c r="V588" i="20"/>
  <c r="V614" i="20"/>
  <c r="AA587" i="20"/>
  <c r="N584" i="20"/>
  <c r="L588" i="20"/>
  <c r="L614" i="20"/>
  <c r="AF588" i="20"/>
  <c r="AF614" i="20"/>
  <c r="R584" i="20"/>
  <c r="R586" i="20"/>
  <c r="AB586" i="20"/>
  <c r="Z585" i="20"/>
  <c r="Z587" i="20"/>
  <c r="U590" i="20"/>
  <c r="X588" i="20"/>
  <c r="X614" i="20"/>
  <c r="AD584" i="20"/>
  <c r="AG587" i="20"/>
  <c r="AG586" i="20"/>
  <c r="AL588" i="20"/>
  <c r="AL614" i="20"/>
  <c r="P584" i="20"/>
  <c r="AK584" i="20"/>
  <c r="I590" i="20"/>
  <c r="W590" i="20"/>
  <c r="Y590" i="20"/>
  <c r="Y585" i="20"/>
  <c r="AB585" i="20"/>
  <c r="AC585" i="20"/>
  <c r="Q584" i="20"/>
  <c r="U584" i="20"/>
  <c r="U587" i="20"/>
  <c r="AI584" i="20"/>
  <c r="AI586" i="20"/>
  <c r="AD586" i="20"/>
  <c r="AD587" i="20"/>
  <c r="S585" i="20"/>
  <c r="S587" i="20"/>
  <c r="AG585" i="20"/>
  <c r="N585" i="20"/>
  <c r="N590" i="20"/>
  <c r="P587" i="20"/>
  <c r="AK586" i="20"/>
  <c r="I585" i="20"/>
  <c r="J584" i="20"/>
  <c r="J590" i="20"/>
  <c r="J586" i="20"/>
  <c r="W585" i="20"/>
  <c r="AJ590" i="20"/>
  <c r="AJ587" i="20"/>
  <c r="Y587" i="20"/>
  <c r="K584" i="20"/>
  <c r="M588" i="20"/>
  <c r="M614" i="20"/>
  <c r="R590" i="20"/>
  <c r="AE586" i="20"/>
  <c r="AB584" i="20"/>
  <c r="O614" i="20"/>
  <c r="O588" i="20"/>
  <c r="AC584" i="20"/>
  <c r="Q586" i="20"/>
  <c r="U586" i="20"/>
  <c r="T588" i="20"/>
  <c r="T614" i="20"/>
  <c r="AI590" i="20"/>
  <c r="AI585" i="20"/>
  <c r="AA590" i="20"/>
  <c r="AK585" i="20"/>
  <c r="AK587" i="20"/>
  <c r="J587" i="20"/>
  <c r="AJ584" i="20"/>
  <c r="AJ585" i="20"/>
  <c r="Y584" i="20"/>
  <c r="K585" i="20"/>
  <c r="R587" i="20"/>
  <c r="AE585" i="20"/>
  <c r="Z584" i="20"/>
  <c r="Q590" i="20"/>
  <c r="Q587" i="20"/>
  <c r="U585" i="20"/>
  <c r="H614" i="20"/>
  <c r="H588" i="20"/>
  <c r="AD585" i="20"/>
  <c r="S590" i="20"/>
  <c r="AG584" i="20"/>
  <c r="AA586" i="20"/>
  <c r="AH588" i="20"/>
  <c r="AH614" i="20"/>
  <c r="P586" i="20"/>
  <c r="I587" i="20"/>
  <c r="W587" i="20"/>
  <c r="K587" i="20"/>
  <c r="R585" i="20"/>
  <c r="Z590" i="20"/>
  <c r="AD590" i="20"/>
  <c r="S584" i="20"/>
  <c r="AG590" i="20"/>
  <c r="AA584" i="20"/>
  <c r="AA585" i="20"/>
  <c r="N587" i="20"/>
  <c r="N586" i="20"/>
  <c r="P590" i="20"/>
  <c r="P585" i="20"/>
  <c r="AK590" i="20"/>
  <c r="I584" i="20"/>
  <c r="I586" i="20"/>
  <c r="J585" i="20"/>
  <c r="W584" i="20"/>
  <c r="W586" i="20"/>
  <c r="AJ586" i="20"/>
  <c r="Y586" i="20"/>
  <c r="K590" i="20"/>
  <c r="K586" i="20"/>
  <c r="AE584" i="20"/>
  <c r="AE587" i="20"/>
  <c r="AE590" i="20"/>
  <c r="AB590" i="20"/>
  <c r="AB587" i="20"/>
  <c r="Z586" i="20"/>
  <c r="AC586" i="20"/>
  <c r="AC587" i="20"/>
  <c r="AC590" i="20"/>
  <c r="Q585" i="20"/>
  <c r="AI587" i="20"/>
  <c r="AI588" i="20" l="1"/>
  <c r="AI614" i="20"/>
  <c r="G587" i="20"/>
  <c r="AD614" i="20"/>
  <c r="AD588" i="20"/>
  <c r="AK588" i="20"/>
  <c r="AK614" i="20"/>
  <c r="R614" i="20"/>
  <c r="R588" i="20"/>
  <c r="N588" i="20"/>
  <c r="N614" i="20"/>
  <c r="K614" i="20"/>
  <c r="K588" i="20"/>
  <c r="Q588" i="20"/>
  <c r="Q614" i="20"/>
  <c r="G590" i="20"/>
  <c r="G588" i="20"/>
  <c r="G614" i="20"/>
  <c r="AB588" i="20"/>
  <c r="AB614" i="20"/>
  <c r="W614" i="20"/>
  <c r="W588" i="20"/>
  <c r="J614" i="20"/>
  <c r="J588" i="20"/>
  <c r="AG614" i="20"/>
  <c r="AG588" i="20"/>
  <c r="Z614" i="20"/>
  <c r="Z588" i="20"/>
  <c r="Y614" i="20"/>
  <c r="Y588" i="20"/>
  <c r="U614" i="20"/>
  <c r="U588" i="20"/>
  <c r="P588" i="20"/>
  <c r="P614" i="20"/>
  <c r="AA588" i="20"/>
  <c r="AA614" i="20"/>
  <c r="AJ614" i="20"/>
  <c r="AJ588" i="20"/>
  <c r="AC614" i="20"/>
  <c r="AC588" i="20"/>
  <c r="AE588" i="20"/>
  <c r="AE614" i="20"/>
  <c r="G586" i="20"/>
  <c r="S614" i="20"/>
  <c r="S588" i="20"/>
  <c r="G585" i="20"/>
  <c r="G584" i="20"/>
  <c r="I614" i="20"/>
  <c r="I588" i="20"/>
  <c r="AM89" i="20" l="1"/>
  <c r="F124" i="20"/>
  <c r="AM124" i="20" s="1"/>
  <c r="C41" i="44" l="1"/>
  <c r="F586" i="20"/>
  <c r="AM586" i="20" s="1"/>
  <c r="C42" i="44" l="1"/>
  <c r="F587" i="20"/>
  <c r="AM587" i="20" s="1"/>
  <c r="F590" i="20"/>
  <c r="AM590" i="20" s="1"/>
  <c r="F614" i="20"/>
  <c r="F588" i="20"/>
  <c r="AM588" i="20" s="1"/>
  <c r="F585" i="20"/>
  <c r="AM585" i="20" s="1"/>
  <c r="F584" i="20"/>
  <c r="AM614" i="20" l="1"/>
  <c r="AM584" i="20"/>
  <c r="AB289" i="20" l="1"/>
  <c r="AC289" i="20"/>
  <c r="AC147" i="20" s="1"/>
  <c r="T289" i="20"/>
  <c r="T132" i="20" s="1"/>
  <c r="AL289" i="20"/>
  <c r="AL132" i="20" s="1"/>
  <c r="V289" i="20"/>
  <c r="H289" i="20"/>
  <c r="H153" i="20" s="1"/>
  <c r="H517" i="20" s="1"/>
  <c r="M289" i="20"/>
  <c r="M129" i="20" s="1"/>
  <c r="Y289" i="20"/>
  <c r="Y159" i="20" s="1"/>
  <c r="Y645" i="20" s="1"/>
  <c r="Y791" i="20" s="1"/>
  <c r="W289" i="20"/>
  <c r="W129" i="20" s="1"/>
  <c r="R289" i="20"/>
  <c r="R149" i="20" s="1"/>
  <c r="S289" i="20"/>
  <c r="AD289" i="20"/>
  <c r="AD139" i="20" s="1"/>
  <c r="AA289" i="20"/>
  <c r="I289" i="20"/>
  <c r="I142" i="20" s="1"/>
  <c r="K289" i="20"/>
  <c r="K157" i="20" s="1"/>
  <c r="N289" i="20"/>
  <c r="N132" i="20" s="1"/>
  <c r="AE289" i="20"/>
  <c r="AE152" i="20" s="1"/>
  <c r="AI289" i="20"/>
  <c r="X289" i="20"/>
  <c r="X149" i="20" s="1"/>
  <c r="O289" i="20"/>
  <c r="O151" i="20" s="1"/>
  <c r="L289" i="20"/>
  <c r="L158" i="20" s="1"/>
  <c r="AK289" i="20"/>
  <c r="AK134" i="20" s="1"/>
  <c r="U289" i="20"/>
  <c r="U145" i="20" s="1"/>
  <c r="AJ289" i="20"/>
  <c r="AJ155" i="20" s="1"/>
  <c r="P289" i="20"/>
  <c r="P155" i="20" s="1"/>
  <c r="AH289" i="20"/>
  <c r="AH156" i="20" s="1"/>
  <c r="AF289" i="20"/>
  <c r="AF139" i="20" s="1"/>
  <c r="AF694" i="20"/>
  <c r="Q289" i="20"/>
  <c r="Q138" i="20" s="1"/>
  <c r="G46" i="44"/>
  <c r="J32" i="20"/>
  <c r="G38" i="44" s="1"/>
  <c r="Z289" i="20"/>
  <c r="Z156" i="20" s="1"/>
  <c r="AG289" i="20"/>
  <c r="AG155" i="20" s="1"/>
  <c r="G289" i="20"/>
  <c r="P128" i="20" l="1"/>
  <c r="P694" i="20" s="1"/>
  <c r="AF128" i="20"/>
  <c r="AF492" i="20" s="1"/>
  <c r="AG32" i="20"/>
  <c r="AD38" i="44" s="1"/>
  <c r="X128" i="20"/>
  <c r="P129" i="20"/>
  <c r="AH154" i="20"/>
  <c r="W137" i="20"/>
  <c r="W623" i="20" s="1"/>
  <c r="W769" i="20" s="1"/>
  <c r="AH128" i="20"/>
  <c r="O46" i="44"/>
  <c r="M128" i="20"/>
  <c r="M694" i="20" s="1"/>
  <c r="Q46" i="44"/>
  <c r="AF158" i="20"/>
  <c r="K137" i="20"/>
  <c r="K702" i="20" s="1"/>
  <c r="K848" i="20" s="1"/>
  <c r="I160" i="20"/>
  <c r="I646" i="20" s="1"/>
  <c r="I792" i="20" s="1"/>
  <c r="I152" i="20"/>
  <c r="I638" i="20" s="1"/>
  <c r="I784" i="20" s="1"/>
  <c r="G142" i="20"/>
  <c r="AL137" i="20"/>
  <c r="AL501" i="20" s="1"/>
  <c r="AB142" i="20"/>
  <c r="AB628" i="20" s="1"/>
  <c r="AB774" i="20" s="1"/>
  <c r="AD147" i="20"/>
  <c r="AD633" i="20" s="1"/>
  <c r="AD779" i="20" s="1"/>
  <c r="AB136" i="20"/>
  <c r="Y162" i="20"/>
  <c r="Y526" i="20" s="1"/>
  <c r="H161" i="20"/>
  <c r="H726" i="20" s="1"/>
  <c r="H872" i="20" s="1"/>
  <c r="G147" i="20"/>
  <c r="G511" i="20" s="1"/>
  <c r="G144" i="20"/>
  <c r="G508" i="20" s="1"/>
  <c r="AD32" i="20"/>
  <c r="AA38" i="44" s="1"/>
  <c r="AD141" i="20"/>
  <c r="AD505" i="20" s="1"/>
  <c r="AD128" i="20"/>
  <c r="X130" i="20"/>
  <c r="X696" i="20" s="1"/>
  <c r="X842" i="20" s="1"/>
  <c r="P144" i="20"/>
  <c r="P709" i="20" s="1"/>
  <c r="P855" i="20" s="1"/>
  <c r="R147" i="20"/>
  <c r="R712" i="20" s="1"/>
  <c r="R858" i="20" s="1"/>
  <c r="W141" i="20"/>
  <c r="W157" i="20"/>
  <c r="W521" i="20" s="1"/>
  <c r="W130" i="20"/>
  <c r="W494" i="20" s="1"/>
  <c r="AB140" i="20"/>
  <c r="AB626" i="20" s="1"/>
  <c r="AB772" i="20" s="1"/>
  <c r="G130" i="20"/>
  <c r="G494" i="20" s="1"/>
  <c r="G32" i="20"/>
  <c r="D38" i="44" s="1"/>
  <c r="G143" i="20"/>
  <c r="G708" i="20" s="1"/>
  <c r="G854" i="20" s="1"/>
  <c r="AL32" i="20"/>
  <c r="AI38" i="44" s="1"/>
  <c r="I147" i="20"/>
  <c r="I511" i="20" s="1"/>
  <c r="I132" i="20"/>
  <c r="I496" i="20" s="1"/>
  <c r="AL138" i="20"/>
  <c r="AL502" i="20" s="1"/>
  <c r="D46" i="44"/>
  <c r="G136" i="20"/>
  <c r="G622" i="20" s="1"/>
  <c r="G768" i="20" s="1"/>
  <c r="AF32" i="20"/>
  <c r="AC38" i="44" s="1"/>
  <c r="I32" i="20"/>
  <c r="F38" i="44" s="1"/>
  <c r="W32" i="20"/>
  <c r="T38" i="44" s="1"/>
  <c r="G128" i="20"/>
  <c r="P649" i="20"/>
  <c r="G151" i="20"/>
  <c r="G637" i="20" s="1"/>
  <c r="AL141" i="20"/>
  <c r="AL627" i="20" s="1"/>
  <c r="AL773" i="20" s="1"/>
  <c r="M139" i="20"/>
  <c r="AD159" i="20"/>
  <c r="AD523" i="20" s="1"/>
  <c r="M134" i="20"/>
  <c r="M700" i="20" s="1"/>
  <c r="M846" i="20" s="1"/>
  <c r="AE136" i="20"/>
  <c r="AE500" i="20" s="1"/>
  <c r="M159" i="20"/>
  <c r="AJ138" i="20"/>
  <c r="AJ624" i="20" s="1"/>
  <c r="AJ770" i="20" s="1"/>
  <c r="L157" i="20"/>
  <c r="AC143" i="20"/>
  <c r="AC708" i="20" s="1"/>
  <c r="AC854" i="20" s="1"/>
  <c r="O139" i="20"/>
  <c r="U129" i="20"/>
  <c r="AC156" i="20"/>
  <c r="AC520" i="20" s="1"/>
  <c r="G149" i="20"/>
  <c r="G513" i="20" s="1"/>
  <c r="G159" i="20"/>
  <c r="G645" i="20" s="1"/>
  <c r="AJ128" i="20"/>
  <c r="AJ694" i="20" s="1"/>
  <c r="U128" i="20"/>
  <c r="U694" i="20" s="1"/>
  <c r="I46" i="44"/>
  <c r="O128" i="20"/>
  <c r="K32" i="20"/>
  <c r="H38" i="44" s="1"/>
  <c r="J136" i="20"/>
  <c r="J701" i="20" s="1"/>
  <c r="J847" i="20" s="1"/>
  <c r="I128" i="20"/>
  <c r="X142" i="20"/>
  <c r="X162" i="20"/>
  <c r="G155" i="20"/>
  <c r="M144" i="20"/>
  <c r="M709" i="20" s="1"/>
  <c r="M855" i="20" s="1"/>
  <c r="O144" i="20"/>
  <c r="O630" i="20" s="1"/>
  <c r="O776" i="20" s="1"/>
  <c r="AL140" i="20"/>
  <c r="AE142" i="20"/>
  <c r="AE506" i="20" s="1"/>
  <c r="G140" i="20"/>
  <c r="G626" i="20" s="1"/>
  <c r="AL159" i="20"/>
  <c r="AL523" i="20" s="1"/>
  <c r="Y46" i="44"/>
  <c r="M132" i="20"/>
  <c r="M496" i="20" s="1"/>
  <c r="I130" i="20"/>
  <c r="I696" i="20" s="1"/>
  <c r="I842" i="20" s="1"/>
  <c r="M146" i="20"/>
  <c r="M510" i="20" s="1"/>
  <c r="T130" i="20"/>
  <c r="T151" i="20"/>
  <c r="T515" i="20" s="1"/>
  <c r="AB151" i="20"/>
  <c r="AB515" i="20" s="1"/>
  <c r="Y139" i="20"/>
  <c r="Y704" i="20" s="1"/>
  <c r="Y850" i="20" s="1"/>
  <c r="U46" i="44"/>
  <c r="M155" i="20"/>
  <c r="AB149" i="20"/>
  <c r="AB635" i="20" s="1"/>
  <c r="AB781" i="20" s="1"/>
  <c r="L144" i="20"/>
  <c r="H154" i="20"/>
  <c r="H518" i="20" s="1"/>
  <c r="I148" i="20"/>
  <c r="I634" i="20" s="1"/>
  <c r="I780" i="20" s="1"/>
  <c r="Q134" i="20"/>
  <c r="Q700" i="20" s="1"/>
  <c r="Q846" i="20" s="1"/>
  <c r="P130" i="20"/>
  <c r="P696" i="20" s="1"/>
  <c r="P842" i="20" s="1"/>
  <c r="AB144" i="20"/>
  <c r="AB508" i="20" s="1"/>
  <c r="AD150" i="20"/>
  <c r="AD514" i="20" s="1"/>
  <c r="AK138" i="20"/>
  <c r="AK502" i="20" s="1"/>
  <c r="J138" i="20"/>
  <c r="U141" i="20"/>
  <c r="H130" i="20"/>
  <c r="H696" i="20" s="1"/>
  <c r="H842" i="20" s="1"/>
  <c r="AE137" i="20"/>
  <c r="AE702" i="20" s="1"/>
  <c r="AE848" i="20" s="1"/>
  <c r="P143" i="20"/>
  <c r="P708" i="20" s="1"/>
  <c r="P854" i="20" s="1"/>
  <c r="T140" i="20"/>
  <c r="T626" i="20" s="1"/>
  <c r="T772" i="20" s="1"/>
  <c r="M160" i="20"/>
  <c r="M725" i="20" s="1"/>
  <c r="M871" i="20" s="1"/>
  <c r="AE149" i="20"/>
  <c r="AE635" i="20" s="1"/>
  <c r="AE781" i="20" s="1"/>
  <c r="L149" i="20"/>
  <c r="L513" i="20" s="1"/>
  <c r="W148" i="20"/>
  <c r="U137" i="20"/>
  <c r="U623" i="20" s="1"/>
  <c r="U769" i="20" s="1"/>
  <c r="AD152" i="20"/>
  <c r="AF140" i="20"/>
  <c r="P158" i="20"/>
  <c r="P644" i="20" s="1"/>
  <c r="P790" i="20" s="1"/>
  <c r="I131" i="20"/>
  <c r="I495" i="20" s="1"/>
  <c r="H146" i="20"/>
  <c r="P145" i="20"/>
  <c r="AJ32" i="20"/>
  <c r="AG38" i="44" s="1"/>
  <c r="U32" i="20"/>
  <c r="R38" i="44" s="1"/>
  <c r="L32" i="20"/>
  <c r="I38" i="44" s="1"/>
  <c r="AH158" i="20"/>
  <c r="AC138" i="20"/>
  <c r="X728" i="20"/>
  <c r="AL156" i="20"/>
  <c r="AL721" i="20" s="1"/>
  <c r="AM721" i="20" s="1"/>
  <c r="M148" i="20"/>
  <c r="M512" i="20" s="1"/>
  <c r="L146" i="20"/>
  <c r="V46" i="44"/>
  <c r="I136" i="20"/>
  <c r="I701" i="20" s="1"/>
  <c r="I847" i="20" s="1"/>
  <c r="M728" i="20"/>
  <c r="I161" i="20"/>
  <c r="I726" i="20" s="1"/>
  <c r="I872" i="20" s="1"/>
  <c r="AL155" i="20"/>
  <c r="P152" i="20"/>
  <c r="AB156" i="20"/>
  <c r="AB642" i="20" s="1"/>
  <c r="AB788" i="20" s="1"/>
  <c r="F46" i="44"/>
  <c r="I144" i="20"/>
  <c r="I709" i="20" s="1"/>
  <c r="I855" i="20" s="1"/>
  <c r="K138" i="20"/>
  <c r="K502" i="20" s="1"/>
  <c r="P154" i="20"/>
  <c r="P640" i="20" s="1"/>
  <c r="P786" i="20" s="1"/>
  <c r="U143" i="20"/>
  <c r="U708" i="20" s="1"/>
  <c r="U854" i="20" s="1"/>
  <c r="U144" i="20"/>
  <c r="M137" i="20"/>
  <c r="M702" i="20" s="1"/>
  <c r="M848" i="20" s="1"/>
  <c r="AC145" i="20"/>
  <c r="AC509" i="20" s="1"/>
  <c r="AJ153" i="20"/>
  <c r="AJ517" i="20" s="1"/>
  <c r="M152" i="20"/>
  <c r="M638" i="20" s="1"/>
  <c r="M784" i="20" s="1"/>
  <c r="I129" i="20"/>
  <c r="I695" i="20" s="1"/>
  <c r="I841" i="20" s="1"/>
  <c r="P151" i="20"/>
  <c r="O159" i="20"/>
  <c r="O523" i="20" s="1"/>
  <c r="O149" i="20"/>
  <c r="O714" i="20" s="1"/>
  <c r="O860" i="20" s="1"/>
  <c r="J132" i="20"/>
  <c r="J496" i="20" s="1"/>
  <c r="J158" i="20"/>
  <c r="J162" i="20"/>
  <c r="H137" i="20"/>
  <c r="H501" i="20" s="1"/>
  <c r="Y140" i="20"/>
  <c r="Y626" i="20" s="1"/>
  <c r="Y772" i="20" s="1"/>
  <c r="AD134" i="20"/>
  <c r="AD700" i="20" s="1"/>
  <c r="AD846" i="20" s="1"/>
  <c r="AE141" i="20"/>
  <c r="AE627" i="20" s="1"/>
  <c r="AE773" i="20" s="1"/>
  <c r="AL139" i="20"/>
  <c r="AL704" i="20" s="1"/>
  <c r="AL850" i="20" s="1"/>
  <c r="AD155" i="20"/>
  <c r="AD519" i="20" s="1"/>
  <c r="AC160" i="20"/>
  <c r="AC725" i="20" s="1"/>
  <c r="AC871" i="20" s="1"/>
  <c r="W160" i="20"/>
  <c r="W524" i="20" s="1"/>
  <c r="P157" i="20"/>
  <c r="P643" i="20" s="1"/>
  <c r="P789" i="20" s="1"/>
  <c r="X140" i="20"/>
  <c r="X626" i="20" s="1"/>
  <c r="X772" i="20" s="1"/>
  <c r="P148" i="20"/>
  <c r="AD131" i="20"/>
  <c r="U152" i="20"/>
  <c r="T129" i="20"/>
  <c r="T695" i="20" s="1"/>
  <c r="T841" i="20" s="1"/>
  <c r="AC153" i="20"/>
  <c r="W46" i="44"/>
  <c r="AC148" i="20"/>
  <c r="P32" i="20"/>
  <c r="M38" i="44" s="1"/>
  <c r="O32" i="20"/>
  <c r="L38" i="44" s="1"/>
  <c r="X32" i="20"/>
  <c r="U38" i="44" s="1"/>
  <c r="AE32" i="20"/>
  <c r="AB38" i="44" s="1"/>
  <c r="J728" i="20"/>
  <c r="P134" i="20"/>
  <c r="P700" i="20" s="1"/>
  <c r="P846" i="20" s="1"/>
  <c r="Y32" i="20"/>
  <c r="V38" i="44" s="1"/>
  <c r="M32" i="20"/>
  <c r="J38" i="44" s="1"/>
  <c r="G158" i="20"/>
  <c r="G644" i="20" s="1"/>
  <c r="AL130" i="20"/>
  <c r="AL696" i="20" s="1"/>
  <c r="AL842" i="20" s="1"/>
  <c r="AC32" i="20"/>
  <c r="Z38" i="44" s="1"/>
  <c r="M151" i="20"/>
  <c r="AL649" i="20"/>
  <c r="AL795" i="20" s="1"/>
  <c r="AL799" i="20" s="1"/>
  <c r="M161" i="20"/>
  <c r="M525" i="20" s="1"/>
  <c r="AB46" i="44"/>
  <c r="AF162" i="20"/>
  <c r="AF526" i="20" s="1"/>
  <c r="I649" i="20"/>
  <c r="H144" i="20"/>
  <c r="H630" i="20" s="1"/>
  <c r="H776" i="20" s="1"/>
  <c r="Y138" i="20"/>
  <c r="AC155" i="20"/>
  <c r="AC641" i="20" s="1"/>
  <c r="AC787" i="20" s="1"/>
  <c r="T161" i="20"/>
  <c r="T647" i="20" s="1"/>
  <c r="T793" i="20" s="1"/>
  <c r="AD153" i="20"/>
  <c r="M143" i="20"/>
  <c r="M708" i="20" s="1"/>
  <c r="M854" i="20" s="1"/>
  <c r="T150" i="20"/>
  <c r="T514" i="20" s="1"/>
  <c r="Z136" i="20"/>
  <c r="I157" i="20"/>
  <c r="I146" i="20"/>
  <c r="I510" i="20" s="1"/>
  <c r="X161" i="20"/>
  <c r="X647" i="20" s="1"/>
  <c r="X793" i="20" s="1"/>
  <c r="O140" i="20"/>
  <c r="O626" i="20" s="1"/>
  <c r="O772" i="20" s="1"/>
  <c r="K130" i="20"/>
  <c r="K494" i="20" s="1"/>
  <c r="X134" i="20"/>
  <c r="X498" i="20" s="1"/>
  <c r="AG519" i="20"/>
  <c r="AG641" i="20"/>
  <c r="AG787" i="20" s="1"/>
  <c r="N496" i="20"/>
  <c r="N698" i="20"/>
  <c r="N844" i="20" s="1"/>
  <c r="Z642" i="20"/>
  <c r="Z788" i="20" s="1"/>
  <c r="Z520" i="20"/>
  <c r="AF840" i="20"/>
  <c r="K643" i="20"/>
  <c r="K789" i="20" s="1"/>
  <c r="K521" i="20"/>
  <c r="V649" i="20"/>
  <c r="V728" i="20"/>
  <c r="V527" i="20"/>
  <c r="P840" i="20"/>
  <c r="AJ641" i="20"/>
  <c r="AJ787" i="20" s="1"/>
  <c r="AJ519" i="20"/>
  <c r="AJ720" i="20"/>
  <c r="AJ866" i="20" s="1"/>
  <c r="N134" i="20"/>
  <c r="AH694" i="20"/>
  <c r="AI135" i="20"/>
  <c r="AI153" i="20"/>
  <c r="AI152" i="20"/>
  <c r="AI140" i="20"/>
  <c r="AI159" i="20"/>
  <c r="AI150" i="20"/>
  <c r="AI151" i="20"/>
  <c r="AI144" i="20"/>
  <c r="AI141" i="20"/>
  <c r="AI161" i="20"/>
  <c r="AI162" i="20"/>
  <c r="AI158" i="20"/>
  <c r="AI155" i="20"/>
  <c r="AI129" i="20"/>
  <c r="AI133" i="20"/>
  <c r="AI130" i="20"/>
  <c r="AI131" i="20"/>
  <c r="AI148" i="20"/>
  <c r="AI137" i="20"/>
  <c r="AI134" i="20"/>
  <c r="AI138" i="20"/>
  <c r="AI160" i="20"/>
  <c r="AI149" i="20"/>
  <c r="AI136" i="20"/>
  <c r="AI142" i="20"/>
  <c r="AI146" i="20"/>
  <c r="AI139" i="20"/>
  <c r="AI157" i="20"/>
  <c r="AI132" i="20"/>
  <c r="AF46" i="44"/>
  <c r="AI147" i="20"/>
  <c r="AI32" i="20"/>
  <c r="AF38" i="44" s="1"/>
  <c r="AI143" i="20"/>
  <c r="AG159" i="20"/>
  <c r="G694" i="20"/>
  <c r="AI128" i="20"/>
  <c r="AI156" i="20"/>
  <c r="Q502" i="20"/>
  <c r="Q624" i="20"/>
  <c r="Q770" i="20" s="1"/>
  <c r="Q703" i="20"/>
  <c r="Q849" i="20" s="1"/>
  <c r="R635" i="20"/>
  <c r="R781" i="20" s="1"/>
  <c r="R513" i="20"/>
  <c r="AH642" i="20"/>
  <c r="AH788" i="20" s="1"/>
  <c r="AH520" i="20"/>
  <c r="Q135" i="20"/>
  <c r="Q133" i="20"/>
  <c r="Q141" i="20"/>
  <c r="Q147" i="20"/>
  <c r="Q136" i="20"/>
  <c r="Q154" i="20"/>
  <c r="Q148" i="20"/>
  <c r="Q142" i="20"/>
  <c r="Q140" i="20"/>
  <c r="Q157" i="20"/>
  <c r="Q150" i="20"/>
  <c r="Q160" i="20"/>
  <c r="Q151" i="20"/>
  <c r="Q143" i="20"/>
  <c r="Q130" i="20"/>
  <c r="Q155" i="20"/>
  <c r="Q156" i="20"/>
  <c r="Q146" i="20"/>
  <c r="Q131" i="20"/>
  <c r="Q152" i="20"/>
  <c r="Q159" i="20"/>
  <c r="Q161" i="20"/>
  <c r="Q139" i="20"/>
  <c r="Q144" i="20"/>
  <c r="Q158" i="20"/>
  <c r="Q145" i="20"/>
  <c r="Q132" i="20"/>
  <c r="Q129" i="20"/>
  <c r="Q162" i="20"/>
  <c r="Q149" i="20"/>
  <c r="Q137" i="20"/>
  <c r="N46" i="44"/>
  <c r="Q32" i="20"/>
  <c r="N38" i="44" s="1"/>
  <c r="Q128" i="20"/>
  <c r="P519" i="20"/>
  <c r="P641" i="20"/>
  <c r="P787" i="20" s="1"/>
  <c r="U840" i="20"/>
  <c r="X635" i="20"/>
  <c r="X781" i="20" s="1"/>
  <c r="X513" i="20"/>
  <c r="AA135" i="20"/>
  <c r="AA133" i="20"/>
  <c r="AA130" i="20"/>
  <c r="AA159" i="20"/>
  <c r="AA147" i="20"/>
  <c r="AA151" i="20"/>
  <c r="AA148" i="20"/>
  <c r="AA131" i="20"/>
  <c r="AA161" i="20"/>
  <c r="AA141" i="20"/>
  <c r="AA146" i="20"/>
  <c r="AA144" i="20"/>
  <c r="AA137" i="20"/>
  <c r="AA149" i="20"/>
  <c r="AA136" i="20"/>
  <c r="AA156" i="20"/>
  <c r="AA145" i="20"/>
  <c r="AA160" i="20"/>
  <c r="AA142" i="20"/>
  <c r="AA129" i="20"/>
  <c r="AA138" i="20"/>
  <c r="AA153" i="20"/>
  <c r="AA140" i="20"/>
  <c r="X46" i="44"/>
  <c r="AA162" i="20"/>
  <c r="AA150" i="20"/>
  <c r="AA128" i="20"/>
  <c r="AA158" i="20"/>
  <c r="AA139" i="20"/>
  <c r="AA157" i="20"/>
  <c r="AA32" i="20"/>
  <c r="X38" i="44" s="1"/>
  <c r="AA132" i="20"/>
  <c r="AA143" i="20"/>
  <c r="AA152" i="20"/>
  <c r="G43" i="44"/>
  <c r="AK135" i="20"/>
  <c r="AK148" i="20"/>
  <c r="AK143" i="20"/>
  <c r="AK158" i="20"/>
  <c r="AK136" i="20"/>
  <c r="AK162" i="20"/>
  <c r="AK153" i="20"/>
  <c r="AK129" i="20"/>
  <c r="AK160" i="20"/>
  <c r="AK145" i="20"/>
  <c r="AK146" i="20"/>
  <c r="AK130" i="20"/>
  <c r="AK139" i="20"/>
  <c r="AK147" i="20"/>
  <c r="AK131" i="20"/>
  <c r="AK155" i="20"/>
  <c r="AK161" i="20"/>
  <c r="AK140" i="20"/>
  <c r="AK156" i="20"/>
  <c r="AK157" i="20"/>
  <c r="AK150" i="20"/>
  <c r="AK151" i="20"/>
  <c r="AK142" i="20"/>
  <c r="AK144" i="20"/>
  <c r="AK137" i="20"/>
  <c r="AK128" i="20"/>
  <c r="AK141" i="20"/>
  <c r="AK133" i="20"/>
  <c r="AK32" i="20"/>
  <c r="AH38" i="44" s="1"/>
  <c r="AK149" i="20"/>
  <c r="AK132" i="20"/>
  <c r="AK159" i="20"/>
  <c r="AK154" i="20"/>
  <c r="AK152" i="20"/>
  <c r="AH46" i="44"/>
  <c r="AG131" i="20"/>
  <c r="AD46" i="44"/>
  <c r="R133" i="20"/>
  <c r="R135" i="20"/>
  <c r="R151" i="20"/>
  <c r="R144" i="20"/>
  <c r="R148" i="20"/>
  <c r="R140" i="20"/>
  <c r="R141" i="20"/>
  <c r="R154" i="20"/>
  <c r="R132" i="20"/>
  <c r="R158" i="20"/>
  <c r="R145" i="20"/>
  <c r="R161" i="20"/>
  <c r="R162" i="20"/>
  <c r="R159" i="20"/>
  <c r="R152" i="20"/>
  <c r="R131" i="20"/>
  <c r="R139" i="20"/>
  <c r="R130" i="20"/>
  <c r="R146" i="20"/>
  <c r="R136" i="20"/>
  <c r="R157" i="20"/>
  <c r="R142" i="20"/>
  <c r="R129" i="20"/>
  <c r="R138" i="20"/>
  <c r="R160" i="20"/>
  <c r="R128" i="20"/>
  <c r="R134" i="20"/>
  <c r="R32" i="20"/>
  <c r="O38" i="44" s="1"/>
  <c r="R143" i="20"/>
  <c r="R150" i="20"/>
  <c r="R155" i="20"/>
  <c r="R153" i="20"/>
  <c r="Q153" i="20"/>
  <c r="V135" i="20"/>
  <c r="V133" i="20"/>
  <c r="V148" i="20"/>
  <c r="V152" i="20"/>
  <c r="V155" i="20"/>
  <c r="V154" i="20"/>
  <c r="V157" i="20"/>
  <c r="V129" i="20"/>
  <c r="V162" i="20"/>
  <c r="V156" i="20"/>
  <c r="V151" i="20"/>
  <c r="S46" i="44"/>
  <c r="V160" i="20"/>
  <c r="V145" i="20"/>
  <c r="V159" i="20"/>
  <c r="V132" i="20"/>
  <c r="V158" i="20"/>
  <c r="V137" i="20"/>
  <c r="V143" i="20"/>
  <c r="V150" i="20"/>
  <c r="V144" i="20"/>
  <c r="V140" i="20"/>
  <c r="V153" i="20"/>
  <c r="V149" i="20"/>
  <c r="V32" i="20"/>
  <c r="S38" i="44" s="1"/>
  <c r="V142" i="20"/>
  <c r="V136" i="20"/>
  <c r="V134" i="20"/>
  <c r="V130" i="20"/>
  <c r="V146" i="20"/>
  <c r="V128" i="20"/>
  <c r="V141" i="20"/>
  <c r="V147" i="20"/>
  <c r="V131" i="20"/>
  <c r="AJ703" i="20"/>
  <c r="AJ849" i="20" s="1"/>
  <c r="AA155" i="20"/>
  <c r="AI154" i="20"/>
  <c r="V161" i="20"/>
  <c r="AB709" i="20"/>
  <c r="AB855" i="20" s="1"/>
  <c r="AA154" i="20"/>
  <c r="W493" i="20"/>
  <c r="W695" i="20"/>
  <c r="W841" i="20" s="1"/>
  <c r="AE701" i="20"/>
  <c r="AE847" i="20" s="1"/>
  <c r="AA134" i="20"/>
  <c r="M493" i="20"/>
  <c r="M695" i="20"/>
  <c r="M841" i="20" s="1"/>
  <c r="V138" i="20"/>
  <c r="N133" i="20"/>
  <c r="N135" i="20"/>
  <c r="N148" i="20"/>
  <c r="N145" i="20"/>
  <c r="N129" i="20"/>
  <c r="N142" i="20"/>
  <c r="N150" i="20"/>
  <c r="N152" i="20"/>
  <c r="N137" i="20"/>
  <c r="N156" i="20"/>
  <c r="N151" i="20"/>
  <c r="N155" i="20"/>
  <c r="N149" i="20"/>
  <c r="N158" i="20"/>
  <c r="N139" i="20"/>
  <c r="N153" i="20"/>
  <c r="N140" i="20"/>
  <c r="N130" i="20"/>
  <c r="N143" i="20"/>
  <c r="K46" i="44"/>
  <c r="N131" i="20"/>
  <c r="N160" i="20"/>
  <c r="N161" i="20"/>
  <c r="N128" i="20"/>
  <c r="N159" i="20"/>
  <c r="N154" i="20"/>
  <c r="N162" i="20"/>
  <c r="N146" i="20"/>
  <c r="N136" i="20"/>
  <c r="N157" i="20"/>
  <c r="N32" i="20"/>
  <c r="K38" i="44" s="1"/>
  <c r="N141" i="20"/>
  <c r="N144" i="20"/>
  <c r="S135" i="20"/>
  <c r="S133" i="20"/>
  <c r="S134" i="20"/>
  <c r="S142" i="20"/>
  <c r="S152" i="20"/>
  <c r="S149" i="20"/>
  <c r="S159" i="20"/>
  <c r="S150" i="20"/>
  <c r="S130" i="20"/>
  <c r="S131" i="20"/>
  <c r="S155" i="20"/>
  <c r="S154" i="20"/>
  <c r="S132" i="20"/>
  <c r="S138" i="20"/>
  <c r="S141" i="20"/>
  <c r="S145" i="20"/>
  <c r="S140" i="20"/>
  <c r="S162" i="20"/>
  <c r="S153" i="20"/>
  <c r="S158" i="20"/>
  <c r="S156" i="20"/>
  <c r="S160" i="20"/>
  <c r="S147" i="20"/>
  <c r="S137" i="20"/>
  <c r="S146" i="20"/>
  <c r="S161" i="20"/>
  <c r="S157" i="20"/>
  <c r="S144" i="20"/>
  <c r="S129" i="20"/>
  <c r="P46" i="44"/>
  <c r="S151" i="20"/>
  <c r="S32" i="20"/>
  <c r="P38" i="44" s="1"/>
  <c r="S139" i="20"/>
  <c r="S148" i="20"/>
  <c r="S143" i="20"/>
  <c r="S136" i="20"/>
  <c r="S128" i="20"/>
  <c r="N138" i="20"/>
  <c r="N147" i="20"/>
  <c r="AK498" i="20"/>
  <c r="AK700" i="20"/>
  <c r="AK846" i="20" s="1"/>
  <c r="L709" i="20"/>
  <c r="L855" i="20" s="1"/>
  <c r="K696" i="20"/>
  <c r="K842" i="20" s="1"/>
  <c r="W725" i="20"/>
  <c r="W871" i="20" s="1"/>
  <c r="AD503" i="20"/>
  <c r="AD625" i="20"/>
  <c r="AD771" i="20" s="1"/>
  <c r="AG133" i="20"/>
  <c r="AG135" i="20"/>
  <c r="AG152" i="20"/>
  <c r="AG134" i="20"/>
  <c r="AG145" i="20"/>
  <c r="AG130" i="20"/>
  <c r="AG151" i="20"/>
  <c r="AG161" i="20"/>
  <c r="AG142" i="20"/>
  <c r="AG132" i="20"/>
  <c r="AG141" i="20"/>
  <c r="AG138" i="20"/>
  <c r="AG148" i="20"/>
  <c r="AG147" i="20"/>
  <c r="AG156" i="20"/>
  <c r="AG140" i="20"/>
  <c r="AG154" i="20"/>
  <c r="AG129" i="20"/>
  <c r="AG149" i="20"/>
  <c r="AG139" i="20"/>
  <c r="AG128" i="20"/>
  <c r="AG136" i="20"/>
  <c r="AG146" i="20"/>
  <c r="AG153" i="20"/>
  <c r="AG143" i="20"/>
  <c r="AG144" i="20"/>
  <c r="AG160" i="20"/>
  <c r="AG162" i="20"/>
  <c r="AG157" i="20"/>
  <c r="AG150" i="20"/>
  <c r="AG137" i="20"/>
  <c r="AG158" i="20"/>
  <c r="X694" i="20"/>
  <c r="AE638" i="20"/>
  <c r="AE784" i="20" s="1"/>
  <c r="AE516" i="20"/>
  <c r="Z135" i="20"/>
  <c r="Z133" i="20"/>
  <c r="Z130" i="20"/>
  <c r="Z146" i="20"/>
  <c r="Z154" i="20"/>
  <c r="Z134" i="20"/>
  <c r="Z150" i="20"/>
  <c r="Z157" i="20"/>
  <c r="Z148" i="20"/>
  <c r="Z158" i="20"/>
  <c r="Z143" i="20"/>
  <c r="Z153" i="20"/>
  <c r="Z161" i="20"/>
  <c r="Z129" i="20"/>
  <c r="Z131" i="20"/>
  <c r="Z147" i="20"/>
  <c r="Z160" i="20"/>
  <c r="Z141" i="20"/>
  <c r="Z142" i="20"/>
  <c r="Z138" i="20"/>
  <c r="Z162" i="20"/>
  <c r="Z152" i="20"/>
  <c r="Z137" i="20"/>
  <c r="Z149" i="20"/>
  <c r="Z151" i="20"/>
  <c r="Z155" i="20"/>
  <c r="Z128" i="20"/>
  <c r="Z32" i="20"/>
  <c r="W38" i="44" s="1"/>
  <c r="Z140" i="20"/>
  <c r="Z139" i="20"/>
  <c r="Z159" i="20"/>
  <c r="Z144" i="20"/>
  <c r="Z145" i="20"/>
  <c r="Z132" i="20"/>
  <c r="AH135" i="20"/>
  <c r="AH133" i="20"/>
  <c r="AH150" i="20"/>
  <c r="AH137" i="20"/>
  <c r="AH151" i="20"/>
  <c r="AH146" i="20"/>
  <c r="AH152" i="20"/>
  <c r="AH155" i="20"/>
  <c r="AH141" i="20"/>
  <c r="AH145" i="20"/>
  <c r="AH159" i="20"/>
  <c r="AH148" i="20"/>
  <c r="AH136" i="20"/>
  <c r="AH153" i="20"/>
  <c r="AH138" i="20"/>
  <c r="AH149" i="20"/>
  <c r="AH132" i="20"/>
  <c r="AH142" i="20"/>
  <c r="AH147" i="20"/>
  <c r="AH130" i="20"/>
  <c r="AH161" i="20"/>
  <c r="AH157" i="20"/>
  <c r="AH140" i="20"/>
  <c r="AH139" i="20"/>
  <c r="AH143" i="20"/>
  <c r="AH32" i="20"/>
  <c r="AE38" i="44" s="1"/>
  <c r="AH129" i="20"/>
  <c r="AH144" i="20"/>
  <c r="AH160" i="20"/>
  <c r="AH134" i="20"/>
  <c r="AE46" i="44"/>
  <c r="AH162" i="20"/>
  <c r="M840" i="20"/>
  <c r="I712" i="20"/>
  <c r="I858" i="20" s="1"/>
  <c r="G515" i="20"/>
  <c r="AH131" i="20"/>
  <c r="T696" i="20"/>
  <c r="T842" i="20" s="1"/>
  <c r="AI145" i="20"/>
  <c r="V139" i="20"/>
  <c r="AF503" i="20"/>
  <c r="AF625" i="20"/>
  <c r="AF771" i="20" s="1"/>
  <c r="AF704" i="20"/>
  <c r="AF850" i="20" s="1"/>
  <c r="L644" i="20"/>
  <c r="L790" i="20" s="1"/>
  <c r="L522" i="20"/>
  <c r="R137" i="20"/>
  <c r="AC511" i="20"/>
  <c r="AC633" i="20"/>
  <c r="AC779" i="20" s="1"/>
  <c r="I506" i="20"/>
  <c r="I628" i="20"/>
  <c r="I774" i="20" s="1"/>
  <c r="R156" i="20"/>
  <c r="T496" i="20"/>
  <c r="T698" i="20"/>
  <c r="T844" i="20" s="1"/>
  <c r="O704" i="20"/>
  <c r="O850" i="20" s="1"/>
  <c r="X700" i="20"/>
  <c r="X846" i="20" s="1"/>
  <c r="U631" i="20"/>
  <c r="U777" i="20" s="1"/>
  <c r="U509" i="20"/>
  <c r="AF135" i="20"/>
  <c r="AF133" i="20"/>
  <c r="AF154" i="20"/>
  <c r="AF161" i="20"/>
  <c r="AF145" i="20"/>
  <c r="AF157" i="20"/>
  <c r="AF130" i="20"/>
  <c r="AF150" i="20"/>
  <c r="AF142" i="20"/>
  <c r="AF147" i="20"/>
  <c r="AF141" i="20"/>
  <c r="AF159" i="20"/>
  <c r="AF148" i="20"/>
  <c r="AF131" i="20"/>
  <c r="AF138" i="20"/>
  <c r="AF132" i="20"/>
  <c r="AF156" i="20"/>
  <c r="AF129" i="20"/>
  <c r="AF152" i="20"/>
  <c r="AF143" i="20"/>
  <c r="AF146" i="20"/>
  <c r="AJ135" i="20"/>
  <c r="AJ142" i="20"/>
  <c r="AJ150" i="20"/>
  <c r="AJ154" i="20"/>
  <c r="AJ162" i="20"/>
  <c r="AJ158" i="20"/>
  <c r="AJ161" i="20"/>
  <c r="AJ151" i="20"/>
  <c r="AJ144" i="20"/>
  <c r="AJ132" i="20"/>
  <c r="AJ136" i="20"/>
  <c r="AJ152" i="20"/>
  <c r="AJ131" i="20"/>
  <c r="AJ147" i="20"/>
  <c r="AJ146" i="20"/>
  <c r="AJ133" i="20"/>
  <c r="AJ143" i="20"/>
  <c r="AJ156" i="20"/>
  <c r="AJ149" i="20"/>
  <c r="AJ157" i="20"/>
  <c r="AJ137" i="20"/>
  <c r="AJ140" i="20"/>
  <c r="AJ130" i="20"/>
  <c r="AJ139" i="20"/>
  <c r="AJ134" i="20"/>
  <c r="L135" i="20"/>
  <c r="L133" i="20"/>
  <c r="L155" i="20"/>
  <c r="L151" i="20"/>
  <c r="L145" i="20"/>
  <c r="L141" i="20"/>
  <c r="L154" i="20"/>
  <c r="L142" i="20"/>
  <c r="L129" i="20"/>
  <c r="L130" i="20"/>
  <c r="L161" i="20"/>
  <c r="L159" i="20"/>
  <c r="L148" i="20"/>
  <c r="L156" i="20"/>
  <c r="L150" i="20"/>
  <c r="L147" i="20"/>
  <c r="L138" i="20"/>
  <c r="L153" i="20"/>
  <c r="L139" i="20"/>
  <c r="L131" i="20"/>
  <c r="L136" i="20"/>
  <c r="L160" i="20"/>
  <c r="AD133" i="20"/>
  <c r="AD135" i="20"/>
  <c r="AD157" i="20"/>
  <c r="AD129" i="20"/>
  <c r="AD148" i="20"/>
  <c r="AD154" i="20"/>
  <c r="AD149" i="20"/>
  <c r="AD146" i="20"/>
  <c r="AD151" i="20"/>
  <c r="AD158" i="20"/>
  <c r="AD136" i="20"/>
  <c r="AD144" i="20"/>
  <c r="AD161" i="20"/>
  <c r="AD160" i="20"/>
  <c r="AD143" i="20"/>
  <c r="AD145" i="20"/>
  <c r="AD156" i="20"/>
  <c r="AD142" i="20"/>
  <c r="AD138" i="20"/>
  <c r="AD140" i="20"/>
  <c r="AD137" i="20"/>
  <c r="AA46" i="44"/>
  <c r="Y135" i="20"/>
  <c r="Y133" i="20"/>
  <c r="Y142" i="20"/>
  <c r="Y156" i="20"/>
  <c r="Y137" i="20"/>
  <c r="Y158" i="20"/>
  <c r="Y148" i="20"/>
  <c r="Y141" i="20"/>
  <c r="Y149" i="20"/>
  <c r="Y152" i="20"/>
  <c r="Y151" i="20"/>
  <c r="Y134" i="20"/>
  <c r="Y136" i="20"/>
  <c r="Y131" i="20"/>
  <c r="Y150" i="20"/>
  <c r="Y130" i="20"/>
  <c r="Y153" i="20"/>
  <c r="Y160" i="20"/>
  <c r="Y132" i="20"/>
  <c r="Y161" i="20"/>
  <c r="Y147" i="20"/>
  <c r="Y144" i="20"/>
  <c r="Y129" i="20"/>
  <c r="Y143" i="20"/>
  <c r="Y128" i="20"/>
  <c r="AF136" i="20"/>
  <c r="G527" i="20"/>
  <c r="G728" i="20"/>
  <c r="G649" i="20"/>
  <c r="AB135" i="20"/>
  <c r="AB133" i="20"/>
  <c r="AB141" i="20"/>
  <c r="AB134" i="20"/>
  <c r="AB143" i="20"/>
  <c r="AB152" i="20"/>
  <c r="AB137" i="20"/>
  <c r="AB150" i="20"/>
  <c r="AB132" i="20"/>
  <c r="AB147" i="20"/>
  <c r="AB155" i="20"/>
  <c r="AB159" i="20"/>
  <c r="AB145" i="20"/>
  <c r="AB138" i="20"/>
  <c r="AB153" i="20"/>
  <c r="AB154" i="20"/>
  <c r="AB130" i="20"/>
  <c r="AB160" i="20"/>
  <c r="AB32" i="20"/>
  <c r="Y38" i="44" s="1"/>
  <c r="AB161" i="20"/>
  <c r="AB146" i="20"/>
  <c r="AB129" i="20"/>
  <c r="AB158" i="20"/>
  <c r="AB148" i="20"/>
  <c r="AB131" i="20"/>
  <c r="AB157" i="20"/>
  <c r="L128" i="20"/>
  <c r="K128" i="20"/>
  <c r="AF149" i="20"/>
  <c r="L140" i="20"/>
  <c r="Y145" i="20"/>
  <c r="AF134" i="20"/>
  <c r="AF151" i="20"/>
  <c r="L162" i="20"/>
  <c r="AE134" i="20"/>
  <c r="AJ129" i="20"/>
  <c r="AJ159" i="20"/>
  <c r="AF153" i="20"/>
  <c r="AB649" i="20"/>
  <c r="AB527" i="20"/>
  <c r="AB728" i="20"/>
  <c r="P695" i="20"/>
  <c r="P841" i="20" s="1"/>
  <c r="AC720" i="20"/>
  <c r="AC866" i="20" s="1"/>
  <c r="W702" i="20"/>
  <c r="W848" i="20" s="1"/>
  <c r="Y523" i="20"/>
  <c r="Y557" i="20" s="1"/>
  <c r="AL703" i="20"/>
  <c r="AL849" i="20" s="1"/>
  <c r="O515" i="20"/>
  <c r="O637" i="20"/>
  <c r="O783" i="20" s="1"/>
  <c r="AL496" i="20"/>
  <c r="AL698" i="20"/>
  <c r="AL844" i="20" s="1"/>
  <c r="AD697" i="20"/>
  <c r="AD843" i="20" s="1"/>
  <c r="P492" i="20"/>
  <c r="U133" i="20"/>
  <c r="U135" i="20"/>
  <c r="U154" i="20"/>
  <c r="U139" i="20"/>
  <c r="U151" i="20"/>
  <c r="U156" i="20"/>
  <c r="U146" i="20"/>
  <c r="U160" i="20"/>
  <c r="U159" i="20"/>
  <c r="U130" i="20"/>
  <c r="U161" i="20"/>
  <c r="U131" i="20"/>
  <c r="U138" i="20"/>
  <c r="U153" i="20"/>
  <c r="U132" i="20"/>
  <c r="U162" i="20"/>
  <c r="U134" i="20"/>
  <c r="U136" i="20"/>
  <c r="U157" i="20"/>
  <c r="U140" i="20"/>
  <c r="U149" i="20"/>
  <c r="U147" i="20"/>
  <c r="X133" i="20"/>
  <c r="X135" i="20"/>
  <c r="X154" i="20"/>
  <c r="X139" i="20"/>
  <c r="X129" i="20"/>
  <c r="X131" i="20"/>
  <c r="X147" i="20"/>
  <c r="X157" i="20"/>
  <c r="X159" i="20"/>
  <c r="X146" i="20"/>
  <c r="X160" i="20"/>
  <c r="X141" i="20"/>
  <c r="X132" i="20"/>
  <c r="X158" i="20"/>
  <c r="X153" i="20"/>
  <c r="X138" i="20"/>
  <c r="X150" i="20"/>
  <c r="X156" i="20"/>
  <c r="X137" i="20"/>
  <c r="X143" i="20"/>
  <c r="X152" i="20"/>
  <c r="X155" i="20"/>
  <c r="X151" i="20"/>
  <c r="X148" i="20"/>
  <c r="X144" i="20"/>
  <c r="X136" i="20"/>
  <c r="AE135" i="20"/>
  <c r="AE133" i="20"/>
  <c r="AE143" i="20"/>
  <c r="AE129" i="20"/>
  <c r="AE161" i="20"/>
  <c r="AE139" i="20"/>
  <c r="AE150" i="20"/>
  <c r="AE162" i="20"/>
  <c r="AE154" i="20"/>
  <c r="AE156" i="20"/>
  <c r="AE140" i="20"/>
  <c r="AE130" i="20"/>
  <c r="AE151" i="20"/>
  <c r="AE157" i="20"/>
  <c r="AE153" i="20"/>
  <c r="AE144" i="20"/>
  <c r="AE148" i="20"/>
  <c r="AE160" i="20"/>
  <c r="AE159" i="20"/>
  <c r="AE145" i="20"/>
  <c r="AE131" i="20"/>
  <c r="AE132" i="20"/>
  <c r="AE147" i="20"/>
  <c r="AE146" i="20"/>
  <c r="AE128" i="20"/>
  <c r="K135" i="20"/>
  <c r="K156" i="20"/>
  <c r="K134" i="20"/>
  <c r="K155" i="20"/>
  <c r="K141" i="20"/>
  <c r="K133" i="20"/>
  <c r="K152" i="20"/>
  <c r="K159" i="20"/>
  <c r="K149" i="20"/>
  <c r="K139" i="20"/>
  <c r="K147" i="20"/>
  <c r="K158" i="20"/>
  <c r="K148" i="20"/>
  <c r="K146" i="20"/>
  <c r="K150" i="20"/>
  <c r="K162" i="20"/>
  <c r="K132" i="20"/>
  <c r="K144" i="20"/>
  <c r="K160" i="20"/>
  <c r="K136" i="20"/>
  <c r="K142" i="20"/>
  <c r="K151" i="20"/>
  <c r="K143" i="20"/>
  <c r="K129" i="20"/>
  <c r="K154" i="20"/>
  <c r="H46" i="44"/>
  <c r="AG46" i="44"/>
  <c r="AB128" i="20"/>
  <c r="G47" i="44"/>
  <c r="G64" i="44"/>
  <c r="G74" i="44" s="1"/>
  <c r="X145" i="20"/>
  <c r="K161" i="20"/>
  <c r="AF144" i="20"/>
  <c r="AB162" i="20"/>
  <c r="Y146" i="20"/>
  <c r="L152" i="20"/>
  <c r="Y155" i="20"/>
  <c r="AJ148" i="20"/>
  <c r="H639" i="20"/>
  <c r="H785" i="20" s="1"/>
  <c r="Y154" i="20"/>
  <c r="U155" i="20"/>
  <c r="AD130" i="20"/>
  <c r="L132" i="20"/>
  <c r="G146" i="20"/>
  <c r="G134" i="20"/>
  <c r="G138" i="20"/>
  <c r="G129" i="20"/>
  <c r="G141" i="20"/>
  <c r="G131" i="20"/>
  <c r="G157" i="20"/>
  <c r="G161" i="20"/>
  <c r="G162" i="20"/>
  <c r="G145" i="20"/>
  <c r="G160" i="20"/>
  <c r="G133" i="20"/>
  <c r="G135" i="20"/>
  <c r="G153" i="20"/>
  <c r="G148" i="20"/>
  <c r="G154" i="20"/>
  <c r="G152" i="20"/>
  <c r="G139" i="20"/>
  <c r="G150" i="20"/>
  <c r="J135" i="20"/>
  <c r="J133" i="20"/>
  <c r="J142" i="20"/>
  <c r="J130" i="20"/>
  <c r="J152" i="20"/>
  <c r="J156" i="20"/>
  <c r="J154" i="20"/>
  <c r="J147" i="20"/>
  <c r="J144" i="20"/>
  <c r="J151" i="20"/>
  <c r="J155" i="20"/>
  <c r="J148" i="20"/>
  <c r="J145" i="20"/>
  <c r="J159" i="20"/>
  <c r="J143" i="20"/>
  <c r="J134" i="20"/>
  <c r="J131" i="20"/>
  <c r="J137" i="20"/>
  <c r="J129" i="20"/>
  <c r="J141" i="20"/>
  <c r="J140" i="20"/>
  <c r="J139" i="20"/>
  <c r="J157" i="20"/>
  <c r="J146" i="20"/>
  <c r="J161" i="20"/>
  <c r="P135" i="20"/>
  <c r="P133" i="20"/>
  <c r="P161" i="20"/>
  <c r="P162" i="20"/>
  <c r="P141" i="20"/>
  <c r="P132" i="20"/>
  <c r="P147" i="20"/>
  <c r="P136" i="20"/>
  <c r="P131" i="20"/>
  <c r="P140" i="20"/>
  <c r="P159" i="20"/>
  <c r="P138" i="20"/>
  <c r="P139" i="20"/>
  <c r="P146" i="20"/>
  <c r="P160" i="20"/>
  <c r="P142" i="20"/>
  <c r="P156" i="20"/>
  <c r="P149" i="20"/>
  <c r="P150" i="20"/>
  <c r="P153" i="20"/>
  <c r="O135" i="20"/>
  <c r="O133" i="20"/>
  <c r="O141" i="20"/>
  <c r="O155" i="20"/>
  <c r="O145" i="20"/>
  <c r="O132" i="20"/>
  <c r="O150" i="20"/>
  <c r="O152" i="20"/>
  <c r="O158" i="20"/>
  <c r="O134" i="20"/>
  <c r="O157" i="20"/>
  <c r="O160" i="20"/>
  <c r="O146" i="20"/>
  <c r="O138" i="20"/>
  <c r="O137" i="20"/>
  <c r="O162" i="20"/>
  <c r="O143" i="20"/>
  <c r="O153" i="20"/>
  <c r="O161" i="20"/>
  <c r="O154" i="20"/>
  <c r="O129" i="20"/>
  <c r="O148" i="20"/>
  <c r="O136" i="20"/>
  <c r="L46" i="44"/>
  <c r="M46" i="44"/>
  <c r="L134" i="20"/>
  <c r="AC46" i="44"/>
  <c r="W133" i="20"/>
  <c r="W135" i="20"/>
  <c r="W142" i="20"/>
  <c r="W154" i="20"/>
  <c r="W147" i="20"/>
  <c r="W145" i="20"/>
  <c r="W140" i="20"/>
  <c r="W153" i="20"/>
  <c r="W132" i="20"/>
  <c r="W162" i="20"/>
  <c r="W134" i="20"/>
  <c r="W136" i="20"/>
  <c r="W144" i="20"/>
  <c r="W155" i="20"/>
  <c r="W131" i="20"/>
  <c r="W149" i="20"/>
  <c r="W161" i="20"/>
  <c r="W156" i="20"/>
  <c r="W152" i="20"/>
  <c r="W146" i="20"/>
  <c r="W143" i="20"/>
  <c r="W158" i="20"/>
  <c r="W139" i="20"/>
  <c r="W128" i="20"/>
  <c r="W159" i="20"/>
  <c r="O131" i="20"/>
  <c r="G137" i="20"/>
  <c r="H133" i="20"/>
  <c r="H150" i="20"/>
  <c r="H135" i="20"/>
  <c r="H158" i="20"/>
  <c r="H148" i="20"/>
  <c r="H134" i="20"/>
  <c r="H139" i="20"/>
  <c r="H136" i="20"/>
  <c r="H131" i="20"/>
  <c r="H151" i="20"/>
  <c r="H141" i="20"/>
  <c r="H140" i="20"/>
  <c r="H143" i="20"/>
  <c r="H157" i="20"/>
  <c r="H155" i="20"/>
  <c r="H162" i="20"/>
  <c r="H142" i="20"/>
  <c r="H129" i="20"/>
  <c r="H159" i="20"/>
  <c r="H132" i="20"/>
  <c r="H149" i="20"/>
  <c r="H138" i="20"/>
  <c r="E46" i="44"/>
  <c r="H128" i="20"/>
  <c r="H152" i="20"/>
  <c r="H156" i="20"/>
  <c r="H147" i="20"/>
  <c r="H32" i="20"/>
  <c r="E38" i="44" s="1"/>
  <c r="G132" i="20"/>
  <c r="AL135" i="20"/>
  <c r="AL129" i="20"/>
  <c r="AL142" i="20"/>
  <c r="AL149" i="20"/>
  <c r="AL150" i="20"/>
  <c r="AL145" i="20"/>
  <c r="AL133" i="20"/>
  <c r="AL136" i="20"/>
  <c r="AL152" i="20"/>
  <c r="AL153" i="20"/>
  <c r="AL146" i="20"/>
  <c r="AL147" i="20"/>
  <c r="AL128" i="20"/>
  <c r="AL144" i="20"/>
  <c r="AL143" i="20"/>
  <c r="AI46" i="44"/>
  <c r="AL134" i="20"/>
  <c r="AL151" i="20"/>
  <c r="AL158" i="20"/>
  <c r="AL157" i="20"/>
  <c r="AL162" i="20"/>
  <c r="T133" i="20"/>
  <c r="T135" i="20"/>
  <c r="T147" i="20"/>
  <c r="T153" i="20"/>
  <c r="T145" i="20"/>
  <c r="T144" i="20"/>
  <c r="T158" i="20"/>
  <c r="T160" i="20"/>
  <c r="T141" i="20"/>
  <c r="T152" i="20"/>
  <c r="T157" i="20"/>
  <c r="T148" i="20"/>
  <c r="T159" i="20"/>
  <c r="T154" i="20"/>
  <c r="T136" i="20"/>
  <c r="T156" i="20"/>
  <c r="T143" i="20"/>
  <c r="T138" i="20"/>
  <c r="T128" i="20"/>
  <c r="T149" i="20"/>
  <c r="T142" i="20"/>
  <c r="T162" i="20"/>
  <c r="T131" i="20"/>
  <c r="T134" i="20"/>
  <c r="T139" i="20"/>
  <c r="T137" i="20"/>
  <c r="T32" i="20"/>
  <c r="Q38" i="44" s="1"/>
  <c r="AC135" i="20"/>
  <c r="AC154" i="20"/>
  <c r="AC152" i="20"/>
  <c r="AC131" i="20"/>
  <c r="AC158" i="20"/>
  <c r="AC132" i="20"/>
  <c r="AC162" i="20"/>
  <c r="AC141" i="20"/>
  <c r="AC151" i="20"/>
  <c r="AC137" i="20"/>
  <c r="AC142" i="20"/>
  <c r="AC159" i="20"/>
  <c r="AC157" i="20"/>
  <c r="AC136" i="20"/>
  <c r="AC130" i="20"/>
  <c r="AC161" i="20"/>
  <c r="AC133" i="20"/>
  <c r="AC139" i="20"/>
  <c r="AC146" i="20"/>
  <c r="AC149" i="20"/>
  <c r="Z46" i="44"/>
  <c r="AC144" i="20"/>
  <c r="AC150" i="20"/>
  <c r="AC129" i="20"/>
  <c r="AC140" i="20"/>
  <c r="AC128" i="20"/>
  <c r="AF160" i="20"/>
  <c r="W150" i="20"/>
  <c r="U142" i="20"/>
  <c r="AF137" i="20"/>
  <c r="G156" i="20"/>
  <c r="AL131" i="20"/>
  <c r="P137" i="20"/>
  <c r="O130" i="20"/>
  <c r="Y157" i="20"/>
  <c r="R46" i="44"/>
  <c r="AL148" i="20"/>
  <c r="J150" i="20"/>
  <c r="W138" i="20"/>
  <c r="O147" i="20"/>
  <c r="T46" i="44"/>
  <c r="I725" i="20"/>
  <c r="I871" i="20" s="1"/>
  <c r="AJ160" i="20"/>
  <c r="AL154" i="20"/>
  <c r="O156" i="20"/>
  <c r="AL161" i="20"/>
  <c r="AL160" i="20"/>
  <c r="AE155" i="20"/>
  <c r="K145" i="20"/>
  <c r="AB139" i="20"/>
  <c r="L143" i="20"/>
  <c r="J149" i="20"/>
  <c r="L137" i="20"/>
  <c r="T155" i="20"/>
  <c r="U158" i="20"/>
  <c r="AC134" i="20"/>
  <c r="J160" i="20"/>
  <c r="H145" i="20"/>
  <c r="K153" i="20"/>
  <c r="AE138" i="20"/>
  <c r="AD132" i="20"/>
  <c r="T146" i="20"/>
  <c r="U150" i="20"/>
  <c r="O142" i="20"/>
  <c r="U148" i="20"/>
  <c r="AJ145" i="20"/>
  <c r="AE158" i="20"/>
  <c r="K140" i="20"/>
  <c r="H160" i="20"/>
  <c r="K131" i="20"/>
  <c r="AD162" i="20"/>
  <c r="W151" i="20"/>
  <c r="J153" i="20"/>
  <c r="AF155" i="20"/>
  <c r="AJ141" i="20"/>
  <c r="I135" i="20"/>
  <c r="I133" i="20"/>
  <c r="I162" i="20"/>
  <c r="I139" i="20"/>
  <c r="I154" i="20"/>
  <c r="I150" i="20"/>
  <c r="I155" i="20"/>
  <c r="I158" i="20"/>
  <c r="I159" i="20"/>
  <c r="I151" i="20"/>
  <c r="I145" i="20"/>
  <c r="M135" i="20"/>
  <c r="M133" i="20"/>
  <c r="M158" i="20"/>
  <c r="M145" i="20"/>
  <c r="M150" i="20"/>
  <c r="M140" i="20"/>
  <c r="M138" i="20"/>
  <c r="M147" i="20"/>
  <c r="M162" i="20"/>
  <c r="M136" i="20"/>
  <c r="M154" i="20"/>
  <c r="M130" i="20"/>
  <c r="M153" i="20"/>
  <c r="M157" i="20"/>
  <c r="M156" i="20"/>
  <c r="M131" i="20"/>
  <c r="M149" i="20"/>
  <c r="I143" i="20"/>
  <c r="I141" i="20"/>
  <c r="J46" i="44"/>
  <c r="I149" i="20"/>
  <c r="I140" i="20"/>
  <c r="I153" i="20"/>
  <c r="I134" i="20"/>
  <c r="M141" i="20"/>
  <c r="I156" i="20"/>
  <c r="I138" i="20"/>
  <c r="I137" i="20"/>
  <c r="M142" i="20"/>
  <c r="U501" i="20" l="1"/>
  <c r="U47" i="44"/>
  <c r="I64" i="44"/>
  <c r="I74" i="44" s="1"/>
  <c r="Q64" i="44"/>
  <c r="Q74" i="44" s="1"/>
  <c r="D64" i="44"/>
  <c r="D74" i="44" s="1"/>
  <c r="O64" i="44"/>
  <c r="O74" i="44" s="1"/>
  <c r="W64" i="44"/>
  <c r="W74" i="44" s="1"/>
  <c r="F47" i="44"/>
  <c r="AJ492" i="20"/>
  <c r="L521" i="20"/>
  <c r="M492" i="20"/>
  <c r="AC43" i="44"/>
  <c r="AC65" i="44" s="1"/>
  <c r="AC66" i="44" s="1"/>
  <c r="K501" i="20"/>
  <c r="U630" i="20"/>
  <c r="U776" i="20" s="1"/>
  <c r="M515" i="20"/>
  <c r="P630" i="20"/>
  <c r="P776" i="20" s="1"/>
  <c r="AE513" i="20"/>
  <c r="L43" i="44"/>
  <c r="L44" i="44" s="1"/>
  <c r="L45" i="44" s="1"/>
  <c r="L635" i="20"/>
  <c r="L781" i="20" s="1"/>
  <c r="AE622" i="20"/>
  <c r="AE768" i="20" s="1"/>
  <c r="Y625" i="20"/>
  <c r="Y771" i="20" s="1"/>
  <c r="AD517" i="20"/>
  <c r="AC642" i="20"/>
  <c r="AC788" i="20" s="1"/>
  <c r="P512" i="20"/>
  <c r="AL724" i="20"/>
  <c r="AM724" i="20" s="1"/>
  <c r="O47" i="44"/>
  <c r="AJ527" i="20"/>
  <c r="AJ530" i="20" s="1"/>
  <c r="AG123" i="44" s="1"/>
  <c r="M498" i="20"/>
  <c r="AL624" i="20"/>
  <c r="AL770" i="20" s="1"/>
  <c r="AL623" i="20"/>
  <c r="AL769" i="20" s="1"/>
  <c r="P638" i="20"/>
  <c r="P784" i="20" s="1"/>
  <c r="K623" i="20"/>
  <c r="K769" i="20" s="1"/>
  <c r="Y648" i="20"/>
  <c r="Y794" i="20" s="1"/>
  <c r="AL720" i="20"/>
  <c r="AL866" i="20" s="1"/>
  <c r="G629" i="20"/>
  <c r="G775" i="20" s="1"/>
  <c r="L643" i="20"/>
  <c r="L789" i="20" s="1"/>
  <c r="T637" i="20"/>
  <c r="T783" i="20" s="1"/>
  <c r="AD636" i="20"/>
  <c r="AD782" i="20" s="1"/>
  <c r="I524" i="20"/>
  <c r="I558" i="20" s="1"/>
  <c r="AB506" i="20"/>
  <c r="AB540" i="20" s="1"/>
  <c r="R511" i="20"/>
  <c r="AB504" i="20"/>
  <c r="AB538" i="20" s="1"/>
  <c r="W501" i="20"/>
  <c r="W535" i="20" s="1"/>
  <c r="AC507" i="20"/>
  <c r="L556" i="20"/>
  <c r="X506" i="20"/>
  <c r="M649" i="20"/>
  <c r="M653" i="20" s="1"/>
  <c r="AD498" i="20"/>
  <c r="AC631" i="20"/>
  <c r="AC777" i="20" s="1"/>
  <c r="AD43" i="44"/>
  <c r="AD44" i="44" s="1"/>
  <c r="AD45" i="44" s="1"/>
  <c r="H647" i="20"/>
  <c r="H793" i="20" s="1"/>
  <c r="T43" i="44"/>
  <c r="T44" i="44" s="1"/>
  <c r="T45" i="44" s="1"/>
  <c r="AL702" i="20"/>
  <c r="AL848" i="20" s="1"/>
  <c r="AL642" i="20"/>
  <c r="AL788" i="20" s="1"/>
  <c r="I521" i="20"/>
  <c r="AB520" i="20"/>
  <c r="AB554" i="20" s="1"/>
  <c r="J522" i="20"/>
  <c r="R633" i="20"/>
  <c r="R779" i="20" s="1"/>
  <c r="M507" i="20"/>
  <c r="AB64" i="44"/>
  <c r="AB74" i="44" s="1"/>
  <c r="W512" i="20"/>
  <c r="F64" i="44"/>
  <c r="F74" i="44" s="1"/>
  <c r="Y624" i="20"/>
  <c r="Y770" i="20" s="1"/>
  <c r="AJ639" i="20"/>
  <c r="AJ785" i="20" s="1"/>
  <c r="AL705" i="20"/>
  <c r="AM705" i="20" s="1"/>
  <c r="M625" i="20"/>
  <c r="M771" i="20" s="1"/>
  <c r="T504" i="20"/>
  <c r="T538" i="20" s="1"/>
  <c r="U627" i="20"/>
  <c r="U773" i="20" s="1"/>
  <c r="W634" i="20"/>
  <c r="W780" i="20" s="1"/>
  <c r="O645" i="20"/>
  <c r="O791" i="20" s="1"/>
  <c r="Y502" i="20"/>
  <c r="U43" i="44"/>
  <c r="U44" i="44" s="1"/>
  <c r="U45" i="44" s="1"/>
  <c r="I47" i="44"/>
  <c r="AH492" i="20"/>
  <c r="AE505" i="20"/>
  <c r="AE539" i="20" s="1"/>
  <c r="U507" i="20"/>
  <c r="F43" i="44"/>
  <c r="F44" i="44" s="1"/>
  <c r="F45" i="44" s="1"/>
  <c r="X492" i="20"/>
  <c r="AB630" i="20"/>
  <c r="AB776" i="20" s="1"/>
  <c r="U32" i="44"/>
  <c r="U31" i="44" s="1"/>
  <c r="AG43" i="44"/>
  <c r="AG44" i="44" s="1"/>
  <c r="AG45" i="44" s="1"/>
  <c r="U629" i="20"/>
  <c r="U775" i="20" s="1"/>
  <c r="Y47" i="44"/>
  <c r="M629" i="20"/>
  <c r="M775" i="20" s="1"/>
  <c r="Q47" i="44"/>
  <c r="W47" i="44"/>
  <c r="U64" i="44"/>
  <c r="U74" i="44" s="1"/>
  <c r="G633" i="20"/>
  <c r="G779" i="20" s="1"/>
  <c r="X525" i="20"/>
  <c r="Z554" i="20"/>
  <c r="AB43" i="44"/>
  <c r="AB44" i="44" s="1"/>
  <c r="AB45" i="44" s="1"/>
  <c r="AL867" i="20"/>
  <c r="AM867" i="20" s="1"/>
  <c r="AH640" i="20"/>
  <c r="AH786" i="20" s="1"/>
  <c r="M524" i="20"/>
  <c r="H43" i="44"/>
  <c r="H44" i="44" s="1"/>
  <c r="H45" i="44" s="1"/>
  <c r="P493" i="20"/>
  <c r="W696" i="20"/>
  <c r="W842" i="20" s="1"/>
  <c r="J649" i="20"/>
  <c r="J795" i="20" s="1"/>
  <c r="J799" i="20" s="1"/>
  <c r="H632" i="20"/>
  <c r="H778" i="20" s="1"/>
  <c r="M630" i="20"/>
  <c r="M776" i="20" s="1"/>
  <c r="P521" i="20"/>
  <c r="P555" i="20" s="1"/>
  <c r="AJ502" i="20"/>
  <c r="AJ536" i="20" s="1"/>
  <c r="H709" i="20"/>
  <c r="H855" i="20" s="1"/>
  <c r="AH518" i="20"/>
  <c r="AE649" i="20"/>
  <c r="AE795" i="20" s="1"/>
  <c r="AE799" i="20" s="1"/>
  <c r="D32" i="44"/>
  <c r="D31" i="44" s="1"/>
  <c r="U493" i="20"/>
  <c r="M516" i="20"/>
  <c r="M550" i="20" s="1"/>
  <c r="P508" i="20"/>
  <c r="AD645" i="20"/>
  <c r="AD791" i="20" s="1"/>
  <c r="AD516" i="20"/>
  <c r="AE550" i="20"/>
  <c r="M519" i="20"/>
  <c r="G507" i="20"/>
  <c r="P527" i="20"/>
  <c r="P530" i="20" s="1"/>
  <c r="M123" i="44" s="1"/>
  <c r="AE728" i="20"/>
  <c r="AE732" i="20" s="1"/>
  <c r="H702" i="20"/>
  <c r="H848" i="20" s="1"/>
  <c r="M646" i="20"/>
  <c r="M792" i="20" s="1"/>
  <c r="AC519" i="20"/>
  <c r="AC553" i="20" s="1"/>
  <c r="U516" i="20"/>
  <c r="AB622" i="20"/>
  <c r="AB768" i="20" s="1"/>
  <c r="U709" i="20"/>
  <c r="U855" i="20" s="1"/>
  <c r="M698" i="20"/>
  <c r="M844" i="20" s="1"/>
  <c r="X494" i="20"/>
  <c r="M641" i="20"/>
  <c r="M787" i="20" s="1"/>
  <c r="AL641" i="20"/>
  <c r="AL787" i="20" s="1"/>
  <c r="T636" i="20"/>
  <c r="T782" i="20" s="1"/>
  <c r="V43" i="44"/>
  <c r="V65" i="44" s="1"/>
  <c r="V66" i="44" s="1"/>
  <c r="G709" i="20"/>
  <c r="G855" i="20" s="1"/>
  <c r="H494" i="20"/>
  <c r="I698" i="20"/>
  <c r="I844" i="20" s="1"/>
  <c r="AE527" i="20"/>
  <c r="AE530" i="20" s="1"/>
  <c r="AB123" i="44" s="1"/>
  <c r="G641" i="20"/>
  <c r="G787" i="20" s="1"/>
  <c r="P522" i="20"/>
  <c r="P556" i="20" s="1"/>
  <c r="AD495" i="20"/>
  <c r="U695" i="20"/>
  <c r="U841" i="20" s="1"/>
  <c r="U505" i="20"/>
  <c r="AB701" i="20"/>
  <c r="AB847" i="20" s="1"/>
  <c r="AB47" i="44"/>
  <c r="V47" i="44"/>
  <c r="I697" i="20"/>
  <c r="I843" i="20" s="1"/>
  <c r="AL503" i="20"/>
  <c r="W643" i="20"/>
  <c r="W789" i="20" s="1"/>
  <c r="V32" i="44"/>
  <c r="V31" i="44" s="1"/>
  <c r="I516" i="20"/>
  <c r="I550" i="20" s="1"/>
  <c r="U638" i="20"/>
  <c r="U784" i="20" s="1"/>
  <c r="AF644" i="20"/>
  <c r="AF790" i="20" s="1"/>
  <c r="AB500" i="20"/>
  <c r="U508" i="20"/>
  <c r="Y64" i="44"/>
  <c r="Y74" i="44" s="1"/>
  <c r="AL626" i="20"/>
  <c r="AL772" i="20" s="1"/>
  <c r="M637" i="20"/>
  <c r="M783" i="20" s="1"/>
  <c r="T494" i="20"/>
  <c r="W32" i="44"/>
  <c r="W31" i="44" s="1"/>
  <c r="G506" i="20"/>
  <c r="U702" i="20"/>
  <c r="U848" i="20" s="1"/>
  <c r="W646" i="20"/>
  <c r="W792" i="20" s="1"/>
  <c r="AL519" i="20"/>
  <c r="Y703" i="20"/>
  <c r="Y849" i="20" s="1"/>
  <c r="P728" i="20"/>
  <c r="P874" i="20" s="1"/>
  <c r="P878" i="20" s="1"/>
  <c r="AC634" i="20"/>
  <c r="AC780" i="20" s="1"/>
  <c r="X726" i="20"/>
  <c r="X872" i="20" s="1"/>
  <c r="V64" i="44"/>
  <c r="V74" i="44" s="1"/>
  <c r="AF522" i="20"/>
  <c r="AE628" i="20"/>
  <c r="AE774" i="20" s="1"/>
  <c r="AC512" i="20"/>
  <c r="F32" i="44"/>
  <c r="AL504" i="20"/>
  <c r="AL625" i="20"/>
  <c r="AL771" i="20" s="1"/>
  <c r="I632" i="20"/>
  <c r="I778" i="20" s="1"/>
  <c r="O635" i="20"/>
  <c r="O781" i="20" s="1"/>
  <c r="O513" i="20"/>
  <c r="H640" i="20"/>
  <c r="H786" i="20" s="1"/>
  <c r="AF648" i="20"/>
  <c r="AF794" i="20" s="1"/>
  <c r="L632" i="20"/>
  <c r="L778" i="20" s="1"/>
  <c r="L510" i="20"/>
  <c r="I630" i="20"/>
  <c r="I776" i="20" s="1"/>
  <c r="H623" i="20"/>
  <c r="H769" i="20" s="1"/>
  <c r="G696" i="20"/>
  <c r="G842" i="20" s="1"/>
  <c r="G628" i="20"/>
  <c r="G774" i="20" s="1"/>
  <c r="I512" i="20"/>
  <c r="I546" i="20" s="1"/>
  <c r="G630" i="20"/>
  <c r="I525" i="20"/>
  <c r="I508" i="20"/>
  <c r="G519" i="20"/>
  <c r="I647" i="20"/>
  <c r="I793" i="20" s="1"/>
  <c r="J624" i="20"/>
  <c r="J770" i="20" s="1"/>
  <c r="J500" i="20"/>
  <c r="M645" i="20"/>
  <c r="M791" i="20" s="1"/>
  <c r="M704" i="20"/>
  <c r="M850" i="20" s="1"/>
  <c r="AL494" i="20"/>
  <c r="AD694" i="20"/>
  <c r="AD840" i="20" s="1"/>
  <c r="P631" i="20"/>
  <c r="P777" i="20" s="1"/>
  <c r="AF626" i="20"/>
  <c r="AF772" i="20" s="1"/>
  <c r="P634" i="20"/>
  <c r="P780" i="20" s="1"/>
  <c r="O625" i="20"/>
  <c r="O771" i="20" s="1"/>
  <c r="AD639" i="20"/>
  <c r="AD785" i="20" s="1"/>
  <c r="I633" i="20"/>
  <c r="I779" i="20" s="1"/>
  <c r="AL645" i="20"/>
  <c r="AL791" i="20" s="1"/>
  <c r="L508" i="20"/>
  <c r="AC639" i="20"/>
  <c r="AC785" i="20" s="1"/>
  <c r="W505" i="20"/>
  <c r="O709" i="20"/>
  <c r="O855" i="20" s="1"/>
  <c r="M523" i="20"/>
  <c r="M503" i="20"/>
  <c r="M43" i="44"/>
  <c r="M44" i="44" s="1"/>
  <c r="M45" i="44" s="1"/>
  <c r="I494" i="20"/>
  <c r="J502" i="20"/>
  <c r="Y503" i="20"/>
  <c r="M632" i="20"/>
  <c r="M778" i="20" s="1"/>
  <c r="M647" i="20"/>
  <c r="M793" i="20" s="1"/>
  <c r="AD492" i="20"/>
  <c r="H649" i="20"/>
  <c r="H795" i="20" s="1"/>
  <c r="H799" i="20" s="1"/>
  <c r="AC646" i="20"/>
  <c r="AC792" i="20" s="1"/>
  <c r="P629" i="20"/>
  <c r="P775" i="20" s="1"/>
  <c r="J622" i="20"/>
  <c r="J768" i="20" s="1"/>
  <c r="D47" i="44"/>
  <c r="P509" i="20"/>
  <c r="AF504" i="20"/>
  <c r="O503" i="20"/>
  <c r="AD511" i="20"/>
  <c r="AD545" i="20" s="1"/>
  <c r="AL653" i="20"/>
  <c r="J644" i="20"/>
  <c r="J790" i="20" s="1"/>
  <c r="AH644" i="20"/>
  <c r="AH790" i="20" s="1"/>
  <c r="L630" i="20"/>
  <c r="L776" i="20" s="1"/>
  <c r="AC517" i="20"/>
  <c r="W627" i="20"/>
  <c r="W773" i="20" s="1"/>
  <c r="O508" i="20"/>
  <c r="X628" i="20"/>
  <c r="X774" i="20" s="1"/>
  <c r="G523" i="20"/>
  <c r="G557" i="20" s="1"/>
  <c r="Z701" i="20"/>
  <c r="Z847" i="20" s="1"/>
  <c r="H508" i="20"/>
  <c r="M527" i="20"/>
  <c r="G492" i="20"/>
  <c r="H525" i="20"/>
  <c r="P515" i="20"/>
  <c r="M634" i="20"/>
  <c r="M780" i="20" s="1"/>
  <c r="P494" i="20"/>
  <c r="P498" i="20"/>
  <c r="M726" i="20"/>
  <c r="M872" i="20" s="1"/>
  <c r="AC524" i="20"/>
  <c r="I643" i="20"/>
  <c r="I789" i="20" s="1"/>
  <c r="AH522" i="20"/>
  <c r="P637" i="20"/>
  <c r="P783" i="20" s="1"/>
  <c r="I43" i="44"/>
  <c r="I44" i="44" s="1"/>
  <c r="I45" i="44" s="1"/>
  <c r="I500" i="20"/>
  <c r="P518" i="20"/>
  <c r="P552" i="20" s="1"/>
  <c r="AL505" i="20"/>
  <c r="P507" i="20"/>
  <c r="AL706" i="20"/>
  <c r="AL852" i="20" s="1"/>
  <c r="AM852" i="20" s="1"/>
  <c r="AE501" i="20"/>
  <c r="K624" i="20"/>
  <c r="K770" i="20" s="1"/>
  <c r="AD627" i="20"/>
  <c r="AD773" i="20" s="1"/>
  <c r="AH554" i="20"/>
  <c r="G500" i="20"/>
  <c r="K555" i="20"/>
  <c r="D43" i="44"/>
  <c r="D44" i="44" s="1"/>
  <c r="D45" i="44" s="1"/>
  <c r="G701" i="20"/>
  <c r="G847" i="20" s="1"/>
  <c r="AL728" i="20"/>
  <c r="AL874" i="20" s="1"/>
  <c r="AL878" i="20" s="1"/>
  <c r="AL882" i="20" s="1"/>
  <c r="AI131" i="44" s="1"/>
  <c r="AI133" i="44" s="1"/>
  <c r="H527" i="20"/>
  <c r="H530" i="20" s="1"/>
  <c r="E123" i="44" s="1"/>
  <c r="AL520" i="20"/>
  <c r="H728" i="20"/>
  <c r="H732" i="20" s="1"/>
  <c r="I493" i="20"/>
  <c r="I622" i="20"/>
  <c r="I768" i="20" s="1"/>
  <c r="T493" i="20"/>
  <c r="AE623" i="20"/>
  <c r="AE769" i="20" s="1"/>
  <c r="AC629" i="20"/>
  <c r="AC775" i="20" s="1"/>
  <c r="G504" i="20"/>
  <c r="G538" i="20" s="1"/>
  <c r="AC545" i="20"/>
  <c r="AD641" i="20"/>
  <c r="AD787" i="20" s="1"/>
  <c r="AB637" i="20"/>
  <c r="AB783" i="20" s="1"/>
  <c r="M501" i="20"/>
  <c r="AK703" i="20"/>
  <c r="AK849" i="20" s="1"/>
  <c r="Q498" i="20"/>
  <c r="AB513" i="20"/>
  <c r="U492" i="20"/>
  <c r="AJ649" i="20"/>
  <c r="AJ653" i="20" s="1"/>
  <c r="R547" i="20"/>
  <c r="Z622" i="20"/>
  <c r="Z768" i="20" s="1"/>
  <c r="Y504" i="20"/>
  <c r="Y538" i="20" s="1"/>
  <c r="AJ553" i="20"/>
  <c r="T525" i="20"/>
  <c r="T726" i="20"/>
  <c r="T872" i="20" s="1"/>
  <c r="I728" i="20"/>
  <c r="I527" i="20"/>
  <c r="I530" i="20" s="1"/>
  <c r="F123" i="44" s="1"/>
  <c r="G522" i="20"/>
  <c r="G556" i="20" s="1"/>
  <c r="J527" i="20"/>
  <c r="J530" i="20" s="1"/>
  <c r="G123" i="44" s="1"/>
  <c r="G101" i="44" s="1"/>
  <c r="J698" i="20"/>
  <c r="J844" i="20" s="1"/>
  <c r="P516" i="20"/>
  <c r="H510" i="20"/>
  <c r="AD638" i="20"/>
  <c r="AD784" i="20" s="1"/>
  <c r="M623" i="20"/>
  <c r="M769" i="20" s="1"/>
  <c r="AK624" i="20"/>
  <c r="AK770" i="20" s="1"/>
  <c r="AB714" i="20"/>
  <c r="AB860" i="20" s="1"/>
  <c r="M508" i="20"/>
  <c r="X504" i="20"/>
  <c r="X538" i="20" s="1"/>
  <c r="AE714" i="20"/>
  <c r="AE860" i="20" s="1"/>
  <c r="G635" i="20"/>
  <c r="G781" i="20" s="1"/>
  <c r="AJ728" i="20"/>
  <c r="AJ732" i="20" s="1"/>
  <c r="Z500" i="20"/>
  <c r="X527" i="20"/>
  <c r="X649" i="20"/>
  <c r="I492" i="20"/>
  <c r="I694" i="20"/>
  <c r="I840" i="20" s="1"/>
  <c r="AL527" i="20"/>
  <c r="AL530" i="20" s="1"/>
  <c r="AI123" i="44" s="1"/>
  <c r="O504" i="20"/>
  <c r="O538" i="20" s="1"/>
  <c r="J648" i="20"/>
  <c r="J794" i="20" s="1"/>
  <c r="J526" i="20"/>
  <c r="AC703" i="20"/>
  <c r="AC849" i="20" s="1"/>
  <c r="AC502" i="20"/>
  <c r="AC624" i="20"/>
  <c r="AC770" i="20" s="1"/>
  <c r="X648" i="20"/>
  <c r="X794" i="20" s="1"/>
  <c r="X526" i="20"/>
  <c r="O694" i="20"/>
  <c r="O840" i="20" s="1"/>
  <c r="O492" i="20"/>
  <c r="I624" i="20"/>
  <c r="I770" i="20" s="1"/>
  <c r="I502" i="20"/>
  <c r="I635" i="20"/>
  <c r="I781" i="20" s="1"/>
  <c r="I513" i="20"/>
  <c r="M517" i="20"/>
  <c r="M639" i="20"/>
  <c r="M785" i="20" s="1"/>
  <c r="M636" i="20"/>
  <c r="M782" i="20" s="1"/>
  <c r="M514" i="20"/>
  <c r="I644" i="20"/>
  <c r="I790" i="20" s="1"/>
  <c r="I522" i="20"/>
  <c r="I625" i="20"/>
  <c r="I771" i="20" s="1"/>
  <c r="I704" i="20"/>
  <c r="I850" i="20" s="1"/>
  <c r="I503" i="20"/>
  <c r="K504" i="20"/>
  <c r="K626" i="20"/>
  <c r="K772" i="20" s="1"/>
  <c r="AD496" i="20"/>
  <c r="AD698" i="20"/>
  <c r="AD844" i="20" s="1"/>
  <c r="H631" i="20"/>
  <c r="H777" i="20" s="1"/>
  <c r="H509" i="20"/>
  <c r="T641" i="20"/>
  <c r="T787" i="20" s="1"/>
  <c r="T519" i="20"/>
  <c r="R47" i="44"/>
  <c r="R64" i="44"/>
  <c r="R74" i="44" s="1"/>
  <c r="R32" i="44"/>
  <c r="AF623" i="20"/>
  <c r="AF769" i="20" s="1"/>
  <c r="AF501" i="20"/>
  <c r="AF702" i="20"/>
  <c r="AF848" i="20" s="1"/>
  <c r="AC636" i="20"/>
  <c r="AC782" i="20" s="1"/>
  <c r="AC514" i="20"/>
  <c r="AC645" i="20"/>
  <c r="AC791" i="20" s="1"/>
  <c r="AC523" i="20"/>
  <c r="Q43" i="44"/>
  <c r="T635" i="20"/>
  <c r="T781" i="20" s="1"/>
  <c r="T513" i="20"/>
  <c r="T634" i="20"/>
  <c r="T780" i="20" s="1"/>
  <c r="T512" i="20"/>
  <c r="T517" i="20"/>
  <c r="T639" i="20"/>
  <c r="T785" i="20" s="1"/>
  <c r="AL498" i="20"/>
  <c r="AL700" i="20"/>
  <c r="AL846" i="20" s="1"/>
  <c r="AL694" i="20"/>
  <c r="AL293" i="20"/>
  <c r="AL492" i="20"/>
  <c r="AL636" i="20"/>
  <c r="AL782" i="20" s="1"/>
  <c r="AL715" i="20"/>
  <c r="AL514" i="20"/>
  <c r="H712" i="20"/>
  <c r="H511" i="20"/>
  <c r="H633" i="20"/>
  <c r="H779" i="20" s="1"/>
  <c r="H645" i="20"/>
  <c r="H791" i="20" s="1"/>
  <c r="H523" i="20"/>
  <c r="H627" i="20"/>
  <c r="H773" i="20" s="1"/>
  <c r="H505" i="20"/>
  <c r="H294" i="20"/>
  <c r="H499" i="20"/>
  <c r="H621" i="20" s="1"/>
  <c r="W625" i="20"/>
  <c r="W771" i="20" s="1"/>
  <c r="W503" i="20"/>
  <c r="W704" i="20"/>
  <c r="W850" i="20" s="1"/>
  <c r="W495" i="20"/>
  <c r="W697" i="20"/>
  <c r="W843" i="20" s="1"/>
  <c r="W626" i="20"/>
  <c r="W772" i="20" s="1"/>
  <c r="W504" i="20"/>
  <c r="L498" i="20"/>
  <c r="L700" i="20"/>
  <c r="L846" i="20" s="1"/>
  <c r="O525" i="20"/>
  <c r="O726" i="20"/>
  <c r="O872" i="20" s="1"/>
  <c r="O647" i="20"/>
  <c r="O793" i="20" s="1"/>
  <c r="O643" i="20"/>
  <c r="O789" i="20" s="1"/>
  <c r="O521" i="20"/>
  <c r="O627" i="20"/>
  <c r="O773" i="20" s="1"/>
  <c r="O505" i="20"/>
  <c r="P646" i="20"/>
  <c r="P792" i="20" s="1"/>
  <c r="P524" i="20"/>
  <c r="P725" i="20"/>
  <c r="P871" i="20" s="1"/>
  <c r="P633" i="20"/>
  <c r="P779" i="20" s="1"/>
  <c r="P511" i="20"/>
  <c r="J626" i="20"/>
  <c r="J772" i="20" s="1"/>
  <c r="J504" i="20"/>
  <c r="J509" i="20"/>
  <c r="J631" i="20"/>
  <c r="J777" i="20" s="1"/>
  <c r="J516" i="20"/>
  <c r="J638" i="20"/>
  <c r="J784" i="20" s="1"/>
  <c r="J499" i="20"/>
  <c r="J621" i="20" s="1"/>
  <c r="J294" i="20"/>
  <c r="G497" i="20"/>
  <c r="G493" i="20"/>
  <c r="G695" i="20"/>
  <c r="Y519" i="20"/>
  <c r="Y641" i="20"/>
  <c r="Y787" i="20" s="1"/>
  <c r="K527" i="20"/>
  <c r="K728" i="20"/>
  <c r="K649" i="20"/>
  <c r="K524" i="20"/>
  <c r="K646" i="20"/>
  <c r="K792" i="20" s="1"/>
  <c r="K725" i="20"/>
  <c r="K871" i="20" s="1"/>
  <c r="K633" i="20"/>
  <c r="K779" i="20" s="1"/>
  <c r="K511" i="20"/>
  <c r="K498" i="20"/>
  <c r="K700" i="20"/>
  <c r="K846" i="20" s="1"/>
  <c r="AE631" i="20"/>
  <c r="AE777" i="20" s="1"/>
  <c r="AE509" i="20"/>
  <c r="AE494" i="20"/>
  <c r="AE696" i="20"/>
  <c r="AE842" i="20" s="1"/>
  <c r="AE493" i="20"/>
  <c r="AE695" i="20"/>
  <c r="AE841" i="20" s="1"/>
  <c r="X641" i="20"/>
  <c r="X787" i="20" s="1"/>
  <c r="X519" i="20"/>
  <c r="X644" i="20"/>
  <c r="X790" i="20" s="1"/>
  <c r="X522" i="20"/>
  <c r="X495" i="20"/>
  <c r="X697" i="20"/>
  <c r="X843" i="20" s="1"/>
  <c r="U635" i="20"/>
  <c r="U781" i="20" s="1"/>
  <c r="U513" i="20"/>
  <c r="U714" i="20"/>
  <c r="U860" i="20" s="1"/>
  <c r="U502" i="20"/>
  <c r="U624" i="20"/>
  <c r="U770" i="20" s="1"/>
  <c r="U703" i="20"/>
  <c r="U849" i="20" s="1"/>
  <c r="U637" i="20"/>
  <c r="U783" i="20" s="1"/>
  <c r="U515" i="20"/>
  <c r="AJ645" i="20"/>
  <c r="AJ791" i="20" s="1"/>
  <c r="AJ523" i="20"/>
  <c r="AE498" i="20"/>
  <c r="AE700" i="20"/>
  <c r="AE846" i="20" s="1"/>
  <c r="Y43" i="44"/>
  <c r="AB623" i="20"/>
  <c r="AB769" i="20" s="1"/>
  <c r="AB501" i="20"/>
  <c r="AB702" i="20"/>
  <c r="AB848" i="20" s="1"/>
  <c r="G732" i="20"/>
  <c r="G874" i="20"/>
  <c r="AF622" i="20"/>
  <c r="AF768" i="20" s="1"/>
  <c r="AF500" i="20"/>
  <c r="AF701" i="20"/>
  <c r="AF847" i="20" s="1"/>
  <c r="Y630" i="20"/>
  <c r="Y776" i="20" s="1"/>
  <c r="Y508" i="20"/>
  <c r="Y709" i="20"/>
  <c r="Y855" i="20" s="1"/>
  <c r="Y495" i="20"/>
  <c r="Y697" i="20"/>
  <c r="Y843" i="20" s="1"/>
  <c r="Y522" i="20"/>
  <c r="Y644" i="20"/>
  <c r="Y790" i="20" s="1"/>
  <c r="AD626" i="20"/>
  <c r="AD772" i="20" s="1"/>
  <c r="AD504" i="20"/>
  <c r="AD525" i="20"/>
  <c r="AD647" i="20"/>
  <c r="AD793" i="20" s="1"/>
  <c r="AD515" i="20"/>
  <c r="AD637" i="20"/>
  <c r="AD783" i="20" s="1"/>
  <c r="AD497" i="20"/>
  <c r="L503" i="20"/>
  <c r="L625" i="20"/>
  <c r="L771" i="20" s="1"/>
  <c r="L704" i="20"/>
  <c r="L850" i="20" s="1"/>
  <c r="L525" i="20"/>
  <c r="L647" i="20"/>
  <c r="L793" i="20" s="1"/>
  <c r="L726" i="20"/>
  <c r="L872" i="20" s="1"/>
  <c r="L640" i="20"/>
  <c r="L786" i="20" s="1"/>
  <c r="L518" i="20"/>
  <c r="AJ521" i="20"/>
  <c r="AJ643" i="20"/>
  <c r="AJ789" i="20" s="1"/>
  <c r="AJ516" i="20"/>
  <c r="AJ638" i="20"/>
  <c r="AJ784" i="20" s="1"/>
  <c r="AJ518" i="20"/>
  <c r="AJ640" i="20"/>
  <c r="AJ786" i="20" s="1"/>
  <c r="AF493" i="20"/>
  <c r="AF695" i="20"/>
  <c r="AF633" i="20"/>
  <c r="AF779" i="20" s="1"/>
  <c r="AF511" i="20"/>
  <c r="AF497" i="20"/>
  <c r="AJ840" i="20"/>
  <c r="AH493" i="20"/>
  <c r="AH695" i="20"/>
  <c r="AH841" i="20" s="1"/>
  <c r="AH649" i="20"/>
  <c r="AH728" i="20"/>
  <c r="AH527" i="20"/>
  <c r="AH512" i="20"/>
  <c r="AH634" i="20"/>
  <c r="AH780" i="20" s="1"/>
  <c r="AH623" i="20"/>
  <c r="AH769" i="20" s="1"/>
  <c r="AH501" i="20"/>
  <c r="AH702" i="20"/>
  <c r="AH848" i="20" s="1"/>
  <c r="Z519" i="20"/>
  <c r="Z641" i="20"/>
  <c r="Z787" i="20" s="1"/>
  <c r="Z720" i="20"/>
  <c r="Z702" i="20"/>
  <c r="Z848" i="20" s="1"/>
  <c r="Z501" i="20"/>
  <c r="Z623" i="20"/>
  <c r="Z769" i="20" s="1"/>
  <c r="Z495" i="20"/>
  <c r="Z697" i="20"/>
  <c r="Z843" i="20" s="1"/>
  <c r="Z514" i="20"/>
  <c r="Z636" i="20"/>
  <c r="Z782" i="20" s="1"/>
  <c r="X840" i="20"/>
  <c r="AG646" i="20"/>
  <c r="AG792" i="20" s="1"/>
  <c r="AG725" i="20"/>
  <c r="AG871" i="20" s="1"/>
  <c r="AG524" i="20"/>
  <c r="AG625" i="20"/>
  <c r="AG771" i="20" s="1"/>
  <c r="AG503" i="20"/>
  <c r="AG704" i="20"/>
  <c r="AG850" i="20" s="1"/>
  <c r="AG525" i="20"/>
  <c r="AG647" i="20"/>
  <c r="AG793" i="20" s="1"/>
  <c r="N502" i="20"/>
  <c r="N703" i="20"/>
  <c r="N849" i="20" s="1"/>
  <c r="N624" i="20"/>
  <c r="N770" i="20" s="1"/>
  <c r="S507" i="20"/>
  <c r="S629" i="20"/>
  <c r="S775" i="20" s="1"/>
  <c r="S708" i="20"/>
  <c r="S854" i="20" s="1"/>
  <c r="S521" i="20"/>
  <c r="S643" i="20"/>
  <c r="S789" i="20" s="1"/>
  <c r="S702" i="20"/>
  <c r="S848" i="20" s="1"/>
  <c r="S501" i="20"/>
  <c r="S623" i="20"/>
  <c r="S769" i="20" s="1"/>
  <c r="S509" i="20"/>
  <c r="S631" i="20"/>
  <c r="S777" i="20" s="1"/>
  <c r="S514" i="20"/>
  <c r="S636" i="20"/>
  <c r="S782" i="20" s="1"/>
  <c r="N505" i="20"/>
  <c r="N627" i="20"/>
  <c r="N773" i="20" s="1"/>
  <c r="N492" i="20"/>
  <c r="N694" i="20"/>
  <c r="N293" i="20"/>
  <c r="K47" i="44"/>
  <c r="K32" i="44"/>
  <c r="K64" i="44"/>
  <c r="K74" i="44" s="1"/>
  <c r="N519" i="20"/>
  <c r="N641" i="20"/>
  <c r="N787" i="20" s="1"/>
  <c r="N631" i="20"/>
  <c r="N777" i="20" s="1"/>
  <c r="N509" i="20"/>
  <c r="V525" i="20"/>
  <c r="V647" i="20"/>
  <c r="V793" i="20" s="1"/>
  <c r="V726" i="20"/>
  <c r="V872" i="20" s="1"/>
  <c r="AI518" i="20"/>
  <c r="AI640" i="20"/>
  <c r="AI786" i="20" s="1"/>
  <c r="V495" i="20"/>
  <c r="V697" i="20"/>
  <c r="V843" i="20" s="1"/>
  <c r="V506" i="20"/>
  <c r="V628" i="20"/>
  <c r="V774" i="20" s="1"/>
  <c r="V623" i="20"/>
  <c r="V769" i="20" s="1"/>
  <c r="V702" i="20"/>
  <c r="V848" i="20" s="1"/>
  <c r="V501" i="20"/>
  <c r="V642" i="20"/>
  <c r="V788" i="20" s="1"/>
  <c r="V520" i="20"/>
  <c r="V497" i="20"/>
  <c r="O43" i="44"/>
  <c r="R624" i="20"/>
  <c r="R770" i="20" s="1"/>
  <c r="R502" i="20"/>
  <c r="R703" i="20"/>
  <c r="R849" i="20" s="1"/>
  <c r="R495" i="20"/>
  <c r="R697" i="20"/>
  <c r="R843" i="20" s="1"/>
  <c r="R640" i="20"/>
  <c r="R786" i="20" s="1"/>
  <c r="R518" i="20"/>
  <c r="AK518" i="20"/>
  <c r="AK640" i="20"/>
  <c r="AK786" i="20" s="1"/>
  <c r="AK527" i="20"/>
  <c r="AK649" i="20"/>
  <c r="AK728" i="20"/>
  <c r="G44" i="44"/>
  <c r="G45" i="44" s="1"/>
  <c r="G65" i="44"/>
  <c r="G66" i="44" s="1"/>
  <c r="AA644" i="20"/>
  <c r="AA790" i="20" s="1"/>
  <c r="AA522" i="20"/>
  <c r="AA493" i="20"/>
  <c r="AA695" i="20"/>
  <c r="AA841" i="20" s="1"/>
  <c r="AA495" i="20"/>
  <c r="AA697" i="20"/>
  <c r="AA843" i="20" s="1"/>
  <c r="Q496" i="20"/>
  <c r="Q698" i="20"/>
  <c r="Q844" i="20" s="1"/>
  <c r="Q503" i="20"/>
  <c r="Q704" i="20"/>
  <c r="Q850" i="20" s="1"/>
  <c r="Q625" i="20"/>
  <c r="Q771" i="20" s="1"/>
  <c r="Q641" i="20"/>
  <c r="Q787" i="20" s="1"/>
  <c r="Q519" i="20"/>
  <c r="Q511" i="20"/>
  <c r="Q633" i="20"/>
  <c r="Q779" i="20" s="1"/>
  <c r="AH293" i="20"/>
  <c r="AF43" i="44"/>
  <c r="AI506" i="20"/>
  <c r="AI628" i="20"/>
  <c r="AI774" i="20" s="1"/>
  <c r="AI495" i="20"/>
  <c r="AI697" i="20"/>
  <c r="AI843" i="20" s="1"/>
  <c r="AI627" i="20"/>
  <c r="AI773" i="20" s="1"/>
  <c r="AI505" i="20"/>
  <c r="AI294" i="20"/>
  <c r="AI499" i="20"/>
  <c r="AI621" i="20" s="1"/>
  <c r="AF293" i="20"/>
  <c r="V561" i="20"/>
  <c r="V565" i="20" s="1"/>
  <c r="V530" i="20"/>
  <c r="S123" i="44" s="1"/>
  <c r="I520" i="20"/>
  <c r="I642" i="20"/>
  <c r="I788" i="20" s="1"/>
  <c r="J47" i="44"/>
  <c r="J64" i="44"/>
  <c r="J74" i="44" s="1"/>
  <c r="J32" i="44"/>
  <c r="J31" i="44" s="1"/>
  <c r="M494" i="20"/>
  <c r="M696" i="20"/>
  <c r="M293" i="20"/>
  <c r="M509" i="20"/>
  <c r="M631" i="20"/>
  <c r="M777" i="20" s="1"/>
  <c r="I519" i="20"/>
  <c r="I641" i="20"/>
  <c r="I787" i="20" s="1"/>
  <c r="AJ627" i="20"/>
  <c r="AJ773" i="20" s="1"/>
  <c r="AJ505" i="20"/>
  <c r="L623" i="20"/>
  <c r="L769" i="20" s="1"/>
  <c r="L501" i="20"/>
  <c r="U628" i="20"/>
  <c r="U774" i="20" s="1"/>
  <c r="U506" i="20"/>
  <c r="AC709" i="20"/>
  <c r="AC855" i="20" s="1"/>
  <c r="AC508" i="20"/>
  <c r="AC630" i="20"/>
  <c r="AC776" i="20" s="1"/>
  <c r="AC494" i="20"/>
  <c r="AC696" i="20"/>
  <c r="AC842" i="20" s="1"/>
  <c r="AC648" i="20"/>
  <c r="AC794" i="20" s="1"/>
  <c r="AC526" i="20"/>
  <c r="T728" i="20"/>
  <c r="T649" i="20"/>
  <c r="T527" i="20"/>
  <c r="T293" i="20"/>
  <c r="T492" i="20"/>
  <c r="T694" i="20"/>
  <c r="Q32" i="44"/>
  <c r="Q31" i="44" s="1"/>
  <c r="T521" i="20"/>
  <c r="T643" i="20"/>
  <c r="T789" i="20" s="1"/>
  <c r="T511" i="20"/>
  <c r="T633" i="20"/>
  <c r="T779" i="20" s="1"/>
  <c r="AI47" i="44"/>
  <c r="AI64" i="44"/>
  <c r="AI74" i="44" s="1"/>
  <c r="AI32" i="44"/>
  <c r="AI31" i="44" s="1"/>
  <c r="AL622" i="20"/>
  <c r="AL768" i="20" s="1"/>
  <c r="AL701" i="20"/>
  <c r="AL847" i="20" s="1"/>
  <c r="AL500" i="20"/>
  <c r="U728" i="20"/>
  <c r="U649" i="20"/>
  <c r="U527" i="20"/>
  <c r="H502" i="20"/>
  <c r="H703" i="20"/>
  <c r="H624" i="20"/>
  <c r="H770" i="20" s="1"/>
  <c r="H643" i="20"/>
  <c r="H789" i="20" s="1"/>
  <c r="H521" i="20"/>
  <c r="H498" i="20"/>
  <c r="H700" i="20"/>
  <c r="H846" i="20" s="1"/>
  <c r="W527" i="20"/>
  <c r="W728" i="20"/>
  <c r="W649" i="20"/>
  <c r="W642" i="20"/>
  <c r="W788" i="20" s="1"/>
  <c r="W520" i="20"/>
  <c r="W631" i="20"/>
  <c r="W777" i="20" s="1"/>
  <c r="W509" i="20"/>
  <c r="M47" i="44"/>
  <c r="M64" i="44"/>
  <c r="M74" i="44" s="1"/>
  <c r="M32" i="44"/>
  <c r="M31" i="44" s="1"/>
  <c r="O517" i="20"/>
  <c r="O639" i="20"/>
  <c r="O785" i="20" s="1"/>
  <c r="O498" i="20"/>
  <c r="O700" i="20"/>
  <c r="O846" i="20" s="1"/>
  <c r="O497" i="20"/>
  <c r="P510" i="20"/>
  <c r="P632" i="20"/>
  <c r="P778" i="20" s="1"/>
  <c r="P496" i="20"/>
  <c r="P698" i="20"/>
  <c r="P844" i="20" s="1"/>
  <c r="J510" i="20"/>
  <c r="J632" i="20"/>
  <c r="J778" i="20" s="1"/>
  <c r="J498" i="20"/>
  <c r="J700" i="20"/>
  <c r="J846" i="20" s="1"/>
  <c r="J633" i="20"/>
  <c r="J779" i="20" s="1"/>
  <c r="J511" i="20"/>
  <c r="G514" i="20"/>
  <c r="G636" i="20"/>
  <c r="G643" i="20"/>
  <c r="G521" i="20"/>
  <c r="L496" i="20"/>
  <c r="L698" i="20"/>
  <c r="L844" i="20" s="1"/>
  <c r="L516" i="20"/>
  <c r="L638" i="20"/>
  <c r="L784" i="20" s="1"/>
  <c r="I795" i="20"/>
  <c r="I799" i="20" s="1"/>
  <c r="I653" i="20"/>
  <c r="AB492" i="20"/>
  <c r="AB293" i="20"/>
  <c r="AB694" i="20"/>
  <c r="K515" i="20"/>
  <c r="K637" i="20"/>
  <c r="K783" i="20" s="1"/>
  <c r="K632" i="20"/>
  <c r="K778" i="20" s="1"/>
  <c r="K510" i="20"/>
  <c r="K497" i="20"/>
  <c r="AE633" i="20"/>
  <c r="AE779" i="20" s="1"/>
  <c r="AE712" i="20"/>
  <c r="AE858" i="20" s="1"/>
  <c r="AE511" i="20"/>
  <c r="AE504" i="20"/>
  <c r="AE626" i="20"/>
  <c r="AE772" i="20" s="1"/>
  <c r="AE629" i="20"/>
  <c r="AE775" i="20" s="1"/>
  <c r="AE507" i="20"/>
  <c r="X630" i="20"/>
  <c r="X776" i="20" s="1"/>
  <c r="X709" i="20"/>
  <c r="X855" i="20" s="1"/>
  <c r="X508" i="20"/>
  <c r="X636" i="20"/>
  <c r="X782" i="20" s="1"/>
  <c r="X514" i="20"/>
  <c r="X645" i="20"/>
  <c r="X791" i="20" s="1"/>
  <c r="X523" i="20"/>
  <c r="X497" i="20"/>
  <c r="U495" i="20"/>
  <c r="U697" i="20"/>
  <c r="U843" i="20" s="1"/>
  <c r="U503" i="20"/>
  <c r="U704" i="20"/>
  <c r="U850" i="20" s="1"/>
  <c r="U625" i="20"/>
  <c r="U771" i="20" s="1"/>
  <c r="AB732" i="20"/>
  <c r="AB874" i="20"/>
  <c r="AB878" i="20" s="1"/>
  <c r="L504" i="20"/>
  <c r="L626" i="20"/>
  <c r="L772" i="20" s="1"/>
  <c r="AB521" i="20"/>
  <c r="AB643" i="20"/>
  <c r="AB789" i="20" s="1"/>
  <c r="AB646" i="20"/>
  <c r="AB792" i="20" s="1"/>
  <c r="AB524" i="20"/>
  <c r="AB725" i="20"/>
  <c r="AB871" i="20" s="1"/>
  <c r="AB516" i="20"/>
  <c r="AB638" i="20"/>
  <c r="AB784" i="20" s="1"/>
  <c r="Y633" i="20"/>
  <c r="Y779" i="20" s="1"/>
  <c r="Y511" i="20"/>
  <c r="Y500" i="20"/>
  <c r="Y701" i="20"/>
  <c r="Y847" i="20" s="1"/>
  <c r="Y622" i="20"/>
  <c r="Y768" i="20" s="1"/>
  <c r="Y501" i="20"/>
  <c r="Y623" i="20"/>
  <c r="Y769" i="20" s="1"/>
  <c r="Y702" i="20"/>
  <c r="Y848" i="20" s="1"/>
  <c r="AD624" i="20"/>
  <c r="AD770" i="20" s="1"/>
  <c r="AD502" i="20"/>
  <c r="AD703" i="20"/>
  <c r="AD849" i="20" s="1"/>
  <c r="AD630" i="20"/>
  <c r="AD776" i="20" s="1"/>
  <c r="AD508" i="20"/>
  <c r="AD709" i="20"/>
  <c r="AD855" i="20" s="1"/>
  <c r="L517" i="20"/>
  <c r="L639" i="20"/>
  <c r="L785" i="20" s="1"/>
  <c r="L494" i="20"/>
  <c r="L696" i="20"/>
  <c r="L842" i="20" s="1"/>
  <c r="L497" i="20"/>
  <c r="AJ513" i="20"/>
  <c r="AJ635" i="20"/>
  <c r="AJ781" i="20" s="1"/>
  <c r="AJ500" i="20"/>
  <c r="AJ622" i="20"/>
  <c r="AJ768" i="20" s="1"/>
  <c r="AJ701" i="20"/>
  <c r="AJ847" i="20" s="1"/>
  <c r="AJ514" i="20"/>
  <c r="AJ636" i="20"/>
  <c r="AJ782" i="20" s="1"/>
  <c r="AF642" i="20"/>
  <c r="AF788" i="20" s="1"/>
  <c r="AF520" i="20"/>
  <c r="AF509" i="20"/>
  <c r="AF631" i="20"/>
  <c r="AF777" i="20" s="1"/>
  <c r="V503" i="20"/>
  <c r="V625" i="20"/>
  <c r="V771" i="20" s="1"/>
  <c r="V704" i="20"/>
  <c r="V850" i="20" s="1"/>
  <c r="AE43" i="44"/>
  <c r="AH633" i="20"/>
  <c r="AH779" i="20" s="1"/>
  <c r="AH511" i="20"/>
  <c r="AH523" i="20"/>
  <c r="AH645" i="20"/>
  <c r="AH791" i="20" s="1"/>
  <c r="AH514" i="20"/>
  <c r="AH636" i="20"/>
  <c r="AH782" i="20" s="1"/>
  <c r="Z504" i="20"/>
  <c r="Z626" i="20"/>
  <c r="Z772" i="20" s="1"/>
  <c r="Z638" i="20"/>
  <c r="Z784" i="20" s="1"/>
  <c r="Z516" i="20"/>
  <c r="Z493" i="20"/>
  <c r="Z695" i="20"/>
  <c r="Z841" i="20" s="1"/>
  <c r="Z522" i="20"/>
  <c r="Z644" i="20"/>
  <c r="Z790" i="20" s="1"/>
  <c r="Z497" i="20"/>
  <c r="AG636" i="20"/>
  <c r="AG782" i="20" s="1"/>
  <c r="AG514" i="20"/>
  <c r="AG510" i="20"/>
  <c r="AG632" i="20"/>
  <c r="AG778" i="20" s="1"/>
  <c r="AG642" i="20"/>
  <c r="AG788" i="20" s="1"/>
  <c r="AG520" i="20"/>
  <c r="AG515" i="20"/>
  <c r="AG637" i="20"/>
  <c r="AG783" i="20" s="1"/>
  <c r="S634" i="20"/>
  <c r="S780" i="20" s="1"/>
  <c r="S512" i="20"/>
  <c r="P47" i="44"/>
  <c r="P64" i="44"/>
  <c r="P74" i="44" s="1"/>
  <c r="P32" i="44"/>
  <c r="P31" i="44" s="1"/>
  <c r="S511" i="20"/>
  <c r="S633" i="20"/>
  <c r="S779" i="20" s="1"/>
  <c r="S627" i="20"/>
  <c r="S773" i="20" s="1"/>
  <c r="S505" i="20"/>
  <c r="S645" i="20"/>
  <c r="S791" i="20" s="1"/>
  <c r="S523" i="20"/>
  <c r="K43" i="44"/>
  <c r="N507" i="20"/>
  <c r="N629" i="20"/>
  <c r="N775" i="20" s="1"/>
  <c r="N708" i="20"/>
  <c r="N854" i="20" s="1"/>
  <c r="N515" i="20"/>
  <c r="N637" i="20"/>
  <c r="N783" i="20" s="1"/>
  <c r="AI43" i="44"/>
  <c r="V633" i="20"/>
  <c r="V779" i="20" s="1"/>
  <c r="V511" i="20"/>
  <c r="V494" i="20"/>
  <c r="V696" i="20"/>
  <c r="V842" i="20" s="1"/>
  <c r="V630" i="20"/>
  <c r="V776" i="20" s="1"/>
  <c r="V508" i="20"/>
  <c r="V709" i="20"/>
  <c r="V855" i="20" s="1"/>
  <c r="V526" i="20"/>
  <c r="V648" i="20"/>
  <c r="V794" i="20" s="1"/>
  <c r="R498" i="20"/>
  <c r="R700" i="20"/>
  <c r="R846" i="20" s="1"/>
  <c r="R510" i="20"/>
  <c r="R632" i="20"/>
  <c r="R778" i="20" s="1"/>
  <c r="R631" i="20"/>
  <c r="R777" i="20" s="1"/>
  <c r="R509" i="20"/>
  <c r="R637" i="20"/>
  <c r="R783" i="20" s="1"/>
  <c r="R515" i="20"/>
  <c r="AK497" i="20"/>
  <c r="AK699" i="20"/>
  <c r="AK845" i="20" s="1"/>
  <c r="AK514" i="20"/>
  <c r="AK636" i="20"/>
  <c r="AK782" i="20" s="1"/>
  <c r="AK704" i="20"/>
  <c r="AK850" i="20" s="1"/>
  <c r="AK503" i="20"/>
  <c r="AK625" i="20"/>
  <c r="AK771" i="20" s="1"/>
  <c r="AK622" i="20"/>
  <c r="AK768" i="20" s="1"/>
  <c r="AK500" i="20"/>
  <c r="AK701" i="20"/>
  <c r="AK847" i="20" s="1"/>
  <c r="X43" i="44"/>
  <c r="AA626" i="20"/>
  <c r="AA772" i="20" s="1"/>
  <c r="AA504" i="20"/>
  <c r="AA701" i="20"/>
  <c r="AA847" i="20" s="1"/>
  <c r="AA500" i="20"/>
  <c r="AA622" i="20"/>
  <c r="AA768" i="20" s="1"/>
  <c r="AA510" i="20"/>
  <c r="AA632" i="20"/>
  <c r="AA778" i="20" s="1"/>
  <c r="AA494" i="20"/>
  <c r="AA696" i="20"/>
  <c r="AA842" i="20" s="1"/>
  <c r="Q293" i="20"/>
  <c r="Q492" i="20"/>
  <c r="Q694" i="20"/>
  <c r="Q509" i="20"/>
  <c r="Q631" i="20"/>
  <c r="Q777" i="20" s="1"/>
  <c r="Q510" i="20"/>
  <c r="Q632" i="20"/>
  <c r="Q778" i="20" s="1"/>
  <c r="Q494" i="20"/>
  <c r="Q696" i="20"/>
  <c r="Q842" i="20" s="1"/>
  <c r="Q634" i="20"/>
  <c r="Q780" i="20" s="1"/>
  <c r="Q512" i="20"/>
  <c r="AI492" i="20"/>
  <c r="AI694" i="20"/>
  <c r="AI293" i="20"/>
  <c r="G840" i="20"/>
  <c r="AI633" i="20"/>
  <c r="AI779" i="20" s="1"/>
  <c r="AI511" i="20"/>
  <c r="AI500" i="20"/>
  <c r="AI701" i="20"/>
  <c r="AI847" i="20" s="1"/>
  <c r="AI622" i="20"/>
  <c r="AI768" i="20" s="1"/>
  <c r="AI644" i="20"/>
  <c r="AI790" i="20" s="1"/>
  <c r="AI522" i="20"/>
  <c r="R43" i="44"/>
  <c r="V732" i="20"/>
  <c r="V874" i="20"/>
  <c r="V878" i="20" s="1"/>
  <c r="M506" i="20"/>
  <c r="M628" i="20"/>
  <c r="M774" i="20" s="1"/>
  <c r="I639" i="20"/>
  <c r="I785" i="20" s="1"/>
  <c r="I517" i="20"/>
  <c r="I627" i="20"/>
  <c r="I773" i="20" s="1"/>
  <c r="I505" i="20"/>
  <c r="M640" i="20"/>
  <c r="M786" i="20" s="1"/>
  <c r="M518" i="20"/>
  <c r="M644" i="20"/>
  <c r="M790" i="20" s="1"/>
  <c r="M522" i="20"/>
  <c r="I636" i="20"/>
  <c r="I782" i="20" s="1"/>
  <c r="I514" i="20"/>
  <c r="AD648" i="20"/>
  <c r="AD794" i="20" s="1"/>
  <c r="AD526" i="20"/>
  <c r="AJ631" i="20"/>
  <c r="AJ777" i="20" s="1"/>
  <c r="AJ509" i="20"/>
  <c r="J524" i="20"/>
  <c r="J725" i="20"/>
  <c r="J871" i="20" s="1"/>
  <c r="J646" i="20"/>
  <c r="J792" i="20" s="1"/>
  <c r="AC498" i="20"/>
  <c r="AC700" i="20"/>
  <c r="AC846" i="20" s="1"/>
  <c r="AB503" i="20"/>
  <c r="AB625" i="20"/>
  <c r="AB771" i="20" s="1"/>
  <c r="J514" i="20"/>
  <c r="J636" i="20"/>
  <c r="J782" i="20" s="1"/>
  <c r="Y643" i="20"/>
  <c r="Y789" i="20" s="1"/>
  <c r="Y521" i="20"/>
  <c r="W636" i="20"/>
  <c r="W782" i="20" s="1"/>
  <c r="W514" i="20"/>
  <c r="AC728" i="20"/>
  <c r="AC649" i="20"/>
  <c r="AC527" i="20"/>
  <c r="AC625" i="20"/>
  <c r="AC771" i="20" s="1"/>
  <c r="AC704" i="20"/>
  <c r="AC850" i="20" s="1"/>
  <c r="AC503" i="20"/>
  <c r="AC623" i="20"/>
  <c r="AC769" i="20" s="1"/>
  <c r="AC702" i="20"/>
  <c r="AC848" i="20" s="1"/>
  <c r="AC501" i="20"/>
  <c r="AC518" i="20"/>
  <c r="AC640" i="20"/>
  <c r="AC786" i="20" s="1"/>
  <c r="T623" i="20"/>
  <c r="T769" i="20" s="1"/>
  <c r="T702" i="20"/>
  <c r="T848" i="20" s="1"/>
  <c r="T501" i="20"/>
  <c r="T502" i="20"/>
  <c r="T624" i="20"/>
  <c r="T770" i="20" s="1"/>
  <c r="T703" i="20"/>
  <c r="T849" i="20" s="1"/>
  <c r="T516" i="20"/>
  <c r="T638" i="20"/>
  <c r="T784" i="20" s="1"/>
  <c r="T294" i="20"/>
  <c r="T499" i="20"/>
  <c r="T621" i="20" s="1"/>
  <c r="AL629" i="20"/>
  <c r="AL775" i="20" s="1"/>
  <c r="AL708" i="20"/>
  <c r="AL854" i="20" s="1"/>
  <c r="AL507" i="20"/>
  <c r="AL510" i="20"/>
  <c r="AL632" i="20"/>
  <c r="AL778" i="20" s="1"/>
  <c r="AL711" i="20"/>
  <c r="AL506" i="20"/>
  <c r="AL628" i="20"/>
  <c r="AL774" i="20" s="1"/>
  <c r="AL707" i="20"/>
  <c r="H638" i="20"/>
  <c r="H784" i="20" s="1"/>
  <c r="H516" i="20"/>
  <c r="H506" i="20"/>
  <c r="H628" i="20"/>
  <c r="H774" i="20" s="1"/>
  <c r="H495" i="20"/>
  <c r="H697" i="20"/>
  <c r="H843" i="20" s="1"/>
  <c r="H512" i="20"/>
  <c r="H634" i="20"/>
  <c r="H780" i="20" s="1"/>
  <c r="W523" i="20"/>
  <c r="W645" i="20"/>
  <c r="W791" i="20" s="1"/>
  <c r="W525" i="20"/>
  <c r="W647" i="20"/>
  <c r="W793" i="20" s="1"/>
  <c r="W726" i="20"/>
  <c r="W872" i="20" s="1"/>
  <c r="W496" i="20"/>
  <c r="W698" i="20"/>
  <c r="W844" i="20" s="1"/>
  <c r="O632" i="20"/>
  <c r="O778" i="20" s="1"/>
  <c r="O510" i="20"/>
  <c r="I501" i="20"/>
  <c r="I623" i="20"/>
  <c r="I769" i="20" s="1"/>
  <c r="I702" i="20"/>
  <c r="I848" i="20" s="1"/>
  <c r="I626" i="20"/>
  <c r="I772" i="20" s="1"/>
  <c r="I504" i="20"/>
  <c r="I507" i="20"/>
  <c r="I629" i="20"/>
  <c r="I775" i="20" s="1"/>
  <c r="I708" i="20"/>
  <c r="I854" i="20" s="1"/>
  <c r="M643" i="20"/>
  <c r="M789" i="20" s="1"/>
  <c r="M521" i="20"/>
  <c r="M500" i="20"/>
  <c r="M622" i="20"/>
  <c r="M768" i="20" s="1"/>
  <c r="M701" i="20"/>
  <c r="M847" i="20" s="1"/>
  <c r="M504" i="20"/>
  <c r="M626" i="20"/>
  <c r="M772" i="20" s="1"/>
  <c r="M497" i="20"/>
  <c r="I645" i="20"/>
  <c r="I791" i="20" s="1"/>
  <c r="I523" i="20"/>
  <c r="I518" i="20"/>
  <c r="I640" i="20"/>
  <c r="I786" i="20" s="1"/>
  <c r="I499" i="20"/>
  <c r="I621" i="20" s="1"/>
  <c r="I294" i="20"/>
  <c r="AF641" i="20"/>
  <c r="AF787" i="20" s="1"/>
  <c r="AF519" i="20"/>
  <c r="H725" i="20"/>
  <c r="H871" i="20" s="1"/>
  <c r="H646" i="20"/>
  <c r="H792" i="20" s="1"/>
  <c r="H524" i="20"/>
  <c r="T632" i="20"/>
  <c r="T778" i="20" s="1"/>
  <c r="T510" i="20"/>
  <c r="K517" i="20"/>
  <c r="K639" i="20"/>
  <c r="K785" i="20" s="1"/>
  <c r="U522" i="20"/>
  <c r="U644" i="20"/>
  <c r="U790" i="20" s="1"/>
  <c r="K631" i="20"/>
  <c r="K777" i="20" s="1"/>
  <c r="K509" i="20"/>
  <c r="O633" i="20"/>
  <c r="O779" i="20" s="1"/>
  <c r="O511" i="20"/>
  <c r="AL713" i="20"/>
  <c r="AL512" i="20"/>
  <c r="AL634" i="20"/>
  <c r="AL780" i="20" s="1"/>
  <c r="G520" i="20"/>
  <c r="G642" i="20"/>
  <c r="AC493" i="20"/>
  <c r="AC695" i="20"/>
  <c r="AC841" i="20" s="1"/>
  <c r="Z47" i="44"/>
  <c r="Z64" i="44"/>
  <c r="Z74" i="44" s="1"/>
  <c r="Z32" i="44"/>
  <c r="Z31" i="44" s="1"/>
  <c r="AC497" i="20"/>
  <c r="AC699" i="20"/>
  <c r="AC643" i="20"/>
  <c r="AC789" i="20" s="1"/>
  <c r="AC521" i="20"/>
  <c r="AC722" i="20"/>
  <c r="AC515" i="20"/>
  <c r="AC637" i="20"/>
  <c r="AC783" i="20" s="1"/>
  <c r="AC522" i="20"/>
  <c r="AC644" i="20"/>
  <c r="AC790" i="20" s="1"/>
  <c r="AC294" i="20"/>
  <c r="AC499" i="20"/>
  <c r="AC621" i="20" s="1"/>
  <c r="T503" i="20"/>
  <c r="T704" i="20"/>
  <c r="T850" i="20" s="1"/>
  <c r="T625" i="20"/>
  <c r="T771" i="20" s="1"/>
  <c r="T628" i="20"/>
  <c r="T774" i="20" s="1"/>
  <c r="T506" i="20"/>
  <c r="T708" i="20"/>
  <c r="T854" i="20" s="1"/>
  <c r="T507" i="20"/>
  <c r="T629" i="20"/>
  <c r="T775" i="20" s="1"/>
  <c r="T645" i="20"/>
  <c r="T791" i="20" s="1"/>
  <c r="T523" i="20"/>
  <c r="T627" i="20"/>
  <c r="T773" i="20" s="1"/>
  <c r="T505" i="20"/>
  <c r="T631" i="20"/>
  <c r="T777" i="20" s="1"/>
  <c r="T509" i="20"/>
  <c r="T497" i="20"/>
  <c r="AL515" i="20"/>
  <c r="AL716" i="20"/>
  <c r="AL637" i="20"/>
  <c r="AL783" i="20" s="1"/>
  <c r="AL508" i="20"/>
  <c r="AL709" i="20"/>
  <c r="AL855" i="20" s="1"/>
  <c r="AL630" i="20"/>
  <c r="AL776" i="20" s="1"/>
  <c r="AL718" i="20"/>
  <c r="AL639" i="20"/>
  <c r="AL785" i="20" s="1"/>
  <c r="AL517" i="20"/>
  <c r="AL631" i="20"/>
  <c r="AL777" i="20" s="1"/>
  <c r="AL509" i="20"/>
  <c r="AL710" i="20"/>
  <c r="AL493" i="20"/>
  <c r="AL695" i="20"/>
  <c r="AL841" i="20" s="1"/>
  <c r="E43" i="44"/>
  <c r="H293" i="20"/>
  <c r="H492" i="20"/>
  <c r="H694" i="20"/>
  <c r="H496" i="20"/>
  <c r="H698" i="20"/>
  <c r="H844" i="20" s="1"/>
  <c r="H526" i="20"/>
  <c r="H648" i="20"/>
  <c r="H794" i="20" s="1"/>
  <c r="H504" i="20"/>
  <c r="H626" i="20"/>
  <c r="H772" i="20" s="1"/>
  <c r="H701" i="20"/>
  <c r="H622" i="20"/>
  <c r="H500" i="20"/>
  <c r="H644" i="20"/>
  <c r="H790" i="20" s="1"/>
  <c r="H522" i="20"/>
  <c r="G623" i="20"/>
  <c r="G501" i="20"/>
  <c r="G702" i="20"/>
  <c r="W492" i="20"/>
  <c r="W293" i="20"/>
  <c r="W694" i="20"/>
  <c r="W632" i="20"/>
  <c r="W778" i="20" s="1"/>
  <c r="W510" i="20"/>
  <c r="W635" i="20"/>
  <c r="W781" i="20" s="1"/>
  <c r="W513" i="20"/>
  <c r="W622" i="20"/>
  <c r="W768" i="20" s="1"/>
  <c r="W500" i="20"/>
  <c r="W701" i="20"/>
  <c r="W847" i="20" s="1"/>
  <c r="W517" i="20"/>
  <c r="W639" i="20"/>
  <c r="W785" i="20" s="1"/>
  <c r="W518" i="20"/>
  <c r="W640" i="20"/>
  <c r="W786" i="20" s="1"/>
  <c r="AC47" i="44"/>
  <c r="AC64" i="44"/>
  <c r="AC74" i="44" s="1"/>
  <c r="AC32" i="44"/>
  <c r="L47" i="44"/>
  <c r="L64" i="44"/>
  <c r="L74" i="44" s="1"/>
  <c r="L32" i="44"/>
  <c r="O518" i="20"/>
  <c r="O640" i="20"/>
  <c r="O786" i="20" s="1"/>
  <c r="O526" i="20"/>
  <c r="O648" i="20"/>
  <c r="O794" i="20" s="1"/>
  <c r="O524" i="20"/>
  <c r="O725" i="20"/>
  <c r="O871" i="20" s="1"/>
  <c r="O646" i="20"/>
  <c r="O792" i="20" s="1"/>
  <c r="O516" i="20"/>
  <c r="O638" i="20"/>
  <c r="O784" i="20" s="1"/>
  <c r="O519" i="20"/>
  <c r="O641" i="20"/>
  <c r="O787" i="20" s="1"/>
  <c r="P639" i="20"/>
  <c r="P785" i="20" s="1"/>
  <c r="P517" i="20"/>
  <c r="P506" i="20"/>
  <c r="P628" i="20"/>
  <c r="P774" i="20" s="1"/>
  <c r="P624" i="20"/>
  <c r="P770" i="20" s="1"/>
  <c r="P502" i="20"/>
  <c r="P703" i="20"/>
  <c r="P849" i="20" s="1"/>
  <c r="P622" i="20"/>
  <c r="P768" i="20" s="1"/>
  <c r="P701" i="20"/>
  <c r="P847" i="20" s="1"/>
  <c r="P500" i="20"/>
  <c r="P648" i="20"/>
  <c r="P794" i="20" s="1"/>
  <c r="P526" i="20"/>
  <c r="J293" i="20"/>
  <c r="J694" i="20"/>
  <c r="G32" i="44"/>
  <c r="G31" i="44" s="1"/>
  <c r="J625" i="20"/>
  <c r="J771" i="20" s="1"/>
  <c r="J503" i="20"/>
  <c r="J704" i="20"/>
  <c r="J850" i="20" s="1"/>
  <c r="J623" i="20"/>
  <c r="J769" i="20" s="1"/>
  <c r="J702" i="20"/>
  <c r="J848" i="20" s="1"/>
  <c r="J501" i="20"/>
  <c r="J523" i="20"/>
  <c r="J645" i="20"/>
  <c r="J791" i="20" s="1"/>
  <c r="J637" i="20"/>
  <c r="J783" i="20" s="1"/>
  <c r="J515" i="20"/>
  <c r="J520" i="20"/>
  <c r="J642" i="20"/>
  <c r="J788" i="20" s="1"/>
  <c r="J497" i="20"/>
  <c r="G638" i="20"/>
  <c r="G516" i="20"/>
  <c r="G294" i="20"/>
  <c r="G499" i="20"/>
  <c r="G621" i="20" s="1"/>
  <c r="G648" i="20"/>
  <c r="G526" i="20"/>
  <c r="G505" i="20"/>
  <c r="G627" i="20"/>
  <c r="G510" i="20"/>
  <c r="G632" i="20"/>
  <c r="U519" i="20"/>
  <c r="U641" i="20"/>
  <c r="U787" i="20" s="1"/>
  <c r="AJ512" i="20"/>
  <c r="AJ634" i="20"/>
  <c r="AJ780" i="20" s="1"/>
  <c r="AB526" i="20"/>
  <c r="AB648" i="20"/>
  <c r="AB794" i="20" s="1"/>
  <c r="K525" i="20"/>
  <c r="K647" i="20"/>
  <c r="K793" i="20" s="1"/>
  <c r="K726" i="20"/>
  <c r="K872" i="20" s="1"/>
  <c r="Y649" i="20"/>
  <c r="Y728" i="20"/>
  <c r="Y527" i="20"/>
  <c r="X509" i="20"/>
  <c r="X631" i="20"/>
  <c r="X777" i="20" s="1"/>
  <c r="G790" i="20"/>
  <c r="K493" i="20"/>
  <c r="K695" i="20"/>
  <c r="K841" i="20" s="1"/>
  <c r="K500" i="20"/>
  <c r="K701" i="20"/>
  <c r="K847" i="20" s="1"/>
  <c r="K622" i="20"/>
  <c r="K768" i="20" s="1"/>
  <c r="K526" i="20"/>
  <c r="K648" i="20"/>
  <c r="K794" i="20" s="1"/>
  <c r="K644" i="20"/>
  <c r="K790" i="20" s="1"/>
  <c r="K522" i="20"/>
  <c r="K645" i="20"/>
  <c r="K791" i="20" s="1"/>
  <c r="K523" i="20"/>
  <c r="K641" i="20"/>
  <c r="K787" i="20" s="1"/>
  <c r="K519" i="20"/>
  <c r="AE293" i="20"/>
  <c r="AE492" i="20"/>
  <c r="AE694" i="20"/>
  <c r="AE495" i="20"/>
  <c r="AE697" i="20"/>
  <c r="AE843" i="20" s="1"/>
  <c r="AE634" i="20"/>
  <c r="AE780" i="20" s="1"/>
  <c r="AE512" i="20"/>
  <c r="AE637" i="20"/>
  <c r="AE783" i="20" s="1"/>
  <c r="AE515" i="20"/>
  <c r="AE518" i="20"/>
  <c r="AE640" i="20"/>
  <c r="AE786" i="20" s="1"/>
  <c r="AE647" i="20"/>
  <c r="AE793" i="20" s="1"/>
  <c r="AE525" i="20"/>
  <c r="AE294" i="20"/>
  <c r="AE499" i="20"/>
  <c r="AE621" i="20" s="1"/>
  <c r="X515" i="20"/>
  <c r="X637" i="20"/>
  <c r="X783" i="20" s="1"/>
  <c r="X702" i="20"/>
  <c r="X848" i="20" s="1"/>
  <c r="X623" i="20"/>
  <c r="X769" i="20" s="1"/>
  <c r="X501" i="20"/>
  <c r="X517" i="20"/>
  <c r="X639" i="20"/>
  <c r="X785" i="20" s="1"/>
  <c r="X646" i="20"/>
  <c r="X792" i="20" s="1"/>
  <c r="X725" i="20"/>
  <c r="X871" i="20" s="1"/>
  <c r="X524" i="20"/>
  <c r="X511" i="20"/>
  <c r="X633" i="20"/>
  <c r="X779" i="20" s="1"/>
  <c r="X640" i="20"/>
  <c r="X786" i="20" s="1"/>
  <c r="X518" i="20"/>
  <c r="U633" i="20"/>
  <c r="U779" i="20" s="1"/>
  <c r="U511" i="20"/>
  <c r="U622" i="20"/>
  <c r="U768" i="20" s="1"/>
  <c r="U500" i="20"/>
  <c r="U701" i="20"/>
  <c r="U847" i="20" s="1"/>
  <c r="U517" i="20"/>
  <c r="U639" i="20"/>
  <c r="U785" i="20" s="1"/>
  <c r="U494" i="20"/>
  <c r="U696" i="20"/>
  <c r="U642" i="20"/>
  <c r="U788" i="20" s="1"/>
  <c r="U520" i="20"/>
  <c r="U294" i="20"/>
  <c r="U499" i="20"/>
  <c r="U621" i="20" s="1"/>
  <c r="AB32" i="44"/>
  <c r="AB31" i="44" s="1"/>
  <c r="AB795" i="20"/>
  <c r="AB799" i="20" s="1"/>
  <c r="AB653" i="20"/>
  <c r="AF498" i="20"/>
  <c r="AF700" i="20"/>
  <c r="AF846" i="20" s="1"/>
  <c r="K293" i="20"/>
  <c r="K492" i="20"/>
  <c r="K694" i="20"/>
  <c r="AB634" i="20"/>
  <c r="AB780" i="20" s="1"/>
  <c r="AB512" i="20"/>
  <c r="AB525" i="20"/>
  <c r="AB647" i="20"/>
  <c r="AB793" i="20" s="1"/>
  <c r="AB640" i="20"/>
  <c r="AB786" i="20" s="1"/>
  <c r="AB518" i="20"/>
  <c r="AB523" i="20"/>
  <c r="AB645" i="20"/>
  <c r="AB791" i="20" s="1"/>
  <c r="AB636" i="20"/>
  <c r="AB782" i="20" s="1"/>
  <c r="AB514" i="20"/>
  <c r="AB498" i="20"/>
  <c r="AB700" i="20"/>
  <c r="AB846" i="20" s="1"/>
  <c r="G795" i="20"/>
  <c r="G653" i="20"/>
  <c r="D125" i="44" s="1"/>
  <c r="Y493" i="20"/>
  <c r="Y695" i="20"/>
  <c r="Y841" i="20" s="1"/>
  <c r="Y496" i="20"/>
  <c r="Y698" i="20"/>
  <c r="Y844" i="20" s="1"/>
  <c r="Y636" i="20"/>
  <c r="Y782" i="20" s="1"/>
  <c r="Y514" i="20"/>
  <c r="Y515" i="20"/>
  <c r="Y637" i="20"/>
  <c r="Y783" i="20" s="1"/>
  <c r="Y634" i="20"/>
  <c r="Y780" i="20" s="1"/>
  <c r="Y512" i="20"/>
  <c r="Y628" i="20"/>
  <c r="Y774" i="20" s="1"/>
  <c r="Y506" i="20"/>
  <c r="AD623" i="20"/>
  <c r="AD769" i="20" s="1"/>
  <c r="AD501" i="20"/>
  <c r="AD702" i="20"/>
  <c r="AD848" i="20" s="1"/>
  <c r="AD520" i="20"/>
  <c r="AD642" i="20"/>
  <c r="AD788" i="20" s="1"/>
  <c r="AD524" i="20"/>
  <c r="AD646" i="20"/>
  <c r="AD792" i="20" s="1"/>
  <c r="AD725" i="20"/>
  <c r="AD871" i="20" s="1"/>
  <c r="AD522" i="20"/>
  <c r="AD644" i="20"/>
  <c r="AD790" i="20" s="1"/>
  <c r="AD640" i="20"/>
  <c r="AD786" i="20" s="1"/>
  <c r="AD518" i="20"/>
  <c r="AD294" i="20"/>
  <c r="AD499" i="20"/>
  <c r="AD621" i="20" s="1"/>
  <c r="J732" i="20"/>
  <c r="J874" i="20"/>
  <c r="J878" i="20" s="1"/>
  <c r="L495" i="20"/>
  <c r="L697" i="20"/>
  <c r="L843" i="20" s="1"/>
  <c r="L633" i="20"/>
  <c r="L779" i="20" s="1"/>
  <c r="L511" i="20"/>
  <c r="L645" i="20"/>
  <c r="L791" i="20" s="1"/>
  <c r="L523" i="20"/>
  <c r="L506" i="20"/>
  <c r="L628" i="20"/>
  <c r="L774" i="20" s="1"/>
  <c r="L515" i="20"/>
  <c r="L637" i="20"/>
  <c r="L783" i="20" s="1"/>
  <c r="AJ498" i="20"/>
  <c r="AJ700" i="20"/>
  <c r="AJ846" i="20" s="1"/>
  <c r="AJ501" i="20"/>
  <c r="AJ702" i="20"/>
  <c r="AJ848" i="20" s="1"/>
  <c r="AJ623" i="20"/>
  <c r="AJ769" i="20" s="1"/>
  <c r="AJ629" i="20"/>
  <c r="AJ775" i="20" s="1"/>
  <c r="AJ507" i="20"/>
  <c r="AJ495" i="20"/>
  <c r="AJ697" i="20"/>
  <c r="AJ843" i="20" s="1"/>
  <c r="AJ630" i="20"/>
  <c r="AJ776" i="20" s="1"/>
  <c r="AJ508" i="20"/>
  <c r="AJ709" i="20"/>
  <c r="AJ855" i="20" s="1"/>
  <c r="AJ648" i="20"/>
  <c r="AJ794" i="20" s="1"/>
  <c r="AJ526" i="20"/>
  <c r="AJ294" i="20"/>
  <c r="AJ499" i="20"/>
  <c r="AJ621" i="20" s="1"/>
  <c r="AF516" i="20"/>
  <c r="AF638" i="20"/>
  <c r="AF784" i="20" s="1"/>
  <c r="AF624" i="20"/>
  <c r="AF770" i="20" s="1"/>
  <c r="AF703" i="20"/>
  <c r="AF849" i="20" s="1"/>
  <c r="AF502" i="20"/>
  <c r="AF627" i="20"/>
  <c r="AF773" i="20" s="1"/>
  <c r="AF505" i="20"/>
  <c r="AF494" i="20"/>
  <c r="AF696" i="20"/>
  <c r="AF842" i="20" s="1"/>
  <c r="AF640" i="20"/>
  <c r="AF786" i="20" s="1"/>
  <c r="AF518" i="20"/>
  <c r="U543" i="20"/>
  <c r="H551" i="20"/>
  <c r="AF537" i="20"/>
  <c r="AH495" i="20"/>
  <c r="AH697" i="20"/>
  <c r="AH843" i="20" s="1"/>
  <c r="AH526" i="20"/>
  <c r="AH648" i="20"/>
  <c r="AH794" i="20" s="1"/>
  <c r="AH508" i="20"/>
  <c r="AH709" i="20"/>
  <c r="AH855" i="20" s="1"/>
  <c r="AH630" i="20"/>
  <c r="AH776" i="20" s="1"/>
  <c r="AH503" i="20"/>
  <c r="AH704" i="20"/>
  <c r="AH850" i="20" s="1"/>
  <c r="AH625" i="20"/>
  <c r="AH771" i="20" s="1"/>
  <c r="AH494" i="20"/>
  <c r="AH696" i="20"/>
  <c r="AH842" i="20" s="1"/>
  <c r="AH496" i="20"/>
  <c r="AH698" i="20"/>
  <c r="AH844" i="20" s="1"/>
  <c r="AH622" i="20"/>
  <c r="AH768" i="20" s="1"/>
  <c r="AH701" i="20"/>
  <c r="AH847" i="20" s="1"/>
  <c r="AH500" i="20"/>
  <c r="AH505" i="20"/>
  <c r="AH627" i="20"/>
  <c r="AH773" i="20" s="1"/>
  <c r="AH515" i="20"/>
  <c r="AH637" i="20"/>
  <c r="AH783" i="20" s="1"/>
  <c r="AH294" i="20"/>
  <c r="AH499" i="20"/>
  <c r="AH621" i="20" s="1"/>
  <c r="Z645" i="20"/>
  <c r="Z791" i="20" s="1"/>
  <c r="Z523" i="20"/>
  <c r="Z492" i="20"/>
  <c r="Z293" i="20"/>
  <c r="Z694" i="20"/>
  <c r="Z527" i="20"/>
  <c r="Z649" i="20"/>
  <c r="Z728" i="20"/>
  <c r="Z502" i="20"/>
  <c r="Z624" i="20"/>
  <c r="Z770" i="20" s="1"/>
  <c r="Z703" i="20"/>
  <c r="Z849" i="20" s="1"/>
  <c r="Z511" i="20"/>
  <c r="Z633" i="20"/>
  <c r="Z779" i="20" s="1"/>
  <c r="Z639" i="20"/>
  <c r="Z785" i="20" s="1"/>
  <c r="Z517" i="20"/>
  <c r="Z521" i="20"/>
  <c r="Z643" i="20"/>
  <c r="Z789" i="20" s="1"/>
  <c r="Z510" i="20"/>
  <c r="Z632" i="20"/>
  <c r="Z778" i="20" s="1"/>
  <c r="J43" i="44"/>
  <c r="AG644" i="20"/>
  <c r="AG790" i="20" s="1"/>
  <c r="AG522" i="20"/>
  <c r="AG526" i="20"/>
  <c r="AG648" i="20"/>
  <c r="AG794" i="20" s="1"/>
  <c r="AG629" i="20"/>
  <c r="AG775" i="20" s="1"/>
  <c r="AG507" i="20"/>
  <c r="AG708" i="20"/>
  <c r="AG854" i="20" s="1"/>
  <c r="AG492" i="20"/>
  <c r="AG293" i="20"/>
  <c r="AG694" i="20"/>
  <c r="AG640" i="20"/>
  <c r="AG786" i="20" s="1"/>
  <c r="AG518" i="20"/>
  <c r="AG512" i="20"/>
  <c r="AG634" i="20"/>
  <c r="AG780" i="20" s="1"/>
  <c r="AG506" i="20"/>
  <c r="AG628" i="20"/>
  <c r="AG774" i="20" s="1"/>
  <c r="AG631" i="20"/>
  <c r="AG777" i="20" s="1"/>
  <c r="AG509" i="20"/>
  <c r="AG497" i="20"/>
  <c r="S701" i="20"/>
  <c r="S847" i="20" s="1"/>
  <c r="S500" i="20"/>
  <c r="S622" i="20"/>
  <c r="S768" i="20" s="1"/>
  <c r="P43" i="44"/>
  <c r="S508" i="20"/>
  <c r="S630" i="20"/>
  <c r="S776" i="20" s="1"/>
  <c r="S709" i="20"/>
  <c r="S855" i="20" s="1"/>
  <c r="S632" i="20"/>
  <c r="S778" i="20" s="1"/>
  <c r="S510" i="20"/>
  <c r="S520" i="20"/>
  <c r="S642" i="20"/>
  <c r="S788" i="20" s="1"/>
  <c r="S504" i="20"/>
  <c r="S626" i="20"/>
  <c r="S772" i="20" s="1"/>
  <c r="S496" i="20"/>
  <c r="S698" i="20"/>
  <c r="S844" i="20" s="1"/>
  <c r="S494" i="20"/>
  <c r="S696" i="20"/>
  <c r="S842" i="20" s="1"/>
  <c r="S516" i="20"/>
  <c r="S638" i="20"/>
  <c r="S784" i="20" s="1"/>
  <c r="S294" i="20"/>
  <c r="S499" i="20"/>
  <c r="S621" i="20" s="1"/>
  <c r="N508" i="20"/>
  <c r="N630" i="20"/>
  <c r="N776" i="20" s="1"/>
  <c r="N709" i="20"/>
  <c r="N855" i="20" s="1"/>
  <c r="N500" i="20"/>
  <c r="N622" i="20"/>
  <c r="N768" i="20" s="1"/>
  <c r="N701" i="20"/>
  <c r="N847" i="20" s="1"/>
  <c r="N645" i="20"/>
  <c r="N791" i="20" s="1"/>
  <c r="N523" i="20"/>
  <c r="N495" i="20"/>
  <c r="N697" i="20"/>
  <c r="N843" i="20" s="1"/>
  <c r="N504" i="20"/>
  <c r="N626" i="20"/>
  <c r="N772" i="20" s="1"/>
  <c r="N635" i="20"/>
  <c r="N781" i="20" s="1"/>
  <c r="N513" i="20"/>
  <c r="N714" i="20"/>
  <c r="N860" i="20" s="1"/>
  <c r="N501" i="20"/>
  <c r="N623" i="20"/>
  <c r="N769" i="20" s="1"/>
  <c r="N702" i="20"/>
  <c r="N848" i="20" s="1"/>
  <c r="N493" i="20"/>
  <c r="N695" i="20"/>
  <c r="N841" i="20" s="1"/>
  <c r="N497" i="20"/>
  <c r="V502" i="20"/>
  <c r="V703" i="20"/>
  <c r="V849" i="20" s="1"/>
  <c r="V624" i="20"/>
  <c r="V770" i="20" s="1"/>
  <c r="AA498" i="20"/>
  <c r="AA700" i="20"/>
  <c r="AA846" i="20" s="1"/>
  <c r="AA518" i="20"/>
  <c r="AA640" i="20"/>
  <c r="AA786" i="20" s="1"/>
  <c r="V293" i="20"/>
  <c r="V694" i="20"/>
  <c r="V492" i="20"/>
  <c r="V500" i="20"/>
  <c r="V622" i="20"/>
  <c r="V768" i="20" s="1"/>
  <c r="V701" i="20"/>
  <c r="V847" i="20" s="1"/>
  <c r="V639" i="20"/>
  <c r="V785" i="20" s="1"/>
  <c r="V517" i="20"/>
  <c r="V629" i="20"/>
  <c r="V775" i="20" s="1"/>
  <c r="V708" i="20"/>
  <c r="V854" i="20" s="1"/>
  <c r="V507" i="20"/>
  <c r="V523" i="20"/>
  <c r="V645" i="20"/>
  <c r="V791" i="20" s="1"/>
  <c r="V637" i="20"/>
  <c r="V783" i="20" s="1"/>
  <c r="V515" i="20"/>
  <c r="V521" i="20"/>
  <c r="V643" i="20"/>
  <c r="V789" i="20" s="1"/>
  <c r="V512" i="20"/>
  <c r="V634" i="20"/>
  <c r="V780" i="20" s="1"/>
  <c r="R639" i="20"/>
  <c r="R785" i="20" s="1"/>
  <c r="R517" i="20"/>
  <c r="R629" i="20"/>
  <c r="R775" i="20" s="1"/>
  <c r="R708" i="20"/>
  <c r="R854" i="20" s="1"/>
  <c r="R507" i="20"/>
  <c r="R725" i="20"/>
  <c r="R871" i="20" s="1"/>
  <c r="R524" i="20"/>
  <c r="R646" i="20"/>
  <c r="R792" i="20" s="1"/>
  <c r="R521" i="20"/>
  <c r="R643" i="20"/>
  <c r="R789" i="20" s="1"/>
  <c r="R503" i="20"/>
  <c r="R704" i="20"/>
  <c r="R850" i="20" s="1"/>
  <c r="R625" i="20"/>
  <c r="R771" i="20" s="1"/>
  <c r="R648" i="20"/>
  <c r="R794" i="20" s="1"/>
  <c r="R526" i="20"/>
  <c r="R496" i="20"/>
  <c r="R698" i="20"/>
  <c r="R844" i="20" s="1"/>
  <c r="R634" i="20"/>
  <c r="R780" i="20" s="1"/>
  <c r="R512" i="20"/>
  <c r="R497" i="20"/>
  <c r="AK516" i="20"/>
  <c r="AK638" i="20"/>
  <c r="AK784" i="20" s="1"/>
  <c r="AK714" i="20"/>
  <c r="AK860" i="20" s="1"/>
  <c r="AK635" i="20"/>
  <c r="AK781" i="20" s="1"/>
  <c r="AK513" i="20"/>
  <c r="AK492" i="20"/>
  <c r="AK293" i="20"/>
  <c r="AK694" i="20"/>
  <c r="AK628" i="20"/>
  <c r="AK774" i="20" s="1"/>
  <c r="AK506" i="20"/>
  <c r="AK642" i="20"/>
  <c r="AK788" i="20" s="1"/>
  <c r="AK520" i="20"/>
  <c r="AK495" i="20"/>
  <c r="AK697" i="20"/>
  <c r="AK843" i="20" s="1"/>
  <c r="AK632" i="20"/>
  <c r="AK778" i="20" s="1"/>
  <c r="AK510" i="20"/>
  <c r="AK639" i="20"/>
  <c r="AK785" i="20" s="1"/>
  <c r="AK517" i="20"/>
  <c r="AK629" i="20"/>
  <c r="AK775" i="20" s="1"/>
  <c r="AK507" i="20"/>
  <c r="U293" i="20"/>
  <c r="G791" i="20"/>
  <c r="Z43" i="44"/>
  <c r="AA507" i="20"/>
  <c r="AA629" i="20"/>
  <c r="AA775" i="20" s="1"/>
  <c r="AA625" i="20"/>
  <c r="AA771" i="20" s="1"/>
  <c r="AA503" i="20"/>
  <c r="AA704" i="20"/>
  <c r="AA850" i="20" s="1"/>
  <c r="AA648" i="20"/>
  <c r="AA794" i="20" s="1"/>
  <c r="AA526" i="20"/>
  <c r="AA703" i="20"/>
  <c r="AA849" i="20" s="1"/>
  <c r="AA502" i="20"/>
  <c r="AA624" i="20"/>
  <c r="AA770" i="20" s="1"/>
  <c r="AA509" i="20"/>
  <c r="AA631" i="20"/>
  <c r="AA777" i="20" s="1"/>
  <c r="AA702" i="20"/>
  <c r="AA848" i="20" s="1"/>
  <c r="AA501" i="20"/>
  <c r="AA623" i="20"/>
  <c r="AA769" i="20" s="1"/>
  <c r="AA525" i="20"/>
  <c r="AA726" i="20"/>
  <c r="AA872" i="20" s="1"/>
  <c r="AA647" i="20"/>
  <c r="AA793" i="20" s="1"/>
  <c r="AA633" i="20"/>
  <c r="AA779" i="20" s="1"/>
  <c r="AA511" i="20"/>
  <c r="AA294" i="20"/>
  <c r="AA499" i="20"/>
  <c r="AA621" i="20" s="1"/>
  <c r="X547" i="20"/>
  <c r="P553" i="20"/>
  <c r="N47" i="44"/>
  <c r="N64" i="44"/>
  <c r="N74" i="44" s="1"/>
  <c r="N32" i="44"/>
  <c r="Q493" i="20"/>
  <c r="Q695" i="20"/>
  <c r="Q841" i="20" s="1"/>
  <c r="Q508" i="20"/>
  <c r="Q709" i="20"/>
  <c r="Q855" i="20" s="1"/>
  <c r="Q630" i="20"/>
  <c r="Q776" i="20" s="1"/>
  <c r="Q516" i="20"/>
  <c r="Q638" i="20"/>
  <c r="Q784" i="20" s="1"/>
  <c r="Q642" i="20"/>
  <c r="Q788" i="20" s="1"/>
  <c r="Q520" i="20"/>
  <c r="Q637" i="20"/>
  <c r="Q783" i="20" s="1"/>
  <c r="Q515" i="20"/>
  <c r="Q504" i="20"/>
  <c r="Q626" i="20"/>
  <c r="Q772" i="20" s="1"/>
  <c r="Q500" i="20"/>
  <c r="Q622" i="20"/>
  <c r="Q768" i="20" s="1"/>
  <c r="Q701" i="20"/>
  <c r="Q847" i="20" s="1"/>
  <c r="Q294" i="20"/>
  <c r="Q499" i="20"/>
  <c r="Q621" i="20" s="1"/>
  <c r="AI629" i="20"/>
  <c r="AI775" i="20" s="1"/>
  <c r="AI507" i="20"/>
  <c r="AF47" i="44"/>
  <c r="AF32" i="44"/>
  <c r="AF31" i="44" s="1"/>
  <c r="AF64" i="44"/>
  <c r="AF74" i="44" s="1"/>
  <c r="AI510" i="20"/>
  <c r="AI632" i="20"/>
  <c r="AI778" i="20" s="1"/>
  <c r="AI524" i="20"/>
  <c r="AI646" i="20"/>
  <c r="AI792" i="20" s="1"/>
  <c r="AI725" i="20"/>
  <c r="AI871" i="20" s="1"/>
  <c r="AI512" i="20"/>
  <c r="AI634" i="20"/>
  <c r="AI780" i="20" s="1"/>
  <c r="AI493" i="20"/>
  <c r="AI695" i="20"/>
  <c r="AI841" i="20" s="1"/>
  <c r="AI647" i="20"/>
  <c r="AI793" i="20" s="1"/>
  <c r="AI525" i="20"/>
  <c r="AI636" i="20"/>
  <c r="AI782" i="20" s="1"/>
  <c r="AI514" i="20"/>
  <c r="AI517" i="20"/>
  <c r="AI639" i="20"/>
  <c r="AI785" i="20" s="1"/>
  <c r="F147" i="44"/>
  <c r="V653" i="20"/>
  <c r="V795" i="20"/>
  <c r="V799" i="20" s="1"/>
  <c r="M635" i="20"/>
  <c r="M781" i="20" s="1"/>
  <c r="M714" i="20"/>
  <c r="M860" i="20" s="1"/>
  <c r="M513" i="20"/>
  <c r="M648" i="20"/>
  <c r="M794" i="20" s="1"/>
  <c r="M526" i="20"/>
  <c r="M499" i="20"/>
  <c r="M621" i="20" s="1"/>
  <c r="M294" i="20"/>
  <c r="J639" i="20"/>
  <c r="J785" i="20" s="1"/>
  <c r="J517" i="20"/>
  <c r="U512" i="20"/>
  <c r="U634" i="20"/>
  <c r="U780" i="20" s="1"/>
  <c r="J635" i="20"/>
  <c r="J781" i="20" s="1"/>
  <c r="J513" i="20"/>
  <c r="AL726" i="20"/>
  <c r="AL872" i="20" s="1"/>
  <c r="AL647" i="20"/>
  <c r="AL793" i="20" s="1"/>
  <c r="AL525" i="20"/>
  <c r="AJ524" i="20"/>
  <c r="AJ646" i="20"/>
  <c r="AJ792" i="20" s="1"/>
  <c r="AJ725" i="20"/>
  <c r="AJ871" i="20" s="1"/>
  <c r="L527" i="20"/>
  <c r="L649" i="20"/>
  <c r="L728" i="20"/>
  <c r="O494" i="20"/>
  <c r="O696" i="20"/>
  <c r="O842" i="20" s="1"/>
  <c r="AF646" i="20"/>
  <c r="AF792" i="20" s="1"/>
  <c r="AF524" i="20"/>
  <c r="AF725" i="20"/>
  <c r="AF871" i="20" s="1"/>
  <c r="AC635" i="20"/>
  <c r="AC781" i="20" s="1"/>
  <c r="AC714" i="20"/>
  <c r="AC860" i="20" s="1"/>
  <c r="AC513" i="20"/>
  <c r="AC647" i="20"/>
  <c r="AC793" i="20" s="1"/>
  <c r="AC525" i="20"/>
  <c r="AC627" i="20"/>
  <c r="AC773" i="20" s="1"/>
  <c r="AC505" i="20"/>
  <c r="AC495" i="20"/>
  <c r="AC697" i="20"/>
  <c r="AC843" i="20" s="1"/>
  <c r="T498" i="20"/>
  <c r="T700" i="20"/>
  <c r="T846" i="20" s="1"/>
  <c r="T520" i="20"/>
  <c r="T642" i="20"/>
  <c r="T788" i="20" s="1"/>
  <c r="T646" i="20"/>
  <c r="T792" i="20" s="1"/>
  <c r="T725" i="20"/>
  <c r="T871" i="20" s="1"/>
  <c r="T524" i="20"/>
  <c r="AL526" i="20"/>
  <c r="AL648" i="20"/>
  <c r="AL794" i="20" s="1"/>
  <c r="AL727" i="20"/>
  <c r="AL516" i="20"/>
  <c r="AL638" i="20"/>
  <c r="AL784" i="20" s="1"/>
  <c r="AL717" i="20"/>
  <c r="AL294" i="20"/>
  <c r="AL499" i="20"/>
  <c r="AL621" i="20" s="1"/>
  <c r="E47" i="44"/>
  <c r="E64" i="44"/>
  <c r="E32" i="44"/>
  <c r="H641" i="20"/>
  <c r="H787" i="20" s="1"/>
  <c r="H519" i="20"/>
  <c r="H625" i="20"/>
  <c r="H771" i="20" s="1"/>
  <c r="H503" i="20"/>
  <c r="H704" i="20"/>
  <c r="H850" i="20" s="1"/>
  <c r="O495" i="20"/>
  <c r="O697" i="20"/>
  <c r="O843" i="20" s="1"/>
  <c r="W638" i="20"/>
  <c r="W784" i="20" s="1"/>
  <c r="W516" i="20"/>
  <c r="W498" i="20"/>
  <c r="W700" i="20"/>
  <c r="W846" i="20" s="1"/>
  <c r="W506" i="20"/>
  <c r="W628" i="20"/>
  <c r="W774" i="20" s="1"/>
  <c r="O500" i="20"/>
  <c r="O622" i="20"/>
  <c r="O768" i="20" s="1"/>
  <c r="O701" i="20"/>
  <c r="O847" i="20" s="1"/>
  <c r="O501" i="20"/>
  <c r="O623" i="20"/>
  <c r="O769" i="20" s="1"/>
  <c r="O702" i="20"/>
  <c r="O848" i="20" s="1"/>
  <c r="O636" i="20"/>
  <c r="O782" i="20" s="1"/>
  <c r="O514" i="20"/>
  <c r="P514" i="20"/>
  <c r="P636" i="20"/>
  <c r="P782" i="20" s="1"/>
  <c r="P523" i="20"/>
  <c r="P645" i="20"/>
  <c r="P791" i="20" s="1"/>
  <c r="P726" i="20"/>
  <c r="P872" i="20" s="1"/>
  <c r="P647" i="20"/>
  <c r="P793" i="20" s="1"/>
  <c r="P525" i="20"/>
  <c r="J647" i="20"/>
  <c r="J793" i="20" s="1"/>
  <c r="J525" i="20"/>
  <c r="J726" i="20"/>
  <c r="J872" i="20" s="1"/>
  <c r="J495" i="20"/>
  <c r="J697" i="20"/>
  <c r="J843" i="20" s="1"/>
  <c r="J709" i="20"/>
  <c r="J855" i="20" s="1"/>
  <c r="J508" i="20"/>
  <c r="J630" i="20"/>
  <c r="J776" i="20" s="1"/>
  <c r="G518" i="20"/>
  <c r="G640" i="20"/>
  <c r="G726" i="20"/>
  <c r="G647" i="20"/>
  <c r="G525" i="20"/>
  <c r="K629" i="20"/>
  <c r="K775" i="20" s="1"/>
  <c r="K507" i="20"/>
  <c r="K708" i="20"/>
  <c r="K854" i="20" s="1"/>
  <c r="K636" i="20"/>
  <c r="K782" i="20" s="1"/>
  <c r="K514" i="20"/>
  <c r="K516" i="20"/>
  <c r="K638" i="20"/>
  <c r="K784" i="20" s="1"/>
  <c r="AE632" i="20"/>
  <c r="AE778" i="20" s="1"/>
  <c r="AE510" i="20"/>
  <c r="AE709" i="20"/>
  <c r="AE855" i="20" s="1"/>
  <c r="AE630" i="20"/>
  <c r="AE776" i="20" s="1"/>
  <c r="AE508" i="20"/>
  <c r="AE526" i="20"/>
  <c r="AE648" i="20"/>
  <c r="AE794" i="20" s="1"/>
  <c r="X500" i="20"/>
  <c r="X701" i="20"/>
  <c r="X847" i="20" s="1"/>
  <c r="X622" i="20"/>
  <c r="X768" i="20" s="1"/>
  <c r="X642" i="20"/>
  <c r="X788" i="20" s="1"/>
  <c r="X520" i="20"/>
  <c r="X510" i="20"/>
  <c r="X632" i="20"/>
  <c r="X778" i="20" s="1"/>
  <c r="X499" i="20"/>
  <c r="X621" i="20" s="1"/>
  <c r="X294" i="20"/>
  <c r="U498" i="20"/>
  <c r="U700" i="20"/>
  <c r="U846" i="20" s="1"/>
  <c r="U645" i="20"/>
  <c r="U791" i="20" s="1"/>
  <c r="U523" i="20"/>
  <c r="U497" i="20"/>
  <c r="AF639" i="20"/>
  <c r="AF785" i="20" s="1"/>
  <c r="AF517" i="20"/>
  <c r="AJ493" i="20"/>
  <c r="AJ695" i="20"/>
  <c r="AJ841" i="20" s="1"/>
  <c r="L492" i="20"/>
  <c r="L694" i="20"/>
  <c r="L293" i="20"/>
  <c r="I32" i="44"/>
  <c r="I31" i="44" s="1"/>
  <c r="AB522" i="20"/>
  <c r="AB644" i="20"/>
  <c r="AB790" i="20" s="1"/>
  <c r="AB517" i="20"/>
  <c r="AB639" i="20"/>
  <c r="AB785" i="20" s="1"/>
  <c r="AB641" i="20"/>
  <c r="AB787" i="20" s="1"/>
  <c r="AB519" i="20"/>
  <c r="AB627" i="20"/>
  <c r="AB773" i="20" s="1"/>
  <c r="AB505" i="20"/>
  <c r="Y524" i="20"/>
  <c r="Y646" i="20"/>
  <c r="Y792" i="20" s="1"/>
  <c r="Y725" i="20"/>
  <c r="Y871" i="20" s="1"/>
  <c r="Y638" i="20"/>
  <c r="Y784" i="20" s="1"/>
  <c r="Y516" i="20"/>
  <c r="Y497" i="20"/>
  <c r="AD509" i="20"/>
  <c r="AD631" i="20"/>
  <c r="AD777" i="20" s="1"/>
  <c r="AD634" i="20"/>
  <c r="AD780" i="20" s="1"/>
  <c r="AD512" i="20"/>
  <c r="L514" i="20"/>
  <c r="L636" i="20"/>
  <c r="L782" i="20" s="1"/>
  <c r="L519" i="20"/>
  <c r="L641" i="20"/>
  <c r="L787" i="20" s="1"/>
  <c r="AJ704" i="20"/>
  <c r="AJ850" i="20" s="1"/>
  <c r="AJ503" i="20"/>
  <c r="AJ625" i="20"/>
  <c r="AJ771" i="20" s="1"/>
  <c r="AJ497" i="20"/>
  <c r="AJ699" i="20"/>
  <c r="AJ845" i="20" s="1"/>
  <c r="AJ515" i="20"/>
  <c r="AJ637" i="20"/>
  <c r="AJ783" i="20" s="1"/>
  <c r="AF649" i="20"/>
  <c r="AF728" i="20"/>
  <c r="AF527" i="20"/>
  <c r="AF495" i="20"/>
  <c r="AF697" i="20"/>
  <c r="AF843" i="20" s="1"/>
  <c r="AF643" i="20"/>
  <c r="AF789" i="20" s="1"/>
  <c r="AF521" i="20"/>
  <c r="R642" i="20"/>
  <c r="R788" i="20" s="1"/>
  <c r="R520" i="20"/>
  <c r="G783" i="20"/>
  <c r="AE47" i="44"/>
  <c r="AE64" i="44"/>
  <c r="AE74" i="44" s="1"/>
  <c r="AE32" i="44"/>
  <c r="AE31" i="44" s="1"/>
  <c r="AH626" i="20"/>
  <c r="AH772" i="20" s="1"/>
  <c r="AH504" i="20"/>
  <c r="AH513" i="20"/>
  <c r="AH714" i="20"/>
  <c r="AH860" i="20" s="1"/>
  <c r="AH635" i="20"/>
  <c r="AH781" i="20" s="1"/>
  <c r="AH519" i="20"/>
  <c r="AH641" i="20"/>
  <c r="AH787" i="20" s="1"/>
  <c r="Z496" i="20"/>
  <c r="Z698" i="20"/>
  <c r="Z844" i="20" s="1"/>
  <c r="Z704" i="20"/>
  <c r="Z850" i="20" s="1"/>
  <c r="Z625" i="20"/>
  <c r="Z771" i="20" s="1"/>
  <c r="Z503" i="20"/>
  <c r="Z506" i="20"/>
  <c r="Z628" i="20"/>
  <c r="Z774" i="20" s="1"/>
  <c r="Z507" i="20"/>
  <c r="Z629" i="20"/>
  <c r="Z775" i="20" s="1"/>
  <c r="Z494" i="20"/>
  <c r="Z696" i="20"/>
  <c r="Z842" i="20" s="1"/>
  <c r="AG623" i="20"/>
  <c r="AG769" i="20" s="1"/>
  <c r="AG501" i="20"/>
  <c r="AG702" i="20"/>
  <c r="AG848" i="20" s="1"/>
  <c r="AG639" i="20"/>
  <c r="AG785" i="20" s="1"/>
  <c r="AG517" i="20"/>
  <c r="AG626" i="20"/>
  <c r="AG772" i="20" s="1"/>
  <c r="AG504" i="20"/>
  <c r="AG703" i="20"/>
  <c r="AG849" i="20" s="1"/>
  <c r="AG502" i="20"/>
  <c r="AG624" i="20"/>
  <c r="AG770" i="20" s="1"/>
  <c r="AG498" i="20"/>
  <c r="AG700" i="20"/>
  <c r="AG846" i="20" s="1"/>
  <c r="S515" i="20"/>
  <c r="S637" i="20"/>
  <c r="S783" i="20" s="1"/>
  <c r="S644" i="20"/>
  <c r="S790" i="20" s="1"/>
  <c r="S522" i="20"/>
  <c r="S518" i="20"/>
  <c r="S640" i="20"/>
  <c r="S786" i="20" s="1"/>
  <c r="S628" i="20"/>
  <c r="S774" i="20" s="1"/>
  <c r="S506" i="20"/>
  <c r="N510" i="20"/>
  <c r="N632" i="20"/>
  <c r="N778" i="20" s="1"/>
  <c r="N639" i="20"/>
  <c r="N785" i="20" s="1"/>
  <c r="N517" i="20"/>
  <c r="N638" i="20"/>
  <c r="N784" i="20" s="1"/>
  <c r="N516" i="20"/>
  <c r="V632" i="20"/>
  <c r="V778" i="20" s="1"/>
  <c r="V510" i="20"/>
  <c r="V626" i="20"/>
  <c r="V772" i="20" s="1"/>
  <c r="V504" i="20"/>
  <c r="V509" i="20"/>
  <c r="V631" i="20"/>
  <c r="V777" i="20" s="1"/>
  <c r="V640" i="20"/>
  <c r="V786" i="20" s="1"/>
  <c r="V518" i="20"/>
  <c r="R519" i="20"/>
  <c r="R641" i="20"/>
  <c r="R787" i="20" s="1"/>
  <c r="R500" i="20"/>
  <c r="R622" i="20"/>
  <c r="R768" i="20" s="1"/>
  <c r="R701" i="20"/>
  <c r="R847" i="20" s="1"/>
  <c r="R525" i="20"/>
  <c r="R726" i="20"/>
  <c r="R872" i="20" s="1"/>
  <c r="R647" i="20"/>
  <c r="R793" i="20" s="1"/>
  <c r="R709" i="20"/>
  <c r="R855" i="20" s="1"/>
  <c r="R630" i="20"/>
  <c r="R776" i="20" s="1"/>
  <c r="R508" i="20"/>
  <c r="AD47" i="44"/>
  <c r="AD64" i="44"/>
  <c r="AD74" i="44" s="1"/>
  <c r="AD32" i="44"/>
  <c r="AD31" i="44" s="1"/>
  <c r="AH43" i="44"/>
  <c r="AK637" i="20"/>
  <c r="AK783" i="20" s="1"/>
  <c r="AK515" i="20"/>
  <c r="AK626" i="20"/>
  <c r="AK772" i="20" s="1"/>
  <c r="AK504" i="20"/>
  <c r="AK633" i="20"/>
  <c r="AK779" i="20" s="1"/>
  <c r="AK511" i="20"/>
  <c r="AK631" i="20"/>
  <c r="AK777" i="20" s="1"/>
  <c r="AK509" i="20"/>
  <c r="AK526" i="20"/>
  <c r="AK648" i="20"/>
  <c r="AK794" i="20" s="1"/>
  <c r="AK634" i="20"/>
  <c r="AK780" i="20" s="1"/>
  <c r="AK512" i="20"/>
  <c r="AA496" i="20"/>
  <c r="AA698" i="20"/>
  <c r="AA844" i="20" s="1"/>
  <c r="X47" i="44"/>
  <c r="X32" i="44"/>
  <c r="X31" i="44" s="1"/>
  <c r="X64" i="44"/>
  <c r="X74" i="44" s="1"/>
  <c r="AA642" i="20"/>
  <c r="AA788" i="20" s="1"/>
  <c r="AA520" i="20"/>
  <c r="AA508" i="20"/>
  <c r="AA630" i="20"/>
  <c r="AA776" i="20" s="1"/>
  <c r="AA709" i="20"/>
  <c r="AA855" i="20" s="1"/>
  <c r="AA645" i="20"/>
  <c r="AA791" i="20" s="1"/>
  <c r="AA523" i="20"/>
  <c r="Q501" i="20"/>
  <c r="Q702" i="20"/>
  <c r="Q848" i="20" s="1"/>
  <c r="Q623" i="20"/>
  <c r="Q769" i="20" s="1"/>
  <c r="Q495" i="20"/>
  <c r="Q697" i="20"/>
  <c r="Q843" i="20" s="1"/>
  <c r="Q646" i="20"/>
  <c r="Q792" i="20" s="1"/>
  <c r="Q524" i="20"/>
  <c r="Q725" i="20"/>
  <c r="Q871" i="20" s="1"/>
  <c r="Q506" i="20"/>
  <c r="Q628" i="20"/>
  <c r="Q774" i="20" s="1"/>
  <c r="AI520" i="20"/>
  <c r="AI642" i="20"/>
  <c r="AI788" i="20" s="1"/>
  <c r="AI496" i="20"/>
  <c r="AI698" i="20"/>
  <c r="AI844" i="20" s="1"/>
  <c r="AI502" i="20"/>
  <c r="AI624" i="20"/>
  <c r="AI770" i="20" s="1"/>
  <c r="AI703" i="20"/>
  <c r="AI849" i="20" s="1"/>
  <c r="AI720" i="20"/>
  <c r="AI866" i="20" s="1"/>
  <c r="AI519" i="20"/>
  <c r="AI641" i="20"/>
  <c r="AI787" i="20" s="1"/>
  <c r="AI645" i="20"/>
  <c r="AI791" i="20" s="1"/>
  <c r="AI523" i="20"/>
  <c r="AH840" i="20"/>
  <c r="I498" i="20"/>
  <c r="I700" i="20"/>
  <c r="I846" i="20" s="1"/>
  <c r="M495" i="20"/>
  <c r="M697" i="20"/>
  <c r="M843" i="20" s="1"/>
  <c r="M511" i="20"/>
  <c r="M633" i="20"/>
  <c r="M779" i="20" s="1"/>
  <c r="M712" i="20"/>
  <c r="M858" i="20" s="1"/>
  <c r="I509" i="20"/>
  <c r="I631" i="20"/>
  <c r="I777" i="20" s="1"/>
  <c r="I648" i="20"/>
  <c r="I794" i="20" s="1"/>
  <c r="I526" i="20"/>
  <c r="W637" i="20"/>
  <c r="W783" i="20" s="1"/>
  <c r="W515" i="20"/>
  <c r="AE644" i="20"/>
  <c r="AE790" i="20" s="1"/>
  <c r="AE522" i="20"/>
  <c r="O628" i="20"/>
  <c r="O774" i="20" s="1"/>
  <c r="O506" i="20"/>
  <c r="L629" i="20"/>
  <c r="L775" i="20" s="1"/>
  <c r="L507" i="20"/>
  <c r="L708" i="20"/>
  <c r="L854" i="20" s="1"/>
  <c r="AE519" i="20"/>
  <c r="AE641" i="20"/>
  <c r="AE787" i="20" s="1"/>
  <c r="O520" i="20"/>
  <c r="O642" i="20"/>
  <c r="O788" i="20" s="1"/>
  <c r="W624" i="20"/>
  <c r="W770" i="20" s="1"/>
  <c r="W703" i="20"/>
  <c r="W849" i="20" s="1"/>
  <c r="W502" i="20"/>
  <c r="P501" i="20"/>
  <c r="P702" i="20"/>
  <c r="P848" i="20" s="1"/>
  <c r="P623" i="20"/>
  <c r="P769" i="20" s="1"/>
  <c r="AC293" i="20"/>
  <c r="AC694" i="20"/>
  <c r="AC492" i="20"/>
  <c r="AC510" i="20"/>
  <c r="AC632" i="20"/>
  <c r="AC778" i="20" s="1"/>
  <c r="AC506" i="20"/>
  <c r="AC628" i="20"/>
  <c r="AC774" i="20" s="1"/>
  <c r="AC638" i="20"/>
  <c r="AC784" i="20" s="1"/>
  <c r="AC516" i="20"/>
  <c r="T495" i="20"/>
  <c r="T697" i="20"/>
  <c r="T843" i="20" s="1"/>
  <c r="T622" i="20"/>
  <c r="T768" i="20" s="1"/>
  <c r="T500" i="20"/>
  <c r="T701" i="20"/>
  <c r="T847" i="20" s="1"/>
  <c r="T644" i="20"/>
  <c r="T790" i="20" s="1"/>
  <c r="T522" i="20"/>
  <c r="AL643" i="20"/>
  <c r="AL789" i="20" s="1"/>
  <c r="AL521" i="20"/>
  <c r="AL722" i="20"/>
  <c r="AL868" i="20" s="1"/>
  <c r="AL511" i="20"/>
  <c r="AL633" i="20"/>
  <c r="AL779" i="20" s="1"/>
  <c r="AL712" i="20"/>
  <c r="AL858" i="20" s="1"/>
  <c r="AL714" i="20"/>
  <c r="AL860" i="20" s="1"/>
  <c r="AL513" i="20"/>
  <c r="AL635" i="20"/>
  <c r="AL781" i="20" s="1"/>
  <c r="H642" i="20"/>
  <c r="H788" i="20" s="1"/>
  <c r="H520" i="20"/>
  <c r="H493" i="20"/>
  <c r="H695" i="20"/>
  <c r="H841" i="20" s="1"/>
  <c r="H515" i="20"/>
  <c r="H637" i="20"/>
  <c r="H783" i="20" s="1"/>
  <c r="H514" i="20"/>
  <c r="H636" i="20"/>
  <c r="H782" i="20" s="1"/>
  <c r="W644" i="20"/>
  <c r="W790" i="20" s="1"/>
  <c r="W522" i="20"/>
  <c r="W641" i="20"/>
  <c r="W787" i="20" s="1"/>
  <c r="W519" i="20"/>
  <c r="W526" i="20"/>
  <c r="W648" i="20"/>
  <c r="W794" i="20" s="1"/>
  <c r="W499" i="20"/>
  <c r="W621" i="20" s="1"/>
  <c r="W294" i="20"/>
  <c r="O512" i="20"/>
  <c r="O634" i="20"/>
  <c r="O780" i="20" s="1"/>
  <c r="O624" i="20"/>
  <c r="O770" i="20" s="1"/>
  <c r="O703" i="20"/>
  <c r="O849" i="20" s="1"/>
  <c r="O502" i="20"/>
  <c r="O496" i="20"/>
  <c r="O698" i="20"/>
  <c r="O844" i="20" s="1"/>
  <c r="P513" i="20"/>
  <c r="P635" i="20"/>
  <c r="P781" i="20" s="1"/>
  <c r="P626" i="20"/>
  <c r="P772" i="20" s="1"/>
  <c r="P504" i="20"/>
  <c r="P497" i="20"/>
  <c r="J505" i="20"/>
  <c r="J627" i="20"/>
  <c r="J773" i="20" s="1"/>
  <c r="J634" i="20"/>
  <c r="J780" i="20" s="1"/>
  <c r="J512" i="20"/>
  <c r="J494" i="20"/>
  <c r="J696" i="20"/>
  <c r="J842" i="20" s="1"/>
  <c r="G634" i="20"/>
  <c r="G512" i="20"/>
  <c r="G725" i="20"/>
  <c r="G646" i="20"/>
  <c r="G524" i="20"/>
  <c r="G502" i="20"/>
  <c r="G624" i="20"/>
  <c r="H47" i="44"/>
  <c r="H32" i="44"/>
  <c r="H31" i="44" s="1"/>
  <c r="H64" i="44"/>
  <c r="H74" i="44" s="1"/>
  <c r="K508" i="20"/>
  <c r="K630" i="20"/>
  <c r="K776" i="20" s="1"/>
  <c r="K709" i="20"/>
  <c r="K855" i="20" s="1"/>
  <c r="K503" i="20"/>
  <c r="K704" i="20"/>
  <c r="K850" i="20" s="1"/>
  <c r="K625" i="20"/>
  <c r="K771" i="20" s="1"/>
  <c r="K520" i="20"/>
  <c r="K642" i="20"/>
  <c r="K788" i="20" s="1"/>
  <c r="AE523" i="20"/>
  <c r="AE645" i="20"/>
  <c r="AE791" i="20" s="1"/>
  <c r="AE517" i="20"/>
  <c r="AE639" i="20"/>
  <c r="AE785" i="20" s="1"/>
  <c r="AE514" i="20"/>
  <c r="AE636" i="20"/>
  <c r="AE782" i="20" s="1"/>
  <c r="X638" i="20"/>
  <c r="X784" i="20" s="1"/>
  <c r="X516" i="20"/>
  <c r="X496" i="20"/>
  <c r="X698" i="20"/>
  <c r="X844" i="20" s="1"/>
  <c r="X493" i="20"/>
  <c r="X695" i="20"/>
  <c r="X841" i="20" s="1"/>
  <c r="U626" i="20"/>
  <c r="U772" i="20" s="1"/>
  <c r="U504" i="20"/>
  <c r="U648" i="20"/>
  <c r="U794" i="20" s="1"/>
  <c r="U526" i="20"/>
  <c r="U524" i="20"/>
  <c r="U646" i="20"/>
  <c r="U792" i="20" s="1"/>
  <c r="U725" i="20"/>
  <c r="U871" i="20" s="1"/>
  <c r="O549" i="20"/>
  <c r="L526" i="20"/>
  <c r="L648" i="20"/>
  <c r="L794" i="20" s="1"/>
  <c r="AB493" i="20"/>
  <c r="AB695" i="20"/>
  <c r="AB841" i="20" s="1"/>
  <c r="AB502" i="20"/>
  <c r="AB703" i="20"/>
  <c r="AB849" i="20" s="1"/>
  <c r="AB624" i="20"/>
  <c r="AB770" i="20" s="1"/>
  <c r="AB633" i="20"/>
  <c r="AB779" i="20" s="1"/>
  <c r="AB511" i="20"/>
  <c r="AB497" i="20"/>
  <c r="Y293" i="20"/>
  <c r="Y694" i="20"/>
  <c r="Y492" i="20"/>
  <c r="Y517" i="20"/>
  <c r="Y639" i="20"/>
  <c r="Y785" i="20" s="1"/>
  <c r="Y635" i="20"/>
  <c r="Y781" i="20" s="1"/>
  <c r="Y513" i="20"/>
  <c r="Y499" i="20"/>
  <c r="Y621" i="20" s="1"/>
  <c r="Y294" i="20"/>
  <c r="AD527" i="20"/>
  <c r="AD649" i="20"/>
  <c r="AD728" i="20"/>
  <c r="AD632" i="20"/>
  <c r="AD778" i="20" s="1"/>
  <c r="AD510" i="20"/>
  <c r="AD493" i="20"/>
  <c r="AD695" i="20"/>
  <c r="AD841" i="20" s="1"/>
  <c r="AD293" i="20"/>
  <c r="L646" i="20"/>
  <c r="L792" i="20" s="1"/>
  <c r="L524" i="20"/>
  <c r="L725" i="20"/>
  <c r="L871" i="20" s="1"/>
  <c r="L642" i="20"/>
  <c r="L788" i="20" s="1"/>
  <c r="L520" i="20"/>
  <c r="L627" i="20"/>
  <c r="L773" i="20" s="1"/>
  <c r="L505" i="20"/>
  <c r="AJ494" i="20"/>
  <c r="AJ696" i="20"/>
  <c r="AJ842" i="20" s="1"/>
  <c r="AJ632" i="20"/>
  <c r="AJ778" i="20" s="1"/>
  <c r="AJ510" i="20"/>
  <c r="AJ647" i="20"/>
  <c r="AJ793" i="20" s="1"/>
  <c r="AJ525" i="20"/>
  <c r="AF510" i="20"/>
  <c r="AF632" i="20"/>
  <c r="AF778" i="20" s="1"/>
  <c r="AF512" i="20"/>
  <c r="AF634" i="20"/>
  <c r="AF780" i="20" s="1"/>
  <c r="AF506" i="20"/>
  <c r="AF628" i="20"/>
  <c r="AF774" i="20" s="1"/>
  <c r="AF294" i="20"/>
  <c r="AF499" i="20"/>
  <c r="AF621" i="20" s="1"/>
  <c r="AJ293" i="20"/>
  <c r="AH498" i="20"/>
  <c r="AH700" i="20"/>
  <c r="AH846" i="20" s="1"/>
  <c r="AH521" i="20"/>
  <c r="AH643" i="20"/>
  <c r="AH789" i="20" s="1"/>
  <c r="AH624" i="20"/>
  <c r="AH770" i="20" s="1"/>
  <c r="AH502" i="20"/>
  <c r="AH703" i="20"/>
  <c r="AH849" i="20" s="1"/>
  <c r="AH638" i="20"/>
  <c r="AH784" i="20" s="1"/>
  <c r="AH516" i="20"/>
  <c r="Z509" i="20"/>
  <c r="Z631" i="20"/>
  <c r="Z777" i="20" s="1"/>
  <c r="Z637" i="20"/>
  <c r="Z783" i="20" s="1"/>
  <c r="Z515" i="20"/>
  <c r="Z505" i="20"/>
  <c r="Z627" i="20"/>
  <c r="Z773" i="20" s="1"/>
  <c r="Z498" i="20"/>
  <c r="Z700" i="20"/>
  <c r="Z846" i="20" s="1"/>
  <c r="AG527" i="20"/>
  <c r="AG649" i="20"/>
  <c r="AG728" i="20"/>
  <c r="AG513" i="20"/>
  <c r="AG635" i="20"/>
  <c r="AG781" i="20" s="1"/>
  <c r="AG714" i="20"/>
  <c r="AG860" i="20" s="1"/>
  <c r="AG627" i="20"/>
  <c r="AG773" i="20" s="1"/>
  <c r="AG505" i="20"/>
  <c r="AG638" i="20"/>
  <c r="AG784" i="20" s="1"/>
  <c r="AG516" i="20"/>
  <c r="AD537" i="20"/>
  <c r="S293" i="20"/>
  <c r="S492" i="20"/>
  <c r="S694" i="20"/>
  <c r="S647" i="20"/>
  <c r="S793" i="20" s="1"/>
  <c r="S525" i="20"/>
  <c r="S517" i="20"/>
  <c r="S639" i="20"/>
  <c r="S785" i="20" s="1"/>
  <c r="S641" i="20"/>
  <c r="S787" i="20" s="1"/>
  <c r="S519" i="20"/>
  <c r="S498" i="20"/>
  <c r="S700" i="20"/>
  <c r="S846" i="20" s="1"/>
  <c r="N526" i="20"/>
  <c r="N648" i="20"/>
  <c r="N794" i="20" s="1"/>
  <c r="N647" i="20"/>
  <c r="N793" i="20" s="1"/>
  <c r="N525" i="20"/>
  <c r="N726" i="20"/>
  <c r="N872" i="20" s="1"/>
  <c r="N503" i="20"/>
  <c r="N625" i="20"/>
  <c r="N771" i="20" s="1"/>
  <c r="N704" i="20"/>
  <c r="N850" i="20" s="1"/>
  <c r="N514" i="20"/>
  <c r="N636" i="20"/>
  <c r="N782" i="20" s="1"/>
  <c r="N634" i="20"/>
  <c r="N780" i="20" s="1"/>
  <c r="N512" i="20"/>
  <c r="AA641" i="20"/>
  <c r="AA787" i="20" s="1"/>
  <c r="AA720" i="20"/>
  <c r="AA866" i="20" s="1"/>
  <c r="AA519" i="20"/>
  <c r="S43" i="44"/>
  <c r="V644" i="20"/>
  <c r="V790" i="20" s="1"/>
  <c r="V522" i="20"/>
  <c r="V646" i="20"/>
  <c r="V792" i="20" s="1"/>
  <c r="V524" i="20"/>
  <c r="V725" i="20"/>
  <c r="V871" i="20" s="1"/>
  <c r="V519" i="20"/>
  <c r="V641" i="20"/>
  <c r="V787" i="20" s="1"/>
  <c r="V294" i="20"/>
  <c r="V499" i="20"/>
  <c r="V621" i="20" s="1"/>
  <c r="R636" i="20"/>
  <c r="R782" i="20" s="1"/>
  <c r="R514" i="20"/>
  <c r="R493" i="20"/>
  <c r="R695" i="20"/>
  <c r="R841" i="20" s="1"/>
  <c r="R638" i="20"/>
  <c r="R784" i="20" s="1"/>
  <c r="R516" i="20"/>
  <c r="R627" i="20"/>
  <c r="R773" i="20" s="1"/>
  <c r="R505" i="20"/>
  <c r="AG495" i="20"/>
  <c r="AG697" i="20"/>
  <c r="AG843" i="20" s="1"/>
  <c r="AK645" i="20"/>
  <c r="AK791" i="20" s="1"/>
  <c r="AK523" i="20"/>
  <c r="AK623" i="20"/>
  <c r="AK769" i="20" s="1"/>
  <c r="AK702" i="20"/>
  <c r="AK848" i="20" s="1"/>
  <c r="AK501" i="20"/>
  <c r="AK525" i="20"/>
  <c r="AK647" i="20"/>
  <c r="AK793" i="20" s="1"/>
  <c r="AK646" i="20"/>
  <c r="AK792" i="20" s="1"/>
  <c r="AK725" i="20"/>
  <c r="AK871" i="20" s="1"/>
  <c r="AK524" i="20"/>
  <c r="AK499" i="20"/>
  <c r="AK621" i="20" s="1"/>
  <c r="AK294" i="20"/>
  <c r="AA649" i="20"/>
  <c r="AA527" i="20"/>
  <c r="AA728" i="20"/>
  <c r="AA293" i="20"/>
  <c r="AA492" i="20"/>
  <c r="AA694" i="20"/>
  <c r="AA506" i="20"/>
  <c r="AA628" i="20"/>
  <c r="AA774" i="20" s="1"/>
  <c r="AA512" i="20"/>
  <c r="AA634" i="20"/>
  <c r="AA780" i="20" s="1"/>
  <c r="Q513" i="20"/>
  <c r="Q635" i="20"/>
  <c r="Q781" i="20" s="1"/>
  <c r="Q525" i="20"/>
  <c r="Q647" i="20"/>
  <c r="Q793" i="20" s="1"/>
  <c r="Q726" i="20"/>
  <c r="Q872" i="20" s="1"/>
  <c r="Q514" i="20"/>
  <c r="Q636" i="20"/>
  <c r="Q782" i="20" s="1"/>
  <c r="Q627" i="20"/>
  <c r="Q773" i="20" s="1"/>
  <c r="Q505" i="20"/>
  <c r="M732" i="20"/>
  <c r="M874" i="20"/>
  <c r="M878" i="20" s="1"/>
  <c r="G293" i="20"/>
  <c r="AI521" i="20"/>
  <c r="AI643" i="20"/>
  <c r="AI789" i="20" s="1"/>
  <c r="AI498" i="20"/>
  <c r="AI700" i="20"/>
  <c r="AI846" i="20" s="1"/>
  <c r="AI494" i="20"/>
  <c r="AI696" i="20"/>
  <c r="AI842" i="20" s="1"/>
  <c r="AI630" i="20"/>
  <c r="AI776" i="20" s="1"/>
  <c r="AI508" i="20"/>
  <c r="AI709" i="20"/>
  <c r="AI855" i="20" s="1"/>
  <c r="AI626" i="20"/>
  <c r="AI772" i="20" s="1"/>
  <c r="AI504" i="20"/>
  <c r="AG553" i="20"/>
  <c r="M505" i="20"/>
  <c r="M627" i="20"/>
  <c r="M773" i="20" s="1"/>
  <c r="M520" i="20"/>
  <c r="M642" i="20"/>
  <c r="M788" i="20" s="1"/>
  <c r="M502" i="20"/>
  <c r="M624" i="20"/>
  <c r="M770" i="20" s="1"/>
  <c r="I637" i="20"/>
  <c r="I783" i="20" s="1"/>
  <c r="I515" i="20"/>
  <c r="I497" i="20"/>
  <c r="K697" i="20"/>
  <c r="K843" i="20" s="1"/>
  <c r="K495" i="20"/>
  <c r="U636" i="20"/>
  <c r="U782" i="20" s="1"/>
  <c r="U514" i="20"/>
  <c r="AE502" i="20"/>
  <c r="AE703" i="20"/>
  <c r="AE849" i="20" s="1"/>
  <c r="AE624" i="20"/>
  <c r="AE770" i="20" s="1"/>
  <c r="AL725" i="20"/>
  <c r="AL871" i="20" s="1"/>
  <c r="AL646" i="20"/>
  <c r="AL792" i="20" s="1"/>
  <c r="AL524" i="20"/>
  <c r="AL640" i="20"/>
  <c r="AL786" i="20" s="1"/>
  <c r="AL719" i="20"/>
  <c r="AL518" i="20"/>
  <c r="T47" i="44"/>
  <c r="T32" i="44"/>
  <c r="T31" i="44" s="1"/>
  <c r="T64" i="44"/>
  <c r="T74" i="44" s="1"/>
  <c r="AL495" i="20"/>
  <c r="AL697" i="20"/>
  <c r="AL843" i="20" s="1"/>
  <c r="AC626" i="20"/>
  <c r="AC772" i="20" s="1"/>
  <c r="AC504" i="20"/>
  <c r="AC701" i="20"/>
  <c r="AC847" i="20" s="1"/>
  <c r="AC500" i="20"/>
  <c r="AC622" i="20"/>
  <c r="AC768" i="20" s="1"/>
  <c r="AC496" i="20"/>
  <c r="AC698" i="20"/>
  <c r="AC844" i="20" s="1"/>
  <c r="T526" i="20"/>
  <c r="T648" i="20"/>
  <c r="T794" i="20" s="1"/>
  <c r="T518" i="20"/>
  <c r="T640" i="20"/>
  <c r="T786" i="20" s="1"/>
  <c r="T630" i="20"/>
  <c r="T776" i="20" s="1"/>
  <c r="T709" i="20"/>
  <c r="T855" i="20" s="1"/>
  <c r="T508" i="20"/>
  <c r="AL644" i="20"/>
  <c r="AL790" i="20" s="1"/>
  <c r="AL522" i="20"/>
  <c r="AL723" i="20"/>
  <c r="AL497" i="20"/>
  <c r="AL699" i="20"/>
  <c r="AL845" i="20" s="1"/>
  <c r="G496" i="20"/>
  <c r="G698" i="20"/>
  <c r="H635" i="20"/>
  <c r="H781" i="20" s="1"/>
  <c r="H513" i="20"/>
  <c r="H714" i="20"/>
  <c r="H629" i="20"/>
  <c r="H775" i="20" s="1"/>
  <c r="H507" i="20"/>
  <c r="H708" i="20"/>
  <c r="H497" i="20"/>
  <c r="W507" i="20"/>
  <c r="W629" i="20"/>
  <c r="W775" i="20" s="1"/>
  <c r="W708" i="20"/>
  <c r="W854" i="20" s="1"/>
  <c r="W709" i="20"/>
  <c r="W855" i="20" s="1"/>
  <c r="W630" i="20"/>
  <c r="W776" i="20" s="1"/>
  <c r="W508" i="20"/>
  <c r="W633" i="20"/>
  <c r="W779" i="20" s="1"/>
  <c r="W511" i="20"/>
  <c r="W497" i="20"/>
  <c r="O527" i="20"/>
  <c r="O649" i="20"/>
  <c r="O728" i="20"/>
  <c r="O493" i="20"/>
  <c r="O695" i="20"/>
  <c r="O507" i="20"/>
  <c r="O708" i="20"/>
  <c r="O854" i="20" s="1"/>
  <c r="O629" i="20"/>
  <c r="O775" i="20" s="1"/>
  <c r="O644" i="20"/>
  <c r="O790" i="20" s="1"/>
  <c r="O522" i="20"/>
  <c r="O631" i="20"/>
  <c r="O777" i="20" s="1"/>
  <c r="O509" i="20"/>
  <c r="O499" i="20"/>
  <c r="O621" i="20" s="1"/>
  <c r="O294" i="20"/>
  <c r="P642" i="20"/>
  <c r="P788" i="20" s="1"/>
  <c r="P520" i="20"/>
  <c r="P503" i="20"/>
  <c r="P625" i="20"/>
  <c r="P771" i="20" s="1"/>
  <c r="P704" i="20"/>
  <c r="P850" i="20" s="1"/>
  <c r="P495" i="20"/>
  <c r="P697" i="20"/>
  <c r="P843" i="20" s="1"/>
  <c r="P505" i="20"/>
  <c r="P627" i="20"/>
  <c r="P773" i="20" s="1"/>
  <c r="P294" i="20"/>
  <c r="P499" i="20"/>
  <c r="P621" i="20" s="1"/>
  <c r="J521" i="20"/>
  <c r="J643" i="20"/>
  <c r="J789" i="20" s="1"/>
  <c r="J493" i="20"/>
  <c r="J695" i="20"/>
  <c r="J841" i="20" s="1"/>
  <c r="J629" i="20"/>
  <c r="J775" i="20" s="1"/>
  <c r="J708" i="20"/>
  <c r="J854" i="20" s="1"/>
  <c r="J507" i="20"/>
  <c r="J641" i="20"/>
  <c r="J787" i="20" s="1"/>
  <c r="J519" i="20"/>
  <c r="J518" i="20"/>
  <c r="J640" i="20"/>
  <c r="J786" i="20" s="1"/>
  <c r="J628" i="20"/>
  <c r="J774" i="20" s="1"/>
  <c r="J506" i="20"/>
  <c r="G503" i="20"/>
  <c r="G625" i="20"/>
  <c r="G704" i="20"/>
  <c r="G517" i="20"/>
  <c r="G639" i="20"/>
  <c r="G509" i="20"/>
  <c r="G631" i="20"/>
  <c r="G697" i="20"/>
  <c r="G495" i="20"/>
  <c r="G498" i="20"/>
  <c r="G700" i="20"/>
  <c r="AD494" i="20"/>
  <c r="AD696" i="20"/>
  <c r="AD842" i="20" s="1"/>
  <c r="Y518" i="20"/>
  <c r="Y640" i="20"/>
  <c r="Y786" i="20" s="1"/>
  <c r="Y632" i="20"/>
  <c r="Y778" i="20" s="1"/>
  <c r="Y510" i="20"/>
  <c r="AF709" i="20"/>
  <c r="AF855" i="20" s="1"/>
  <c r="AF508" i="20"/>
  <c r="AF630" i="20"/>
  <c r="AF776" i="20" s="1"/>
  <c r="X732" i="20"/>
  <c r="X874" i="20"/>
  <c r="X878" i="20" s="1"/>
  <c r="AG47" i="44"/>
  <c r="AG64" i="44"/>
  <c r="AG74" i="44" s="1"/>
  <c r="AG32" i="44"/>
  <c r="AG31" i="44" s="1"/>
  <c r="I293" i="20"/>
  <c r="K640" i="20"/>
  <c r="K786" i="20" s="1"/>
  <c r="K518" i="20"/>
  <c r="K628" i="20"/>
  <c r="K774" i="20" s="1"/>
  <c r="K506" i="20"/>
  <c r="K496" i="20"/>
  <c r="K698" i="20"/>
  <c r="K844" i="20" s="1"/>
  <c r="K512" i="20"/>
  <c r="K634" i="20"/>
  <c r="K780" i="20" s="1"/>
  <c r="K513" i="20"/>
  <c r="K635" i="20"/>
  <c r="K781" i="20" s="1"/>
  <c r="K627" i="20"/>
  <c r="K773" i="20" s="1"/>
  <c r="K505" i="20"/>
  <c r="K294" i="20"/>
  <c r="K499" i="20"/>
  <c r="K621" i="20" s="1"/>
  <c r="AE496" i="20"/>
  <c r="AE698" i="20"/>
  <c r="AE844" i="20" s="1"/>
  <c r="AE646" i="20"/>
  <c r="AE792" i="20" s="1"/>
  <c r="AE725" i="20"/>
  <c r="AE871" i="20" s="1"/>
  <c r="AE524" i="20"/>
  <c r="AE722" i="20"/>
  <c r="AE868" i="20" s="1"/>
  <c r="AE521" i="20"/>
  <c r="AE643" i="20"/>
  <c r="AE789" i="20" s="1"/>
  <c r="AE642" i="20"/>
  <c r="AE788" i="20" s="1"/>
  <c r="AE520" i="20"/>
  <c r="AE503" i="20"/>
  <c r="AE625" i="20"/>
  <c r="AE771" i="20" s="1"/>
  <c r="AE704" i="20"/>
  <c r="AE850" i="20" s="1"/>
  <c r="AE497" i="20"/>
  <c r="X634" i="20"/>
  <c r="X780" i="20" s="1"/>
  <c r="X512" i="20"/>
  <c r="X507" i="20"/>
  <c r="X629" i="20"/>
  <c r="X775" i="20" s="1"/>
  <c r="X624" i="20"/>
  <c r="X770" i="20" s="1"/>
  <c r="X502" i="20"/>
  <c r="X703" i="20"/>
  <c r="X849" i="20" s="1"/>
  <c r="X627" i="20"/>
  <c r="X773" i="20" s="1"/>
  <c r="X505" i="20"/>
  <c r="X521" i="20"/>
  <c r="X643" i="20"/>
  <c r="X789" i="20" s="1"/>
  <c r="X625" i="20"/>
  <c r="X771" i="20" s="1"/>
  <c r="X503" i="20"/>
  <c r="O293" i="20"/>
  <c r="U643" i="20"/>
  <c r="U789" i="20" s="1"/>
  <c r="U521" i="20"/>
  <c r="U496" i="20"/>
  <c r="U698" i="20"/>
  <c r="U844" i="20" s="1"/>
  <c r="U726" i="20"/>
  <c r="U872" i="20" s="1"/>
  <c r="U647" i="20"/>
  <c r="U793" i="20" s="1"/>
  <c r="U525" i="20"/>
  <c r="U632" i="20"/>
  <c r="U778" i="20" s="1"/>
  <c r="U510" i="20"/>
  <c r="U518" i="20"/>
  <c r="U640" i="20"/>
  <c r="U786" i="20" s="1"/>
  <c r="P293" i="20"/>
  <c r="AB530" i="20"/>
  <c r="Y123" i="44" s="1"/>
  <c r="AB561" i="20"/>
  <c r="AB565" i="20" s="1"/>
  <c r="AF637" i="20"/>
  <c r="AF783" i="20" s="1"/>
  <c r="AF515" i="20"/>
  <c r="Y631" i="20"/>
  <c r="Y777" i="20" s="1"/>
  <c r="Y509" i="20"/>
  <c r="AF635" i="20"/>
  <c r="AF781" i="20" s="1"/>
  <c r="AF513" i="20"/>
  <c r="AB495" i="20"/>
  <c r="AB697" i="20"/>
  <c r="AB843" i="20" s="1"/>
  <c r="AB510" i="20"/>
  <c r="AB632" i="20"/>
  <c r="AB778" i="20" s="1"/>
  <c r="AB494" i="20"/>
  <c r="AB696" i="20"/>
  <c r="AB842" i="20" s="1"/>
  <c r="AB509" i="20"/>
  <c r="AB631" i="20"/>
  <c r="AB777" i="20" s="1"/>
  <c r="AB496" i="20"/>
  <c r="AB698" i="20"/>
  <c r="AB844" i="20" s="1"/>
  <c r="AB507" i="20"/>
  <c r="AB629" i="20"/>
  <c r="AB775" i="20" s="1"/>
  <c r="AB499" i="20"/>
  <c r="AB621" i="20" s="1"/>
  <c r="AB294" i="20"/>
  <c r="G561" i="20"/>
  <c r="G530" i="20"/>
  <c r="Y507" i="20"/>
  <c r="Y629" i="20"/>
  <c r="Y775" i="20" s="1"/>
  <c r="Y726" i="20"/>
  <c r="Y872" i="20" s="1"/>
  <c r="Y647" i="20"/>
  <c r="Y793" i="20" s="1"/>
  <c r="Y525" i="20"/>
  <c r="Y494" i="20"/>
  <c r="Y696" i="20"/>
  <c r="Y842" i="20" s="1"/>
  <c r="Y498" i="20"/>
  <c r="Y700" i="20"/>
  <c r="Y846" i="20" s="1"/>
  <c r="Y505" i="20"/>
  <c r="Y627" i="20"/>
  <c r="Y773" i="20" s="1"/>
  <c r="Y642" i="20"/>
  <c r="Y788" i="20" s="1"/>
  <c r="Y520" i="20"/>
  <c r="AA47" i="44"/>
  <c r="AA64" i="44"/>
  <c r="AA74" i="44" s="1"/>
  <c r="AA32" i="44"/>
  <c r="AA31" i="44" s="1"/>
  <c r="AA43" i="44"/>
  <c r="AD506" i="20"/>
  <c r="AD628" i="20"/>
  <c r="AD774" i="20" s="1"/>
  <c r="AD629" i="20"/>
  <c r="AD775" i="20" s="1"/>
  <c r="AD507" i="20"/>
  <c r="AD708" i="20"/>
  <c r="AD854" i="20" s="1"/>
  <c r="AD500" i="20"/>
  <c r="AD622" i="20"/>
  <c r="AD768" i="20" s="1"/>
  <c r="AD701" i="20"/>
  <c r="AD847" i="20" s="1"/>
  <c r="AD635" i="20"/>
  <c r="AD781" i="20" s="1"/>
  <c r="AD513" i="20"/>
  <c r="AD521" i="20"/>
  <c r="AD643" i="20"/>
  <c r="AD789" i="20" s="1"/>
  <c r="L500" i="20"/>
  <c r="L622" i="20"/>
  <c r="L768" i="20" s="1"/>
  <c r="L701" i="20"/>
  <c r="L847" i="20" s="1"/>
  <c r="L624" i="20"/>
  <c r="L770" i="20" s="1"/>
  <c r="L502" i="20"/>
  <c r="L512" i="20"/>
  <c r="L634" i="20"/>
  <c r="L780" i="20" s="1"/>
  <c r="L493" i="20"/>
  <c r="L695" i="20"/>
  <c r="L841" i="20" s="1"/>
  <c r="L509" i="20"/>
  <c r="L631" i="20"/>
  <c r="L777" i="20" s="1"/>
  <c r="L499" i="20"/>
  <c r="L621" i="20" s="1"/>
  <c r="L294" i="20"/>
  <c r="AJ626" i="20"/>
  <c r="AJ772" i="20" s="1"/>
  <c r="AJ504" i="20"/>
  <c r="AJ642" i="20"/>
  <c r="AJ788" i="20" s="1"/>
  <c r="AJ520" i="20"/>
  <c r="AJ633" i="20"/>
  <c r="AJ779" i="20" s="1"/>
  <c r="AJ511" i="20"/>
  <c r="AJ496" i="20"/>
  <c r="AJ698" i="20"/>
  <c r="AJ844" i="20" s="1"/>
  <c r="AJ644" i="20"/>
  <c r="AJ790" i="20" s="1"/>
  <c r="AJ522" i="20"/>
  <c r="AJ628" i="20"/>
  <c r="AJ774" i="20" s="1"/>
  <c r="AJ506" i="20"/>
  <c r="AF629" i="20"/>
  <c r="AF775" i="20" s="1"/>
  <c r="AF507" i="20"/>
  <c r="AF708" i="20"/>
  <c r="AF854" i="20" s="1"/>
  <c r="AF496" i="20"/>
  <c r="AF698" i="20"/>
  <c r="AF844" i="20" s="1"/>
  <c r="AF645" i="20"/>
  <c r="AF791" i="20" s="1"/>
  <c r="AF523" i="20"/>
  <c r="AF636" i="20"/>
  <c r="AF782" i="20" s="1"/>
  <c r="AF514" i="20"/>
  <c r="AF525" i="20"/>
  <c r="AF647" i="20"/>
  <c r="AF793" i="20" s="1"/>
  <c r="Y32" i="44"/>
  <c r="Y31" i="44" s="1"/>
  <c r="G772" i="20"/>
  <c r="I540" i="20"/>
  <c r="R501" i="20"/>
  <c r="R702" i="20"/>
  <c r="R848" i="20" s="1"/>
  <c r="R623" i="20"/>
  <c r="R769" i="20" s="1"/>
  <c r="AI631" i="20"/>
  <c r="AI777" i="20" s="1"/>
  <c r="AI509" i="20"/>
  <c r="G549" i="20"/>
  <c r="AH646" i="20"/>
  <c r="AH792" i="20" s="1"/>
  <c r="AH524" i="20"/>
  <c r="AH725" i="20"/>
  <c r="AH871" i="20" s="1"/>
  <c r="AH629" i="20"/>
  <c r="AH775" i="20" s="1"/>
  <c r="AH507" i="20"/>
  <c r="AH525" i="20"/>
  <c r="AH647" i="20"/>
  <c r="AH793" i="20" s="1"/>
  <c r="AH726" i="20"/>
  <c r="AH872" i="20" s="1"/>
  <c r="AH506" i="20"/>
  <c r="AH628" i="20"/>
  <c r="AH774" i="20" s="1"/>
  <c r="AH639" i="20"/>
  <c r="AH785" i="20" s="1"/>
  <c r="AH517" i="20"/>
  <c r="AH631" i="20"/>
  <c r="AH777" i="20" s="1"/>
  <c r="AH509" i="20"/>
  <c r="AH510" i="20"/>
  <c r="AH632" i="20"/>
  <c r="AH778" i="20" s="1"/>
  <c r="AH497" i="20"/>
  <c r="Z508" i="20"/>
  <c r="Z630" i="20"/>
  <c r="Z776" i="20" s="1"/>
  <c r="Z709" i="20"/>
  <c r="Z855" i="20" s="1"/>
  <c r="W43" i="44"/>
  <c r="Z513" i="20"/>
  <c r="Z635" i="20"/>
  <c r="Z781" i="20" s="1"/>
  <c r="Z648" i="20"/>
  <c r="Z794" i="20" s="1"/>
  <c r="Z526" i="20"/>
  <c r="Z524" i="20"/>
  <c r="Z646" i="20"/>
  <c r="Z792" i="20" s="1"/>
  <c r="Z725" i="20"/>
  <c r="Z871" i="20" s="1"/>
  <c r="Z647" i="20"/>
  <c r="Z793" i="20" s="1"/>
  <c r="Z726" i="20"/>
  <c r="Z872" i="20" s="1"/>
  <c r="Z525" i="20"/>
  <c r="Z512" i="20"/>
  <c r="Z634" i="20"/>
  <c r="Z780" i="20" s="1"/>
  <c r="Z518" i="20"/>
  <c r="Z640" i="20"/>
  <c r="Z786" i="20" s="1"/>
  <c r="Z499" i="20"/>
  <c r="Z621" i="20" s="1"/>
  <c r="Z294" i="20"/>
  <c r="N649" i="20"/>
  <c r="N527" i="20"/>
  <c r="N728" i="20"/>
  <c r="X293" i="20"/>
  <c r="AG521" i="20"/>
  <c r="AG643" i="20"/>
  <c r="AG789" i="20" s="1"/>
  <c r="AG709" i="20"/>
  <c r="AG855" i="20" s="1"/>
  <c r="AG508" i="20"/>
  <c r="AG630" i="20"/>
  <c r="AG776" i="20" s="1"/>
  <c r="AG622" i="20"/>
  <c r="AG768" i="20" s="1"/>
  <c r="AG500" i="20"/>
  <c r="AG701" i="20"/>
  <c r="AG847" i="20" s="1"/>
  <c r="AG493" i="20"/>
  <c r="AG695" i="20"/>
  <c r="AG841" i="20" s="1"/>
  <c r="AG511" i="20"/>
  <c r="AG633" i="20"/>
  <c r="AG779" i="20" s="1"/>
  <c r="AG496" i="20"/>
  <c r="AG698" i="20"/>
  <c r="AG844" i="20" s="1"/>
  <c r="AG494" i="20"/>
  <c r="AG696" i="20"/>
  <c r="AG842" i="20" s="1"/>
  <c r="AG294" i="20"/>
  <c r="AG499" i="20"/>
  <c r="AG621" i="20" s="1"/>
  <c r="N633" i="20"/>
  <c r="N779" i="20" s="1"/>
  <c r="N511" i="20"/>
  <c r="S503" i="20"/>
  <c r="S625" i="20"/>
  <c r="S771" i="20" s="1"/>
  <c r="S704" i="20"/>
  <c r="S850" i="20" s="1"/>
  <c r="S493" i="20"/>
  <c r="S695" i="20"/>
  <c r="S841" i="20" s="1"/>
  <c r="S728" i="20"/>
  <c r="S527" i="20"/>
  <c r="S649" i="20"/>
  <c r="S646" i="20"/>
  <c r="S792" i="20" s="1"/>
  <c r="S725" i="20"/>
  <c r="S871" i="20" s="1"/>
  <c r="S524" i="20"/>
  <c r="S526" i="20"/>
  <c r="S648" i="20"/>
  <c r="S794" i="20" s="1"/>
  <c r="S624" i="20"/>
  <c r="S770" i="20" s="1"/>
  <c r="S502" i="20"/>
  <c r="S703" i="20"/>
  <c r="S849" i="20" s="1"/>
  <c r="S495" i="20"/>
  <c r="S697" i="20"/>
  <c r="S843" i="20" s="1"/>
  <c r="S635" i="20"/>
  <c r="S781" i="20" s="1"/>
  <c r="S714" i="20"/>
  <c r="S860" i="20" s="1"/>
  <c r="S513" i="20"/>
  <c r="S497" i="20"/>
  <c r="N643" i="20"/>
  <c r="N789" i="20" s="1"/>
  <c r="N521" i="20"/>
  <c r="N640" i="20"/>
  <c r="N786" i="20" s="1"/>
  <c r="N518" i="20"/>
  <c r="N646" i="20"/>
  <c r="N792" i="20" s="1"/>
  <c r="N524" i="20"/>
  <c r="N725" i="20"/>
  <c r="N871" i="20" s="1"/>
  <c r="N494" i="20"/>
  <c r="N696" i="20"/>
  <c r="N842" i="20" s="1"/>
  <c r="N644" i="20"/>
  <c r="N790" i="20" s="1"/>
  <c r="N522" i="20"/>
  <c r="N520" i="20"/>
  <c r="N642" i="20"/>
  <c r="N788" i="20" s="1"/>
  <c r="N628" i="20"/>
  <c r="N774" i="20" s="1"/>
  <c r="N506" i="20"/>
  <c r="N294" i="20"/>
  <c r="N499" i="20"/>
  <c r="N621" i="20" s="1"/>
  <c r="P653" i="20"/>
  <c r="P795" i="20"/>
  <c r="P799" i="20" s="1"/>
  <c r="V627" i="20"/>
  <c r="V773" i="20" s="1"/>
  <c r="V505" i="20"/>
  <c r="V498" i="20"/>
  <c r="V700" i="20"/>
  <c r="V846" i="20" s="1"/>
  <c r="V635" i="20"/>
  <c r="V781" i="20" s="1"/>
  <c r="V513" i="20"/>
  <c r="V714" i="20"/>
  <c r="V860" i="20" s="1"/>
  <c r="V514" i="20"/>
  <c r="V636" i="20"/>
  <c r="V782" i="20" s="1"/>
  <c r="V496" i="20"/>
  <c r="V698" i="20"/>
  <c r="V844" i="20" s="1"/>
  <c r="S47" i="44"/>
  <c r="S64" i="44"/>
  <c r="S74" i="44" s="1"/>
  <c r="S32" i="44"/>
  <c r="S31" i="44" s="1"/>
  <c r="V493" i="20"/>
  <c r="V695" i="20"/>
  <c r="V841" i="20" s="1"/>
  <c r="V638" i="20"/>
  <c r="V784" i="20" s="1"/>
  <c r="V516" i="20"/>
  <c r="Q517" i="20"/>
  <c r="Q639" i="20"/>
  <c r="Q785" i="20" s="1"/>
  <c r="R649" i="20"/>
  <c r="R728" i="20"/>
  <c r="R527" i="20"/>
  <c r="R293" i="20"/>
  <c r="R694" i="20"/>
  <c r="R492" i="20"/>
  <c r="R628" i="20"/>
  <c r="R774" i="20" s="1"/>
  <c r="R506" i="20"/>
  <c r="R494" i="20"/>
  <c r="R696" i="20"/>
  <c r="R842" i="20" s="1"/>
  <c r="R645" i="20"/>
  <c r="R791" i="20" s="1"/>
  <c r="R523" i="20"/>
  <c r="R644" i="20"/>
  <c r="R790" i="20" s="1"/>
  <c r="R522" i="20"/>
  <c r="R626" i="20"/>
  <c r="R772" i="20" s="1"/>
  <c r="R504" i="20"/>
  <c r="R499" i="20"/>
  <c r="R621" i="20" s="1"/>
  <c r="R294" i="20"/>
  <c r="AH47" i="44"/>
  <c r="AH64" i="44"/>
  <c r="AH74" i="44" s="1"/>
  <c r="AH32" i="44"/>
  <c r="AH31" i="44" s="1"/>
  <c r="AK496" i="20"/>
  <c r="AK698" i="20"/>
  <c r="AK844" i="20" s="1"/>
  <c r="AK505" i="20"/>
  <c r="AK627" i="20"/>
  <c r="AK773" i="20" s="1"/>
  <c r="AK630" i="20"/>
  <c r="AK776" i="20" s="1"/>
  <c r="AK709" i="20"/>
  <c r="AK855" i="20" s="1"/>
  <c r="AK508" i="20"/>
  <c r="AK643" i="20"/>
  <c r="AK789" i="20" s="1"/>
  <c r="AK521" i="20"/>
  <c r="AK519" i="20"/>
  <c r="AK641" i="20"/>
  <c r="AK787" i="20" s="1"/>
  <c r="AK720" i="20"/>
  <c r="AK866" i="20" s="1"/>
  <c r="AK494" i="20"/>
  <c r="AK696" i="20"/>
  <c r="AK842" i="20" s="1"/>
  <c r="AK493" i="20"/>
  <c r="AK695" i="20"/>
  <c r="AK841" i="20" s="1"/>
  <c r="AK644" i="20"/>
  <c r="AK790" i="20" s="1"/>
  <c r="AK522" i="20"/>
  <c r="O32" i="44"/>
  <c r="O31" i="44" s="1"/>
  <c r="AA516" i="20"/>
  <c r="AA638" i="20"/>
  <c r="AA784" i="20" s="1"/>
  <c r="AA521" i="20"/>
  <c r="AA643" i="20"/>
  <c r="AA789" i="20" s="1"/>
  <c r="AA514" i="20"/>
  <c r="AA636" i="20"/>
  <c r="AA782" i="20" s="1"/>
  <c r="AA639" i="20"/>
  <c r="AA785" i="20" s="1"/>
  <c r="AA517" i="20"/>
  <c r="AA725" i="20"/>
  <c r="AA871" i="20" s="1"/>
  <c r="AA646" i="20"/>
  <c r="AA792" i="20" s="1"/>
  <c r="AA524" i="20"/>
  <c r="AA513" i="20"/>
  <c r="AA635" i="20"/>
  <c r="AA781" i="20" s="1"/>
  <c r="AA505" i="20"/>
  <c r="AA627" i="20"/>
  <c r="AA773" i="20" s="1"/>
  <c r="AA515" i="20"/>
  <c r="AA637" i="20"/>
  <c r="AA783" i="20" s="1"/>
  <c r="AA497" i="20"/>
  <c r="N43" i="44"/>
  <c r="Q526" i="20"/>
  <c r="Q648" i="20"/>
  <c r="Q794" i="20" s="1"/>
  <c r="Q644" i="20"/>
  <c r="Q790" i="20" s="1"/>
  <c r="Q522" i="20"/>
  <c r="Q523" i="20"/>
  <c r="Q645" i="20"/>
  <c r="Q791" i="20" s="1"/>
  <c r="Q527" i="20"/>
  <c r="Q728" i="20"/>
  <c r="Q649" i="20"/>
  <c r="Q629" i="20"/>
  <c r="Q775" i="20" s="1"/>
  <c r="Q708" i="20"/>
  <c r="Q854" i="20" s="1"/>
  <c r="Q507" i="20"/>
  <c r="Q643" i="20"/>
  <c r="Q789" i="20" s="1"/>
  <c r="Q521" i="20"/>
  <c r="Q640" i="20"/>
  <c r="Q786" i="20" s="1"/>
  <c r="Q518" i="20"/>
  <c r="Q497" i="20"/>
  <c r="Q536" i="20"/>
  <c r="AG523" i="20"/>
  <c r="AG645" i="20"/>
  <c r="AG791" i="20" s="1"/>
  <c r="AI649" i="20"/>
  <c r="AI527" i="20"/>
  <c r="AI728" i="20"/>
  <c r="AI625" i="20"/>
  <c r="AI771" i="20" s="1"/>
  <c r="AI503" i="20"/>
  <c r="AI704" i="20"/>
  <c r="AI850" i="20" s="1"/>
  <c r="AI635" i="20"/>
  <c r="AI781" i="20" s="1"/>
  <c r="AI513" i="20"/>
  <c r="AI623" i="20"/>
  <c r="AI769" i="20" s="1"/>
  <c r="AI702" i="20"/>
  <c r="AI848" i="20" s="1"/>
  <c r="AI501" i="20"/>
  <c r="AI497" i="20"/>
  <c r="AI699" i="20"/>
  <c r="AI845" i="20" s="1"/>
  <c r="AI526" i="20"/>
  <c r="AI648" i="20"/>
  <c r="AI794" i="20" s="1"/>
  <c r="AI637" i="20"/>
  <c r="AI783" i="20" s="1"/>
  <c r="AI515" i="20"/>
  <c r="AI638" i="20"/>
  <c r="AI784" i="20" s="1"/>
  <c r="AI516" i="20"/>
  <c r="N498" i="20"/>
  <c r="N700" i="20"/>
  <c r="N846" i="20" s="1"/>
  <c r="D33" i="44" l="1"/>
  <c r="Y125" i="44"/>
  <c r="AC44" i="44"/>
  <c r="AC45" i="44" s="1"/>
  <c r="G547" i="20"/>
  <c r="G541" i="20"/>
  <c r="L65" i="44"/>
  <c r="L66" i="44" s="1"/>
  <c r="P542" i="20"/>
  <c r="AG125" i="44"/>
  <c r="AE534" i="20"/>
  <c r="AJ795" i="20"/>
  <c r="AJ799" i="20" s="1"/>
  <c r="J125" i="44"/>
  <c r="S125" i="44"/>
  <c r="Y537" i="20"/>
  <c r="AD548" i="20"/>
  <c r="L547" i="20"/>
  <c r="M795" i="20"/>
  <c r="M799" i="20" s="1"/>
  <c r="M882" i="20" s="1"/>
  <c r="J131" i="44" s="1"/>
  <c r="J133" i="44" s="1"/>
  <c r="AL870" i="20"/>
  <c r="AM870" i="20" s="1"/>
  <c r="AD557" i="20"/>
  <c r="AH556" i="20"/>
  <c r="K535" i="20"/>
  <c r="Y560" i="20"/>
  <c r="H559" i="20"/>
  <c r="O537" i="20"/>
  <c r="AL536" i="20"/>
  <c r="AB65" i="44"/>
  <c r="AB66" i="44" s="1"/>
  <c r="T549" i="20"/>
  <c r="H65" i="44"/>
  <c r="H66" i="44" s="1"/>
  <c r="AC543" i="20"/>
  <c r="AC554" i="20"/>
  <c r="R556" i="20"/>
  <c r="R540" i="20"/>
  <c r="T65" i="44"/>
  <c r="T66" i="44" s="1"/>
  <c r="P550" i="20"/>
  <c r="L555" i="20"/>
  <c r="AM706" i="20"/>
  <c r="U65" i="44"/>
  <c r="U66" i="44" s="1"/>
  <c r="M553" i="20"/>
  <c r="P561" i="20"/>
  <c r="P565" i="20" s="1"/>
  <c r="R545" i="20"/>
  <c r="M542" i="20"/>
  <c r="G545" i="20"/>
  <c r="V44" i="44"/>
  <c r="V45" i="44" s="1"/>
  <c r="W555" i="20"/>
  <c r="M561" i="20"/>
  <c r="M565" i="20" s="1"/>
  <c r="U541" i="20"/>
  <c r="M541" i="20"/>
  <c r="AL535" i="20"/>
  <c r="H544" i="20"/>
  <c r="J556" i="20"/>
  <c r="J653" i="20"/>
  <c r="G125" i="44" s="1"/>
  <c r="W33" i="44"/>
  <c r="AE653" i="20"/>
  <c r="AB125" i="44" s="1"/>
  <c r="AD65" i="44"/>
  <c r="AD66" i="44" s="1"/>
  <c r="AD553" i="20"/>
  <c r="W558" i="20"/>
  <c r="G553" i="20"/>
  <c r="AH552" i="20"/>
  <c r="M530" i="20"/>
  <c r="J123" i="44" s="1"/>
  <c r="U33" i="44"/>
  <c r="I551" i="20"/>
  <c r="F65" i="44"/>
  <c r="F66" i="44" s="1"/>
  <c r="H552" i="20"/>
  <c r="AL554" i="20"/>
  <c r="AC551" i="20"/>
  <c r="AJ551" i="20"/>
  <c r="O557" i="20"/>
  <c r="U539" i="20"/>
  <c r="AL851" i="20"/>
  <c r="AM851" i="20" s="1"/>
  <c r="T559" i="20"/>
  <c r="V539" i="20"/>
  <c r="AL538" i="20"/>
  <c r="AD552" i="20"/>
  <c r="Y546" i="20"/>
  <c r="AB548" i="20"/>
  <c r="AB546" i="20"/>
  <c r="AD539" i="20"/>
  <c r="AB542" i="20"/>
  <c r="L542" i="20"/>
  <c r="M559" i="20"/>
  <c r="R538" i="20"/>
  <c r="V548" i="20"/>
  <c r="AG65" i="44"/>
  <c r="AG66" i="44" s="1"/>
  <c r="O539" i="20"/>
  <c r="W546" i="20"/>
  <c r="U557" i="20"/>
  <c r="S557" i="20"/>
  <c r="V544" i="20"/>
  <c r="AA560" i="20"/>
  <c r="AC546" i="20"/>
  <c r="M557" i="20"/>
  <c r="U548" i="20"/>
  <c r="R560" i="20"/>
  <c r="U545" i="20"/>
  <c r="AE549" i="20"/>
  <c r="AL539" i="20"/>
  <c r="AJ540" i="20"/>
  <c r="AJ554" i="20"/>
  <c r="AD547" i="20"/>
  <c r="Y554" i="20"/>
  <c r="V556" i="20"/>
  <c r="S546" i="20"/>
  <c r="AK546" i="20"/>
  <c r="AK545" i="20"/>
  <c r="AF545" i="20"/>
  <c r="L552" i="20"/>
  <c r="I559" i="20"/>
  <c r="Z557" i="20"/>
  <c r="L544" i="20"/>
  <c r="U550" i="20"/>
  <c r="P732" i="20"/>
  <c r="M125" i="44" s="1"/>
  <c r="AE874" i="20"/>
  <c r="AE878" i="20" s="1"/>
  <c r="U535" i="20"/>
  <c r="U542" i="20"/>
  <c r="AB547" i="20"/>
  <c r="AL732" i="20"/>
  <c r="M546" i="20"/>
  <c r="AL561" i="20"/>
  <c r="AL565" i="20" s="1"/>
  <c r="Z534" i="20"/>
  <c r="P546" i="20"/>
  <c r="AL537" i="20"/>
  <c r="H542" i="20"/>
  <c r="M537" i="20"/>
  <c r="I542" i="20"/>
  <c r="I561" i="20"/>
  <c r="I565" i="20" s="1"/>
  <c r="K554" i="20"/>
  <c r="I877" i="20"/>
  <c r="S552" i="20"/>
  <c r="T548" i="20"/>
  <c r="AB534" i="20"/>
  <c r="AE561" i="20"/>
  <c r="AE565" i="20" s="1"/>
  <c r="G534" i="20"/>
  <c r="G540" i="20"/>
  <c r="AK558" i="20"/>
  <c r="R548" i="20"/>
  <c r="N546" i="20"/>
  <c r="S559" i="20"/>
  <c r="AG550" i="20"/>
  <c r="Z543" i="20"/>
  <c r="K542" i="20"/>
  <c r="AE556" i="20"/>
  <c r="V552" i="20"/>
  <c r="AF560" i="20"/>
  <c r="Q554" i="20"/>
  <c r="M549" i="20"/>
  <c r="AF552" i="20"/>
  <c r="AJ541" i="20"/>
  <c r="L557" i="20"/>
  <c r="AJ874" i="20"/>
  <c r="AJ878" i="20" s="1"/>
  <c r="AJ561" i="20"/>
  <c r="AJ565" i="20" s="1"/>
  <c r="P541" i="20"/>
  <c r="I534" i="20"/>
  <c r="AF538" i="20"/>
  <c r="G542" i="20"/>
  <c r="AL553" i="20"/>
  <c r="Y536" i="20"/>
  <c r="G776" i="20"/>
  <c r="P543" i="20"/>
  <c r="N555" i="20"/>
  <c r="AH551" i="20"/>
  <c r="AC541" i="20"/>
  <c r="AI538" i="20"/>
  <c r="AI557" i="20"/>
  <c r="AI553" i="20"/>
  <c r="Z540" i="20"/>
  <c r="AB553" i="20"/>
  <c r="Q549" i="20"/>
  <c r="M558" i="20"/>
  <c r="Y545" i="20"/>
  <c r="AA556" i="20"/>
  <c r="V33" i="44"/>
  <c r="AE540" i="20"/>
  <c r="AC558" i="20"/>
  <c r="V553" i="20"/>
  <c r="AE553" i="20"/>
  <c r="X559" i="20"/>
  <c r="O547" i="20"/>
  <c r="AK542" i="20"/>
  <c r="AH544" i="20"/>
  <c r="AJ545" i="20"/>
  <c r="AL545" i="20"/>
  <c r="AC540" i="20"/>
  <c r="Q534" i="20"/>
  <c r="Q550" i="20"/>
  <c r="Q542" i="20"/>
  <c r="AK547" i="20"/>
  <c r="AF539" i="20"/>
  <c r="AA544" i="20"/>
  <c r="AG559" i="20"/>
  <c r="I544" i="20"/>
  <c r="AF556" i="20"/>
  <c r="K536" i="20"/>
  <c r="J545" i="20"/>
  <c r="H874" i="20"/>
  <c r="H878" i="20" s="1"/>
  <c r="H882" i="20" s="1"/>
  <c r="E131" i="44" s="1"/>
  <c r="E133" i="44" s="1"/>
  <c r="I545" i="20"/>
  <c r="I549" i="20"/>
  <c r="H535" i="20"/>
  <c r="J536" i="20"/>
  <c r="X650" i="20"/>
  <c r="X562" i="20" s="1"/>
  <c r="D65" i="44"/>
  <c r="D66" i="44" s="1"/>
  <c r="Q545" i="20"/>
  <c r="N539" i="20"/>
  <c r="S535" i="20"/>
  <c r="S541" i="20"/>
  <c r="N536" i="20"/>
  <c r="M535" i="20"/>
  <c r="Q555" i="20"/>
  <c r="AK556" i="20"/>
  <c r="AK555" i="20"/>
  <c r="AE535" i="20"/>
  <c r="U559" i="20"/>
  <c r="AE554" i="20"/>
  <c r="AE555" i="20"/>
  <c r="K552" i="20"/>
  <c r="J552" i="20"/>
  <c r="J541" i="20"/>
  <c r="O556" i="20"/>
  <c r="W545" i="20"/>
  <c r="T542" i="20"/>
  <c r="AC538" i="20"/>
  <c r="AF540" i="20"/>
  <c r="U538" i="20"/>
  <c r="O540" i="20"/>
  <c r="M65" i="44"/>
  <c r="M66" i="44" s="1"/>
  <c r="AL550" i="20"/>
  <c r="T558" i="20"/>
  <c r="AC559" i="20"/>
  <c r="J551" i="20"/>
  <c r="M547" i="20"/>
  <c r="X540" i="20"/>
  <c r="L549" i="20"/>
  <c r="AD535" i="20"/>
  <c r="Y548" i="20"/>
  <c r="H653" i="20"/>
  <c r="E125" i="44" s="1"/>
  <c r="X535" i="20"/>
  <c r="H560" i="20"/>
  <c r="H561" i="20"/>
  <c r="H565" i="20" s="1"/>
  <c r="U556" i="20"/>
  <c r="H558" i="20"/>
  <c r="AF553" i="20"/>
  <c r="M534" i="20"/>
  <c r="I538" i="20"/>
  <c r="W557" i="20"/>
  <c r="H546" i="20"/>
  <c r="T535" i="20"/>
  <c r="I548" i="20"/>
  <c r="M540" i="20"/>
  <c r="P549" i="20"/>
  <c r="I65" i="44"/>
  <c r="I66" i="44" s="1"/>
  <c r="O551" i="20"/>
  <c r="I553" i="20"/>
  <c r="AC536" i="20"/>
  <c r="I555" i="20"/>
  <c r="W539" i="20"/>
  <c r="Q541" i="20"/>
  <c r="P529" i="20"/>
  <c r="M106" i="44" s="1"/>
  <c r="M102" i="44" s="1"/>
  <c r="AI550" i="20"/>
  <c r="Q552" i="20"/>
  <c r="Z542" i="20"/>
  <c r="AF548" i="20"/>
  <c r="AJ556" i="20"/>
  <c r="AJ538" i="20"/>
  <c r="L534" i="20"/>
  <c r="AF547" i="20"/>
  <c r="U544" i="20"/>
  <c r="X539" i="20"/>
  <c r="K539" i="20"/>
  <c r="K546" i="20"/>
  <c r="K540" i="20"/>
  <c r="J553" i="20"/>
  <c r="O543" i="20"/>
  <c r="Z549" i="20"/>
  <c r="J561" i="20"/>
  <c r="J565" i="20" s="1"/>
  <c r="L539" i="20"/>
  <c r="Y547" i="20"/>
  <c r="AH538" i="20"/>
  <c r="AD543" i="20"/>
  <c r="W550" i="20"/>
  <c r="AC539" i="20"/>
  <c r="O542" i="20"/>
  <c r="AD551" i="20"/>
  <c r="AF536" i="20"/>
  <c r="J882" i="20"/>
  <c r="G131" i="44" s="1"/>
  <c r="G133" i="44" s="1"/>
  <c r="G134" i="44" s="1"/>
  <c r="J534" i="20"/>
  <c r="M544" i="20"/>
  <c r="W552" i="20"/>
  <c r="W547" i="20"/>
  <c r="AL551" i="20"/>
  <c r="T557" i="20"/>
  <c r="AG548" i="20"/>
  <c r="X557" i="20"/>
  <c r="AE545" i="20"/>
  <c r="W554" i="20"/>
  <c r="AC560" i="20"/>
  <c r="Q553" i="20"/>
  <c r="N543" i="20"/>
  <c r="T546" i="20"/>
  <c r="X560" i="20"/>
  <c r="AL557" i="20"/>
  <c r="X530" i="20"/>
  <c r="U123" i="44" s="1"/>
  <c r="U101" i="44" s="1"/>
  <c r="X561" i="20"/>
  <c r="X565" i="20" s="1"/>
  <c r="J555" i="20"/>
  <c r="AD529" i="20"/>
  <c r="AA106" i="44" s="1"/>
  <c r="AA102" i="44" s="1"/>
  <c r="L560" i="20"/>
  <c r="X529" i="20"/>
  <c r="U106" i="44" s="1"/>
  <c r="U102" i="44" s="1"/>
  <c r="M529" i="20"/>
  <c r="J106" i="44" s="1"/>
  <c r="AJ537" i="20"/>
  <c r="L553" i="20"/>
  <c r="AB556" i="20"/>
  <c r="AJ533" i="20"/>
  <c r="AJ558" i="20"/>
  <c r="AK550" i="20"/>
  <c r="AH533" i="20"/>
  <c r="AF529" i="20"/>
  <c r="AC106" i="44" s="1"/>
  <c r="K556" i="20"/>
  <c r="X543" i="20"/>
  <c r="K559" i="20"/>
  <c r="U553" i="20"/>
  <c r="J554" i="20"/>
  <c r="J535" i="20"/>
  <c r="P551" i="20"/>
  <c r="O553" i="20"/>
  <c r="O552" i="20"/>
  <c r="T539" i="20"/>
  <c r="T544" i="20"/>
  <c r="I557" i="20"/>
  <c r="M555" i="20"/>
  <c r="O544" i="20"/>
  <c r="AL540" i="20"/>
  <c r="AL544" i="20"/>
  <c r="J558" i="20"/>
  <c r="I539" i="20"/>
  <c r="AI534" i="20"/>
  <c r="AK536" i="20"/>
  <c r="AH557" i="20"/>
  <c r="AJ534" i="20"/>
  <c r="S555" i="20"/>
  <c r="W537" i="20"/>
  <c r="AL548" i="20"/>
  <c r="AE547" i="20"/>
  <c r="AA547" i="20"/>
  <c r="AK553" i="20"/>
  <c r="AB543" i="20"/>
  <c r="T560" i="20"/>
  <c r="N558" i="20"/>
  <c r="S558" i="20"/>
  <c r="Y539" i="20"/>
  <c r="Y559" i="20"/>
  <c r="Y544" i="20"/>
  <c r="P877" i="20"/>
  <c r="I529" i="20"/>
  <c r="F106" i="44" s="1"/>
  <c r="F136" i="44" s="1"/>
  <c r="M539" i="20"/>
  <c r="AI555" i="20"/>
  <c r="R550" i="20"/>
  <c r="AH550" i="20"/>
  <c r="AB545" i="20"/>
  <c r="Q540" i="20"/>
  <c r="AA554" i="20"/>
  <c r="AK549" i="20"/>
  <c r="R553" i="20"/>
  <c r="N551" i="20"/>
  <c r="S556" i="20"/>
  <c r="AG551" i="20"/>
  <c r="O535" i="20"/>
  <c r="W540" i="20"/>
  <c r="AF558" i="20"/>
  <c r="AI559" i="20"/>
  <c r="AI558" i="20"/>
  <c r="AA545" i="20"/>
  <c r="AA535" i="20"/>
  <c r="AA543" i="20"/>
  <c r="AK544" i="20"/>
  <c r="V546" i="20"/>
  <c r="V534" i="20"/>
  <c r="S542" i="20"/>
  <c r="Z555" i="20"/>
  <c r="AH539" i="20"/>
  <c r="AH529" i="20"/>
  <c r="AE106" i="44" s="1"/>
  <c r="AE102" i="44" s="1"/>
  <c r="P534" i="20"/>
  <c r="O545" i="20"/>
  <c r="Y555" i="20"/>
  <c r="AD560" i="20"/>
  <c r="AI545" i="20"/>
  <c r="Q543" i="20"/>
  <c r="AA538" i="20"/>
  <c r="V545" i="20"/>
  <c r="AG554" i="20"/>
  <c r="AG544" i="20"/>
  <c r="AB550" i="20"/>
  <c r="AE541" i="20"/>
  <c r="K544" i="20"/>
  <c r="W543" i="20"/>
  <c r="H555" i="20"/>
  <c r="AC542" i="20"/>
  <c r="L535" i="20"/>
  <c r="AI540" i="20"/>
  <c r="Z535" i="20"/>
  <c r="AH535" i="20"/>
  <c r="AH546" i="20"/>
  <c r="AJ550" i="20"/>
  <c r="AD549" i="20"/>
  <c r="AD538" i="20"/>
  <c r="Y556" i="20"/>
  <c r="U536" i="20"/>
  <c r="X533" i="20"/>
  <c r="X553" i="20"/>
  <c r="P545" i="20"/>
  <c r="O559" i="20"/>
  <c r="W538" i="20"/>
  <c r="H557" i="20"/>
  <c r="AC548" i="20"/>
  <c r="T553" i="20"/>
  <c r="I537" i="20"/>
  <c r="I556" i="20"/>
  <c r="I536" i="20"/>
  <c r="I874" i="20"/>
  <c r="I878" i="20" s="1"/>
  <c r="I882" i="20" s="1"/>
  <c r="F131" i="44" s="1"/>
  <c r="F133" i="44" s="1"/>
  <c r="I732" i="20"/>
  <c r="F125" i="44" s="1"/>
  <c r="AD550" i="20"/>
  <c r="AA550" i="20"/>
  <c r="AD533" i="20"/>
  <c r="AG557" i="20"/>
  <c r="AA551" i="20"/>
  <c r="Q551" i="20"/>
  <c r="N556" i="20"/>
  <c r="Z559" i="20"/>
  <c r="Z560" i="20"/>
  <c r="AF549" i="20"/>
  <c r="P650" i="20"/>
  <c r="P796" i="20" s="1"/>
  <c r="AE536" i="20"/>
  <c r="AG547" i="20"/>
  <c r="AJ559" i="20"/>
  <c r="AJ650" i="20"/>
  <c r="AJ796" i="20" s="1"/>
  <c r="L554" i="20"/>
  <c r="L558" i="20"/>
  <c r="AD544" i="20"/>
  <c r="K537" i="20"/>
  <c r="O536" i="20"/>
  <c r="W553" i="20"/>
  <c r="H548" i="20"/>
  <c r="AC550" i="20"/>
  <c r="W549" i="20"/>
  <c r="AK538" i="20"/>
  <c r="N550" i="20"/>
  <c r="AB539" i="20"/>
  <c r="AF551" i="20"/>
  <c r="K548" i="20"/>
  <c r="P559" i="20"/>
  <c r="O534" i="20"/>
  <c r="AI548" i="20"/>
  <c r="AI541" i="20"/>
  <c r="AK540" i="20"/>
  <c r="R546" i="20"/>
  <c r="R558" i="20"/>
  <c r="R551" i="20"/>
  <c r="V549" i="20"/>
  <c r="AG552" i="20"/>
  <c r="U554" i="20"/>
  <c r="U533" i="20"/>
  <c r="X552" i="20"/>
  <c r="X545" i="20"/>
  <c r="AE546" i="20"/>
  <c r="K553" i="20"/>
  <c r="J549" i="20"/>
  <c r="H534" i="20"/>
  <c r="T540" i="20"/>
  <c r="Z550" i="20"/>
  <c r="AJ539" i="20"/>
  <c r="AI539" i="20"/>
  <c r="X556" i="20"/>
  <c r="AE543" i="20"/>
  <c r="K558" i="20"/>
  <c r="AC557" i="20"/>
  <c r="I547" i="20"/>
  <c r="J560" i="20"/>
  <c r="X795" i="20"/>
  <c r="X799" i="20" s="1"/>
  <c r="X882" i="20" s="1"/>
  <c r="U131" i="44" s="1"/>
  <c r="U133" i="44" s="1"/>
  <c r="U134" i="44" s="1"/>
  <c r="X653" i="20"/>
  <c r="U125" i="44" s="1"/>
  <c r="AB549" i="20"/>
  <c r="AG767" i="20"/>
  <c r="Y767" i="20"/>
  <c r="R767" i="20"/>
  <c r="AB767" i="20"/>
  <c r="N767" i="20"/>
  <c r="AL767" i="20"/>
  <c r="M767" i="20"/>
  <c r="G767" i="20"/>
  <c r="T767" i="20"/>
  <c r="K767" i="20"/>
  <c r="W767" i="20"/>
  <c r="AA767" i="20"/>
  <c r="L767" i="20"/>
  <c r="V767" i="20"/>
  <c r="U767" i="20"/>
  <c r="AJ767" i="20"/>
  <c r="I767" i="20"/>
  <c r="H767" i="20"/>
  <c r="R650" i="20"/>
  <c r="R529" i="20"/>
  <c r="O106" i="44" s="1"/>
  <c r="O102" i="44" s="1"/>
  <c r="R533" i="20"/>
  <c r="S33" i="44"/>
  <c r="S795" i="20"/>
  <c r="S799" i="20" s="1"/>
  <c r="S653" i="20"/>
  <c r="G565" i="20"/>
  <c r="Y101" i="44"/>
  <c r="O767" i="20"/>
  <c r="G843" i="20"/>
  <c r="G543" i="20"/>
  <c r="G551" i="20"/>
  <c r="G537" i="20"/>
  <c r="AM723" i="20"/>
  <c r="AL869" i="20"/>
  <c r="AM869" i="20" s="1"/>
  <c r="T33" i="44"/>
  <c r="AA650" i="20"/>
  <c r="AA652" i="20" s="1"/>
  <c r="AA533" i="20"/>
  <c r="AA529" i="20"/>
  <c r="X106" i="44" s="1"/>
  <c r="X102" i="44" s="1"/>
  <c r="AA653" i="20"/>
  <c r="AA795" i="20"/>
  <c r="AA799" i="20" s="1"/>
  <c r="S44" i="44"/>
  <c r="S45" i="44" s="1"/>
  <c r="S65" i="44"/>
  <c r="S66" i="44" s="1"/>
  <c r="P882" i="20"/>
  <c r="M131" i="44" s="1"/>
  <c r="M133" i="44" s="1"/>
  <c r="S731" i="20"/>
  <c r="S840" i="20"/>
  <c r="S877" i="20" s="1"/>
  <c r="AG795" i="20"/>
  <c r="AG799" i="20" s="1"/>
  <c r="AG653" i="20"/>
  <c r="Y731" i="20"/>
  <c r="Y840" i="20"/>
  <c r="Y877" i="20" s="1"/>
  <c r="X767" i="20"/>
  <c r="H33" i="44"/>
  <c r="G770" i="20"/>
  <c r="G546" i="20"/>
  <c r="AC731" i="20"/>
  <c r="AC840" i="20"/>
  <c r="M650" i="20"/>
  <c r="AF650" i="20"/>
  <c r="AF652" i="20" s="1"/>
  <c r="M101" i="44"/>
  <c r="AG650" i="20"/>
  <c r="AG533" i="20"/>
  <c r="AG529" i="20"/>
  <c r="AD106" i="44" s="1"/>
  <c r="AD102" i="44" s="1"/>
  <c r="Z767" i="20"/>
  <c r="G799" i="20"/>
  <c r="Y795" i="20"/>
  <c r="Y799" i="20" s="1"/>
  <c r="Y653" i="20"/>
  <c r="G539" i="20"/>
  <c r="G33" i="44"/>
  <c r="G848" i="20"/>
  <c r="AM722" i="20"/>
  <c r="AC868" i="20"/>
  <c r="AM868" i="20" s="1"/>
  <c r="AM699" i="20"/>
  <c r="AC845" i="20"/>
  <c r="AM845" i="20" s="1"/>
  <c r="AH650" i="20"/>
  <c r="U650" i="20"/>
  <c r="U652" i="20" s="1"/>
  <c r="AI44" i="44"/>
  <c r="AI45" i="44" s="1"/>
  <c r="AI65" i="44"/>
  <c r="AI66" i="44" s="1"/>
  <c r="AB731" i="20"/>
  <c r="AB840" i="20"/>
  <c r="AB877" i="20" s="1"/>
  <c r="G548" i="20"/>
  <c r="U874" i="20"/>
  <c r="U878" i="20" s="1"/>
  <c r="U732" i="20"/>
  <c r="T731" i="20"/>
  <c r="T840" i="20"/>
  <c r="T877" i="20" s="1"/>
  <c r="N533" i="20"/>
  <c r="N650" i="20"/>
  <c r="N529" i="20"/>
  <c r="K106" i="44" s="1"/>
  <c r="AL840" i="20"/>
  <c r="AL731" i="20"/>
  <c r="AI127" i="44" s="1"/>
  <c r="I533" i="20"/>
  <c r="Q795" i="20"/>
  <c r="Q799" i="20" s="1"/>
  <c r="Q653" i="20"/>
  <c r="AA555" i="20"/>
  <c r="R731" i="20"/>
  <c r="R840" i="20"/>
  <c r="R877" i="20" s="1"/>
  <c r="R795" i="20"/>
  <c r="R799" i="20" s="1"/>
  <c r="R653" i="20"/>
  <c r="S530" i="20"/>
  <c r="P123" i="44" s="1"/>
  <c r="S561" i="20"/>
  <c r="S565" i="20" s="1"/>
  <c r="AG542" i="20"/>
  <c r="L546" i="20"/>
  <c r="AA33" i="44"/>
  <c r="Y541" i="20"/>
  <c r="X541" i="20"/>
  <c r="P537" i="20"/>
  <c r="O541" i="20"/>
  <c r="O530" i="20"/>
  <c r="L123" i="44" s="1"/>
  <c r="O561" i="20"/>
  <c r="O565" i="20" s="1"/>
  <c r="H854" i="20"/>
  <c r="AC534" i="20"/>
  <c r="AK559" i="20"/>
  <c r="S767" i="20"/>
  <c r="AG530" i="20"/>
  <c r="AD123" i="44" s="1"/>
  <c r="AG561" i="20"/>
  <c r="AG565" i="20" s="1"/>
  <c r="U558" i="20"/>
  <c r="G792" i="20"/>
  <c r="X33" i="44"/>
  <c r="V543" i="20"/>
  <c r="S549" i="20"/>
  <c r="P548" i="20"/>
  <c r="E147" i="44"/>
  <c r="AM717" i="20"/>
  <c r="AL863" i="20"/>
  <c r="AM863" i="20" s="1"/>
  <c r="L530" i="20"/>
  <c r="I123" i="44" s="1"/>
  <c r="L561" i="20"/>
  <c r="L565" i="20" s="1"/>
  <c r="AH767" i="20"/>
  <c r="R555" i="20"/>
  <c r="N538" i="20"/>
  <c r="S554" i="20"/>
  <c r="Z731" i="20"/>
  <c r="Z840" i="20"/>
  <c r="AH549" i="20"/>
  <c r="AH560" i="20"/>
  <c r="AJ535" i="20"/>
  <c r="AJ546" i="20"/>
  <c r="G550" i="20"/>
  <c r="W534" i="20"/>
  <c r="H556" i="20"/>
  <c r="AM710" i="20"/>
  <c r="AL856" i="20"/>
  <c r="AM856" i="20" s="1"/>
  <c r="T541" i="20"/>
  <c r="P767" i="20"/>
  <c r="W559" i="20"/>
  <c r="AC732" i="20"/>
  <c r="AC874" i="20"/>
  <c r="AC878" i="20" s="1"/>
  <c r="Q767" i="20"/>
  <c r="V560" i="20"/>
  <c r="I731" i="20"/>
  <c r="AE44" i="44"/>
  <c r="AE45" i="44" s="1"/>
  <c r="AE65" i="44"/>
  <c r="AE66" i="44" s="1"/>
  <c r="V537" i="20"/>
  <c r="AD542" i="20"/>
  <c r="AB650" i="20"/>
  <c r="AB652" i="20" s="1"/>
  <c r="AB533" i="20"/>
  <c r="AB529" i="20"/>
  <c r="Y106" i="44" s="1"/>
  <c r="Y102" i="44" s="1"/>
  <c r="M33" i="44"/>
  <c r="AL534" i="20"/>
  <c r="M842" i="20"/>
  <c r="M877" i="20" s="1"/>
  <c r="M731" i="20"/>
  <c r="J33" i="44"/>
  <c r="I554" i="20"/>
  <c r="AK732" i="20"/>
  <c r="AK874" i="20"/>
  <c r="AK878" i="20" s="1"/>
  <c r="AI552" i="20"/>
  <c r="AJ877" i="20"/>
  <c r="AJ552" i="20"/>
  <c r="AD767" i="20"/>
  <c r="J543" i="20"/>
  <c r="P558" i="20"/>
  <c r="H545" i="20"/>
  <c r="AM715" i="20"/>
  <c r="AL861" i="20"/>
  <c r="AM861" i="20" s="1"/>
  <c r="AF535" i="20"/>
  <c r="Q732" i="20"/>
  <c r="Q874" i="20"/>
  <c r="Q878" i="20" s="1"/>
  <c r="N44" i="44"/>
  <c r="N45" i="44" s="1"/>
  <c r="N65" i="44"/>
  <c r="N66" i="44" s="1"/>
  <c r="AA549" i="20"/>
  <c r="AA539" i="20"/>
  <c r="AA558" i="20"/>
  <c r="AA548" i="20"/>
  <c r="O33" i="44"/>
  <c r="AH33" i="44"/>
  <c r="R530" i="20"/>
  <c r="O123" i="44" s="1"/>
  <c r="R561" i="20"/>
  <c r="R565" i="20" s="1"/>
  <c r="AG555" i="20"/>
  <c r="N561" i="20"/>
  <c r="N565" i="20" s="1"/>
  <c r="N530" i="20"/>
  <c r="K123" i="44" s="1"/>
  <c r="Z546" i="20"/>
  <c r="Z558" i="20"/>
  <c r="AH543" i="20"/>
  <c r="AI549" i="20"/>
  <c r="AI560" i="20"/>
  <c r="AI535" i="20"/>
  <c r="AI547" i="20"/>
  <c r="AI537" i="20"/>
  <c r="AI561" i="20"/>
  <c r="AI565" i="20" s="1"/>
  <c r="AI530" i="20"/>
  <c r="AF123" i="44" s="1"/>
  <c r="Q530" i="20"/>
  <c r="N123" i="44" s="1"/>
  <c r="Q561" i="20"/>
  <c r="Q565" i="20" s="1"/>
  <c r="Q556" i="20"/>
  <c r="Q560" i="20"/>
  <c r="R557" i="20"/>
  <c r="R732" i="20"/>
  <c r="R874" i="20"/>
  <c r="R878" i="20" s="1"/>
  <c r="V550" i="20"/>
  <c r="V547" i="20"/>
  <c r="N540" i="20"/>
  <c r="N554" i="20"/>
  <c r="N552" i="20"/>
  <c r="S547" i="20"/>
  <c r="S536" i="20"/>
  <c r="S560" i="20"/>
  <c r="S732" i="20"/>
  <c r="S874" i="20"/>
  <c r="S878" i="20" s="1"/>
  <c r="N545" i="20"/>
  <c r="AG545" i="20"/>
  <c r="N653" i="20"/>
  <c r="N795" i="20"/>
  <c r="N799" i="20" s="1"/>
  <c r="Z552" i="20"/>
  <c r="Z547" i="20"/>
  <c r="W44" i="44"/>
  <c r="W45" i="44" s="1"/>
  <c r="W65" i="44"/>
  <c r="W66" i="44" s="1"/>
  <c r="AH541" i="20"/>
  <c r="AH558" i="20"/>
  <c r="R535" i="20"/>
  <c r="AF557" i="20"/>
  <c r="L543" i="20"/>
  <c r="L536" i="20"/>
  <c r="AD555" i="20"/>
  <c r="AA44" i="44"/>
  <c r="AA45" i="44" s="1"/>
  <c r="AA65" i="44"/>
  <c r="AA66" i="44" s="1"/>
  <c r="D123" i="44"/>
  <c r="AB541" i="20"/>
  <c r="AD731" i="20"/>
  <c r="U552" i="20"/>
  <c r="U555" i="20"/>
  <c r="X537" i="20"/>
  <c r="X555" i="20"/>
  <c r="X546" i="20"/>
  <c r="AE558" i="20"/>
  <c r="G771" i="20"/>
  <c r="J540" i="20"/>
  <c r="P539" i="20"/>
  <c r="P554" i="20"/>
  <c r="O841" i="20"/>
  <c r="O877" i="20" s="1"/>
  <c r="O731" i="20"/>
  <c r="O795" i="20"/>
  <c r="O799" i="20" s="1"/>
  <c r="O653" i="20"/>
  <c r="W542" i="20"/>
  <c r="H547" i="20"/>
  <c r="AM719" i="20"/>
  <c r="AL865" i="20"/>
  <c r="AM865" i="20" s="1"/>
  <c r="AB101" i="44"/>
  <c r="AA546" i="20"/>
  <c r="AA561" i="20"/>
  <c r="AA565" i="20" s="1"/>
  <c r="AA530" i="20"/>
  <c r="X123" i="44" s="1"/>
  <c r="AK535" i="20"/>
  <c r="AK557" i="20"/>
  <c r="R539" i="20"/>
  <c r="N548" i="20"/>
  <c r="N537" i="20"/>
  <c r="S553" i="20"/>
  <c r="S551" i="20"/>
  <c r="S650" i="20"/>
  <c r="S652" i="20" s="1"/>
  <c r="S529" i="20"/>
  <c r="P106" i="44" s="1"/>
  <c r="P102" i="44" s="1"/>
  <c r="S533" i="20"/>
  <c r="AG539" i="20"/>
  <c r="AH555" i="20"/>
  <c r="AF546" i="20"/>
  <c r="AF544" i="20"/>
  <c r="AJ544" i="20"/>
  <c r="AD795" i="20"/>
  <c r="AD799" i="20" s="1"/>
  <c r="AD653" i="20"/>
  <c r="Y650" i="20"/>
  <c r="Y533" i="20"/>
  <c r="Y529" i="20"/>
  <c r="V106" i="44" s="1"/>
  <c r="U560" i="20"/>
  <c r="X550" i="20"/>
  <c r="AE548" i="20"/>
  <c r="G558" i="20"/>
  <c r="J546" i="20"/>
  <c r="J539" i="20"/>
  <c r="P538" i="20"/>
  <c r="P547" i="20"/>
  <c r="W560" i="20"/>
  <c r="W556" i="20"/>
  <c r="H554" i="20"/>
  <c r="AL547" i="20"/>
  <c r="AL555" i="20"/>
  <c r="T556" i="20"/>
  <c r="T534" i="20"/>
  <c r="AC544" i="20"/>
  <c r="AC650" i="20"/>
  <c r="AC533" i="20"/>
  <c r="AC529" i="20"/>
  <c r="Z106" i="44" s="1"/>
  <c r="Z102" i="44" s="1"/>
  <c r="W536" i="20"/>
  <c r="L541" i="20"/>
  <c r="I560" i="20"/>
  <c r="I543" i="20"/>
  <c r="AH877" i="20"/>
  <c r="Q558" i="20"/>
  <c r="Q535" i="20"/>
  <c r="AA557" i="20"/>
  <c r="AA542" i="20"/>
  <c r="AK543" i="20"/>
  <c r="AH44" i="44"/>
  <c r="AH45" i="44" s="1"/>
  <c r="AH65" i="44"/>
  <c r="AH66" i="44" s="1"/>
  <c r="AD33" i="44"/>
  <c r="R542" i="20"/>
  <c r="M533" i="20"/>
  <c r="V538" i="20"/>
  <c r="S540" i="20"/>
  <c r="AG536" i="20"/>
  <c r="AG538" i="20"/>
  <c r="AE33" i="44"/>
  <c r="AF555" i="20"/>
  <c r="L548" i="20"/>
  <c r="AD546" i="20"/>
  <c r="Y550" i="20"/>
  <c r="L650" i="20"/>
  <c r="L652" i="20" s="1"/>
  <c r="L529" i="20"/>
  <c r="I106" i="44" s="1"/>
  <c r="L533" i="20"/>
  <c r="X534" i="20"/>
  <c r="AE542" i="20"/>
  <c r="AE544" i="20"/>
  <c r="K550" i="20"/>
  <c r="G872" i="20"/>
  <c r="G552" i="20"/>
  <c r="J542" i="20"/>
  <c r="J559" i="20"/>
  <c r="O548" i="20"/>
  <c r="H537" i="20"/>
  <c r="E74" i="44"/>
  <c r="AL560" i="20"/>
  <c r="AC547" i="20"/>
  <c r="L653" i="20"/>
  <c r="L795" i="20"/>
  <c r="L799" i="20" s="1"/>
  <c r="J547" i="20"/>
  <c r="U546" i="20"/>
  <c r="M560" i="20"/>
  <c r="AF533" i="20"/>
  <c r="AI551" i="20"/>
  <c r="AI546" i="20"/>
  <c r="Q538" i="20"/>
  <c r="AA536" i="20"/>
  <c r="Z44" i="44"/>
  <c r="Z45" i="44" s="1"/>
  <c r="Z65" i="44"/>
  <c r="Z66" i="44" s="1"/>
  <c r="AK541" i="20"/>
  <c r="AK554" i="20"/>
  <c r="AK731" i="20"/>
  <c r="AK840" i="20"/>
  <c r="AK877" i="20" s="1"/>
  <c r="R541" i="20"/>
  <c r="V555" i="20"/>
  <c r="V541" i="20"/>
  <c r="V551" i="20"/>
  <c r="N534" i="20"/>
  <c r="N542" i="20"/>
  <c r="S544" i="20"/>
  <c r="P65" i="44"/>
  <c r="P66" i="44" s="1"/>
  <c r="P44" i="44"/>
  <c r="P45" i="44" s="1"/>
  <c r="S534" i="20"/>
  <c r="AG543" i="20"/>
  <c r="AG540" i="20"/>
  <c r="AG546" i="20"/>
  <c r="AG731" i="20"/>
  <c r="AG840" i="20"/>
  <c r="AG877" i="20" s="1"/>
  <c r="AG556" i="20"/>
  <c r="AH542" i="20"/>
  <c r="AJ529" i="20"/>
  <c r="AG106" i="44" s="1"/>
  <c r="AF550" i="20"/>
  <c r="AJ560" i="20"/>
  <c r="L545" i="20"/>
  <c r="Y540" i="20"/>
  <c r="AB552" i="20"/>
  <c r="AB559" i="20"/>
  <c r="AD650" i="20"/>
  <c r="U842" i="20"/>
  <c r="U877" i="20" s="1"/>
  <c r="U731" i="20"/>
  <c r="U551" i="20"/>
  <c r="X551" i="20"/>
  <c r="AE559" i="20"/>
  <c r="AE552" i="20"/>
  <c r="AE731" i="20"/>
  <c r="AE840" i="20"/>
  <c r="AE877" i="20" s="1"/>
  <c r="K557" i="20"/>
  <c r="Y732" i="20"/>
  <c r="Y874" i="20"/>
  <c r="Y878" i="20" s="1"/>
  <c r="AB560" i="20"/>
  <c r="G544" i="20"/>
  <c r="G773" i="20"/>
  <c r="G794" i="20"/>
  <c r="J731" i="20"/>
  <c r="J840" i="20"/>
  <c r="J877" i="20" s="1"/>
  <c r="P560" i="20"/>
  <c r="O550" i="20"/>
  <c r="O558" i="20"/>
  <c r="W544" i="20"/>
  <c r="G769" i="20"/>
  <c r="E44" i="44"/>
  <c r="E45" i="44" s="1"/>
  <c r="E65" i="44"/>
  <c r="E66" i="44" s="1"/>
  <c r="AM718" i="20"/>
  <c r="AL864" i="20"/>
  <c r="AM864" i="20" s="1"/>
  <c r="AL542" i="20"/>
  <c r="AL549" i="20"/>
  <c r="T543" i="20"/>
  <c r="AC556" i="20"/>
  <c r="AC549" i="20"/>
  <c r="AL546" i="20"/>
  <c r="K543" i="20"/>
  <c r="K551" i="20"/>
  <c r="I552" i="20"/>
  <c r="M538" i="20"/>
  <c r="I535" i="20"/>
  <c r="H550" i="20"/>
  <c r="AC535" i="20"/>
  <c r="AC537" i="20"/>
  <c r="AC530" i="20"/>
  <c r="Z123" i="44" s="1"/>
  <c r="AC561" i="20"/>
  <c r="AC565" i="20" s="1"/>
  <c r="W548" i="20"/>
  <c r="AJ543" i="20"/>
  <c r="M556" i="20"/>
  <c r="AI556" i="20"/>
  <c r="AI731" i="20"/>
  <c r="AI840" i="20"/>
  <c r="AI877" i="20" s="1"/>
  <c r="AA534" i="20"/>
  <c r="U529" i="20"/>
  <c r="R106" i="44" s="1"/>
  <c r="R549" i="20"/>
  <c r="R543" i="20"/>
  <c r="R544" i="20"/>
  <c r="V542" i="20"/>
  <c r="S539" i="20"/>
  <c r="S545" i="20"/>
  <c r="AF554" i="20"/>
  <c r="AJ548" i="20"/>
  <c r="L551" i="20"/>
  <c r="Y535" i="20"/>
  <c r="AB558" i="20"/>
  <c r="AB555" i="20"/>
  <c r="X548" i="20"/>
  <c r="G789" i="20"/>
  <c r="G782" i="20"/>
  <c r="P544" i="20"/>
  <c r="W795" i="20"/>
  <c r="W799" i="20" s="1"/>
  <c r="W653" i="20"/>
  <c r="H536" i="20"/>
  <c r="Q33" i="44"/>
  <c r="T530" i="20"/>
  <c r="Q123" i="44" s="1"/>
  <c r="T561" i="20"/>
  <c r="T565" i="20" s="1"/>
  <c r="U540" i="20"/>
  <c r="AF44" i="44"/>
  <c r="AF45" i="44" s="1"/>
  <c r="AF65" i="44"/>
  <c r="AF66" i="44" s="1"/>
  <c r="G533" i="20"/>
  <c r="Q537" i="20"/>
  <c r="AK530" i="20"/>
  <c r="AH123" i="44" s="1"/>
  <c r="AK561" i="20"/>
  <c r="AK565" i="20" s="1"/>
  <c r="R552" i="20"/>
  <c r="V554" i="20"/>
  <c r="V540" i="20"/>
  <c r="N553" i="20"/>
  <c r="N731" i="20"/>
  <c r="N840" i="20"/>
  <c r="N877" i="20" s="1"/>
  <c r="AG537" i="20"/>
  <c r="X877" i="20"/>
  <c r="AM720" i="20"/>
  <c r="Z866" i="20"/>
  <c r="AM866" i="20" s="1"/>
  <c r="AH732" i="20"/>
  <c r="AH874" i="20"/>
  <c r="AH878" i="20" s="1"/>
  <c r="AJ555" i="20"/>
  <c r="AD559" i="20"/>
  <c r="Y44" i="44"/>
  <c r="Y45" i="44" s="1"/>
  <c r="Y65" i="44"/>
  <c r="Y66" i="44" s="1"/>
  <c r="AJ557" i="20"/>
  <c r="U549" i="20"/>
  <c r="U547" i="20"/>
  <c r="K545" i="20"/>
  <c r="K732" i="20"/>
  <c r="K874" i="20"/>
  <c r="K878" i="20" s="1"/>
  <c r="Y553" i="20"/>
  <c r="G841" i="20"/>
  <c r="O555" i="20"/>
  <c r="T547" i="20"/>
  <c r="H543" i="20"/>
  <c r="M548" i="20"/>
  <c r="M551" i="20"/>
  <c r="AF795" i="20"/>
  <c r="AF799" i="20" s="1"/>
  <c r="AF653" i="20"/>
  <c r="P731" i="20"/>
  <c r="V533" i="20"/>
  <c r="V529" i="20"/>
  <c r="S106" i="44" s="1"/>
  <c r="S102" i="44" s="1"/>
  <c r="V650" i="20"/>
  <c r="Z732" i="20"/>
  <c r="Z874" i="20"/>
  <c r="Z878" i="20" s="1"/>
  <c r="K731" i="20"/>
  <c r="K840" i="20"/>
  <c r="K877" i="20" s="1"/>
  <c r="AE767" i="20"/>
  <c r="H731" i="20"/>
  <c r="H840" i="20"/>
  <c r="H529" i="20"/>
  <c r="E106" i="44" s="1"/>
  <c r="H650" i="20"/>
  <c r="H533" i="20"/>
  <c r="Z33" i="44"/>
  <c r="G788" i="20"/>
  <c r="AM713" i="20"/>
  <c r="AL859" i="20"/>
  <c r="AM859" i="20" s="1"/>
  <c r="AC795" i="20"/>
  <c r="AC799" i="20" s="1"/>
  <c r="AC653" i="20"/>
  <c r="AI767" i="20"/>
  <c r="Q533" i="20"/>
  <c r="Q650" i="20"/>
  <c r="Q529" i="20"/>
  <c r="N106" i="44" s="1"/>
  <c r="K44" i="44"/>
  <c r="K45" i="44" s="1"/>
  <c r="K65" i="44"/>
  <c r="K66" i="44" s="1"/>
  <c r="T795" i="20"/>
  <c r="T799" i="20" s="1"/>
  <c r="T653" i="20"/>
  <c r="S101" i="44"/>
  <c r="G529" i="20"/>
  <c r="AL650" i="20"/>
  <c r="AL533" i="20"/>
  <c r="AL529" i="20"/>
  <c r="AI106" i="44" s="1"/>
  <c r="R147" i="44"/>
  <c r="AI653" i="20"/>
  <c r="AI795" i="20"/>
  <c r="AI799" i="20" s="1"/>
  <c r="Q557" i="20"/>
  <c r="AG534" i="20"/>
  <c r="N732" i="20"/>
  <c r="N874" i="20"/>
  <c r="N878" i="20" s="1"/>
  <c r="AH540" i="20"/>
  <c r="AH559" i="20"/>
  <c r="AD541" i="20"/>
  <c r="AD540" i="20"/>
  <c r="X536" i="20"/>
  <c r="AG33" i="44"/>
  <c r="Y552" i="20"/>
  <c r="O533" i="20"/>
  <c r="O529" i="20"/>
  <c r="L106" i="44" s="1"/>
  <c r="O650" i="20"/>
  <c r="O652" i="20" s="1"/>
  <c r="W541" i="20"/>
  <c r="AM714" i="20"/>
  <c r="H860" i="20"/>
  <c r="AM860" i="20" s="1"/>
  <c r="AL556" i="20"/>
  <c r="T552" i="20"/>
  <c r="AF767" i="20"/>
  <c r="AD561" i="20"/>
  <c r="AD565" i="20" s="1"/>
  <c r="AD530" i="20"/>
  <c r="AA123" i="44" s="1"/>
  <c r="P533" i="20"/>
  <c r="AE557" i="20"/>
  <c r="G536" i="20"/>
  <c r="G780" i="20"/>
  <c r="O546" i="20"/>
  <c r="AC767" i="20"/>
  <c r="AI536" i="20"/>
  <c r="AI554" i="20"/>
  <c r="R559" i="20"/>
  <c r="N544" i="20"/>
  <c r="AG535" i="20"/>
  <c r="Z541" i="20"/>
  <c r="AF530" i="20"/>
  <c r="AC123" i="44" s="1"/>
  <c r="AF561" i="20"/>
  <c r="AF565" i="20" s="1"/>
  <c r="Y558" i="20"/>
  <c r="AB551" i="20"/>
  <c r="X544" i="20"/>
  <c r="K541" i="20"/>
  <c r="G559" i="20"/>
  <c r="AM727" i="20"/>
  <c r="AL873" i="20"/>
  <c r="AM873" i="20" s="1"/>
  <c r="AA559" i="20"/>
  <c r="AK767" i="20"/>
  <c r="AK650" i="20"/>
  <c r="AK652" i="20" s="1"/>
  <c r="AK529" i="20"/>
  <c r="AH106" i="44" s="1"/>
  <c r="AH102" i="44" s="1"/>
  <c r="AK533" i="20"/>
  <c r="V557" i="20"/>
  <c r="V731" i="20"/>
  <c r="V840" i="20"/>
  <c r="V877" i="20" s="1"/>
  <c r="N547" i="20"/>
  <c r="Z544" i="20"/>
  <c r="Z795" i="20"/>
  <c r="Z799" i="20" s="1"/>
  <c r="Z653" i="20"/>
  <c r="Z650" i="20"/>
  <c r="Z652" i="20" s="1"/>
  <c r="Z533" i="20"/>
  <c r="Z529" i="20"/>
  <c r="W106" i="44" s="1"/>
  <c r="AB557" i="20"/>
  <c r="AB33" i="44"/>
  <c r="AE529" i="20"/>
  <c r="AB106" i="44" s="1"/>
  <c r="AE650" i="20"/>
  <c r="AE533" i="20"/>
  <c r="J537" i="20"/>
  <c r="H768" i="20"/>
  <c r="H538" i="20"/>
  <c r="T537" i="20"/>
  <c r="AC555" i="20"/>
  <c r="G554" i="20"/>
  <c r="H540" i="20"/>
  <c r="AB537" i="20"/>
  <c r="G731" i="20"/>
  <c r="AI650" i="20"/>
  <c r="AI533" i="20"/>
  <c r="AI529" i="20"/>
  <c r="AF106" i="44" s="1"/>
  <c r="AF102" i="44" s="1"/>
  <c r="Q544" i="20"/>
  <c r="X44" i="44"/>
  <c r="X45" i="44" s="1"/>
  <c r="X65" i="44"/>
  <c r="X66" i="44" s="1"/>
  <c r="Z556" i="20"/>
  <c r="AH548" i="20"/>
  <c r="AF543" i="20"/>
  <c r="AD536" i="20"/>
  <c r="AB882" i="20"/>
  <c r="Y131" i="44" s="1"/>
  <c r="Y133" i="44" s="1"/>
  <c r="L550" i="20"/>
  <c r="W732" i="20"/>
  <c r="W874" i="20"/>
  <c r="W878" i="20" s="1"/>
  <c r="U530" i="20"/>
  <c r="R123" i="44" s="1"/>
  <c r="U561" i="20"/>
  <c r="U565" i="20" s="1"/>
  <c r="T555" i="20"/>
  <c r="T650" i="20"/>
  <c r="T529" i="20"/>
  <c r="Q106" i="44" s="1"/>
  <c r="T533" i="20"/>
  <c r="T732" i="20"/>
  <c r="T874" i="20"/>
  <c r="T878" i="20" s="1"/>
  <c r="G650" i="20"/>
  <c r="G652" i="20" s="1"/>
  <c r="AK552" i="20"/>
  <c r="V559" i="20"/>
  <c r="Z553" i="20"/>
  <c r="AH795" i="20"/>
  <c r="AH799" i="20" s="1"/>
  <c r="AH653" i="20"/>
  <c r="AF841" i="20"/>
  <c r="AF877" i="20" s="1"/>
  <c r="AF731" i="20"/>
  <c r="G878" i="20"/>
  <c r="AB535" i="20"/>
  <c r="K530" i="20"/>
  <c r="H123" i="44" s="1"/>
  <c r="K561" i="20"/>
  <c r="K565" i="20" s="1"/>
  <c r="AI732" i="20"/>
  <c r="AI874" i="20"/>
  <c r="AI878" i="20" s="1"/>
  <c r="AK539" i="20"/>
  <c r="S537" i="20"/>
  <c r="AI543" i="20"/>
  <c r="Y33" i="44"/>
  <c r="AF559" i="20"/>
  <c r="AF541" i="20"/>
  <c r="AD534" i="20"/>
  <c r="AB544" i="20"/>
  <c r="Y543" i="20"/>
  <c r="AD877" i="20"/>
  <c r="AE537" i="20"/>
  <c r="K547" i="20"/>
  <c r="AF542" i="20"/>
  <c r="G846" i="20"/>
  <c r="G777" i="20"/>
  <c r="G785" i="20"/>
  <c r="G850" i="20"/>
  <c r="O732" i="20"/>
  <c r="O874" i="20"/>
  <c r="O878" i="20" s="1"/>
  <c r="H541" i="20"/>
  <c r="G844" i="20"/>
  <c r="AL552" i="20"/>
  <c r="AL558" i="20"/>
  <c r="M536" i="20"/>
  <c r="M554" i="20"/>
  <c r="AI542" i="20"/>
  <c r="Q539" i="20"/>
  <c r="Q548" i="20"/>
  <c r="Q559" i="20"/>
  <c r="Q547" i="20"/>
  <c r="AA540" i="20"/>
  <c r="AA840" i="20"/>
  <c r="AA877" i="20" s="1"/>
  <c r="AA731" i="20"/>
  <c r="AA732" i="20"/>
  <c r="AA874" i="20"/>
  <c r="AA878" i="20" s="1"/>
  <c r="AE882" i="20"/>
  <c r="AB131" i="44" s="1"/>
  <c r="AB133" i="44" s="1"/>
  <c r="V558" i="20"/>
  <c r="AA553" i="20"/>
  <c r="N559" i="20"/>
  <c r="N560" i="20"/>
  <c r="AG732" i="20"/>
  <c r="AG874" i="20"/>
  <c r="AG878" i="20" s="1"/>
  <c r="Z539" i="20"/>
  <c r="AH536" i="20"/>
  <c r="AD732" i="20"/>
  <c r="AD874" i="20"/>
  <c r="AD878" i="20" s="1"/>
  <c r="Y551" i="20"/>
  <c r="AB536" i="20"/>
  <c r="AE551" i="20"/>
  <c r="G871" i="20"/>
  <c r="H549" i="20"/>
  <c r="P535" i="20"/>
  <c r="O554" i="20"/>
  <c r="M545" i="20"/>
  <c r="AH731" i="20"/>
  <c r="AK560" i="20"/>
  <c r="R534" i="20"/>
  <c r="Z537" i="20"/>
  <c r="AH553" i="20"/>
  <c r="AH547" i="20"/>
  <c r="R554" i="20"/>
  <c r="AF732" i="20"/>
  <c r="AF874" i="20"/>
  <c r="AF878" i="20" s="1"/>
  <c r="AJ549" i="20"/>
  <c r="I33" i="44"/>
  <c r="L731" i="20"/>
  <c r="L840" i="20"/>
  <c r="L877" i="20" s="1"/>
  <c r="X554" i="20"/>
  <c r="AE560" i="20"/>
  <c r="G793" i="20"/>
  <c r="G786" i="20"/>
  <c r="P557" i="20"/>
  <c r="H553" i="20"/>
  <c r="T554" i="20"/>
  <c r="L732" i="20"/>
  <c r="L874" i="20"/>
  <c r="L878" i="20" s="1"/>
  <c r="AL559" i="20"/>
  <c r="AI544" i="20"/>
  <c r="AF33" i="44"/>
  <c r="N147" i="44"/>
  <c r="AA537" i="20"/>
  <c r="AA541" i="20"/>
  <c r="AK551" i="20"/>
  <c r="R537" i="20"/>
  <c r="AA552" i="20"/>
  <c r="V536" i="20"/>
  <c r="N535" i="20"/>
  <c r="N557" i="20"/>
  <c r="S550" i="20"/>
  <c r="S538" i="20"/>
  <c r="AG541" i="20"/>
  <c r="AG560" i="20"/>
  <c r="J65" i="44"/>
  <c r="J66" i="44" s="1"/>
  <c r="J44" i="44"/>
  <c r="J45" i="44" s="1"/>
  <c r="Z551" i="20"/>
  <c r="Z545" i="20"/>
  <c r="Z536" i="20"/>
  <c r="Z530" i="20"/>
  <c r="W123" i="44" s="1"/>
  <c r="Z561" i="20"/>
  <c r="Z565" i="20" s="1"/>
  <c r="AH534" i="20"/>
  <c r="AH537" i="20"/>
  <c r="AJ542" i="20"/>
  <c r="L540" i="20"/>
  <c r="AD556" i="20"/>
  <c r="AD558" i="20"/>
  <c r="AD554" i="20"/>
  <c r="Y549" i="20"/>
  <c r="K650" i="20"/>
  <c r="K533" i="20"/>
  <c r="K529" i="20"/>
  <c r="H106" i="44" s="1"/>
  <c r="H102" i="44" s="1"/>
  <c r="U534" i="20"/>
  <c r="X558" i="20"/>
  <c r="X549" i="20"/>
  <c r="K560" i="20"/>
  <c r="K534" i="20"/>
  <c r="Y561" i="20"/>
  <c r="Y565" i="20" s="1"/>
  <c r="Y530" i="20"/>
  <c r="V123" i="44" s="1"/>
  <c r="G778" i="20"/>
  <c r="G560" i="20"/>
  <c r="G784" i="20"/>
  <c r="J557" i="20"/>
  <c r="J767" i="20"/>
  <c r="J650" i="20"/>
  <c r="J652" i="20" s="1"/>
  <c r="J529" i="20"/>
  <c r="G106" i="44" s="1"/>
  <c r="G102" i="44" s="1"/>
  <c r="J533" i="20"/>
  <c r="P536" i="20"/>
  <c r="P540" i="20"/>
  <c r="O560" i="20"/>
  <c r="L147" i="44"/>
  <c r="AC147" i="44"/>
  <c r="W551" i="20"/>
  <c r="W731" i="20"/>
  <c r="W840" i="20"/>
  <c r="W877" i="20" s="1"/>
  <c r="W650" i="20"/>
  <c r="W529" i="20"/>
  <c r="T106" i="44" s="1"/>
  <c r="W533" i="20"/>
  <c r="G535" i="20"/>
  <c r="H847" i="20"/>
  <c r="AL543" i="20"/>
  <c r="AM716" i="20"/>
  <c r="AL862" i="20"/>
  <c r="AM862" i="20" s="1"/>
  <c r="I541" i="20"/>
  <c r="AM707" i="20"/>
  <c r="AL853" i="20"/>
  <c r="AM853" i="20" s="1"/>
  <c r="AM711" i="20"/>
  <c r="AL857" i="20"/>
  <c r="AM857" i="20" s="1"/>
  <c r="AL541" i="20"/>
  <c r="T550" i="20"/>
  <c r="T536" i="20"/>
  <c r="AC552" i="20"/>
  <c r="J548" i="20"/>
  <c r="M552" i="20"/>
  <c r="V882" i="20"/>
  <c r="S131" i="44" s="1"/>
  <c r="S133" i="44" s="1"/>
  <c r="R44" i="44"/>
  <c r="R45" i="44" s="1"/>
  <c r="R65" i="44"/>
  <c r="R66" i="44" s="1"/>
  <c r="Q546" i="20"/>
  <c r="Q731" i="20"/>
  <c r="Q840" i="20"/>
  <c r="Q877" i="20" s="1"/>
  <c r="AK534" i="20"/>
  <c r="AK537" i="20"/>
  <c r="AK548" i="20"/>
  <c r="N549" i="20"/>
  <c r="N541" i="20"/>
  <c r="P33" i="44"/>
  <c r="AG549" i="20"/>
  <c r="Z538" i="20"/>
  <c r="AH545" i="20"/>
  <c r="AJ547" i="20"/>
  <c r="Y534" i="20"/>
  <c r="L538" i="20"/>
  <c r="U537" i="20"/>
  <c r="X542" i="20"/>
  <c r="AE538" i="20"/>
  <c r="K549" i="20"/>
  <c r="G555" i="20"/>
  <c r="J544" i="20"/>
  <c r="W530" i="20"/>
  <c r="T123" i="44" s="1"/>
  <c r="W561" i="20"/>
  <c r="W565" i="20" s="1"/>
  <c r="H849" i="20"/>
  <c r="U795" i="20"/>
  <c r="U799" i="20" s="1"/>
  <c r="U653" i="20"/>
  <c r="AI33" i="44"/>
  <c r="T545" i="20"/>
  <c r="M543" i="20"/>
  <c r="AK795" i="20"/>
  <c r="AK799" i="20" s="1"/>
  <c r="AK653" i="20"/>
  <c r="R536" i="20"/>
  <c r="O65" i="44"/>
  <c r="O66" i="44" s="1"/>
  <c r="O44" i="44"/>
  <c r="O45" i="44" s="1"/>
  <c r="V535" i="20"/>
  <c r="K147" i="44"/>
  <c r="S548" i="20"/>
  <c r="S543" i="20"/>
  <c r="AG558" i="20"/>
  <c r="X731" i="20"/>
  <c r="Z548" i="20"/>
  <c r="AH561" i="20"/>
  <c r="AH565" i="20" s="1"/>
  <c r="AH530" i="20"/>
  <c r="AE123" i="44" s="1"/>
  <c r="AJ731" i="20"/>
  <c r="L559" i="20"/>
  <c r="L537" i="20"/>
  <c r="Y542" i="20"/>
  <c r="AF534" i="20"/>
  <c r="K795" i="20"/>
  <c r="K799" i="20" s="1"/>
  <c r="K653" i="20"/>
  <c r="J550" i="20"/>
  <c r="J538" i="20"/>
  <c r="H539" i="20"/>
  <c r="AM712" i="20"/>
  <c r="H858" i="20"/>
  <c r="AM858" i="20" s="1"/>
  <c r="T551" i="20"/>
  <c r="Q44" i="44"/>
  <c r="Q45" i="44" s="1"/>
  <c r="Q65" i="44"/>
  <c r="Q66" i="44" s="1"/>
  <c r="K538" i="20"/>
  <c r="I650" i="20"/>
  <c r="D71" i="44" l="1"/>
  <c r="D147" i="44"/>
  <c r="AE125" i="44"/>
  <c r="AE127" i="44" s="1"/>
  <c r="AE128" i="44" s="1"/>
  <c r="W125" i="44"/>
  <c r="W127" i="44" s="1"/>
  <c r="W128" i="44" s="1"/>
  <c r="Z125" i="44"/>
  <c r="Z127" i="44" s="1"/>
  <c r="Z128" i="44" s="1"/>
  <c r="AL877" i="20"/>
  <c r="D108" i="44"/>
  <c r="Y147" i="44"/>
  <c r="Y71" i="44"/>
  <c r="T147" i="44"/>
  <c r="T71" i="44"/>
  <c r="U147" i="44"/>
  <c r="U71" i="44"/>
  <c r="W147" i="44"/>
  <c r="W71" i="44"/>
  <c r="P147" i="44"/>
  <c r="P71" i="44"/>
  <c r="J147" i="44"/>
  <c r="J71" i="44"/>
  <c r="M147" i="44"/>
  <c r="M71" i="44"/>
  <c r="V147" i="44"/>
  <c r="V71" i="44"/>
  <c r="AI147" i="44"/>
  <c r="AI71" i="44"/>
  <c r="AE147" i="44"/>
  <c r="AE71" i="44"/>
  <c r="I147" i="44"/>
  <c r="I71" i="44"/>
  <c r="AF147" i="44"/>
  <c r="AF71" i="44"/>
  <c r="AD147" i="44"/>
  <c r="AD71" i="44"/>
  <c r="O147" i="44"/>
  <c r="O71" i="44"/>
  <c r="G147" i="44"/>
  <c r="G71" i="44"/>
  <c r="Z147" i="44"/>
  <c r="Z71" i="44"/>
  <c r="AB147" i="44"/>
  <c r="AB71" i="44"/>
  <c r="AG147" i="44"/>
  <c r="AG71" i="44"/>
  <c r="Q147" i="44"/>
  <c r="Q71" i="44"/>
  <c r="AH147" i="44"/>
  <c r="AH71" i="44"/>
  <c r="H147" i="44"/>
  <c r="H71" i="44"/>
  <c r="X147" i="44"/>
  <c r="X71" i="44"/>
  <c r="AA147" i="44"/>
  <c r="AA71" i="44"/>
  <c r="S147" i="44"/>
  <c r="S71" i="44"/>
  <c r="AG127" i="44"/>
  <c r="AJ882" i="20"/>
  <c r="AG131" i="44" s="1"/>
  <c r="AG133" i="44" s="1"/>
  <c r="J127" i="44"/>
  <c r="T125" i="44"/>
  <c r="T127" i="44" s="1"/>
  <c r="T128" i="44" s="1"/>
  <c r="H125" i="44"/>
  <c r="H127" i="44" s="1"/>
  <c r="H128" i="44" s="1"/>
  <c r="Q125" i="44"/>
  <c r="Q127" i="44" s="1"/>
  <c r="Q128" i="44" s="1"/>
  <c r="O125" i="44"/>
  <c r="O127" i="44" s="1"/>
  <c r="O128" i="44" s="1"/>
  <c r="V125" i="44"/>
  <c r="V127" i="44" s="1"/>
  <c r="V128" i="44" s="1"/>
  <c r="X125" i="44"/>
  <c r="X127" i="44" s="1"/>
  <c r="X128" i="44" s="1"/>
  <c r="AF125" i="44"/>
  <c r="AF127" i="44" s="1"/>
  <c r="M127" i="44"/>
  <c r="M128" i="44" s="1"/>
  <c r="I125" i="44"/>
  <c r="I127" i="44" s="1"/>
  <c r="I128" i="44" s="1"/>
  <c r="AH125" i="44"/>
  <c r="AH127" i="44" s="1"/>
  <c r="S127" i="44"/>
  <c r="S128" i="44" s="1"/>
  <c r="AC108" i="44"/>
  <c r="AC111" i="44" s="1"/>
  <c r="AC112" i="44" s="1"/>
  <c r="R125" i="44"/>
  <c r="R127" i="44" s="1"/>
  <c r="AC125" i="44"/>
  <c r="AC127" i="44" s="1"/>
  <c r="AA125" i="44"/>
  <c r="AA127" i="44" s="1"/>
  <c r="L125" i="44"/>
  <c r="L127" i="44" s="1"/>
  <c r="K125" i="44"/>
  <c r="K127" i="44" s="1"/>
  <c r="N125" i="44"/>
  <c r="N127" i="44" s="1"/>
  <c r="AD125" i="44"/>
  <c r="AD127" i="44" s="1"/>
  <c r="AD128" i="44" s="1"/>
  <c r="P125" i="44"/>
  <c r="P127" i="44" s="1"/>
  <c r="P128" i="44" s="1"/>
  <c r="G108" i="44"/>
  <c r="AH108" i="44"/>
  <c r="AH107" i="44" s="1"/>
  <c r="P108" i="44"/>
  <c r="Y108" i="44"/>
  <c r="Y107" i="44" s="1"/>
  <c r="X108" i="44"/>
  <c r="X107" i="44" s="1"/>
  <c r="L108" i="44"/>
  <c r="W108" i="44"/>
  <c r="I108" i="44"/>
  <c r="R108" i="44"/>
  <c r="AF882" i="20"/>
  <c r="AC131" i="44" s="1"/>
  <c r="AC133" i="44" s="1"/>
  <c r="W882" i="20"/>
  <c r="T131" i="44" s="1"/>
  <c r="T133" i="44" s="1"/>
  <c r="T134" i="44" s="1"/>
  <c r="J136" i="44"/>
  <c r="G127" i="44"/>
  <c r="G128" i="44" s="1"/>
  <c r="AB127" i="44"/>
  <c r="AB128" i="44" s="1"/>
  <c r="W103" i="44"/>
  <c r="W141" i="44" s="1"/>
  <c r="Y882" i="20"/>
  <c r="V131" i="44" s="1"/>
  <c r="V133" i="44" s="1"/>
  <c r="V134" i="44" s="1"/>
  <c r="M136" i="44"/>
  <c r="X796" i="20"/>
  <c r="X798" i="20" s="1"/>
  <c r="X881" i="20" s="1"/>
  <c r="U115" i="44" s="1"/>
  <c r="U118" i="44" s="1"/>
  <c r="AE136" i="44"/>
  <c r="U103" i="44"/>
  <c r="U141" i="44" s="1"/>
  <c r="U127" i="44"/>
  <c r="U128" i="44" s="1"/>
  <c r="O882" i="20"/>
  <c r="L131" i="44" s="1"/>
  <c r="L133" i="44" s="1"/>
  <c r="U136" i="44"/>
  <c r="Z882" i="20"/>
  <c r="W131" i="44" s="1"/>
  <c r="W133" i="44" s="1"/>
  <c r="W134" i="44" s="1"/>
  <c r="P562" i="20"/>
  <c r="P564" i="20" s="1"/>
  <c r="P652" i="20"/>
  <c r="F141" i="44"/>
  <c r="P798" i="20"/>
  <c r="P881" i="20" s="1"/>
  <c r="M115" i="44" s="1"/>
  <c r="M117" i="44" s="1"/>
  <c r="M120" i="44" s="1"/>
  <c r="AG102" i="44"/>
  <c r="AB98" i="44"/>
  <c r="K882" i="20"/>
  <c r="H131" i="44" s="1"/>
  <c r="H133" i="44" s="1"/>
  <c r="H134" i="44" s="1"/>
  <c r="Q882" i="20"/>
  <c r="N131" i="44" s="1"/>
  <c r="N133" i="44" s="1"/>
  <c r="AJ562" i="20"/>
  <c r="AJ564" i="20" s="1"/>
  <c r="J102" i="44"/>
  <c r="X652" i="20"/>
  <c r="L882" i="20"/>
  <c r="I131" i="44" s="1"/>
  <c r="I133" i="44" s="1"/>
  <c r="I134" i="44" s="1"/>
  <c r="S98" i="44"/>
  <c r="H877" i="20"/>
  <c r="AH882" i="20"/>
  <c r="AE131" i="44" s="1"/>
  <c r="AE133" i="44" s="1"/>
  <c r="AE134" i="44" s="1"/>
  <c r="R882" i="20"/>
  <c r="O131" i="44" s="1"/>
  <c r="O133" i="44" s="1"/>
  <c r="O134" i="44" s="1"/>
  <c r="AJ652" i="20"/>
  <c r="U98" i="44"/>
  <c r="AI882" i="20"/>
  <c r="AF131" i="44" s="1"/>
  <c r="AF133" i="44" s="1"/>
  <c r="AC136" i="44"/>
  <c r="G877" i="20"/>
  <c r="X564" i="20"/>
  <c r="Y127" i="44"/>
  <c r="Y128" i="44" s="1"/>
  <c r="Y124" i="44"/>
  <c r="F127" i="44"/>
  <c r="F124" i="44"/>
  <c r="E127" i="44"/>
  <c r="E124" i="44"/>
  <c r="I562" i="20"/>
  <c r="I564" i="20" s="1"/>
  <c r="I796" i="20"/>
  <c r="I798" i="20" s="1"/>
  <c r="I881" i="20" s="1"/>
  <c r="F115" i="44" s="1"/>
  <c r="AI103" i="44"/>
  <c r="AI141" i="44" s="1"/>
  <c r="T98" i="44"/>
  <c r="T101" i="44"/>
  <c r="W562" i="20"/>
  <c r="W564" i="20" s="1"/>
  <c r="W796" i="20"/>
  <c r="W798" i="20" s="1"/>
  <c r="W881" i="20" s="1"/>
  <c r="T115" i="44" s="1"/>
  <c r="Y103" i="44"/>
  <c r="Y141" i="44" s="1"/>
  <c r="AI136" i="44"/>
  <c r="Q98" i="44"/>
  <c r="Q101" i="44"/>
  <c r="AD562" i="20"/>
  <c r="AD564" i="20" s="1"/>
  <c r="AD796" i="20"/>
  <c r="AD798" i="20" s="1"/>
  <c r="AD881" i="20" s="1"/>
  <c r="AA115" i="44" s="1"/>
  <c r="I136" i="44"/>
  <c r="AE103" i="44"/>
  <c r="AE141" i="44" s="1"/>
  <c r="X101" i="44"/>
  <c r="X98" i="44"/>
  <c r="AD652" i="20"/>
  <c r="AA108" i="44" s="1"/>
  <c r="M562" i="20"/>
  <c r="M564" i="20" s="1"/>
  <c r="M796" i="20"/>
  <c r="M798" i="20" s="1"/>
  <c r="M881" i="20" s="1"/>
  <c r="J115" i="44" s="1"/>
  <c r="M134" i="44"/>
  <c r="R562" i="20"/>
  <c r="R564" i="20" s="1"/>
  <c r="R796" i="20"/>
  <c r="R798" i="20" s="1"/>
  <c r="R881" i="20" s="1"/>
  <c r="O115" i="44" s="1"/>
  <c r="AC141" i="44"/>
  <c r="K796" i="20"/>
  <c r="K798" i="20" s="1"/>
  <c r="K881" i="20" s="1"/>
  <c r="H115" i="44" s="1"/>
  <c r="K562" i="20"/>
  <c r="K564" i="20" s="1"/>
  <c r="W124" i="44"/>
  <c r="W101" i="44"/>
  <c r="W98" i="44"/>
  <c r="AD882" i="20"/>
  <c r="AA131" i="44" s="1"/>
  <c r="AA133" i="44" s="1"/>
  <c r="G882" i="20"/>
  <c r="Q136" i="44"/>
  <c r="AI796" i="20"/>
  <c r="AI798" i="20" s="1"/>
  <c r="AI881" i="20" s="1"/>
  <c r="AF115" i="44" s="1"/>
  <c r="AI562" i="20"/>
  <c r="AI564" i="20" s="1"/>
  <c r="AB103" i="44"/>
  <c r="AB141" i="44" s="1"/>
  <c r="S124" i="44"/>
  <c r="AC562" i="20"/>
  <c r="AC564" i="20" s="1"/>
  <c r="AC796" i="20"/>
  <c r="AC798" i="20" s="1"/>
  <c r="AD101" i="44"/>
  <c r="AD98" i="44"/>
  <c r="AA103" i="44"/>
  <c r="AA141" i="44" s="1"/>
  <c r="U882" i="20"/>
  <c r="R131" i="44" s="1"/>
  <c r="R133" i="44" s="1"/>
  <c r="AC877" i="20"/>
  <c r="AA562" i="20"/>
  <c r="AA564" i="20" s="1"/>
  <c r="AA796" i="20"/>
  <c r="AA798" i="20" s="1"/>
  <c r="AA881" i="20" s="1"/>
  <c r="X115" i="44" s="1"/>
  <c r="Y98" i="44"/>
  <c r="P103" i="44"/>
  <c r="P141" i="44" s="1"/>
  <c r="L141" i="44"/>
  <c r="G136" i="44"/>
  <c r="N141" i="44"/>
  <c r="AA882" i="20"/>
  <c r="X131" i="44" s="1"/>
  <c r="X133" i="44" s="1"/>
  <c r="T882" i="20"/>
  <c r="Q131" i="44" s="1"/>
  <c r="Q133" i="44" s="1"/>
  <c r="T796" i="20"/>
  <c r="T798" i="20" s="1"/>
  <c r="T881" i="20" s="1"/>
  <c r="Q115" i="44" s="1"/>
  <c r="T562" i="20"/>
  <c r="T564" i="20" s="1"/>
  <c r="AB136" i="44"/>
  <c r="AH136" i="44"/>
  <c r="AC652" i="20"/>
  <c r="O796" i="20"/>
  <c r="O798" i="20" s="1"/>
  <c r="O881" i="20" s="1"/>
  <c r="L115" i="44" s="1"/>
  <c r="O562" i="20"/>
  <c r="O564" i="20" s="1"/>
  <c r="AG103" i="44"/>
  <c r="AG141" i="44" s="1"/>
  <c r="N882" i="20"/>
  <c r="K131" i="44" s="1"/>
  <c r="K133" i="44" s="1"/>
  <c r="AL562" i="20"/>
  <c r="AL564" i="20" s="1"/>
  <c r="AL796" i="20"/>
  <c r="AL798" i="20" s="1"/>
  <c r="D106" i="44"/>
  <c r="D98" i="44" s="1"/>
  <c r="N136" i="44"/>
  <c r="AI652" i="20"/>
  <c r="Z103" i="44"/>
  <c r="Z141" i="44" s="1"/>
  <c r="H562" i="20"/>
  <c r="H564" i="20" s="1"/>
  <c r="H796" i="20"/>
  <c r="H798" i="20" s="1"/>
  <c r="V562" i="20"/>
  <c r="V564" i="20" s="1"/>
  <c r="V796" i="20"/>
  <c r="V798" i="20" s="1"/>
  <c r="V881" i="20" s="1"/>
  <c r="S115" i="44" s="1"/>
  <c r="J124" i="44"/>
  <c r="Y562" i="20"/>
  <c r="Y564" i="20" s="1"/>
  <c r="Y796" i="20"/>
  <c r="Y798" i="20" s="1"/>
  <c r="Y881" i="20" s="1"/>
  <c r="V115" i="44" s="1"/>
  <c r="P136" i="44"/>
  <c r="D101" i="44"/>
  <c r="S882" i="20"/>
  <c r="P131" i="44" s="1"/>
  <c r="P133" i="44" s="1"/>
  <c r="AH103" i="44"/>
  <c r="AH141" i="44" s="1"/>
  <c r="AK882" i="20"/>
  <c r="AH131" i="44" s="1"/>
  <c r="AH133" i="44" s="1"/>
  <c r="AB796" i="20"/>
  <c r="AB798" i="20" s="1"/>
  <c r="AB881" i="20" s="1"/>
  <c r="Y115" i="44" s="1"/>
  <c r="AB562" i="20"/>
  <c r="AB564" i="20" s="1"/>
  <c r="Z877" i="20"/>
  <c r="I101" i="44"/>
  <c r="I98" i="44"/>
  <c r="N562" i="20"/>
  <c r="N564" i="20" s="1"/>
  <c r="N796" i="20"/>
  <c r="N798" i="20" s="1"/>
  <c r="N881" i="20" s="1"/>
  <c r="K115" i="44" s="1"/>
  <c r="U796" i="20"/>
  <c r="U798" i="20" s="1"/>
  <c r="U881" i="20" s="1"/>
  <c r="R115" i="44" s="1"/>
  <c r="U562" i="20"/>
  <c r="U564" i="20" s="1"/>
  <c r="G98" i="44"/>
  <c r="G103" i="44"/>
  <c r="G141" i="44" s="1"/>
  <c r="AG796" i="20"/>
  <c r="AG798" i="20" s="1"/>
  <c r="AG881" i="20" s="1"/>
  <c r="AD115" i="44" s="1"/>
  <c r="AG562" i="20"/>
  <c r="AG564" i="20" s="1"/>
  <c r="M124" i="44"/>
  <c r="AG124" i="44"/>
  <c r="S103" i="44"/>
  <c r="S141" i="44" s="1"/>
  <c r="AJ798" i="20"/>
  <c r="AJ881" i="20" s="1"/>
  <c r="AG115" i="44" s="1"/>
  <c r="AA136" i="44"/>
  <c r="V652" i="20"/>
  <c r="W652" i="20"/>
  <c r="M652" i="20"/>
  <c r="J108" i="44" s="1"/>
  <c r="AG652" i="20"/>
  <c r="S134" i="44"/>
  <c r="AF103" i="44"/>
  <c r="AF141" i="44" s="1"/>
  <c r="I103" i="44"/>
  <c r="I141" i="44" s="1"/>
  <c r="AB134" i="44"/>
  <c r="G562" i="20"/>
  <c r="G564" i="20" s="1"/>
  <c r="G796" i="20"/>
  <c r="G798" i="20" s="1"/>
  <c r="Y134" i="44"/>
  <c r="R141" i="44"/>
  <c r="Q103" i="44"/>
  <c r="Q141" i="44" s="1"/>
  <c r="V136" i="44"/>
  <c r="V102" i="44"/>
  <c r="O101" i="44"/>
  <c r="O98" i="44"/>
  <c r="Y136" i="44"/>
  <c r="E141" i="44"/>
  <c r="X103" i="44"/>
  <c r="X141" i="44" s="1"/>
  <c r="AH562" i="20"/>
  <c r="AH564" i="20" s="1"/>
  <c r="AH796" i="20"/>
  <c r="AH798" i="20" s="1"/>
  <c r="AH881" i="20" s="1"/>
  <c r="AE115" i="44" s="1"/>
  <c r="AD136" i="44"/>
  <c r="T103" i="44"/>
  <c r="T141" i="44" s="1"/>
  <c r="AG882" i="20"/>
  <c r="AD131" i="44" s="1"/>
  <c r="AD133" i="44" s="1"/>
  <c r="H101" i="44"/>
  <c r="H98" i="44"/>
  <c r="AE796" i="20"/>
  <c r="AE798" i="20" s="1"/>
  <c r="AE881" i="20" s="1"/>
  <c r="AB115" i="44" s="1"/>
  <c r="AE562" i="20"/>
  <c r="AE564" i="20" s="1"/>
  <c r="W136" i="44"/>
  <c r="W102" i="44"/>
  <c r="R136" i="44"/>
  <c r="AG136" i="44"/>
  <c r="L796" i="20"/>
  <c r="L798" i="20" s="1"/>
  <c r="L881" i="20" s="1"/>
  <c r="I115" i="44" s="1"/>
  <c r="L562" i="20"/>
  <c r="L564" i="20" s="1"/>
  <c r="AD103" i="44"/>
  <c r="AD141" i="44" s="1"/>
  <c r="O103" i="44"/>
  <c r="O141" i="44" s="1"/>
  <c r="M103" i="44"/>
  <c r="M141" i="44" s="1"/>
  <c r="AC882" i="20"/>
  <c r="Z131" i="44" s="1"/>
  <c r="Z133" i="44" s="1"/>
  <c r="K136" i="44"/>
  <c r="AF796" i="20"/>
  <c r="AF798" i="20" s="1"/>
  <c r="AF881" i="20" s="1"/>
  <c r="AC115" i="44" s="1"/>
  <c r="AF562" i="20"/>
  <c r="AF564" i="20" s="1"/>
  <c r="AE101" i="44"/>
  <c r="AE98" i="44"/>
  <c r="K141" i="44"/>
  <c r="AI102" i="44"/>
  <c r="T136" i="44"/>
  <c r="J796" i="20"/>
  <c r="J798" i="20" s="1"/>
  <c r="J881" i="20" s="1"/>
  <c r="G115" i="44" s="1"/>
  <c r="J562" i="20"/>
  <c r="J564" i="20" s="1"/>
  <c r="V101" i="44"/>
  <c r="V98" i="44"/>
  <c r="H136" i="44"/>
  <c r="I102" i="44"/>
  <c r="AF136" i="44"/>
  <c r="AB102" i="44"/>
  <c r="Z796" i="20"/>
  <c r="Z798" i="20" s="1"/>
  <c r="Z562" i="20"/>
  <c r="Z564" i="20" s="1"/>
  <c r="AK562" i="20"/>
  <c r="AK564" i="20" s="1"/>
  <c r="AK796" i="20"/>
  <c r="AK798" i="20" s="1"/>
  <c r="AK881" i="20" s="1"/>
  <c r="AH115" i="44" s="1"/>
  <c r="L136" i="44"/>
  <c r="Q796" i="20"/>
  <c r="Q798" i="20" s="1"/>
  <c r="Q881" i="20" s="1"/>
  <c r="N115" i="44" s="1"/>
  <c r="Q562" i="20"/>
  <c r="Q564" i="20" s="1"/>
  <c r="E136" i="44"/>
  <c r="AE652" i="20"/>
  <c r="S136" i="44"/>
  <c r="Q102" i="44"/>
  <c r="Z98" i="44"/>
  <c r="Z101" i="44"/>
  <c r="D124" i="44"/>
  <c r="Z136" i="44"/>
  <c r="S796" i="20"/>
  <c r="S798" i="20" s="1"/>
  <c r="S881" i="20" s="1"/>
  <c r="P115" i="44" s="1"/>
  <c r="S562" i="20"/>
  <c r="S564" i="20" s="1"/>
  <c r="J103" i="44"/>
  <c r="J141" i="44" s="1"/>
  <c r="Q652" i="20"/>
  <c r="AH652" i="20"/>
  <c r="AE108" i="44" s="1"/>
  <c r="P101" i="44"/>
  <c r="P98" i="44"/>
  <c r="V103" i="44"/>
  <c r="V141" i="44" s="1"/>
  <c r="M98" i="44"/>
  <c r="H103" i="44"/>
  <c r="H141" i="44" s="1"/>
  <c r="X136" i="44"/>
  <c r="T102" i="44"/>
  <c r="O136" i="44"/>
  <c r="H652" i="20"/>
  <c r="I652" i="20"/>
  <c r="F108" i="44" s="1"/>
  <c r="K652" i="20"/>
  <c r="T652" i="20"/>
  <c r="AL652" i="20"/>
  <c r="AI108" i="44" s="1"/>
  <c r="AI111" i="44" s="1"/>
  <c r="AI112" i="44" s="1"/>
  <c r="N652" i="20"/>
  <c r="R652" i="20"/>
  <c r="Y652" i="20"/>
  <c r="AL881" i="20" l="1"/>
  <c r="AI115" i="44" s="1"/>
  <c r="AI117" i="44" s="1"/>
  <c r="AK71" i="44"/>
  <c r="AC107" i="44"/>
  <c r="I107" i="44"/>
  <c r="G111" i="44"/>
  <c r="G112" i="44" s="1"/>
  <c r="G107" i="44"/>
  <c r="W111" i="44"/>
  <c r="W112" i="44" s="1"/>
  <c r="P111" i="44"/>
  <c r="P112" i="44" s="1"/>
  <c r="L107" i="44"/>
  <c r="Y111" i="44"/>
  <c r="Y112" i="44" s="1"/>
  <c r="R111" i="44"/>
  <c r="R112" i="44" s="1"/>
  <c r="X111" i="44"/>
  <c r="X112" i="44" s="1"/>
  <c r="AH111" i="44"/>
  <c r="AH112" i="44" s="1"/>
  <c r="W107" i="44"/>
  <c r="L111" i="44"/>
  <c r="L112" i="44" s="1"/>
  <c r="R107" i="44"/>
  <c r="I111" i="44"/>
  <c r="I112" i="44" s="1"/>
  <c r="P107" i="44"/>
  <c r="E108" i="44"/>
  <c r="S108" i="44"/>
  <c r="AG108" i="44"/>
  <c r="U108" i="44"/>
  <c r="O108" i="44"/>
  <c r="H108" i="44"/>
  <c r="AB108" i="44"/>
  <c r="AF108" i="44"/>
  <c r="Q108" i="44"/>
  <c r="N108" i="44"/>
  <c r="Z108" i="44"/>
  <c r="Z107" i="44" s="1"/>
  <c r="V108" i="44"/>
  <c r="V107" i="44" s="1"/>
  <c r="AD108" i="44"/>
  <c r="K108" i="44"/>
  <c r="T108" i="44"/>
  <c r="T107" i="44" s="1"/>
  <c r="M108" i="44"/>
  <c r="M107" i="44" s="1"/>
  <c r="W142" i="44"/>
  <c r="AI142" i="44"/>
  <c r="U142" i="44"/>
  <c r="G124" i="44"/>
  <c r="AB124" i="44"/>
  <c r="M118" i="44"/>
  <c r="N124" i="44"/>
  <c r="R124" i="44"/>
  <c r="U124" i="44"/>
  <c r="U117" i="44"/>
  <c r="U120" i="44" s="1"/>
  <c r="H124" i="44"/>
  <c r="Z124" i="44"/>
  <c r="F142" i="44"/>
  <c r="N142" i="44"/>
  <c r="Q142" i="44"/>
  <c r="I142" i="44"/>
  <c r="AF124" i="44"/>
  <c r="AH142" i="44"/>
  <c r="S142" i="44"/>
  <c r="AC142" i="44"/>
  <c r="H881" i="20"/>
  <c r="E115" i="44" s="1"/>
  <c r="E118" i="44" s="1"/>
  <c r="AC124" i="44"/>
  <c r="G142" i="44"/>
  <c r="L124" i="44"/>
  <c r="T142" i="44"/>
  <c r="AG142" i="44"/>
  <c r="O124" i="44"/>
  <c r="T124" i="44"/>
  <c r="AE142" i="44"/>
  <c r="I124" i="44"/>
  <c r="AF142" i="44"/>
  <c r="AH124" i="44"/>
  <c r="AA142" i="44"/>
  <c r="K124" i="44"/>
  <c r="Q124" i="44"/>
  <c r="AH117" i="44"/>
  <c r="AH120" i="44" s="1"/>
  <c r="AH118" i="44"/>
  <c r="AB118" i="44"/>
  <c r="AB117" i="44"/>
  <c r="AG118" i="44"/>
  <c r="AG117" i="44"/>
  <c r="P118" i="44"/>
  <c r="P117" i="44"/>
  <c r="P120" i="44" s="1"/>
  <c r="N118" i="44"/>
  <c r="N117" i="44"/>
  <c r="Q118" i="44"/>
  <c r="Q117" i="44"/>
  <c r="Q120" i="44" s="1"/>
  <c r="G881" i="20"/>
  <c r="K118" i="44"/>
  <c r="K117" i="44"/>
  <c r="K120" i="44" s="1"/>
  <c r="AD118" i="44"/>
  <c r="AD117" i="44"/>
  <c r="AD120" i="44" s="1"/>
  <c r="Y118" i="44"/>
  <c r="Y117" i="44"/>
  <c r="V117" i="44"/>
  <c r="V118" i="44"/>
  <c r="J118" i="44"/>
  <c r="J117" i="44"/>
  <c r="R118" i="44"/>
  <c r="R117" i="44"/>
  <c r="R120" i="44" s="1"/>
  <c r="T117" i="44"/>
  <c r="T118" i="44"/>
  <c r="I118" i="44"/>
  <c r="I117" i="44"/>
  <c r="X118" i="44"/>
  <c r="X117" i="44"/>
  <c r="X120" i="44" s="1"/>
  <c r="L118" i="44"/>
  <c r="L117" i="44"/>
  <c r="O118" i="44"/>
  <c r="O117" i="44"/>
  <c r="AA118" i="44"/>
  <c r="AA117" i="44"/>
  <c r="AA120" i="44" s="1"/>
  <c r="O142" i="44"/>
  <c r="D131" i="44"/>
  <c r="L142" i="44"/>
  <c r="AD142" i="44"/>
  <c r="D111" i="44"/>
  <c r="E142" i="44"/>
  <c r="R142" i="44"/>
  <c r="AB142" i="44"/>
  <c r="V124" i="44"/>
  <c r="AE124" i="44"/>
  <c r="J142" i="44"/>
  <c r="V142" i="44"/>
  <c r="M142" i="44"/>
  <c r="D107" i="44"/>
  <c r="D136" i="44"/>
  <c r="D102" i="44"/>
  <c r="D103" i="44"/>
  <c r="Q134" i="44"/>
  <c r="X134" i="44"/>
  <c r="AC881" i="20"/>
  <c r="Z115" i="44" s="1"/>
  <c r="AD124" i="44"/>
  <c r="Z142" i="44"/>
  <c r="K142" i="44"/>
  <c r="Y142" i="44"/>
  <c r="F111" i="44"/>
  <c r="F112" i="44" s="1"/>
  <c r="F107" i="44"/>
  <c r="H118" i="44"/>
  <c r="H117" i="44"/>
  <c r="G118" i="44"/>
  <c r="G117" i="44"/>
  <c r="X124" i="44"/>
  <c r="P124" i="44"/>
  <c r="D127" i="44"/>
  <c r="AE118" i="44"/>
  <c r="AE117" i="44"/>
  <c r="F118" i="44"/>
  <c r="F117" i="44"/>
  <c r="AF118" i="44"/>
  <c r="AF117" i="44"/>
  <c r="J111" i="44"/>
  <c r="J112" i="44" s="1"/>
  <c r="J107" i="44"/>
  <c r="P134" i="44"/>
  <c r="S118" i="44"/>
  <c r="S117" i="44"/>
  <c r="AE111" i="44"/>
  <c r="AE112" i="44" s="1"/>
  <c r="AE107" i="44"/>
  <c r="AC118" i="44"/>
  <c r="AC117" i="44"/>
  <c r="Z134" i="44"/>
  <c r="AD134" i="44"/>
  <c r="H142" i="44"/>
  <c r="X142" i="44"/>
  <c r="Z881" i="20"/>
  <c r="W115" i="44" s="1"/>
  <c r="P142" i="44"/>
  <c r="M137" i="44"/>
  <c r="M138" i="44" s="1"/>
  <c r="AA111" i="44"/>
  <c r="AA112" i="44" s="1"/>
  <c r="AA107" i="44"/>
  <c r="AI107" i="44"/>
  <c r="AA124" i="44"/>
  <c r="AI118" i="44" l="1"/>
  <c r="U107" i="44"/>
  <c r="Z111" i="44"/>
  <c r="Z112" i="44" s="1"/>
  <c r="AB111" i="44"/>
  <c r="AB112" i="44" s="1"/>
  <c r="AG111" i="44"/>
  <c r="AG112" i="44" s="1"/>
  <c r="V111" i="44"/>
  <c r="V112" i="44" s="1"/>
  <c r="K111" i="44"/>
  <c r="K112" i="44" s="1"/>
  <c r="N111" i="44"/>
  <c r="N112" i="44" s="1"/>
  <c r="H107" i="44"/>
  <c r="S111" i="44"/>
  <c r="S112" i="44" s="1"/>
  <c r="T111" i="44"/>
  <c r="T112" i="44" s="1"/>
  <c r="AF111" i="44"/>
  <c r="AF112" i="44" s="1"/>
  <c r="M111" i="44"/>
  <c r="M112" i="44" s="1"/>
  <c r="AD111" i="44"/>
  <c r="AD112" i="44" s="1"/>
  <c r="Q111" i="44"/>
  <c r="Q112" i="44" s="1"/>
  <c r="O111" i="44"/>
  <c r="O112" i="44" s="1"/>
  <c r="E111" i="44"/>
  <c r="E112" i="44" s="1"/>
  <c r="E107" i="44"/>
  <c r="K107" i="44"/>
  <c r="Q107" i="44"/>
  <c r="AG107" i="44"/>
  <c r="AB107" i="44"/>
  <c r="AD107" i="44"/>
  <c r="O107" i="44"/>
  <c r="N107" i="44"/>
  <c r="S107" i="44"/>
  <c r="AF107" i="44"/>
  <c r="H111" i="44"/>
  <c r="H112" i="44" s="1"/>
  <c r="U111" i="44"/>
  <c r="U112" i="44" s="1"/>
  <c r="E117" i="44"/>
  <c r="E120" i="44" s="1"/>
  <c r="K137" i="44"/>
  <c r="K138" i="44" s="1"/>
  <c r="U137" i="44"/>
  <c r="U138" i="44" s="1"/>
  <c r="AH137" i="44"/>
  <c r="AH138" i="44" s="1"/>
  <c r="R137" i="44"/>
  <c r="R138" i="44" s="1"/>
  <c r="X137" i="44"/>
  <c r="X138" i="44" s="1"/>
  <c r="P137" i="44"/>
  <c r="P138" i="44" s="1"/>
  <c r="F120" i="44"/>
  <c r="F137" i="44"/>
  <c r="F138" i="44" s="1"/>
  <c r="G120" i="44"/>
  <c r="G137" i="44"/>
  <c r="G138" i="44" s="1"/>
  <c r="H120" i="44"/>
  <c r="H137" i="44"/>
  <c r="H138" i="44" s="1"/>
  <c r="L120" i="44"/>
  <c r="L137" i="44"/>
  <c r="L138" i="44" s="1"/>
  <c r="I120" i="44"/>
  <c r="I137" i="44"/>
  <c r="I138" i="44" s="1"/>
  <c r="J120" i="44"/>
  <c r="J137" i="44"/>
  <c r="J138" i="44" s="1"/>
  <c r="N120" i="44"/>
  <c r="N137" i="44"/>
  <c r="N138" i="44" s="1"/>
  <c r="AB120" i="44"/>
  <c r="AB137" i="44"/>
  <c r="AB138" i="44" s="1"/>
  <c r="D112" i="44"/>
  <c r="AD137" i="44"/>
  <c r="AD138" i="44" s="1"/>
  <c r="S120" i="44"/>
  <c r="S137" i="44"/>
  <c r="S138" i="44" s="1"/>
  <c r="AE120" i="44"/>
  <c r="AE137" i="44"/>
  <c r="AE138" i="44" s="1"/>
  <c r="Q137" i="44"/>
  <c r="Q138" i="44" s="1"/>
  <c r="D141" i="44"/>
  <c r="O120" i="44"/>
  <c r="O137" i="44"/>
  <c r="O138" i="44" s="1"/>
  <c r="V120" i="44"/>
  <c r="V137" i="44"/>
  <c r="V138" i="44" s="1"/>
  <c r="D115" i="44"/>
  <c r="AG120" i="44"/>
  <c r="AG137" i="44"/>
  <c r="AG138" i="44" s="1"/>
  <c r="W118" i="44"/>
  <c r="W117" i="44"/>
  <c r="AC120" i="44"/>
  <c r="AC137" i="44"/>
  <c r="AC138" i="44" s="1"/>
  <c r="AF120" i="44"/>
  <c r="AF137" i="44"/>
  <c r="AF138" i="44" s="1"/>
  <c r="AA137" i="44"/>
  <c r="AA138" i="44" s="1"/>
  <c r="Z117" i="44"/>
  <c r="Z118" i="44"/>
  <c r="D142" i="44"/>
  <c r="D133" i="44"/>
  <c r="T120" i="44"/>
  <c r="T137" i="44"/>
  <c r="T138" i="44" s="1"/>
  <c r="AI120" i="44"/>
  <c r="AI137" i="44"/>
  <c r="AI138" i="44" s="1"/>
  <c r="Y120" i="44"/>
  <c r="Y137" i="44"/>
  <c r="Y138" i="44" s="1"/>
  <c r="E137" i="44" l="1"/>
  <c r="E138" i="44" s="1"/>
  <c r="W120" i="44"/>
  <c r="W137" i="44"/>
  <c r="W138" i="44" s="1"/>
  <c r="Z120" i="44"/>
  <c r="Z137" i="44"/>
  <c r="Z138" i="44" s="1"/>
  <c r="D118" i="44"/>
  <c r="D117" i="44"/>
  <c r="D137" i="44" s="1"/>
  <c r="D138" i="44" l="1"/>
  <c r="D120" i="44"/>
  <c r="F163" i="44" l="1"/>
  <c r="F164" i="44" s="1"/>
  <c r="F154" i="44"/>
  <c r="V163" i="44"/>
  <c r="V164" i="44" s="1"/>
  <c r="V154" i="44"/>
  <c r="AH163" i="44" l="1"/>
  <c r="AH164" i="44" s="1"/>
  <c r="AH154" i="44"/>
  <c r="L163" i="44"/>
  <c r="L164" i="44" s="1"/>
  <c r="L154" i="44"/>
  <c r="U163" i="44"/>
  <c r="U164" i="44" s="1"/>
  <c r="U154" i="44"/>
  <c r="H163" i="44"/>
  <c r="H164" i="44" s="1"/>
  <c r="H154" i="44"/>
  <c r="P163" i="44"/>
  <c r="P164" i="44" s="1"/>
  <c r="P154" i="44"/>
  <c r="AC163" i="44"/>
  <c r="AC164" i="44" s="1"/>
  <c r="AC154" i="44"/>
  <c r="AD163" i="44"/>
  <c r="AD164" i="44" s="1"/>
  <c r="AD154" i="44"/>
  <c r="K163" i="44"/>
  <c r="K164" i="44" s="1"/>
  <c r="K154" i="44"/>
  <c r="AA163" i="44"/>
  <c r="AA164" i="44" s="1"/>
  <c r="AA154" i="44"/>
  <c r="S163" i="44"/>
  <c r="S164" i="44" s="1"/>
  <c r="S154" i="44"/>
  <c r="W163" i="44"/>
  <c r="W164" i="44" s="1"/>
  <c r="W154" i="44"/>
  <c r="Z163" i="44"/>
  <c r="Z164" i="44" s="1"/>
  <c r="Z154" i="44"/>
  <c r="M163" i="44"/>
  <c r="M164" i="44" s="1"/>
  <c r="M154" i="44"/>
  <c r="N163" i="44" l="1"/>
  <c r="N164" i="44" s="1"/>
  <c r="N154" i="44"/>
  <c r="Y163" i="44"/>
  <c r="Y164" i="44" s="1"/>
  <c r="Y154" i="44"/>
  <c r="I163" i="44"/>
  <c r="I164" i="44" s="1"/>
  <c r="I154" i="44"/>
  <c r="J163" i="44"/>
  <c r="J164" i="44" s="1"/>
  <c r="J154" i="44"/>
  <c r="E163" i="44"/>
  <c r="E164" i="44" s="1"/>
  <c r="E154" i="44"/>
  <c r="G163" i="44"/>
  <c r="G164" i="44" s="1"/>
  <c r="G154" i="44"/>
  <c r="AF163" i="44"/>
  <c r="AF164" i="44" s="1"/>
  <c r="AF154" i="44"/>
  <c r="AE163" i="44"/>
  <c r="AE164" i="44" s="1"/>
  <c r="AE154" i="44"/>
  <c r="O163" i="44"/>
  <c r="O164" i="44" s="1"/>
  <c r="O154" i="44"/>
  <c r="X163" i="44"/>
  <c r="X164" i="44" s="1"/>
  <c r="X154" i="44"/>
  <c r="Q163" i="44"/>
  <c r="Q164" i="44" s="1"/>
  <c r="Q154" i="44"/>
  <c r="T163" i="44"/>
  <c r="T164" i="44" s="1"/>
  <c r="T154" i="44"/>
  <c r="AB163" i="44"/>
  <c r="AB164" i="44" s="1"/>
  <c r="AB154" i="44"/>
  <c r="AG163" i="44"/>
  <c r="AG164" i="44" s="1"/>
  <c r="AG154" i="44"/>
  <c r="D163" i="44"/>
  <c r="D164" i="44" s="1"/>
  <c r="D154" i="44"/>
  <c r="R163" i="44"/>
  <c r="R164" i="44" s="1"/>
  <c r="R154" i="44"/>
  <c r="F289" i="20"/>
  <c r="F160" i="20" l="1"/>
  <c r="AM160" i="20" s="1"/>
  <c r="F162" i="20"/>
  <c r="F137" i="20"/>
  <c r="F623" i="20" s="1"/>
  <c r="F148" i="20"/>
  <c r="F634" i="20" s="1"/>
  <c r="AM634" i="20" s="1"/>
  <c r="AM163" i="20"/>
  <c r="F141" i="20"/>
  <c r="F505" i="20" s="1"/>
  <c r="AM505" i="20" s="1"/>
  <c r="F151" i="20"/>
  <c r="F132" i="20"/>
  <c r="F728" i="20"/>
  <c r="F874" i="20" s="1"/>
  <c r="F159" i="20"/>
  <c r="F139" i="20"/>
  <c r="F625" i="20" s="1"/>
  <c r="F161" i="20"/>
  <c r="F146" i="20"/>
  <c r="F510" i="20" s="1"/>
  <c r="AM289" i="20"/>
  <c r="C46" i="44"/>
  <c r="F129" i="20"/>
  <c r="F695" i="20" s="1"/>
  <c r="F841" i="20" s="1"/>
  <c r="AM841" i="20" s="1"/>
  <c r="F32" i="20"/>
  <c r="C38" i="44" s="1"/>
  <c r="F131" i="20"/>
  <c r="AM131" i="20" s="1"/>
  <c r="F128" i="20"/>
  <c r="F156" i="20"/>
  <c r="F642" i="20" s="1"/>
  <c r="F788" i="20" s="1"/>
  <c r="AM788" i="20" s="1"/>
  <c r="F143" i="20"/>
  <c r="F629" i="20" s="1"/>
  <c r="F149" i="20"/>
  <c r="F153" i="20"/>
  <c r="AM153" i="20" s="1"/>
  <c r="F726" i="20"/>
  <c r="F702" i="20"/>
  <c r="F704" i="20"/>
  <c r="F142" i="20"/>
  <c r="F158" i="20"/>
  <c r="F154" i="20"/>
  <c r="F147" i="20"/>
  <c r="F136" i="20"/>
  <c r="F157" i="20"/>
  <c r="F697" i="20"/>
  <c r="F130" i="20"/>
  <c r="F150" i="20"/>
  <c r="F133" i="20"/>
  <c r="F134" i="20"/>
  <c r="F145" i="20"/>
  <c r="F138" i="20"/>
  <c r="F155" i="20"/>
  <c r="F144" i="20"/>
  <c r="F725" i="20"/>
  <c r="F152" i="20"/>
  <c r="F140" i="20"/>
  <c r="F135" i="20"/>
  <c r="AK151" i="44" l="1"/>
  <c r="C64" i="44"/>
  <c r="AK64" i="44" s="1"/>
  <c r="F646" i="20"/>
  <c r="AM646" i="20" s="1"/>
  <c r="F524" i="20"/>
  <c r="F780" i="20"/>
  <c r="AM780" i="20" s="1"/>
  <c r="AM728" i="20"/>
  <c r="AM129" i="20"/>
  <c r="F503" i="20"/>
  <c r="F537" i="20" s="1"/>
  <c r="AM537" i="20" s="1"/>
  <c r="AK46" i="44"/>
  <c r="F512" i="20"/>
  <c r="F546" i="20" s="1"/>
  <c r="AM546" i="20" s="1"/>
  <c r="AM148" i="20"/>
  <c r="C47" i="44"/>
  <c r="F501" i="20"/>
  <c r="F535" i="20" s="1"/>
  <c r="AM535" i="20" s="1"/>
  <c r="AM137" i="20"/>
  <c r="AM149" i="20"/>
  <c r="F635" i="20"/>
  <c r="F781" i="20" s="1"/>
  <c r="AM781" i="20" s="1"/>
  <c r="F513" i="20"/>
  <c r="AM513" i="20" s="1"/>
  <c r="F507" i="20"/>
  <c r="AM139" i="20"/>
  <c r="AM161" i="20"/>
  <c r="F527" i="20"/>
  <c r="AM141" i="20"/>
  <c r="F649" i="20"/>
  <c r="F653" i="20" s="1"/>
  <c r="AM146" i="20"/>
  <c r="AM159" i="20"/>
  <c r="F694" i="20"/>
  <c r="AM694" i="20" s="1"/>
  <c r="F708" i="20"/>
  <c r="AM708" i="20" s="1"/>
  <c r="AM143" i="20"/>
  <c r="F525" i="20"/>
  <c r="AM525" i="20" s="1"/>
  <c r="F627" i="20"/>
  <c r="F773" i="20" s="1"/>
  <c r="AM773" i="20" s="1"/>
  <c r="F517" i="20"/>
  <c r="F639" i="20"/>
  <c r="AM132" i="20"/>
  <c r="F520" i="20"/>
  <c r="AM520" i="20" s="1"/>
  <c r="AM128" i="20"/>
  <c r="F493" i="20"/>
  <c r="AM493" i="20" s="1"/>
  <c r="F496" i="20"/>
  <c r="AM496" i="20" s="1"/>
  <c r="F732" i="20"/>
  <c r="AM732" i="20" s="1"/>
  <c r="AM695" i="20"/>
  <c r="C32" i="44"/>
  <c r="F632" i="20"/>
  <c r="F778" i="20" s="1"/>
  <c r="AM778" i="20" s="1"/>
  <c r="F647" i="20"/>
  <c r="AM642" i="20"/>
  <c r="AM32" i="20"/>
  <c r="F495" i="20"/>
  <c r="AM495" i="20" s="1"/>
  <c r="AM151" i="20"/>
  <c r="F637" i="20"/>
  <c r="F515" i="20"/>
  <c r="AM156" i="20"/>
  <c r="F492" i="20"/>
  <c r="AM492" i="20" s="1"/>
  <c r="F698" i="20"/>
  <c r="F844" i="20" s="1"/>
  <c r="AM844" i="20" s="1"/>
  <c r="F645" i="20"/>
  <c r="F523" i="20"/>
  <c r="F638" i="20"/>
  <c r="AM152" i="20"/>
  <c r="F516" i="20"/>
  <c r="F498" i="20"/>
  <c r="AM498" i="20" s="1"/>
  <c r="AM134" i="20"/>
  <c r="F700" i="20"/>
  <c r="AM130" i="20"/>
  <c r="F494" i="20"/>
  <c r="AM494" i="20" s="1"/>
  <c r="F696" i="20"/>
  <c r="F848" i="20"/>
  <c r="AM848" i="20" s="1"/>
  <c r="AM702" i="20"/>
  <c r="AM155" i="20"/>
  <c r="F641" i="20"/>
  <c r="F519" i="20"/>
  <c r="AM150" i="20"/>
  <c r="F636" i="20"/>
  <c r="F514" i="20"/>
  <c r="F518" i="20"/>
  <c r="AM154" i="20"/>
  <c r="F640" i="20"/>
  <c r="AM726" i="20"/>
  <c r="F872" i="20"/>
  <c r="AM872" i="20" s="1"/>
  <c r="F499" i="20"/>
  <c r="AM499" i="20" s="1"/>
  <c r="F294" i="20"/>
  <c r="AM135" i="20"/>
  <c r="F508" i="20"/>
  <c r="AM144" i="20"/>
  <c r="F630" i="20"/>
  <c r="F709" i="20"/>
  <c r="F624" i="20"/>
  <c r="F703" i="20"/>
  <c r="AM138" i="20"/>
  <c r="F502" i="20"/>
  <c r="F293" i="20"/>
  <c r="F497" i="20"/>
  <c r="AM497" i="20" s="1"/>
  <c r="AM133" i="20"/>
  <c r="AM157" i="20"/>
  <c r="F643" i="20"/>
  <c r="F521" i="20"/>
  <c r="AM158" i="20"/>
  <c r="F644" i="20"/>
  <c r="F522" i="20"/>
  <c r="AM147" i="20"/>
  <c r="F511" i="20"/>
  <c r="F633" i="20"/>
  <c r="AM725" i="20"/>
  <c r="F871" i="20"/>
  <c r="AM871" i="20" s="1"/>
  <c r="AM697" i="20"/>
  <c r="F843" i="20"/>
  <c r="AM843" i="20" s="1"/>
  <c r="AM874" i="20"/>
  <c r="F878" i="20"/>
  <c r="AM704" i="20"/>
  <c r="F850" i="20"/>
  <c r="AM850" i="20" s="1"/>
  <c r="F504" i="20"/>
  <c r="F626" i="20"/>
  <c r="AM140" i="20"/>
  <c r="AM145" i="20"/>
  <c r="F509" i="20"/>
  <c r="F631" i="20"/>
  <c r="AM162" i="20"/>
  <c r="F526" i="20"/>
  <c r="F648" i="20"/>
  <c r="F500" i="20"/>
  <c r="F701" i="20"/>
  <c r="AM136" i="20"/>
  <c r="F622" i="20"/>
  <c r="AM142" i="20"/>
  <c r="F506" i="20"/>
  <c r="F628" i="20"/>
  <c r="AM629" i="20"/>
  <c r="F775" i="20"/>
  <c r="AM775" i="20" s="1"/>
  <c r="AM625" i="20"/>
  <c r="F771" i="20"/>
  <c r="AM771" i="20" s="1"/>
  <c r="F769" i="20"/>
  <c r="AM769" i="20" s="1"/>
  <c r="AM623" i="20"/>
  <c r="AM510" i="20"/>
  <c r="AK38" i="44"/>
  <c r="C43" i="44"/>
  <c r="F792" i="20" l="1"/>
  <c r="AM792" i="20" s="1"/>
  <c r="C74" i="44"/>
  <c r="AK74" i="44" s="1"/>
  <c r="F558" i="20"/>
  <c r="AM558" i="20" s="1"/>
  <c r="AM524" i="20"/>
  <c r="AM698" i="20"/>
  <c r="F840" i="20"/>
  <c r="AM840" i="20" s="1"/>
  <c r="F541" i="20"/>
  <c r="AM541" i="20" s="1"/>
  <c r="AM503" i="20"/>
  <c r="AK31" i="44"/>
  <c r="AM512" i="20"/>
  <c r="C125" i="44"/>
  <c r="AM501" i="20"/>
  <c r="AM635" i="20"/>
  <c r="F547" i="20"/>
  <c r="AM547" i="20" s="1"/>
  <c r="AM649" i="20"/>
  <c r="AM507" i="20"/>
  <c r="F854" i="20"/>
  <c r="AM854" i="20" s="1"/>
  <c r="F621" i="20"/>
  <c r="F767" i="20" s="1"/>
  <c r="F544" i="20"/>
  <c r="AM544" i="20" s="1"/>
  <c r="AM627" i="20"/>
  <c r="AM632" i="20"/>
  <c r="F529" i="20"/>
  <c r="AM529" i="20" s="1"/>
  <c r="F731" i="20"/>
  <c r="AM731" i="20" s="1"/>
  <c r="AM527" i="20"/>
  <c r="F530" i="20"/>
  <c r="F539" i="20"/>
  <c r="AM539" i="20" s="1"/>
  <c r="F561" i="20"/>
  <c r="F565" i="20" s="1"/>
  <c r="AM565" i="20" s="1"/>
  <c r="F795" i="20"/>
  <c r="AM795" i="20" s="1"/>
  <c r="F559" i="20"/>
  <c r="AM559" i="20" s="1"/>
  <c r="F554" i="20"/>
  <c r="AM554" i="20" s="1"/>
  <c r="F791" i="20"/>
  <c r="AM791" i="20" s="1"/>
  <c r="AM645" i="20"/>
  <c r="AM517" i="20"/>
  <c r="F551" i="20"/>
  <c r="AM551" i="20" s="1"/>
  <c r="F793" i="20"/>
  <c r="AM793" i="20" s="1"/>
  <c r="AM515" i="20"/>
  <c r="F549" i="20"/>
  <c r="AM549" i="20" s="1"/>
  <c r="AM523" i="20"/>
  <c r="F557" i="20"/>
  <c r="AM557" i="20" s="1"/>
  <c r="AM639" i="20"/>
  <c r="F785" i="20"/>
  <c r="AM785" i="20" s="1"/>
  <c r="AM647" i="20"/>
  <c r="F783" i="20"/>
  <c r="AM783" i="20" s="1"/>
  <c r="AM637" i="20"/>
  <c r="AK42" i="44"/>
  <c r="AM522" i="20"/>
  <c r="F556" i="20"/>
  <c r="AM556" i="20" s="1"/>
  <c r="AM521" i="20"/>
  <c r="F555" i="20"/>
  <c r="AM555" i="20" s="1"/>
  <c r="C65" i="44"/>
  <c r="C66" i="44" s="1"/>
  <c r="AK43" i="44"/>
  <c r="C44" i="44"/>
  <c r="C45" i="44" s="1"/>
  <c r="AM644" i="20"/>
  <c r="F790" i="20"/>
  <c r="AM790" i="20" s="1"/>
  <c r="AM519" i="20"/>
  <c r="F553" i="20"/>
  <c r="AM553" i="20" s="1"/>
  <c r="AM628" i="20"/>
  <c r="F774" i="20"/>
  <c r="AM774" i="20" s="1"/>
  <c r="AM622" i="20"/>
  <c r="F768" i="20"/>
  <c r="AM768" i="20" s="1"/>
  <c r="AM500" i="20"/>
  <c r="F534" i="20"/>
  <c r="AM534" i="20" s="1"/>
  <c r="AM648" i="20"/>
  <c r="F794" i="20"/>
  <c r="AM794" i="20" s="1"/>
  <c r="F538" i="20"/>
  <c r="AM538" i="20" s="1"/>
  <c r="AM504" i="20"/>
  <c r="AM878" i="20"/>
  <c r="AM633" i="20"/>
  <c r="F779" i="20"/>
  <c r="AM779" i="20" s="1"/>
  <c r="F650" i="20"/>
  <c r="F855" i="20"/>
  <c r="AM855" i="20" s="1"/>
  <c r="AM709" i="20"/>
  <c r="F542" i="20"/>
  <c r="AM542" i="20" s="1"/>
  <c r="AM508" i="20"/>
  <c r="AM636" i="20"/>
  <c r="F782" i="20"/>
  <c r="AM782" i="20" s="1"/>
  <c r="AM653" i="20"/>
  <c r="AM624" i="20"/>
  <c r="F770" i="20"/>
  <c r="AM770" i="20" s="1"/>
  <c r="AM630" i="20"/>
  <c r="F776" i="20"/>
  <c r="AM776" i="20" s="1"/>
  <c r="AM518" i="20"/>
  <c r="F552" i="20"/>
  <c r="AM552" i="20" s="1"/>
  <c r="F550" i="20"/>
  <c r="AM550" i="20" s="1"/>
  <c r="AM516" i="20"/>
  <c r="AM701" i="20"/>
  <c r="F847" i="20"/>
  <c r="AM847" i="20" s="1"/>
  <c r="F777" i="20"/>
  <c r="AM777" i="20" s="1"/>
  <c r="AM631" i="20"/>
  <c r="AM626" i="20"/>
  <c r="F772" i="20"/>
  <c r="AM772" i="20" s="1"/>
  <c r="AM643" i="20"/>
  <c r="F789" i="20"/>
  <c r="AM789" i="20" s="1"/>
  <c r="AM502" i="20"/>
  <c r="F536" i="20"/>
  <c r="AM536" i="20" s="1"/>
  <c r="F786" i="20"/>
  <c r="AM786" i="20" s="1"/>
  <c r="AM640" i="20"/>
  <c r="AM514" i="20"/>
  <c r="F548" i="20"/>
  <c r="AM548" i="20" s="1"/>
  <c r="AM700" i="20"/>
  <c r="F846" i="20"/>
  <c r="AM846" i="20" s="1"/>
  <c r="F540" i="20"/>
  <c r="AM540" i="20" s="1"/>
  <c r="AM506" i="20"/>
  <c r="AM526" i="20"/>
  <c r="F560" i="20"/>
  <c r="AM560" i="20" s="1"/>
  <c r="AM509" i="20"/>
  <c r="F543" i="20"/>
  <c r="AM543" i="20" s="1"/>
  <c r="AM511" i="20"/>
  <c r="F545" i="20"/>
  <c r="AM545" i="20" s="1"/>
  <c r="F849" i="20"/>
  <c r="AM849" i="20" s="1"/>
  <c r="AM703" i="20"/>
  <c r="F787" i="20"/>
  <c r="AM787" i="20" s="1"/>
  <c r="AM641" i="20"/>
  <c r="F842" i="20"/>
  <c r="AM842" i="20" s="1"/>
  <c r="AM696" i="20"/>
  <c r="AM638" i="20"/>
  <c r="F784" i="20"/>
  <c r="AM784" i="20" s="1"/>
  <c r="AM621" i="20" l="1"/>
  <c r="AK33" i="44"/>
  <c r="C106" i="44"/>
  <c r="AK106" i="44" s="1"/>
  <c r="F533" i="20"/>
  <c r="AM533" i="20" s="1"/>
  <c r="F799" i="20"/>
  <c r="AM799" i="20" s="1"/>
  <c r="AM561" i="20"/>
  <c r="AK146" i="44"/>
  <c r="C123" i="44"/>
  <c r="AK123" i="44" s="1"/>
  <c r="AM530" i="20"/>
  <c r="F877" i="20"/>
  <c r="AM767" i="20"/>
  <c r="AM650" i="20"/>
  <c r="F796" i="20"/>
  <c r="AM796" i="20" s="1"/>
  <c r="F562" i="20"/>
  <c r="AM562" i="20" s="1"/>
  <c r="AK44" i="44"/>
  <c r="AK45" i="44" s="1"/>
  <c r="AK47" i="44" s="1"/>
  <c r="AK65" i="44"/>
  <c r="AK66" i="44" s="1"/>
  <c r="F652" i="20"/>
  <c r="C108" i="44" s="1"/>
  <c r="AK125" i="44"/>
  <c r="C127" i="44"/>
  <c r="AK102" i="44" l="1"/>
  <c r="AK103" i="44"/>
  <c r="AK147" i="44"/>
  <c r="AK98" i="44"/>
  <c r="F882" i="20"/>
  <c r="AM882" i="20" s="1"/>
  <c r="C124" i="44"/>
  <c r="AK124" i="44" s="1"/>
  <c r="C136" i="44"/>
  <c r="AK136" i="44" s="1"/>
  <c r="AK101" i="44"/>
  <c r="F564" i="20"/>
  <c r="AM564" i="20" s="1"/>
  <c r="F798" i="20"/>
  <c r="AM798" i="20" s="1"/>
  <c r="AK127" i="44"/>
  <c r="AK128" i="44" s="1"/>
  <c r="AM652" i="20"/>
  <c r="AM877" i="20"/>
  <c r="C142" i="44" l="1"/>
  <c r="AK142" i="44" s="1"/>
  <c r="C131" i="44"/>
  <c r="AK131" i="44" s="1"/>
  <c r="C141" i="44"/>
  <c r="AK141" i="44" s="1"/>
  <c r="F881" i="20"/>
  <c r="AK108" i="44"/>
  <c r="C111" i="44"/>
  <c r="C112" i="44" s="1"/>
  <c r="C107" i="44"/>
  <c r="C133" i="44" l="1"/>
  <c r="AK107" i="44"/>
  <c r="AK111" i="44"/>
  <c r="AK112" i="44" s="1"/>
  <c r="AM881" i="20"/>
  <c r="C115" i="44"/>
  <c r="AK133" i="44" l="1"/>
  <c r="AK134" i="44" s="1"/>
  <c r="C118" i="44"/>
  <c r="C117" i="44"/>
  <c r="AK115" i="44"/>
  <c r="AK118" i="44" s="1"/>
  <c r="AK117" i="44" l="1"/>
  <c r="AK120" i="44" s="1"/>
  <c r="C120" i="44"/>
  <c r="C137" i="44"/>
  <c r="C138" i="44" s="1"/>
  <c r="AK137" i="44" l="1"/>
  <c r="AK138" i="44" s="1"/>
  <c r="AM26" i="20"/>
  <c r="C80" i="44"/>
  <c r="C149" i="44" s="1"/>
  <c r="AK80" i="44" l="1"/>
  <c r="C154" i="44" l="1"/>
  <c r="C163" i="44"/>
  <c r="AK149" i="44"/>
  <c r="AK153" i="44"/>
  <c r="AK148" i="44"/>
  <c r="AK163" i="44" l="1"/>
  <c r="C164" i="44"/>
</calcChain>
</file>

<file path=xl/comments1.xml><?xml version="1.0" encoding="utf-8"?>
<comments xmlns="http://schemas.openxmlformats.org/spreadsheetml/2006/main">
  <authors>
    <author>Author</author>
  </authors>
  <commentList>
    <comment ref="B32" authorId="0" shapeId="0">
      <text>
        <r>
          <rPr>
            <b/>
            <sz val="9"/>
            <color indexed="81"/>
            <rFont val="Tahoma"/>
            <family val="2"/>
          </rPr>
          <t>Author:</t>
        </r>
        <r>
          <rPr>
            <sz val="9"/>
            <color indexed="81"/>
            <rFont val="Tahoma"/>
            <family val="2"/>
          </rPr>
          <t xml:space="preserve">
Attention à voir s'il faut considérer qu'une part de la production de mauvaises contribue aussi à la fixation s'azote
</t>
        </r>
      </text>
    </comment>
  </commentList>
</comments>
</file>

<file path=xl/comments2.xml><?xml version="1.0" encoding="utf-8"?>
<comments xmlns="http://schemas.openxmlformats.org/spreadsheetml/2006/main">
  <authors>
    <author>Author</author>
  </authors>
  <commentList>
    <comment ref="AI3" authorId="0" shapeId="0">
      <text>
        <r>
          <rPr>
            <b/>
            <sz val="9"/>
            <color indexed="81"/>
            <rFont val="Tahoma"/>
            <family val="2"/>
          </rPr>
          <t>Author:</t>
        </r>
        <r>
          <rPr>
            <sz val="9"/>
            <color indexed="81"/>
            <rFont val="Tahoma"/>
            <family val="2"/>
          </rPr>
          <t xml:space="preserve">
Jepense qu'il y a une erreur dans AGRESTe avec cette région qui donne des valeur un peu farfelue, par défaut je la fais donc passer dans le groupe des PCI</t>
        </r>
      </text>
    </comment>
  </commentList>
</comments>
</file>

<file path=xl/sharedStrings.xml><?xml version="1.0" encoding="utf-8"?>
<sst xmlns="http://schemas.openxmlformats.org/spreadsheetml/2006/main" count="4524" uniqueCount="1129">
  <si>
    <r>
      <rPr>
        <b/>
        <sz val="12"/>
        <color rgb="FF0070C0"/>
        <rFont val="Arial"/>
        <family val="2"/>
      </rPr>
      <t xml:space="preserve">Primary data, </t>
    </r>
    <r>
      <rPr>
        <b/>
        <sz val="12"/>
        <color rgb="FFFF0000"/>
        <rFont val="Arial"/>
        <family val="2"/>
      </rPr>
      <t>parameters</t>
    </r>
    <r>
      <rPr>
        <b/>
        <sz val="12"/>
        <rFont val="Arial"/>
        <family val="2"/>
      </rPr>
      <t xml:space="preserve">, pre-treatments </t>
    </r>
  </si>
  <si>
    <t>Territory</t>
  </si>
  <si>
    <t>Ile de France</t>
  </si>
  <si>
    <t>Eure</t>
  </si>
  <si>
    <t>Eure-et-Loir</t>
  </si>
  <si>
    <t>Picardie</t>
  </si>
  <si>
    <t>Calvados-Orne</t>
  </si>
  <si>
    <t>Seine Maritime</t>
  </si>
  <si>
    <t>Manche</t>
  </si>
  <si>
    <t>Nord Pas de Calais</t>
  </si>
  <si>
    <t>Champ-Ard-Yonne</t>
  </si>
  <si>
    <t>Bourgogne</t>
  </si>
  <si>
    <t>Grande Lorraine</t>
  </si>
  <si>
    <t>Alsace</t>
  </si>
  <si>
    <t>Bretagne</t>
  </si>
  <si>
    <t>Vendée-Charente</t>
  </si>
  <si>
    <t>Loire aval</t>
  </si>
  <si>
    <t>Loire Centrale</t>
  </si>
  <si>
    <t>Loire Amont</t>
  </si>
  <si>
    <t>Grand Jura</t>
  </si>
  <si>
    <t>Savoie</t>
  </si>
  <si>
    <t>Ain-Rhône</t>
  </si>
  <si>
    <t>Alpes</t>
  </si>
  <si>
    <t>Isère-Drôme Ardèche</t>
  </si>
  <si>
    <t>Aveyron-Lozère</t>
  </si>
  <si>
    <t>Garonne</t>
  </si>
  <si>
    <t>Gironde</t>
  </si>
  <si>
    <t>Pyrénées occid</t>
  </si>
  <si>
    <t>Landes</t>
  </si>
  <si>
    <t>Dor-Lot</t>
  </si>
  <si>
    <t>Cantal-Corrèze</t>
  </si>
  <si>
    <t>Grand Marseille</t>
  </si>
  <si>
    <t>Côte d'Azur</t>
  </si>
  <si>
    <t>Gard-Hérault</t>
  </si>
  <si>
    <t>Pyrénées Orient</t>
  </si>
  <si>
    <t>Unit</t>
  </si>
  <si>
    <t>Source</t>
  </si>
  <si>
    <t>Population and its social characteristics</t>
  </si>
  <si>
    <t>Population</t>
  </si>
  <si>
    <t>Minhab</t>
  </si>
  <si>
    <t>Total per capita protein ingestion</t>
  </si>
  <si>
    <t>kgN/cap/an</t>
  </si>
  <si>
    <t>Vegetal per capita protein ingestion</t>
  </si>
  <si>
    <t>Edible animal per capita protein ingestion (excl fish)</t>
  </si>
  <si>
    <t>Total per capita C ingestion</t>
  </si>
  <si>
    <t>kgC/cap/an</t>
  </si>
  <si>
    <t>Vegetal per capita C ingestion</t>
  </si>
  <si>
    <t>Edible animal per capita C ingestion (excl fish)</t>
  </si>
  <si>
    <t>Fertilization and Erosion</t>
  </si>
  <si>
    <t>Surfaces</t>
  </si>
  <si>
    <t>total utilized agricultural area (UAA)</t>
  </si>
  <si>
    <t>ha</t>
  </si>
  <si>
    <t>Permanent Grassland area</t>
  </si>
  <si>
    <t>Arable land</t>
  </si>
  <si>
    <t>Temporary Grassland area</t>
  </si>
  <si>
    <t>Synthetic fertilization</t>
  </si>
  <si>
    <t>Synth N fertilizer application to cropland</t>
  </si>
  <si>
    <t>kgN/ha/yr</t>
  </si>
  <si>
    <t>Synth P fertilizer application to cropland</t>
  </si>
  <si>
    <t>ktP/yr</t>
  </si>
  <si>
    <t>Synth N fertilizer application to grassland</t>
  </si>
  <si>
    <t>Synth P fertilizer application to grassland</t>
  </si>
  <si>
    <t>Volatilisation loss of synth fertilizer</t>
  </si>
  <si>
    <t>%</t>
  </si>
  <si>
    <t>Symbiotic and non symbiotic N fertilization</t>
  </si>
  <si>
    <t>N2 fixing arable</t>
  </si>
  <si>
    <t>ktonN/yr</t>
  </si>
  <si>
    <t>N2 fixing grassland</t>
  </si>
  <si>
    <t>N fixation coef grain for cropland</t>
  </si>
  <si>
    <t>kgN/kgN/yr</t>
  </si>
  <si>
    <t>Anglade et al. (2015)</t>
  </si>
  <si>
    <t>N fixation coef fodder for cropland</t>
  </si>
  <si>
    <t>N fixation coef for perm grassland</t>
  </si>
  <si>
    <t>Assuming 25% of grassland are forage legumes</t>
  </si>
  <si>
    <t>Wet deposition (N&amp;P)</t>
  </si>
  <si>
    <t xml:space="preserve">N atmosph deposition </t>
  </si>
  <si>
    <t>N atmosph deposition on arable land</t>
  </si>
  <si>
    <t>ktN/yr</t>
  </si>
  <si>
    <t>N atmosph deposition on permanent grassland</t>
  </si>
  <si>
    <t>Sludges</t>
  </si>
  <si>
    <t>N Sludges to cropland</t>
  </si>
  <si>
    <t>MEEM</t>
  </si>
  <si>
    <t>C Sludges to cropland</t>
  </si>
  <si>
    <t>ktC/yr</t>
  </si>
  <si>
    <t>Seeds</t>
  </si>
  <si>
    <t>Ratio of N in seed to N in production</t>
  </si>
  <si>
    <t>Wheat</t>
  </si>
  <si>
    <t>kt seeds/kt veg production</t>
  </si>
  <si>
    <t>Rye</t>
  </si>
  <si>
    <t>Barley</t>
  </si>
  <si>
    <t>Oat</t>
  </si>
  <si>
    <t>Grain maize</t>
  </si>
  <si>
    <t>Rice</t>
  </si>
  <si>
    <t>Other cereals</t>
  </si>
  <si>
    <t>Straw</t>
  </si>
  <si>
    <t>Rapeseed</t>
  </si>
  <si>
    <t>Sunflower</t>
  </si>
  <si>
    <t>Soybean</t>
  </si>
  <si>
    <t>Other oil crops</t>
  </si>
  <si>
    <t>Horse beans and faba beans</t>
  </si>
  <si>
    <t>Peas</t>
  </si>
  <si>
    <t>Other protein crops</t>
  </si>
  <si>
    <t>Sugar beet</t>
  </si>
  <si>
    <t>Potatoes</t>
  </si>
  <si>
    <t>Other roots</t>
  </si>
  <si>
    <t>Green peas</t>
  </si>
  <si>
    <t>Dry beans</t>
  </si>
  <si>
    <t>Green beans</t>
  </si>
  <si>
    <t>Dry vegetables</t>
  </si>
  <si>
    <t>Dry fruits</t>
  </si>
  <si>
    <t>Squash and melons</t>
  </si>
  <si>
    <t>Cabbage</t>
  </si>
  <si>
    <t>Leaves vegetables</t>
  </si>
  <si>
    <t>Fruits</t>
  </si>
  <si>
    <t>Olives</t>
  </si>
  <si>
    <t>Citrus</t>
  </si>
  <si>
    <t>Hemp</t>
  </si>
  <si>
    <t>Flax</t>
  </si>
  <si>
    <t>Forage maize</t>
  </si>
  <si>
    <t>Forage cabbages</t>
  </si>
  <si>
    <t>Alfalfa and clover</t>
  </si>
  <si>
    <t>N inputs through seeds</t>
  </si>
  <si>
    <t>Total N inputs through seeds to cropland</t>
  </si>
  <si>
    <t xml:space="preserve">Vegetal production </t>
  </si>
  <si>
    <t>Crop and grassland Production</t>
  </si>
  <si>
    <t>ktonDFW/yr</t>
  </si>
  <si>
    <t>Forage cabbages &amp; roots</t>
  </si>
  <si>
    <t>Non-legume temporary meadow</t>
  </si>
  <si>
    <t xml:space="preserve">Natural meadow </t>
  </si>
  <si>
    <t>Weed prod per unit of Wheat</t>
  </si>
  <si>
    <t>Interpolation from a compilation of studies on weed production in organic farming systems</t>
  </si>
  <si>
    <t>Weed prod per unit of Rye</t>
  </si>
  <si>
    <t>Weed prod per unit of Barley</t>
  </si>
  <si>
    <t>Weed prod per unit of Oat</t>
  </si>
  <si>
    <t>Weed prod per unit of Grain maize</t>
  </si>
  <si>
    <t>Weed prod per unit of Rice</t>
  </si>
  <si>
    <t>Weed prod per unit of Other cereals</t>
  </si>
  <si>
    <t>Weed prod per unit of Straw</t>
  </si>
  <si>
    <t>Weed prod per unit of Rapeseed</t>
  </si>
  <si>
    <t>Weed prod per unit of Sunflower</t>
  </si>
  <si>
    <t>Weed prod per unit of Soybean</t>
  </si>
  <si>
    <t>Weed prod per unit of Other oil crops</t>
  </si>
  <si>
    <t>Weed prod per unit of Horse beans and faba beans</t>
  </si>
  <si>
    <t>Weed prod per unit of Peas</t>
  </si>
  <si>
    <t>Weed prod per unit of Other protein crops</t>
  </si>
  <si>
    <t>Weed prod per unit of Sugar beet</t>
  </si>
  <si>
    <t>Weed prod per unit of Potatoes</t>
  </si>
  <si>
    <t>Weed prod per unit of Other roots</t>
  </si>
  <si>
    <t>Weed prod per unit of Green peas</t>
  </si>
  <si>
    <t>Weed prod per unit of Dry beans</t>
  </si>
  <si>
    <t>Weed prod per unit of Green beans</t>
  </si>
  <si>
    <t>Weed prod per unit of Dry vegetables</t>
  </si>
  <si>
    <t>Weed prod per unit of Dry fruits</t>
  </si>
  <si>
    <t>Weed prod per unit of Squash and melons</t>
  </si>
  <si>
    <t>Weed prod per unit of Cabbage</t>
  </si>
  <si>
    <t>Weed prod per unit of Leaves vegetables</t>
  </si>
  <si>
    <t>Weed prod per unit of Fruits</t>
  </si>
  <si>
    <t>Weed prod per unit of Olives</t>
  </si>
  <si>
    <t>Weed prod per unit of Citrus</t>
  </si>
  <si>
    <t>Weed prod per unit of Hemp</t>
  </si>
  <si>
    <t>Weed prod per unit of Flax</t>
  </si>
  <si>
    <t>Weed prod per unit of Forage maize</t>
  </si>
  <si>
    <t>Weed prod per unit of Forage cabbages</t>
  </si>
  <si>
    <t>Weed prod per unit of Alfalfa and clover</t>
  </si>
  <si>
    <t>Weed prod per unit of Non-legume temporary meadow</t>
  </si>
  <si>
    <t xml:space="preserve">Weed prod per unit of Natural meadow </t>
  </si>
  <si>
    <t>N content in vegetal production</t>
  </si>
  <si>
    <t>kgN/100kgDFW</t>
  </si>
  <si>
    <t>Lassaletta et al. 2014, Suppl Mat, compiling FAO data</t>
  </si>
  <si>
    <t>N production</t>
  </si>
  <si>
    <t>total crop production N</t>
  </si>
  <si>
    <t>legume grain prod N</t>
  </si>
  <si>
    <t>legume fodder prod N</t>
  </si>
  <si>
    <t>perm grassland prod N</t>
  </si>
  <si>
    <t>Weed</t>
  </si>
  <si>
    <t>Harvested wheat</t>
  </si>
  <si>
    <t>ktonC/yr</t>
  </si>
  <si>
    <t>Harvested rye</t>
  </si>
  <si>
    <t>Harvested barley</t>
  </si>
  <si>
    <t>Harvested oat</t>
  </si>
  <si>
    <t>Harvested grain maize</t>
  </si>
  <si>
    <t>Harvested rice</t>
  </si>
  <si>
    <t>Harvested other cereals</t>
  </si>
  <si>
    <t>Harvested straw</t>
  </si>
  <si>
    <t>Harvested rapeseed</t>
  </si>
  <si>
    <t>Harvested sunflower</t>
  </si>
  <si>
    <t>Harvested soybean</t>
  </si>
  <si>
    <t>Harvested other oil crops</t>
  </si>
  <si>
    <t>Harvested horse beans and faba beans</t>
  </si>
  <si>
    <t>Harvested peas</t>
  </si>
  <si>
    <t>Harvested other protein crops</t>
  </si>
  <si>
    <t>Harvested sugar beet</t>
  </si>
  <si>
    <t>Harvested potatoes</t>
  </si>
  <si>
    <t>Harvested other roots</t>
  </si>
  <si>
    <t>Harvested green peas</t>
  </si>
  <si>
    <t>Harvested dry beans</t>
  </si>
  <si>
    <t>Harvested green beans</t>
  </si>
  <si>
    <t>Harvested dry vegetables</t>
  </si>
  <si>
    <t>Harvested dry fruits</t>
  </si>
  <si>
    <t>Harvested squash and melons</t>
  </si>
  <si>
    <t>Harvested cabbage</t>
  </si>
  <si>
    <t>Harvested leaves vegetables</t>
  </si>
  <si>
    <t>Harvested fruits</t>
  </si>
  <si>
    <t>Harvested olives</t>
  </si>
  <si>
    <t>Harvested citrus</t>
  </si>
  <si>
    <t>Harvested hemp</t>
  </si>
  <si>
    <t>Harvested flax</t>
  </si>
  <si>
    <t>Harvested forage maize</t>
  </si>
  <si>
    <t>Harvested cabbages</t>
  </si>
  <si>
    <t>Harvested alfalfa and clover</t>
  </si>
  <si>
    <t>Harvested non-legume temporary meadow</t>
  </si>
  <si>
    <t xml:space="preserve">Harvested natural meadow </t>
  </si>
  <si>
    <t>Total harvested crop prod</t>
  </si>
  <si>
    <t>Permanent grassland prod</t>
  </si>
  <si>
    <t xml:space="preserve">Harvest Index </t>
  </si>
  <si>
    <t>Harvested Index wheat</t>
  </si>
  <si>
    <t>sd</t>
  </si>
  <si>
    <t>Harvested Index rye</t>
  </si>
  <si>
    <t>Harvested Index barley</t>
  </si>
  <si>
    <t>Harvested Index oat</t>
  </si>
  <si>
    <t>Harvested Index grain maize</t>
  </si>
  <si>
    <t>Harvested Index rice</t>
  </si>
  <si>
    <t>Harvested Index other cereals</t>
  </si>
  <si>
    <t>Harvested Index rapeseed</t>
  </si>
  <si>
    <t>Harvested Index sunflower</t>
  </si>
  <si>
    <t>Harvested Index soybean</t>
  </si>
  <si>
    <t>Harvested Index other oil crops</t>
  </si>
  <si>
    <t>Harvested Index horse beans and faba beans</t>
  </si>
  <si>
    <t>Harvested Index peas</t>
  </si>
  <si>
    <t>Harvested Index other protein crops</t>
  </si>
  <si>
    <t>Harvested Index sugar beet</t>
  </si>
  <si>
    <t>Harvested Index potatoes</t>
  </si>
  <si>
    <t>Harvested Index other roots</t>
  </si>
  <si>
    <t>Harvested Index green peas</t>
  </si>
  <si>
    <t>Harvested Index dry beans</t>
  </si>
  <si>
    <t>Harvested Index green beans</t>
  </si>
  <si>
    <t>Harvested Index dry vegetables</t>
  </si>
  <si>
    <t>Harvested Index dry fruits</t>
  </si>
  <si>
    <t>Harvested Index squash and melons</t>
  </si>
  <si>
    <t>Harvested Index cabbage</t>
  </si>
  <si>
    <t>Harvested Index leaves vegetables</t>
  </si>
  <si>
    <t>Harvested Index fruits</t>
  </si>
  <si>
    <t>Harvested Index  olives</t>
  </si>
  <si>
    <t>Harvested Index citrus</t>
  </si>
  <si>
    <t>Harvested Index hemp</t>
  </si>
  <si>
    <t>Harvested Index flax</t>
  </si>
  <si>
    <t>Harvested Index forage maize</t>
  </si>
  <si>
    <t>Harvested Index forage cabbages</t>
  </si>
  <si>
    <t>Harvested Index alfalfa and clover</t>
  </si>
  <si>
    <t>Harvested Index non-legume temporary meadow</t>
  </si>
  <si>
    <t xml:space="preserve">Harvested Index natural meadow </t>
  </si>
  <si>
    <t>Above ground residue inputs</t>
  </si>
  <si>
    <t>Above ground residue inputs from cereals (excluding harvested straw)</t>
  </si>
  <si>
    <t>Above ground residue inputs from Rrapeseed</t>
  </si>
  <si>
    <t>Above ground residue inputs from sunflower</t>
  </si>
  <si>
    <t>Above ground residue inputs from soybean</t>
  </si>
  <si>
    <t>Above ground residue inputs from other oil crops</t>
  </si>
  <si>
    <t>Above ground residue inputs from horse beans and faba beans</t>
  </si>
  <si>
    <t>Above ground residue inputs from peas</t>
  </si>
  <si>
    <t>Above ground residue inputs from other protein crops</t>
  </si>
  <si>
    <t>Above ground residue inputs from sugar beet</t>
  </si>
  <si>
    <t>Above ground residue inputs from potatoes</t>
  </si>
  <si>
    <t>Above ground residue inputs from other roots</t>
  </si>
  <si>
    <t>Above ground residue inputs from green peas</t>
  </si>
  <si>
    <t>Above ground residue inputs from dry beans</t>
  </si>
  <si>
    <t>Above ground residue inputs from green beans</t>
  </si>
  <si>
    <t>Above ground residue inputs from dry vegetables</t>
  </si>
  <si>
    <t>Above ground residue inputs from dry fruits</t>
  </si>
  <si>
    <t>Above ground residue inputs from squash and melons</t>
  </si>
  <si>
    <t>Above ground residue inputs from cabbage</t>
  </si>
  <si>
    <t>Above ground residue inputs from leaves vegetables</t>
  </si>
  <si>
    <t>Above ground residue inputs from fruits</t>
  </si>
  <si>
    <t>Above ground residue inputs from olives</t>
  </si>
  <si>
    <t>Above ground residue inputs from citrus</t>
  </si>
  <si>
    <t>Above ground residue inputs from hemp</t>
  </si>
  <si>
    <t>Above ground residue inputs from flax</t>
  </si>
  <si>
    <t>Above ground residue inputs from forage maize</t>
  </si>
  <si>
    <t>Above ground residue inputs from forage cabbages</t>
  </si>
  <si>
    <t>Above ground residue inputs from alfalfa and clover</t>
  </si>
  <si>
    <t>Above ground residue inputs from non-legume temporary meadow</t>
  </si>
  <si>
    <t xml:space="preserve">Above ground residue inputs from natural meadow </t>
  </si>
  <si>
    <t>Above ground residue inputs from weeds</t>
  </si>
  <si>
    <t>Total above ground residue inputs to arable land</t>
  </si>
  <si>
    <t>Total above ground residue inputs to permanent grassland</t>
  </si>
  <si>
    <t>Root shoot ratio alfalfa and clover</t>
  </si>
  <si>
    <t>Root residue inputs</t>
  </si>
  <si>
    <t>Root residue inputs from wheat</t>
  </si>
  <si>
    <t>Root residue inputs from rye</t>
  </si>
  <si>
    <t>Root residue inputs from barley</t>
  </si>
  <si>
    <t>Root residue inputs from oat</t>
  </si>
  <si>
    <t>Root residue inputs from grain maize</t>
  </si>
  <si>
    <t>Root residue inputs from rice</t>
  </si>
  <si>
    <t>Root residue inputs from other cereals</t>
  </si>
  <si>
    <t>Root residue inputs from Rrapeseed</t>
  </si>
  <si>
    <t>Root residue inputs from sunflower</t>
  </si>
  <si>
    <t>Root residue inputs from soybean</t>
  </si>
  <si>
    <t>Root residue inputs from other oil crops</t>
  </si>
  <si>
    <t>Root residue inputs from horse beans and faba beans</t>
  </si>
  <si>
    <t>Root residue inputs from peas</t>
  </si>
  <si>
    <t>Root residue inputs from other protein crops</t>
  </si>
  <si>
    <t>Root residue inputs from sugar beet</t>
  </si>
  <si>
    <t>Root residue inputs from potatoes</t>
  </si>
  <si>
    <t>Root residue inputs from other roots</t>
  </si>
  <si>
    <t>Root residue inputs from green peas</t>
  </si>
  <si>
    <t>Root residue inputs from dry beans</t>
  </si>
  <si>
    <t>Root residue inputs from green beans</t>
  </si>
  <si>
    <t>Root residue inputs from dry vegetables</t>
  </si>
  <si>
    <t>Root residue inputs from dry fruits</t>
  </si>
  <si>
    <t>Root residue inputs from squash and melons</t>
  </si>
  <si>
    <t>Root residue inputs from cabbage</t>
  </si>
  <si>
    <t>Root residue inputs from leaves vegetables</t>
  </si>
  <si>
    <t>Root residue inputs from fruits</t>
  </si>
  <si>
    <t>Root residue inputs from olives</t>
  </si>
  <si>
    <t>Root residue inputs from citrus</t>
  </si>
  <si>
    <t>Root residue inputs from hemp</t>
  </si>
  <si>
    <t>Root residue inputs from flax</t>
  </si>
  <si>
    <t>Root residue inputs from forage maize</t>
  </si>
  <si>
    <t>Root residue inputs from forage cabbages</t>
  </si>
  <si>
    <t>Root residue inputs from alfalfa and clover</t>
  </si>
  <si>
    <t>Root residue inputs from non-legume temporary meadow</t>
  </si>
  <si>
    <t xml:space="preserve">Root residue inputs from natural meadow </t>
  </si>
  <si>
    <t>Total root residue inputs to arable land</t>
  </si>
  <si>
    <t>Total root residue inputs to Parmanent grassland</t>
  </si>
  <si>
    <t>Humification coeff for above-ground part (efficient fraction remaining after 1 yr)</t>
  </si>
  <si>
    <t>Cereals</t>
  </si>
  <si>
    <t>Efficient inputs from above ground</t>
  </si>
  <si>
    <t>Total efficient inputs from above ground residue to cropland</t>
  </si>
  <si>
    <t>Total efficient inputs from above ground residue to permanent grassland</t>
  </si>
  <si>
    <t>Humification coeff for below-ground part (efficient fraction remaining after 1 yr)</t>
  </si>
  <si>
    <t>Efficient inputs from below ground</t>
  </si>
  <si>
    <t>Total efficient inputs from below-ground residue to arable land</t>
  </si>
  <si>
    <t>Total efficient inputs from below-ground residue to permanent grassland</t>
  </si>
  <si>
    <t xml:space="preserve">Total efficient inputs </t>
  </si>
  <si>
    <t xml:space="preserve">Total efficient inputs to arable land </t>
  </si>
  <si>
    <t xml:space="preserve">Total efficient inputs to permanent grassland </t>
  </si>
  <si>
    <t>Feed importation from other regions or country</t>
  </si>
  <si>
    <t>N in imported feed</t>
  </si>
  <si>
    <t>C/N imported feed</t>
  </si>
  <si>
    <t>gC/gN</t>
  </si>
  <si>
    <t>Taken as soja C/N</t>
  </si>
  <si>
    <t>Animal production and excretion</t>
  </si>
  <si>
    <t xml:space="preserve">Animal production </t>
  </si>
  <si>
    <t>bovines</t>
  </si>
  <si>
    <t>kton carcass/yr</t>
  </si>
  <si>
    <t>ovines</t>
  </si>
  <si>
    <t>caprines</t>
  </si>
  <si>
    <t>porcines</t>
  </si>
  <si>
    <t>poultry</t>
  </si>
  <si>
    <t>equine</t>
  </si>
  <si>
    <t>eggs</t>
  </si>
  <si>
    <t>kton/yr</t>
  </si>
  <si>
    <t>cow milk</t>
  </si>
  <si>
    <t>sheep and goat milk</t>
  </si>
  <si>
    <t>%N in each organ</t>
  </si>
  <si>
    <t>edible fraction</t>
  </si>
  <si>
    <t>%N in boneless bovine meat</t>
  </si>
  <si>
    <t>from USDA</t>
  </si>
  <si>
    <t>% N in bovine bones</t>
  </si>
  <si>
    <t>Mello et al. 1978</t>
  </si>
  <si>
    <t>%N in edible bovine grease</t>
  </si>
  <si>
    <t>non edible fraction</t>
  </si>
  <si>
    <t>%N in bovine skin</t>
  </si>
  <si>
    <t>%N  bovine blood</t>
  </si>
  <si>
    <t>%N bovine casing</t>
  </si>
  <si>
    <t>%N bovine head and feet</t>
  </si>
  <si>
    <t>%N bovine offals</t>
  </si>
  <si>
    <t>%N bovine unedible grease</t>
  </si>
  <si>
    <t>%N in boneless ovine meat</t>
  </si>
  <si>
    <t>% N in ovine bones</t>
  </si>
  <si>
    <t>%N in edible ovine grease</t>
  </si>
  <si>
    <t>%N in ovine skin</t>
  </si>
  <si>
    <t>%N  ovine blood</t>
  </si>
  <si>
    <t>%N ovine casing</t>
  </si>
  <si>
    <t>%N ovine head and feet</t>
  </si>
  <si>
    <t>%N ovine offals</t>
  </si>
  <si>
    <t>%N ovine unedible grease</t>
  </si>
  <si>
    <t>%N in boneless porcine meat</t>
  </si>
  <si>
    <t>% N in porcine bones</t>
  </si>
  <si>
    <t>%N in edible porcine grease</t>
  </si>
  <si>
    <t>%N in porcine skin</t>
  </si>
  <si>
    <t>%N  porcine blood</t>
  </si>
  <si>
    <t>%N porcine casing</t>
  </si>
  <si>
    <t>%N porcine head and feet</t>
  </si>
  <si>
    <t>%N porcine offals</t>
  </si>
  <si>
    <t>%N porcine unedible grease</t>
  </si>
  <si>
    <t>%N in boneless poultry meat</t>
  </si>
  <si>
    <t>% N in poultry bones</t>
  </si>
  <si>
    <t>%N in edible poultry grease</t>
  </si>
  <si>
    <t>%N in poultry feathers</t>
  </si>
  <si>
    <t>%N  poultry blood</t>
  </si>
  <si>
    <t>%N poultry casing</t>
  </si>
  <si>
    <t>%N poultry head and feet</t>
  </si>
  <si>
    <t>%N poultry offals</t>
  </si>
  <si>
    <t>%N poultry unedible grease</t>
  </si>
  <si>
    <t>%N eggs</t>
  </si>
  <si>
    <t>%N cow milk</t>
  </si>
  <si>
    <t>%N sheep and goat milk</t>
  </si>
  <si>
    <t>%N in boneless equine meat</t>
  </si>
  <si>
    <t>taken as bovine</t>
  </si>
  <si>
    <t>% N in equine bones</t>
  </si>
  <si>
    <t>%N in edible equine grease</t>
  </si>
  <si>
    <t>%N in equine feathers</t>
  </si>
  <si>
    <t>%N  equine* blood</t>
  </si>
  <si>
    <t>%N equinecasing</t>
  </si>
  <si>
    <t>%N equine head and feet</t>
  </si>
  <si>
    <t>%N equine offals</t>
  </si>
  <si>
    <t>%N equine unedible grease</t>
  </si>
  <si>
    <t>% carcass weight</t>
  </si>
  <si>
    <t>% boneless meat in bovine carcass weight</t>
  </si>
  <si>
    <t>Benhalima et al. 2015; CIQUAL</t>
  </si>
  <si>
    <t>% bones in bovine carcass weight</t>
  </si>
  <si>
    <t>% edible grease in bovine carcass weight</t>
  </si>
  <si>
    <t>% skin in bovine carcass weight</t>
  </si>
  <si>
    <t>% blood in bovine carcass weight</t>
  </si>
  <si>
    <t>% casing in bovine carcass weight</t>
  </si>
  <si>
    <t xml:space="preserve">% head and feet in bovine carcass weight </t>
  </si>
  <si>
    <t>% offals in bovine carcass weight</t>
  </si>
  <si>
    <t>% unedible grease in bovine carcass weight</t>
  </si>
  <si>
    <t>%N edible in bovine carcass weight</t>
  </si>
  <si>
    <t>%N non edible in bovine carcass weight</t>
  </si>
  <si>
    <t>% boneless meat in ovine carcass weight</t>
  </si>
  <si>
    <t>% bones in ovine carcass weight</t>
  </si>
  <si>
    <t>% edible grease in ovine carcass weight</t>
  </si>
  <si>
    <t>% skin in ovine carcass weight</t>
  </si>
  <si>
    <t>% blood in ovine carcass weight</t>
  </si>
  <si>
    <t>% casing in ovine carcass weight</t>
  </si>
  <si>
    <t xml:space="preserve">% head and feet in ovine carcass weight </t>
  </si>
  <si>
    <t>% offals in ovine carcass weight</t>
  </si>
  <si>
    <t>% unedible grease in ovine carcass weight</t>
  </si>
  <si>
    <t>%N edible in ovine carcass weight</t>
  </si>
  <si>
    <t>%N non edible in ovine carcass weight</t>
  </si>
  <si>
    <t>% boneless meat in porcine carcass weight</t>
  </si>
  <si>
    <t>% bones in porcine carcass weight</t>
  </si>
  <si>
    <t>% edible grease in porcine carcass weight</t>
  </si>
  <si>
    <t>% skin in porcine carcass weight</t>
  </si>
  <si>
    <t>% blood in porcine carcass weight</t>
  </si>
  <si>
    <t>% casing in porcine carcass weight</t>
  </si>
  <si>
    <t xml:space="preserve">% head and feet in porcine carcass weight </t>
  </si>
  <si>
    <t>% offals in porcine carcass weight</t>
  </si>
  <si>
    <t>% unedible grease in porcine carcass weight</t>
  </si>
  <si>
    <t>%N edible in porcine carcass weight</t>
  </si>
  <si>
    <t>%N non edible in porcine carcass weight</t>
  </si>
  <si>
    <t>% boneless meat in poultry carcass weight</t>
  </si>
  <si>
    <t>% bones in poultry carcass weight</t>
  </si>
  <si>
    <t>% edible grease in poultry carcass weight</t>
  </si>
  <si>
    <t>% skin in poultry carcass weight</t>
  </si>
  <si>
    <t>% blood in poultry carcass weight</t>
  </si>
  <si>
    <t>% casing in poultry carcass weight</t>
  </si>
  <si>
    <t xml:space="preserve">% head and feet in poultry carcass weight </t>
  </si>
  <si>
    <t>% offals in poultry carcass weight</t>
  </si>
  <si>
    <t>% unedible grease in poultry carcass weight</t>
  </si>
  <si>
    <t>%N edible in poultry carcass weight</t>
  </si>
  <si>
    <t>%N non edible in poultry carcass weight</t>
  </si>
  <si>
    <t>% boneless meat in equine carcass weight</t>
  </si>
  <si>
    <t>% bones in equine carcass weight</t>
  </si>
  <si>
    <t>% edible grease in equine carcass weight</t>
  </si>
  <si>
    <t>% skin in equine carcass weight</t>
  </si>
  <si>
    <t>% blood in equine carcass weight</t>
  </si>
  <si>
    <t>% casing in equine carcass weight</t>
  </si>
  <si>
    <t xml:space="preserve">% head and feet in equine carcass weight </t>
  </si>
  <si>
    <t>% offals in equine carcass weight</t>
  </si>
  <si>
    <t>% unedible grease in equine carcass weight</t>
  </si>
  <si>
    <t>%N edible in equine carcass weight</t>
  </si>
  <si>
    <t>%N non edible in equine carcass weight</t>
  </si>
  <si>
    <t xml:space="preserve">edible animal N production </t>
  </si>
  <si>
    <t xml:space="preserve">Dairy products </t>
  </si>
  <si>
    <t xml:space="preserve">non edible animal N production </t>
  </si>
  <si>
    <t xml:space="preserve">total edible animal N production (dairy products + meat) </t>
  </si>
  <si>
    <t xml:space="preserve">total animal N production </t>
  </si>
  <si>
    <t>Livestock numbers</t>
  </si>
  <si>
    <t>Milking cows</t>
  </si>
  <si>
    <t>heads</t>
  </si>
  <si>
    <t>Suckler cows</t>
  </si>
  <si>
    <t>Heifer for milking herd renewal over 2 yrs old</t>
  </si>
  <si>
    <t>Heifer for suckler cows renewal over 2 yrs old</t>
  </si>
  <si>
    <t>Heifer for slaughter over 2 yrs old</t>
  </si>
  <si>
    <t>Males of milking type over 2 yrs old</t>
  </si>
  <si>
    <t>Males of butcher type over 2 yrs old</t>
  </si>
  <si>
    <t>Heifer for milking herd renewal between 1 and 2 yrs old</t>
  </si>
  <si>
    <t>Heifer for suckler cows renewal between 1 and 2 yrs old</t>
  </si>
  <si>
    <t>Heifer for slaughter between 1 and 2 yrs old</t>
  </si>
  <si>
    <t>Males of milking type between 1 and 2 yrs old</t>
  </si>
  <si>
    <t>Males of butcher type between 1 and 2 yrs old</t>
  </si>
  <si>
    <t>Veal calves</t>
  </si>
  <si>
    <t>Other females under 1 yr</t>
  </si>
  <si>
    <t>Other males under 1 yr</t>
  </si>
  <si>
    <t>kid goats</t>
  </si>
  <si>
    <t>female goats</t>
  </si>
  <si>
    <t>Other caprines (including male goats)</t>
  </si>
  <si>
    <t>ewe lambs</t>
  </si>
  <si>
    <t>Sheep</t>
  </si>
  <si>
    <t>other ovines (incl. rams)</t>
  </si>
  <si>
    <t>piglets</t>
  </si>
  <si>
    <t>young pigs between 20 and 50 kg</t>
  </si>
  <si>
    <t>Sows over 50 kg</t>
  </si>
  <si>
    <t xml:space="preserve">Boars over 50 kg </t>
  </si>
  <si>
    <t xml:space="preserve">fattening pigs over 50 kg </t>
  </si>
  <si>
    <t>Laying hens for hatching eggs</t>
  </si>
  <si>
    <t>Laying hens for consumption eggs</t>
  </si>
  <si>
    <t>young hens</t>
  </si>
  <si>
    <t>chickens</t>
  </si>
  <si>
    <t>Duck for 'foie gras'</t>
  </si>
  <si>
    <t>Ducks for roasting</t>
  </si>
  <si>
    <t>Turkeys</t>
  </si>
  <si>
    <t>Gooses</t>
  </si>
  <si>
    <t>Guinea fowls</t>
  </si>
  <si>
    <t>quails</t>
  </si>
  <si>
    <t>mother rabbits</t>
  </si>
  <si>
    <t xml:space="preserve">horses </t>
  </si>
  <si>
    <t>donkeys etc</t>
  </si>
  <si>
    <t xml:space="preserve">kgN excreted per head </t>
  </si>
  <si>
    <t>kgN/head</t>
  </si>
  <si>
    <t>interpolation and compilation of various sources, including CORPEN 1999; MEEM 2010; CITEPA 2013</t>
  </si>
  <si>
    <t>interpolation and compilation of various sources, including CORPEN 1999; MEEM 2010; CITEPA 2014</t>
  </si>
  <si>
    <t>interpolation and compilation of various sources, including CORPEN 1999; MEEM 2010; CITEPA 2015</t>
  </si>
  <si>
    <t>interpolation and compilation of various sources, including CORPEN 1999; MEEM 2010; CITEPA 2016</t>
  </si>
  <si>
    <t>interpolation and compilation of various sources, including CORPEN 1999; MEEM 2010; CITEPA 2017</t>
  </si>
  <si>
    <t>interpolation and compilation of various sources, including CORPEN 1999; MEEM 2010; CITEPA 2018</t>
  </si>
  <si>
    <t>interpolation and compilation of various sources, including CORPEN 1999; MEEM 2010; CITEPA 2019</t>
  </si>
  <si>
    <t>interpolation and compilation of various sources, including CORPEN 1999; MEEM 2010; CITEPA 2020</t>
  </si>
  <si>
    <t>interpolation and compilation of various sources, including CORPEN 1999; MEEM 2010; CITEPA 2021</t>
  </si>
  <si>
    <t>interpolation and compilation of various sources, including CORPEN 1999; MEEM 2010; CITEPA 2022</t>
  </si>
  <si>
    <t>interpolation and compilation of various sources, including CORPEN 1999; MEEM 2010; CITEPA 2023</t>
  </si>
  <si>
    <t>interpolation and compilation of various sources, including CORPEN 1999; MEEM 2010; CITEPA 2024</t>
  </si>
  <si>
    <t>interpolation and compilation of various sources, including CORPEN 1999; MEEM 2010; CITEPA 2025</t>
  </si>
  <si>
    <t>interpolation and compilation of various sources, including CORPEN 1999; MEEM 2010; CITEPA 2026</t>
  </si>
  <si>
    <t>interpolation and compilation of various sources, including CORPEN 1999; MEEM 2010; CITEPA 2027</t>
  </si>
  <si>
    <t>interpolation and compilation of various sources, including CORPEN 1999; MEEM 2010; CITEPA 2029</t>
  </si>
  <si>
    <t>interpolation and compilation of various sources, including CORPEN 1999; MEEM 2010; CITEPA 2030</t>
  </si>
  <si>
    <t>interpolation and compilation of various sources, including CORPEN 1999; MEEM 2010; CITEPA 2031</t>
  </si>
  <si>
    <t>interpolation and compilation of various sources, including CORPEN 1999; MEEM 2010; CITEPA 2033</t>
  </si>
  <si>
    <t>interpolation and compilation of various sources, including CORPEN 1999; MEEM 2010; CITEPA 2034</t>
  </si>
  <si>
    <t>interpolation and compilation of various sources, including CORPEN 1999; MEEM 2010; CITEPA 2035</t>
  </si>
  <si>
    <t>interpolation and compilation of various sources, including CORPEN 1999; MEEM 2010; CITEPA 2037</t>
  </si>
  <si>
    <t>interpolation and compilation of various sources, including CORPEN 1999; MEEM 2010; CITEPA 2038</t>
  </si>
  <si>
    <t>interpolation and compilation of various sources, including CORPEN 1999; MEEM 2010; CITEPA 2039</t>
  </si>
  <si>
    <t>interpolation and compilation of various sources, including CORPEN 1999; MEEM 2010; CITEPA 2040</t>
  </si>
  <si>
    <t>interpolation and compilation of various sources, including CORPEN 1999; MEEM 2010; CITEPA 2041</t>
  </si>
  <si>
    <t>interpolation and compilation of various sources, including CORPEN 1999; MEEM 2010; CITEPA 2043</t>
  </si>
  <si>
    <t>interpolation and compilation of various sources, including CORPEN 1999; MEEM 2010; CITEPA 2044</t>
  </si>
  <si>
    <t>interpolation and compilation of various sources, including CORPEN 1999; MEEM 2010; CITEPA 2045</t>
  </si>
  <si>
    <t>interpolation and compilation of various sources, including CORPEN 1999; MEEM 2010; CITEPA 2046</t>
  </si>
  <si>
    <t>interpolation and compilation of various sources, including CORPEN 1999; MEEM 2010; CITEPA 2047</t>
  </si>
  <si>
    <t>interpolation and compilation of various sources, including CORPEN 1999; MEEM 2010; CITEPA 2048</t>
  </si>
  <si>
    <t>interpolation and compilation of various sources, including CORPEN 1999; MEEM 2010; CITEPA 2049</t>
  </si>
  <si>
    <t>interpolation and compilation of various sources, including CORPEN 1999; MEEM 2010; CITEPA 2050</t>
  </si>
  <si>
    <t>interpolation and compilation of various sources, including CORPEN 1999; MEEM 2010; CITEPA 2051</t>
  </si>
  <si>
    <t>interpolation and compilation of various sources, including CORPEN 1999; MEEM 2010; CITEPA 2052</t>
  </si>
  <si>
    <t>interpolation and compilation of various sources, including CORPEN 1999; MEEM 2010; CITEPA 2053</t>
  </si>
  <si>
    <t>bovines N excretion</t>
  </si>
  <si>
    <t>ovines N excretion</t>
  </si>
  <si>
    <t>caprines N excretion</t>
  </si>
  <si>
    <t>porcines N excretion</t>
  </si>
  <si>
    <t>poultry N excretion</t>
  </si>
  <si>
    <t>equine N excretion</t>
  </si>
  <si>
    <t>Total livestock N excretion</t>
  </si>
  <si>
    <t>excretion management</t>
  </si>
  <si>
    <t>% excretion on grassland</t>
  </si>
  <si>
    <t>Interpolation</t>
  </si>
  <si>
    <t>% excretion in the barn</t>
  </si>
  <si>
    <t>% excretion in the barn as litter manure</t>
  </si>
  <si>
    <t>% excretion in the barn as other manure</t>
  </si>
  <si>
    <t>% excretion in the barn as slurry</t>
  </si>
  <si>
    <t>% NH3 volatilisation from litter manure</t>
  </si>
  <si>
    <t>Nopolu-volet Agricole report, MEEM 2010</t>
  </si>
  <si>
    <t>% NH3 volatilisation from other manure</t>
  </si>
  <si>
    <t>% NH3 volatilisation from slurry</t>
  </si>
  <si>
    <t>% NH3 volatilisation from excretion on grassland</t>
  </si>
  <si>
    <t>% N2 and N2O volatilization from litter manure</t>
  </si>
  <si>
    <t>% N2 and N2O volatilization from other manure</t>
  </si>
  <si>
    <t>% N2 and N2O volatilization from slurry</t>
  </si>
  <si>
    <t>% N2 and N2O volatilization from excretion on grassland</t>
  </si>
  <si>
    <t xml:space="preserve">N-volatilisation indoors bovines </t>
  </si>
  <si>
    <t xml:space="preserve">N-volatilisation outdoors bovines </t>
  </si>
  <si>
    <t xml:space="preserve">N-excretion after volatilization indoors bovines </t>
  </si>
  <si>
    <t xml:space="preserve">N-excretion after volatilization outdoors bovines  </t>
  </si>
  <si>
    <t xml:space="preserve">N-volatilization indoors ovines  </t>
  </si>
  <si>
    <t xml:space="preserve">N-volatilization outdoors ovines </t>
  </si>
  <si>
    <t xml:space="preserve">N-excretion after volatilization indoors ovines  </t>
  </si>
  <si>
    <t xml:space="preserve">N-excretion after volatilization outdoors ovines </t>
  </si>
  <si>
    <t xml:space="preserve">N-volatilization indoors caprines  </t>
  </si>
  <si>
    <t xml:space="preserve">N-volatilization outdoors caprines </t>
  </si>
  <si>
    <t xml:space="preserve">N-excretion after volatilization indoors caprines  </t>
  </si>
  <si>
    <t xml:space="preserve">N-excretion after volatilization outdoors caprines  </t>
  </si>
  <si>
    <t>N-volatilization indoors porcines</t>
  </si>
  <si>
    <t>N-volatilization outdoors porcines</t>
  </si>
  <si>
    <t>N-excretion after volatilization indoors porcines</t>
  </si>
  <si>
    <t>N-excretion after volatilization outdoors porcines</t>
  </si>
  <si>
    <t xml:space="preserve">N-volatilization indoors poultry  </t>
  </si>
  <si>
    <t xml:space="preserve">N-volatilization outdoors poultry  </t>
  </si>
  <si>
    <t xml:space="preserve">N-excretion after volatilization indoors poultry  </t>
  </si>
  <si>
    <t xml:space="preserve">N-excretion after volatilization outdoors poultry  </t>
  </si>
  <si>
    <t>N-volatilization indoors equine</t>
  </si>
  <si>
    <t xml:space="preserve">N-volatilization outdoors equine </t>
  </si>
  <si>
    <t>N-excretion after volatilization indoors equine</t>
  </si>
  <si>
    <t>N-excretion after volatilization outdoors equine</t>
  </si>
  <si>
    <t xml:space="preserve">Total N-volatilization indoors  </t>
  </si>
  <si>
    <t xml:space="preserve">Total N-volatilization outdoors  </t>
  </si>
  <si>
    <t xml:space="preserve">Total N-excretion after volatilization indoors  </t>
  </si>
  <si>
    <t xml:space="preserve">Total N-excretion after volatilization outdoors  </t>
  </si>
  <si>
    <t>N volatilization from permanent grassland</t>
  </si>
  <si>
    <t>N volatilization from cropland</t>
  </si>
  <si>
    <t>N from excretion reaching permanent grassland roots</t>
  </si>
  <si>
    <t>N from excretion reaching arable land roots</t>
  </si>
  <si>
    <t>Production</t>
  </si>
  <si>
    <t>Nopolu-Agri, 2010</t>
  </si>
  <si>
    <t>Bovines</t>
  </si>
  <si>
    <t>Ovines</t>
  </si>
  <si>
    <t>Caprines</t>
  </si>
  <si>
    <t>Porcines</t>
  </si>
  <si>
    <t>to arable land</t>
  </si>
  <si>
    <t>to permanent grassland</t>
  </si>
  <si>
    <t>CARBON</t>
  </si>
  <si>
    <t>%C de chaque organe</t>
  </si>
  <si>
    <t>%C in boneless bovine meat</t>
  </si>
  <si>
    <t>%C in bovine bones</t>
  </si>
  <si>
    <t>%C in edible bovine grease</t>
  </si>
  <si>
    <t>%C in bovine skin</t>
  </si>
  <si>
    <t>%C  bovine blood</t>
  </si>
  <si>
    <t>%C bovine casing</t>
  </si>
  <si>
    <t>%C bovine head and feet</t>
  </si>
  <si>
    <t>%C bovine offals</t>
  </si>
  <si>
    <t>%C bovine unedible grease</t>
  </si>
  <si>
    <t>%C edible in bovine carcass weight</t>
  </si>
  <si>
    <t>%C non edible in bovine carcass weight</t>
  </si>
  <si>
    <t>%C in boneless ovine meat</t>
  </si>
  <si>
    <t>%C in ovine bones</t>
  </si>
  <si>
    <t>%C in edible ovine grease</t>
  </si>
  <si>
    <t>%C in ovine skin</t>
  </si>
  <si>
    <t>%C ovine blood</t>
  </si>
  <si>
    <t>%C ovine casing</t>
  </si>
  <si>
    <t>%C ovine head and feet</t>
  </si>
  <si>
    <t>%C ovine offals</t>
  </si>
  <si>
    <t>%C ovine unedible grease</t>
  </si>
  <si>
    <t>%C edible in ovine carcass weight</t>
  </si>
  <si>
    <t>%C non edible in ovine carcass weight</t>
  </si>
  <si>
    <t>%C in boneless porcine meat</t>
  </si>
  <si>
    <t>%C in porcine bones</t>
  </si>
  <si>
    <t>%C in edible porcine grease</t>
  </si>
  <si>
    <t>%C in porcine skin</t>
  </si>
  <si>
    <t>%C porcine blood</t>
  </si>
  <si>
    <t>%C porcine casing</t>
  </si>
  <si>
    <t>%C porcine head and feet</t>
  </si>
  <si>
    <t>%C porcine offals</t>
  </si>
  <si>
    <t>%C porcine unedible grease</t>
  </si>
  <si>
    <t>%C edible in porcine carcass weight</t>
  </si>
  <si>
    <t>%C non edible in porcine carcass weight</t>
  </si>
  <si>
    <t>%C in boneless poultry meat</t>
  </si>
  <si>
    <t>%C in poultry bones</t>
  </si>
  <si>
    <t>%C in poultry grease</t>
  </si>
  <si>
    <t>%C in poultry skin</t>
  </si>
  <si>
    <t>%C poultry blood</t>
  </si>
  <si>
    <t>%C poultry casing</t>
  </si>
  <si>
    <t>%C poultry head and feet</t>
  </si>
  <si>
    <t>%C poultry offals</t>
  </si>
  <si>
    <t>%C poultry unedible grease</t>
  </si>
  <si>
    <t>%C eggs</t>
  </si>
  <si>
    <t>%C cow milk</t>
  </si>
  <si>
    <t>%C sheep and goat milk</t>
  </si>
  <si>
    <t>%C edible in poultry carcass weight</t>
  </si>
  <si>
    <t>%C non edible in poultry carcass weight</t>
  </si>
  <si>
    <t>%C in boneless equine meat</t>
  </si>
  <si>
    <t>%C in equine bones</t>
  </si>
  <si>
    <t>%C in edible equine grease</t>
  </si>
  <si>
    <t>%C in equine skin</t>
  </si>
  <si>
    <t>%C  equine blood</t>
  </si>
  <si>
    <t>%C equine casing</t>
  </si>
  <si>
    <t>%C equine head and feet</t>
  </si>
  <si>
    <t>%C equine offals</t>
  </si>
  <si>
    <t>%C equine unedible grease</t>
  </si>
  <si>
    <t>%C edible in equine carcass weight</t>
  </si>
  <si>
    <t>%C non edible in equine carcass weight</t>
  </si>
  <si>
    <t>edible animal C production</t>
  </si>
  <si>
    <t xml:space="preserve">non edible animal C production </t>
  </si>
  <si>
    <t xml:space="preserve">total edible animal C production (dairy products + meat) </t>
  </si>
  <si>
    <t xml:space="preserve">total animal C production </t>
  </si>
  <si>
    <t>C/N Excrétion</t>
  </si>
  <si>
    <t>MEEM 2010 corrected by Soltner 2005</t>
  </si>
  <si>
    <t>MEEM 2010 corrected by Soltner 2006</t>
  </si>
  <si>
    <t>MEEM 2010 corrected by Soltner 2007</t>
  </si>
  <si>
    <t>MEEM 2010 corrected by Soltner 2008</t>
  </si>
  <si>
    <t>MEEM 2010 corrected by Soltner 2009</t>
  </si>
  <si>
    <t>C excreted</t>
  </si>
  <si>
    <t>Total C excreted</t>
  </si>
  <si>
    <t>C/N at the end of the storage</t>
  </si>
  <si>
    <t>C/N manure</t>
  </si>
  <si>
    <t>C/N slurrry</t>
  </si>
  <si>
    <t>C/N direct excretion at grazing</t>
  </si>
  <si>
    <t>C/N slurry</t>
  </si>
  <si>
    <t>Poultry</t>
  </si>
  <si>
    <t>Equine</t>
  </si>
  <si>
    <t>Taken as bovine</t>
  </si>
  <si>
    <t>C at the end of the storage</t>
  </si>
  <si>
    <t>Manure</t>
  </si>
  <si>
    <t>Slurry</t>
  </si>
  <si>
    <t>grazing excretion</t>
  </si>
  <si>
    <t>manure</t>
  </si>
  <si>
    <t>Fumiers  (ktC/yr)</t>
  </si>
  <si>
    <t>Lisiers (ktC/yr)</t>
  </si>
  <si>
    <t>total C excreted indoor</t>
  </si>
  <si>
    <t>total C excreted outdoor</t>
  </si>
  <si>
    <t xml:space="preserve">C inputs </t>
  </si>
  <si>
    <t>Humification coefficient of manure</t>
  </si>
  <si>
    <t>Bovine manure</t>
  </si>
  <si>
    <r>
      <t>yr</t>
    </r>
    <r>
      <rPr>
        <i/>
        <vertAlign val="superscript"/>
        <sz val="10"/>
        <color rgb="FFFF0000"/>
        <rFont val="Arial"/>
        <family val="2"/>
      </rPr>
      <t>-1</t>
    </r>
  </si>
  <si>
    <t>Bovines slurry</t>
  </si>
  <si>
    <t>Ovines and Caprines Manure</t>
  </si>
  <si>
    <t>Porcines manure</t>
  </si>
  <si>
    <t>Porcines slurry</t>
  </si>
  <si>
    <t>poultry slurry</t>
  </si>
  <si>
    <t>horse manure</t>
  </si>
  <si>
    <t>Other manure</t>
  </si>
  <si>
    <t xml:space="preserve">Bertora et al. (2009) </t>
  </si>
  <si>
    <t>direct grazing exrection</t>
  </si>
  <si>
    <t xml:space="preserve">efficient C  inputs </t>
  </si>
  <si>
    <t>indoor</t>
  </si>
  <si>
    <t>outdoor</t>
  </si>
  <si>
    <t>Final efficient  C inputs derived from manure to arable land</t>
  </si>
  <si>
    <t>Final  efficient C inputs derived from manure to permanent grassland</t>
  </si>
  <si>
    <t>France</t>
  </si>
  <si>
    <t>Ratio of weeds biomass production per unit of crop production</t>
  </si>
  <si>
    <t>Estimated from the number of horses heads</t>
  </si>
  <si>
    <t>EMEP (data for 2009)</t>
  </si>
  <si>
    <t>Agreste (data for 2014)</t>
  </si>
  <si>
    <t>territoires fonctionnels 2006</t>
  </si>
  <si>
    <t>Pyrénées occidentales</t>
  </si>
  <si>
    <t>Pyrénées Orientales</t>
  </si>
  <si>
    <t>TOTAL France</t>
  </si>
  <si>
    <t>GRAFS-NITROGEN</t>
  </si>
  <si>
    <t>surface area</t>
  </si>
  <si>
    <t>km²</t>
  </si>
  <si>
    <t>M hab</t>
  </si>
  <si>
    <t>Total consumption (INSEE)</t>
  </si>
  <si>
    <t>ktN/an</t>
  </si>
  <si>
    <t>kgN/cap/yr</t>
  </si>
  <si>
    <t>Cons of vegetal protein</t>
  </si>
  <si>
    <t>Cons of edible animal protein (excluding fish)</t>
  </si>
  <si>
    <t>Cons of dairy prdcts</t>
  </si>
  <si>
    <t>Cons of edible meat</t>
  </si>
  <si>
    <t>Cons of edible and non edible meat</t>
  </si>
  <si>
    <t>Cons of animal protein (excluding fish) including losses at the culling stage</t>
  </si>
  <si>
    <t>Agricultural surfaces</t>
  </si>
  <si>
    <t>Total utilized agricultural area (UAA)</t>
  </si>
  <si>
    <t>Permanent Grassland</t>
  </si>
  <si>
    <t>Cropland</t>
  </si>
  <si>
    <t>Livestock breeding</t>
  </si>
  <si>
    <t>LU</t>
  </si>
  <si>
    <t>M LU</t>
  </si>
  <si>
    <t>LU/haUAA</t>
  </si>
  <si>
    <t>LU/ha</t>
  </si>
  <si>
    <t>Edible and non-edible animal production</t>
  </si>
  <si>
    <t>Edible animal production</t>
  </si>
  <si>
    <t>Ingestion</t>
  </si>
  <si>
    <t>Total excretion</t>
  </si>
  <si>
    <t>Maximum ingestion of grass</t>
  </si>
  <si>
    <t>Ingestion from grassland</t>
  </si>
  <si>
    <t>Ingestion from local cropland</t>
  </si>
  <si>
    <t>Available arable production for livestock</t>
  </si>
  <si>
    <t>Ingestion from imported feed</t>
  </si>
  <si>
    <t xml:space="preserve">Fertilization &amp; production of cropland </t>
  </si>
  <si>
    <t>Manure to cropland (after gaseous losses)</t>
  </si>
  <si>
    <t>Synth fertilizer to cropland (after gaseous losses)</t>
  </si>
  <si>
    <t>Symbiotic fixation to cropland</t>
  </si>
  <si>
    <t>Sludges to cropland</t>
  </si>
  <si>
    <t>Atmospheric deposition</t>
  </si>
  <si>
    <t>Seeds to cropland</t>
  </si>
  <si>
    <t>Total fertilization to cropland</t>
  </si>
  <si>
    <t>Surplus from cropland</t>
  </si>
  <si>
    <t>Ymax</t>
  </si>
  <si>
    <t>Total cropland production</t>
  </si>
  <si>
    <t>Total gazeous losses from cropland</t>
  </si>
  <si>
    <t>Fertilization &amp; production of permanent grassland</t>
  </si>
  <si>
    <t>Manure to permanent grassland (after gaseous losses)</t>
  </si>
  <si>
    <t>Synth fertilizer to permanent grassland (after gaseous losses)</t>
  </si>
  <si>
    <t>Symbiotic fixation to permanent grassland</t>
  </si>
  <si>
    <t>Total fertilization to permanent grassland</t>
  </si>
  <si>
    <t>Surplus from permanent grassland</t>
  </si>
  <si>
    <t>Total permanent grassland production</t>
  </si>
  <si>
    <t>Total gazeous losses  from permanent grassland</t>
  </si>
  <si>
    <t>Total production (Perm Grassland and Croland</t>
  </si>
  <si>
    <t xml:space="preserve">Total N surplus </t>
  </si>
  <si>
    <t>Total gazeous losses</t>
  </si>
  <si>
    <t>livestock feed</t>
  </si>
  <si>
    <t>Nets imports through mass balance</t>
  </si>
  <si>
    <t>Net import of vegetal pdcts (mass-balance)</t>
  </si>
  <si>
    <t>Net import of edible animal pdcts (mass-balance)</t>
  </si>
  <si>
    <t>GRAFS-PHOSPHORUS</t>
  </si>
  <si>
    <t>Fertilization &amp; production of cropland</t>
  </si>
  <si>
    <t>Synth fertilizer to cropland</t>
  </si>
  <si>
    <t>Synth fertilizer to perm grassland</t>
  </si>
  <si>
    <t>imports (+) / exports (-)</t>
  </si>
  <si>
    <t>GRAFS-CARBONE</t>
  </si>
  <si>
    <t>kgC/cap/yr</t>
  </si>
  <si>
    <t>Cons of vegetable prdcts</t>
  </si>
  <si>
    <t>Cons of animal prdcts (excluding fish)</t>
  </si>
  <si>
    <t>Cons of animal prdcts (excluding fish) including losses at the culling stage</t>
  </si>
  <si>
    <t>Ingestion from grassland (N /( N/C grass)</t>
  </si>
  <si>
    <t>Ingestion from local arable land (N /( N/C crop)</t>
  </si>
  <si>
    <t>Ingestion from imported feed (N /( N/C soya)</t>
  </si>
  <si>
    <t>Fertilization and production of cropland</t>
  </si>
  <si>
    <t>Harvested production of cropland</t>
  </si>
  <si>
    <t>Total net primary production of cropland</t>
  </si>
  <si>
    <t>Roots and residues inputs to cropland</t>
  </si>
  <si>
    <t>Total inputs to cropland</t>
  </si>
  <si>
    <t>tonC/ha/yr</t>
  </si>
  <si>
    <t>Budget of efficient C inputs to arable land</t>
  </si>
  <si>
    <t>Efficient inputs from roots and residues inputs to cropland</t>
  </si>
  <si>
    <t>Efficient inputs from manure and sludge to cropland</t>
  </si>
  <si>
    <t>Total efficient inputs to cropland</t>
  </si>
  <si>
    <t>tC/ha/yr</t>
  </si>
  <si>
    <t>Fertilization and production of perm grassland</t>
  </si>
  <si>
    <t>Harvested and grazed production from perm grassland</t>
  </si>
  <si>
    <t>Total net primary production of perm grassland</t>
  </si>
  <si>
    <t>Roots and residues inputs to perm grassland</t>
  </si>
  <si>
    <t>Manure to perm grassland (after gaseous losses)</t>
  </si>
  <si>
    <t>Total inputs to perm grassland</t>
  </si>
  <si>
    <t>Budget of C efficient inputs to perm grassland</t>
  </si>
  <si>
    <t>Efficient inputs from roots and residues to perm grassland</t>
  </si>
  <si>
    <t>Efficient inputs from manure to perm grassland</t>
  </si>
  <si>
    <t>Total efficient inputs to perm grassland</t>
  </si>
  <si>
    <t>Total production (Perm GL + AL)</t>
  </si>
  <si>
    <t>Efficient inputs (perm GL + AL)</t>
  </si>
  <si>
    <t xml:space="preserve">Net import of animal feed </t>
  </si>
  <si>
    <t>Net import of crop pdcts (mass-balance)</t>
  </si>
  <si>
    <t>Net import of animal pdcts (mass-balance)</t>
  </si>
  <si>
    <t>Urban population</t>
  </si>
  <si>
    <t>N recycling rate of human excretion in urban area</t>
  </si>
  <si>
    <t>N recycling rate of human excretion in rural area</t>
  </si>
  <si>
    <t>C recycling rate of human excretion in urban area</t>
  </si>
  <si>
    <t>C recycling rate of human excretion in rural area</t>
  </si>
  <si>
    <t>% humidity</t>
  </si>
  <si>
    <t>Allocation of C to crop production</t>
  </si>
  <si>
    <t>Sd</t>
  </si>
  <si>
    <t>Allocation of C in above-ground residues</t>
  </si>
  <si>
    <t>Allocation of C in belowground residues</t>
  </si>
  <si>
    <t>Clivot et al. 2017 after Boliner et al. 2007</t>
  </si>
  <si>
    <t>Share of root in the top 30 cm of soil</t>
  </si>
  <si>
    <t>Clivot et al. 2017 after Fan et al. 2016</t>
  </si>
  <si>
    <t>Harvested crop</t>
  </si>
  <si>
    <t>Root residue inputs from weed</t>
  </si>
  <si>
    <t>Clivot et al. 2017</t>
  </si>
  <si>
    <t>Efficient inputs from above ground of rapeseed</t>
  </si>
  <si>
    <t>Efficient inputs from above ground of sunflower</t>
  </si>
  <si>
    <t>Efficient inputs from above ground of soybean</t>
  </si>
  <si>
    <t>Efficient inputs from above ground of other oil crops</t>
  </si>
  <si>
    <t>Efficient inputs from above ground of horse beans and faba beans</t>
  </si>
  <si>
    <t>Efficient inputs from above ground of peas</t>
  </si>
  <si>
    <t>Efficient inputs from above ground of other protein crops</t>
  </si>
  <si>
    <t>Efficient inputs from above ground of sugar beet</t>
  </si>
  <si>
    <t>Efficient inputs from above ground of potatoes</t>
  </si>
  <si>
    <t>Efficient inputs from above ground of other roots</t>
  </si>
  <si>
    <t>Efficient inputs from above ground of green peas</t>
  </si>
  <si>
    <t>Efficient inputs from above ground of dry beans</t>
  </si>
  <si>
    <t>Efficient inputs from above ground of green beans</t>
  </si>
  <si>
    <t>Efficient inputs from above ground of dry vegetables</t>
  </si>
  <si>
    <t>Efficient inputs from above ground of dry fruits</t>
  </si>
  <si>
    <t>Efficient inputs from above ground of squash and melons</t>
  </si>
  <si>
    <t>Efficient inputs from above ground of cabbage</t>
  </si>
  <si>
    <t>Efficient inputs from above ground of leaves vegetables</t>
  </si>
  <si>
    <t>Efficient inputs from above ground of fruits</t>
  </si>
  <si>
    <t>Efficient inputs from above ground of olives</t>
  </si>
  <si>
    <t>Efficient inputs from above ground of citrus</t>
  </si>
  <si>
    <t>Efficient inputs from above ground of hemp</t>
  </si>
  <si>
    <t>Efficient inputs from above ground of flax</t>
  </si>
  <si>
    <t>Efficient inputs from above ground of forage maize</t>
  </si>
  <si>
    <t>Efficient inputs from above ground of forage cabbages</t>
  </si>
  <si>
    <t>Efficient inputs from above ground of alfalfa and clover</t>
  </si>
  <si>
    <t>Efficient inputs from above ground of non-legume temporary meadow</t>
  </si>
  <si>
    <t xml:space="preserve">Efficient inputs from above ground of natural meadow </t>
  </si>
  <si>
    <t>Efficient inputs from above ground of weed</t>
  </si>
  <si>
    <t>Efficient inputs from above ground of cereals</t>
  </si>
  <si>
    <t>Efficient inputs from below-ground of rapeseed</t>
  </si>
  <si>
    <t>Efficient inputs from below-ground of sunflower</t>
  </si>
  <si>
    <t>Efficient inputs from below-ground of soybean</t>
  </si>
  <si>
    <t>Efficient inputs from below-ground of other oil crops</t>
  </si>
  <si>
    <t>Efficient inputs from below-ground of horse beans and faba beans</t>
  </si>
  <si>
    <t>Efficient inputs from below-ground of peas</t>
  </si>
  <si>
    <t>Efficient inputs from below-ground of other protein crops</t>
  </si>
  <si>
    <t>Efficient inputs from below-ground of sugar beet</t>
  </si>
  <si>
    <t>Efficient inputs from below-ground of potatoes</t>
  </si>
  <si>
    <t>Efficient inputs from below-ground of other roots</t>
  </si>
  <si>
    <t>Efficient inputs from below-ground of green peas</t>
  </si>
  <si>
    <t>Efficient inputs from below-ground of dry beans</t>
  </si>
  <si>
    <t>Efficient inputs from below-ground of green beans</t>
  </si>
  <si>
    <t>Efficient inputs from below-ground of dry vegetables</t>
  </si>
  <si>
    <t>Efficient inputs from below-ground of dry fruits</t>
  </si>
  <si>
    <t>Efficient inputs from below-ground of squash and melons</t>
  </si>
  <si>
    <t>Efficient inputs from below-ground of cabbage</t>
  </si>
  <si>
    <t>Efficient inputs from below-ground of leaves vegetables</t>
  </si>
  <si>
    <t>Efficient inputs from below-ground of fruits</t>
  </si>
  <si>
    <t>Efficient inputs from below-ground of olives</t>
  </si>
  <si>
    <t>Efficient inputs from below-ground of citrus</t>
  </si>
  <si>
    <t>Efficient inputs from below-ground of hemp</t>
  </si>
  <si>
    <t>Efficient inputs from below-ground of flax</t>
  </si>
  <si>
    <t>Efficient inputs from below-ground of forage maize</t>
  </si>
  <si>
    <t>Efficient inputs from below-ground of forage cabbages</t>
  </si>
  <si>
    <t>Efficient inputs from below-ground of alfalfa and clover</t>
  </si>
  <si>
    <t>Efficient inputs from below-ground of non-legume temporary meadow</t>
  </si>
  <si>
    <t xml:space="preserve">Efficient inputs from below-ground of natural meadow </t>
  </si>
  <si>
    <t>Efficient inputs from below-ground of weed</t>
  </si>
  <si>
    <t>Efficient inputs from below-ground of wheat</t>
  </si>
  <si>
    <t>Efficient inputs from below-ground of rye</t>
  </si>
  <si>
    <t>Efficient inputs from below-ground of barley</t>
  </si>
  <si>
    <t>Efficient inputs from below-ground of ceoat</t>
  </si>
  <si>
    <t>Efficient inputs from below-ground of grain maize</t>
  </si>
  <si>
    <t>Efficient inputs from below-ground of rice</t>
  </si>
  <si>
    <t>Efficient inputs from below-ground of other cereals</t>
  </si>
  <si>
    <t>Cereal Yield</t>
  </si>
  <si>
    <t>Calculated following Fan method</t>
  </si>
  <si>
    <t>Calculated following Bolinder method</t>
  </si>
  <si>
    <r>
      <t xml:space="preserve">Fan coefficient : intercept </t>
    </r>
    <r>
      <rPr>
        <b/>
        <sz val="10"/>
        <color rgb="FF00B0F0"/>
        <rFont val="Arial"/>
        <family val="2"/>
      </rPr>
      <t>a</t>
    </r>
    <r>
      <rPr>
        <b/>
        <sz val="10"/>
        <color theme="1"/>
        <rFont val="Arial"/>
        <family val="2"/>
      </rPr>
      <t xml:space="preserve"> for calculating Harvest Index</t>
    </r>
  </si>
  <si>
    <t>Ry</t>
  </si>
  <si>
    <t>barley</t>
  </si>
  <si>
    <t>oat</t>
  </si>
  <si>
    <t>grain maize</t>
  </si>
  <si>
    <t>other cereals</t>
  </si>
  <si>
    <t>Fan coefficient : slope b for calculating Harvest Index</t>
  </si>
  <si>
    <t>Fan et al. 2017</t>
  </si>
  <si>
    <t>Assuming half weeds biomass production to be grazed and therefore already accounted in the dejection inputs</t>
  </si>
  <si>
    <t>ton/ha/yr</t>
  </si>
  <si>
    <t>Net Priamary production</t>
  </si>
  <si>
    <t>Weeds</t>
  </si>
  <si>
    <t>Total NPP of cropland</t>
  </si>
  <si>
    <t xml:space="preserve">Total NPP of permanent grassland </t>
  </si>
  <si>
    <t>Fodder cabbages</t>
  </si>
  <si>
    <t>Surface</t>
  </si>
  <si>
    <t>rice</t>
  </si>
  <si>
    <t>Hectares</t>
  </si>
  <si>
    <t>kgC/ha/yr</t>
  </si>
  <si>
    <t>Average root production per hecate</t>
  </si>
  <si>
    <t>wheat</t>
  </si>
  <si>
    <t>rye</t>
  </si>
  <si>
    <t>rapeseed</t>
  </si>
  <si>
    <t>sunflower</t>
  </si>
  <si>
    <t>soybean</t>
  </si>
  <si>
    <t>other oil crops</t>
  </si>
  <si>
    <t>horse beans and faba beans</t>
  </si>
  <si>
    <t>ratio peas</t>
  </si>
  <si>
    <t>other protein crops</t>
  </si>
  <si>
    <t>sugar beet</t>
  </si>
  <si>
    <t>potatoes</t>
  </si>
  <si>
    <t>other roots</t>
  </si>
  <si>
    <t>green peas</t>
  </si>
  <si>
    <t>dry beans</t>
  </si>
  <si>
    <t>green beans</t>
  </si>
  <si>
    <t>dry vegetables</t>
  </si>
  <si>
    <t>dry fruits</t>
  </si>
  <si>
    <t>squash and melons</t>
  </si>
  <si>
    <t>cabbage</t>
  </si>
  <si>
    <t>leaves vegetables</t>
  </si>
  <si>
    <t>fruits</t>
  </si>
  <si>
    <t>olives</t>
  </si>
  <si>
    <t>citrus</t>
  </si>
  <si>
    <t>hemp</t>
  </si>
  <si>
    <t>flax</t>
  </si>
  <si>
    <t>forage maize</t>
  </si>
  <si>
    <t>forage cabbages</t>
  </si>
  <si>
    <t>non-legume temporary meadow</t>
  </si>
  <si>
    <t xml:space="preserve">natural meadow </t>
  </si>
  <si>
    <t>weeds</t>
  </si>
  <si>
    <t>starting point: average 2004-2014</t>
  </si>
  <si>
    <t>1.</t>
  </si>
  <si>
    <t xml:space="preserve">population 2040 </t>
  </si>
  <si>
    <t>2.</t>
  </si>
  <si>
    <t>human diet</t>
  </si>
  <si>
    <t>3.</t>
  </si>
  <si>
    <t>total agric land area</t>
  </si>
  <si>
    <t>4.</t>
  </si>
  <si>
    <t>synthetic fertilizers</t>
  </si>
  <si>
    <t>5.</t>
  </si>
  <si>
    <t>6.</t>
  </si>
  <si>
    <t>natural meadows</t>
  </si>
  <si>
    <t xml:space="preserve">Nfixha, kgN/ha/yr </t>
  </si>
  <si>
    <t>7.</t>
  </si>
  <si>
    <t>livestock number and excretion</t>
  </si>
  <si>
    <t xml:space="preserve">% total LU </t>
  </si>
  <si>
    <t>fraction</t>
  </si>
  <si>
    <t>type 1</t>
  </si>
  <si>
    <t>type 2</t>
  </si>
  <si>
    <t xml:space="preserve">total </t>
  </si>
  <si>
    <t>livestock production</t>
  </si>
  <si>
    <t>kg carcass/head/yr</t>
  </si>
  <si>
    <t>kg eggs/laying hens/yr</t>
  </si>
  <si>
    <t>kg milk/milking cow/yr</t>
  </si>
  <si>
    <t>kg milk/sheep and goat/yr</t>
  </si>
  <si>
    <t>cereal prod N</t>
  </si>
  <si>
    <t>forage production (excl perm grasland)</t>
  </si>
  <si>
    <t>scenario Specialization/Opening</t>
  </si>
  <si>
    <t>total France</t>
  </si>
  <si>
    <t>INSEE projection (elevated estimate)</t>
  </si>
  <si>
    <t>total surface</t>
  </si>
  <si>
    <t>reference (2004-2014) sc</t>
  </si>
  <si>
    <t xml:space="preserve">population density </t>
  </si>
  <si>
    <t>hab/km²</t>
  </si>
  <si>
    <t>Spec/Open sc</t>
  </si>
  <si>
    <t>% increase</t>
  </si>
  <si>
    <t>%/34ans</t>
  </si>
  <si>
    <t>carnivorous, without food waste reduction</t>
  </si>
  <si>
    <t>soil artificialization</t>
  </si>
  <si>
    <t>calculé à partir de la relation: Surf artif(ha/1000inhab)= 1475*DensPop^(-0.6)</t>
  </si>
  <si>
    <t>ref artificial surfaces</t>
  </si>
  <si>
    <t xml:space="preserve">scenar artificial surfaces </t>
  </si>
  <si>
    <t>ref UAA</t>
  </si>
  <si>
    <t>sc UAA</t>
  </si>
  <si>
    <t>Adjusted for surplus&lt;50 kgN/ha/yr (or zero if excess manure). Calculated with the attached Macro</t>
  </si>
  <si>
    <t>detailed crop production (line 182-217)</t>
  </si>
  <si>
    <t>The overall cropland yield is determined based on total soil N inputs and the regional Ymax. It is distributed among the different crops based on their share in the current production of each regions.</t>
  </si>
  <si>
    <t>cropland Ymax in the current situation</t>
  </si>
  <si>
    <t xml:space="preserve">Ymax, kgN/ha/an </t>
  </si>
  <si>
    <t>Production en N</t>
  </si>
  <si>
    <t>% Production en N</t>
  </si>
  <si>
    <t>Non-legme temporary meadow</t>
  </si>
  <si>
    <t>total cropland</t>
  </si>
  <si>
    <t xml:space="preserve">Permanent grassland production calculated from total N input and grassland Ymax, considering the same symbiotic N fxation and the same rate of industrial fertilization per ha as currently. </t>
  </si>
  <si>
    <t>zero grassland area in regions specialized in crop production</t>
  </si>
  <si>
    <t>symbiotic N fixation on grassland</t>
  </si>
  <si>
    <t>current grassland Ymax</t>
  </si>
  <si>
    <t xml:space="preserve">Ymax, kgN/ha/yr </t>
  </si>
  <si>
    <t>permanent Grassland area</t>
  </si>
  <si>
    <t>current situation</t>
  </si>
  <si>
    <t xml:space="preserve">Livestock number  is zero in specialized crop farming regions. In livestock breeding regions, LU is set to the maximum allowed by EC regulation, corresponding to an excretion 180 kgN/ha UAA/yr (ie. 2.1 LU/ha UAA). </t>
  </si>
  <si>
    <t xml:space="preserve">The distribution of total LU among the various species mimics their current proportions in each livestock breeding regions. </t>
  </si>
  <si>
    <t>calculated from head numbers with current coefficients specific for each livestock breeding region</t>
  </si>
  <si>
    <t>curent ref values</t>
  </si>
  <si>
    <t>hulman cereal cons</t>
  </si>
  <si>
    <t>GC</t>
  </si>
  <si>
    <t>Transport feed</t>
  </si>
  <si>
    <t>Fertilizer N</t>
  </si>
  <si>
    <t>kgC-CO2/t N fert</t>
  </si>
  <si>
    <t>Fertilizer P</t>
  </si>
  <si>
    <t>kgC-CO2/t P fert</t>
  </si>
  <si>
    <t>Mechanization livestock</t>
  </si>
  <si>
    <t>kgC-CO2/UGB</t>
  </si>
  <si>
    <t>tC-CO2</t>
  </si>
  <si>
    <t>Total stored in cropland</t>
  </si>
  <si>
    <t>ktC-CO2</t>
  </si>
  <si>
    <t>Mechanization crop production</t>
  </si>
  <si>
    <t>kgC-CO2/ha arable land</t>
  </si>
  <si>
    <t>Imported feed</t>
  </si>
  <si>
    <t>kgC-CO2/tN feed</t>
  </si>
  <si>
    <t>Mechanization crop</t>
  </si>
  <si>
    <t>Mechanization grass production</t>
  </si>
  <si>
    <t>kgC-CO2/ha perm grassland</t>
  </si>
  <si>
    <t>Energy</t>
  </si>
  <si>
    <t xml:space="preserve">Total Energy </t>
  </si>
  <si>
    <t>Mechanization grassland</t>
  </si>
  <si>
    <t>Sequestration</t>
  </si>
  <si>
    <t>Total stored in grassland</t>
  </si>
  <si>
    <t>C Budget</t>
  </si>
  <si>
    <t>System level</t>
  </si>
  <si>
    <t>kg C-CO2/ha UAA</t>
  </si>
  <si>
    <t>kgC-CO2/ha UAA</t>
  </si>
  <si>
    <t>Sequestration CL</t>
  </si>
  <si>
    <t>kgC-CO2/ha CL</t>
  </si>
  <si>
    <t>Machinery</t>
  </si>
  <si>
    <t xml:space="preserve">Machinery </t>
  </si>
  <si>
    <t>carnivore</t>
  </si>
  <si>
    <t>obs grassland reduction (2004-2014)</t>
  </si>
  <si>
    <t xml:space="preserve"> yr-1</t>
  </si>
  <si>
    <t>sc grassland area corr urba</t>
  </si>
  <si>
    <t>sc grassland avec tendance reduction</t>
  </si>
  <si>
    <t>Carbon dioxide emission and soil sequestration for the French agro-food system: present and prospective scenarios</t>
  </si>
  <si>
    <t>byLe Noë, J., Billen, G., Garnier, J.,</t>
  </si>
  <si>
    <t xml:space="preserve">worksheets 'hypo' </t>
  </si>
  <si>
    <t>Present the main hypothesis made for the ARD scenario</t>
  </si>
  <si>
    <t xml:space="preserve">worksheets 'pvar' </t>
  </si>
  <si>
    <t>lists primary data and parameters used for the GRAFS calculation</t>
  </si>
  <si>
    <t>cells in red</t>
  </si>
  <si>
    <t>parameters subject to uncertainty</t>
  </si>
  <si>
    <t>cells in blue</t>
  </si>
  <si>
    <t>primary data subject to uncertainty</t>
  </si>
  <si>
    <t>cells in black</t>
  </si>
  <si>
    <t>derived variables</t>
  </si>
  <si>
    <t>column F to AL</t>
  </si>
  <si>
    <t>the basic value of the primary variable or parameter for each territory</t>
  </si>
  <si>
    <t>column D</t>
  </si>
  <si>
    <t>the source of the primary variable or parameter for each territory</t>
  </si>
  <si>
    <t>The information is provided separately for each year</t>
  </si>
  <si>
    <t>worksheet 'GRAFS'</t>
  </si>
  <si>
    <t>contains the basic GRAFS model calculation based on primary variables and parameters listed in 'pvar'</t>
  </si>
  <si>
    <t>worksheet 'sources'</t>
  </si>
  <si>
    <t>contains the main sources of the variables and parameters listed in 'pvar'</t>
  </si>
  <si>
    <t>SM 3.   Supplementary material to the paper</t>
  </si>
  <si>
    <t>Cited sources</t>
  </si>
  <si>
    <t>Agreste. La statistique agricole. Ministère de l’Agriculture, de l’Agro-Alimentaire et de la Forêt. Retrieved from : http://agreste.agriculture.gouv.fr/la-statistique-agricole.</t>
  </si>
  <si>
    <t>Anglade, J., Billen, G., Garnier, J., 2015. Relationships for estimating N2 fixation in legumes: incidence for N balances of legume-based cropping systems in Europe. Ecosphere 6(3):37. DOI: 10.1890/ES1400353.1.</t>
  </si>
  <si>
    <t>Asman, W.A.H., Drukker, B. Janssen A.J., 1988. Modelled historical concentrations and deposition of ammonia and ammonium in Europe. Atmospheric Environment, 22: 725-735.</t>
  </si>
  <si>
    <r>
      <t xml:space="preserve">Bertora, C., Zavattaro, L., Sacco, D., Monaco, S., Grignani, C. (2009). Soil organic matter dynamics in manured maize-based forage systems. </t>
    </r>
    <r>
      <rPr>
        <i/>
        <sz val="11"/>
        <color theme="1"/>
        <rFont val="Times New Roman"/>
        <family val="1"/>
      </rPr>
      <t>European Journal of Agronomy</t>
    </r>
    <r>
      <rPr>
        <sz val="11"/>
        <color theme="1"/>
        <rFont val="Times New Roman"/>
        <family val="1"/>
      </rPr>
      <t xml:space="preserve">. 30, 177-186. </t>
    </r>
    <r>
      <rPr>
        <sz val="11"/>
        <color rgb="FF000000"/>
        <rFont val="Times New Roman"/>
        <family val="1"/>
      </rPr>
      <t>DOI:</t>
    </r>
    <r>
      <rPr>
        <sz val="11"/>
        <color rgb="FF000066"/>
        <rFont val="Times New Roman"/>
        <family val="1"/>
      </rPr>
      <t>10.1016/j.eja.2008.09.006</t>
    </r>
  </si>
  <si>
    <t>Billen G, Le Noë J, Garnier J. 2018. Two contrasted future scenarios for the French agro-food system. Science of the Total Environment 637-638: 695-705. Doi: 10.1016/j.scitotenv.2018.05.043</t>
  </si>
  <si>
    <t>Bolinder, M.A., Janzen, H.H., Gregorich, E.G., Angers, D.A., VandenBygaart, A.J. (2007). An approach for estimating net primary productivity and annual carbon inputs to soil for common agricultural crops in Canada. Agriculture, Ecosystems &amp; Environment, 118, 29-42. DOI : org/10.1016/j.agee.2006.05.013</t>
  </si>
  <si>
    <t>CGDD (2013). NOPOLU-Agri. Outil de spatialisation des pressions de l’agriculture. Méthodologie et résultats pour les surplus d’azote et les émissions des gaz à effet de serre Campagne 2010-2011 Document de travail n°14. Commissariat général au développement durable - Service de l’observation et des statistiques. Retrieved from: http://www.statistiques.developpement-durable.gouv.fr/fileadmin/documents/Produits_editoriaux/Publications/Documents_de_travail/2013/doc-travail-14-nopolu-09-2013.pdf.</t>
  </si>
  <si>
    <t>Chatzimpiros, P., 2011. Les empreintes environnementales de l’approvisionnement alimentaire :</t>
  </si>
  <si>
    <t>CIQUAL : Composition nutritionnelle des Aliments, Anses. Available at: https://pro.anses.fr/tableciqual/ Cited Sept 2016</t>
  </si>
  <si>
    <t>CITEPA (2013). OMINEA, Organisation et Méthodes des Inventaires Nationaux des Emissions Atmosphériques en France"10e edition. Retrieved from  http://www.citepa.org/fr/</t>
  </si>
  <si>
    <t>Clivot, H., Mary, B., Valé, M., Cohan, J.-P., Champolivier, L., Praux, F., Laurent, F., Justes, E. (2017). Quantifying in situ and modeling net nitrogen mineralization from soil organic matter in arable cropping systems. Soil Biology &amp; Biochemistry, 111, 44-59. Doi : org/10.1016/j.soilbio.2017.03.010</t>
  </si>
  <si>
    <r>
      <t xml:space="preserve">CORPEN (1999). </t>
    </r>
    <r>
      <rPr>
        <i/>
        <sz val="11"/>
        <color rgb="FF000000"/>
        <rFont val="Times New Roman"/>
        <family val="1"/>
      </rPr>
      <t>Estimation des flux d’azote, de phosphore et de potassium associés aux vaches laitières et à leur système fourrager.</t>
    </r>
    <r>
      <rPr>
        <sz val="11"/>
        <color rgb="FF000000"/>
        <rFont val="Times New Roman"/>
        <family val="1"/>
      </rPr>
      <t xml:space="preserve"> CORPEN, «Groupe Alimentation » Sous groupe « Vaches laitières ». 18 p.</t>
    </r>
  </si>
  <si>
    <r>
      <t>Diet Grail. Quest for an ideal diet. Phosphorus content of foods ; Protein content of foods.</t>
    </r>
    <r>
      <rPr>
        <sz val="11"/>
        <color rgb="FF000000"/>
        <rFont val="Times New Roman"/>
        <family val="1"/>
      </rPr>
      <t xml:space="preserve"> </t>
    </r>
  </si>
  <si>
    <t>EMEP, 2006. Available at: http://www.emep.int/mscw/mscw_data.html Cited Sept 2016</t>
  </si>
  <si>
    <r>
      <t xml:space="preserve">Esculier, F. (2018). </t>
    </r>
    <r>
      <rPr>
        <i/>
        <sz val="11"/>
        <color theme="1"/>
        <rFont val="Times New Roman"/>
        <family val="1"/>
      </rPr>
      <t>Le système alimentation/excrétion des territoires urbains : régimes et transitions socio-écologiques.</t>
    </r>
    <r>
      <rPr>
        <sz val="11"/>
        <color theme="1"/>
        <rFont val="Times New Roman"/>
        <family val="1"/>
      </rPr>
      <t xml:space="preserve"> PhD Thesis  University Paris-Est. 480 pp.</t>
    </r>
  </si>
  <si>
    <t>Fan, J., McConkey, B., Janzen, H., Townley-Smith, L., Wang, H., (2017). Harvest index-yield relationship for estimating crop residue in cold continental climates. Field Crops Research. 204, 153-157. DOI: 10.1016/j.fcr.2017.01.0140378-4290/Crown</t>
  </si>
  <si>
    <t>Fan, J., McConkey, B., Wang, H., Janzen, H. (2016). Root distribution by depth for temperate agricultural crop. Field Crops Research. 189, 68-74. DOI: org/10.1016/j.fcr.2016.02.013</t>
  </si>
  <si>
    <r>
      <t xml:space="preserve">FAOstat, 2017, Food and Agriculture Organization of the United Nations. available at :  </t>
    </r>
    <r>
      <rPr>
        <sz val="11"/>
        <color theme="1"/>
        <rFont val="Times New Roman"/>
        <family val="1"/>
      </rPr>
      <t>http://faostat.fao.org/site/291/default.aspx Cited 15 oct 2017</t>
    </r>
    <r>
      <rPr>
        <u/>
        <sz val="11"/>
        <color rgb="FF0000FF"/>
        <rFont val="Times New Roman"/>
        <family val="1"/>
      </rPr>
      <t>.</t>
    </r>
  </si>
  <si>
    <t>INSEE, 2017. Institut National de la Statistique et des Etudes Economiques. www.insee.fr/fr/statistiques/</t>
  </si>
  <si>
    <r>
      <t xml:space="preserve">Justes, E., Mary, B., Nicolardot, B. (2009). Quantifying and modelling C and N mineralization kinetics of catch crop residues in soil: parameterization of the residue decomposition module of STICS model for mature and non mature residues. </t>
    </r>
    <r>
      <rPr>
        <i/>
        <sz val="11"/>
        <color theme="1"/>
        <rFont val="Times New Roman"/>
        <family val="1"/>
      </rPr>
      <t>Plant and Soil.</t>
    </r>
    <r>
      <rPr>
        <sz val="11"/>
        <color theme="1"/>
        <rFont val="Times New Roman"/>
        <family val="1"/>
      </rPr>
      <t xml:space="preserve"> 325, 171-185.</t>
    </r>
  </si>
  <si>
    <t>Lassaletta, L., Billen, G.,  Grizzetti, B., Garnier, J., Leach, A.M., Galloway, J.N., 2014. Food and feed trade as a driver in the global nitrogen cycle: 50-year trends. Biogeochemistry, 118:225–241. DOI: 10.1007/s10533-013-9923-4</t>
  </si>
  <si>
    <r>
      <t xml:space="preserve">Le Noë J., Billen, G., Esculier, F., Garnier, J. (2018). </t>
    </r>
    <r>
      <rPr>
        <sz val="11"/>
        <color rgb="FF000033"/>
        <rFont val="Times New Roman"/>
        <family val="1"/>
      </rPr>
      <t xml:space="preserve">Long-term socioecological trajectories of agro-food systems revealed by N and P flows in French regions from 1852 to 2014. </t>
    </r>
    <r>
      <rPr>
        <i/>
        <sz val="11"/>
        <color rgb="FF000033"/>
        <rFont val="Times New Roman"/>
        <family val="1"/>
      </rPr>
      <t>Agriculture Ecosystems and Environment.</t>
    </r>
    <r>
      <rPr>
        <sz val="11"/>
        <color rgb="FF000033"/>
        <rFont val="Times New Roman"/>
        <family val="1"/>
      </rPr>
      <t xml:space="preserve"> 265, 132-143. DOI: </t>
    </r>
    <r>
      <rPr>
        <sz val="11"/>
        <color theme="1"/>
        <rFont val="Times New Roman"/>
        <family val="1"/>
      </rPr>
      <t>10.1016/j.agee.2018.06.006</t>
    </r>
    <r>
      <rPr>
        <sz val="11"/>
        <color rgb="FF000033"/>
        <rFont val="Times New Roman"/>
        <family val="1"/>
      </rPr>
      <t xml:space="preserve"> </t>
    </r>
  </si>
  <si>
    <r>
      <t xml:space="preserve">Le Noë, J., Billen, G., Mary, B., Garnier, J., (2019). Drivers of long-term carbon dynamics in cropland: a bio-political history (France, 1852-2014). Environ. Sci. &amp; Pol, </t>
    </r>
    <r>
      <rPr>
        <sz val="11"/>
        <color theme="1"/>
        <rFont val="Times New Roman"/>
        <family val="1"/>
      </rPr>
      <t>93:53-65. DOI: 10.1016/j.envsci.2018.12.027</t>
    </r>
  </si>
  <si>
    <r>
      <t xml:space="preserve">Ministère de l'Aménagement du Territoire et de l'Environnement (2002). </t>
    </r>
    <r>
      <rPr>
        <i/>
        <sz val="11"/>
        <color rgb="FF000000"/>
        <rFont val="Times New Roman"/>
        <family val="1"/>
      </rPr>
      <t xml:space="preserve">Evaluation des quantités actuelles et futures de déchets épandus sur les sols agricoles et provenant de certaines activités - Lot 3: effluents d'élevage. </t>
    </r>
    <r>
      <rPr>
        <sz val="11"/>
        <color rgb="FF000000"/>
        <rFont val="Times New Roman"/>
        <family val="1"/>
      </rPr>
      <t>Final Report. Retrieved from  http://www.biomasse-normandie.org/IMG/pdf/rapport.pdf</t>
    </r>
  </si>
  <si>
    <r>
      <t xml:space="preserve">Preston, R.L. (2012). Feed composition tables, </t>
    </r>
    <r>
      <rPr>
        <i/>
        <sz val="11"/>
        <color theme="1"/>
        <rFont val="Times New Roman"/>
        <family val="1"/>
      </rPr>
      <t>Beef Magazine</t>
    </r>
    <r>
      <rPr>
        <sz val="11"/>
        <color theme="1"/>
        <rFont val="Times New Roman"/>
        <family val="1"/>
      </rPr>
      <t>, Mar-2012</t>
    </r>
  </si>
  <si>
    <r>
      <t xml:space="preserve">Soltner, D. (2005). </t>
    </r>
    <r>
      <rPr>
        <i/>
        <sz val="11"/>
        <color theme="1"/>
        <rFont val="Times New Roman"/>
        <family val="1"/>
      </rPr>
      <t>Les Bases de la Production Végétales</t>
    </r>
    <r>
      <rPr>
        <sz val="11"/>
        <color theme="1"/>
        <rFont val="Times New Roman"/>
        <family val="1"/>
      </rPr>
      <t xml:space="preserve">. 24th ed. Angers, France : Sciences et Techniques Agricoles. </t>
    </r>
  </si>
  <si>
    <t>Soltner, D., 2008. Alimentation des Animaux Domestiques. 22th edn. Sciences et Techniques Agricoles, Bressuire.</t>
  </si>
  <si>
    <r>
      <t xml:space="preserve">Unifa, 2016. Union des Industries de la fertilisation. La Fertilisation en France. Available at : </t>
    </r>
    <r>
      <rPr>
        <sz val="11"/>
        <color theme="1"/>
        <rFont val="Times New Roman"/>
        <family val="1"/>
      </rPr>
      <t>http://www.unifa.fr/le-marche-en-chiffres/la-fertilisation-en-france.html. Cited 15 oct 2017</t>
    </r>
    <r>
      <rPr>
        <sz val="11"/>
        <color rgb="FF000000"/>
        <rFont val="Times New Roman"/>
        <family val="1"/>
      </rPr>
      <t>.</t>
    </r>
  </si>
  <si>
    <t>USDA, 2016. United States Department of Agriculture. Food Composition Databases (http://ndb.nal.usda.gov) Cited Sept 2016.</t>
  </si>
  <si>
    <t>imports (+) / exports (-) of livestock feed</t>
  </si>
  <si>
    <t>Projection (see Billen et al., 2018 fr details on calculation)</t>
  </si>
  <si>
    <t>INSEE</t>
  </si>
  <si>
    <t>No fert</t>
  </si>
  <si>
    <t>Adjusted in order to reach P balance over cropland = 0 (see Billen et al., 20148 for further details)</t>
  </si>
  <si>
    <t>Adjusted in order to reach P balance over grassland = 0 (see Billen et al., 20148 for further details)</t>
  </si>
  <si>
    <t>Kept constant compared with current level of recycling rate</t>
  </si>
  <si>
    <t>See Le Noe et al., 2018</t>
  </si>
  <si>
    <t>Interpolation from a compilation of studies on weed production in organic farming systems (see Le Noe et al., 2019 for further detail)</t>
  </si>
  <si>
    <t>Preston, 2012</t>
  </si>
  <si>
    <t>Derived from Bolinder 2007 (see Le Noe et al., 2019 SM for description)</t>
  </si>
  <si>
    <t>Justes et al. 2009</t>
  </si>
  <si>
    <r>
      <t>yr</t>
    </r>
    <r>
      <rPr>
        <i/>
        <vertAlign val="superscript"/>
        <sz val="10"/>
        <color rgb="FFFF0000"/>
        <rFont val="Arial"/>
        <family val="2"/>
      </rPr>
      <t>-1</t>
    </r>
    <r>
      <rPr>
        <sz val="11"/>
        <color theme="1"/>
        <rFont val="Calibri"/>
        <family val="2"/>
        <charset val="1"/>
        <scheme val="minor"/>
      </rPr>
      <t/>
    </r>
  </si>
  <si>
    <t>Doublet et al., 2011</t>
  </si>
  <si>
    <t>Energy consumption</t>
  </si>
  <si>
    <t>This file provides the hypotheses, primary data collected to compute the GRAFS of French agricultural regions as well as the complete GRAFS file for the OS scenario in the period 2040-2050. The full methodology of GRAFS modelling has been provided by Le Noe et al., (2018) and Le Noe et al., (2019). The methodology for the development of the scenario and their computation has been explained in Billen et al., (2018). The reader is referred to these three papers for more detailed explanations.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</si>
</sst>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 _€_-;\-* #,##0.00\ _€_-;_-* &quot;-&quot;??\ _€_-;_-@_-"/>
    <numFmt numFmtId="164" formatCode="0.000"/>
    <numFmt numFmtId="165" formatCode="0.0"/>
    <numFmt numFmtId="166" formatCode="0.0000"/>
    <numFmt numFmtId="167" formatCode="##0"/>
    <numFmt numFmtId="168" formatCode="##0.000"/>
    <numFmt numFmtId="169" formatCode="##0.0"/>
    <numFmt numFmtId="170" formatCode="0.00000"/>
  </numFmts>
  <fonts count="83" x14ac:knownFonts="1">
    <font>
      <sz val="11"/>
      <color theme="1"/>
      <name val="Calibri"/>
      <family val="2"/>
      <scheme val="minor"/>
    </font>
    <font>
      <sz val="11"/>
      <color theme="1"/>
      <name val="Calibri"/>
      <family val="2"/>
      <charset val="1"/>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2"/>
      <name val="Arial"/>
      <family val="2"/>
    </font>
    <font>
      <b/>
      <sz val="12"/>
      <color rgb="FF0070C0"/>
      <name val="Arial"/>
      <family val="2"/>
    </font>
    <font>
      <b/>
      <sz val="12"/>
      <color rgb="FFFF0000"/>
      <name val="Arial"/>
      <family val="2"/>
    </font>
    <font>
      <i/>
      <sz val="10"/>
      <name val="Arial"/>
      <family val="2"/>
    </font>
    <font>
      <b/>
      <sz val="11"/>
      <name val="Arial"/>
      <family val="2"/>
    </font>
    <font>
      <b/>
      <sz val="10"/>
      <name val="Arial"/>
      <family val="2"/>
    </font>
    <font>
      <b/>
      <i/>
      <sz val="10"/>
      <name val="Arial"/>
      <family val="2"/>
    </font>
    <font>
      <b/>
      <sz val="18"/>
      <name val="Arial"/>
      <family val="2"/>
    </font>
    <font>
      <sz val="10"/>
      <color rgb="FF0070C0"/>
      <name val="Arial"/>
      <family val="2"/>
    </font>
    <font>
      <i/>
      <sz val="10"/>
      <color rgb="FF0070C0"/>
      <name val="Arial"/>
      <family val="2"/>
    </font>
    <font>
      <sz val="10"/>
      <color theme="4"/>
      <name val="Arial"/>
      <family val="2"/>
    </font>
    <font>
      <sz val="10"/>
      <color rgb="FFFF0000"/>
      <name val="Arial"/>
      <family val="2"/>
    </font>
    <font>
      <i/>
      <sz val="10"/>
      <color rgb="FFFF0000"/>
      <name val="Arial"/>
      <family val="2"/>
    </font>
    <font>
      <sz val="11"/>
      <color rgb="FF000000"/>
      <name val="Calibri"/>
      <family val="2"/>
    </font>
    <font>
      <sz val="10"/>
      <color theme="1"/>
      <name val="Arial"/>
      <family val="2"/>
    </font>
    <font>
      <i/>
      <sz val="10"/>
      <color theme="1"/>
      <name val="Arial"/>
      <family val="2"/>
    </font>
    <font>
      <b/>
      <sz val="10"/>
      <color rgb="FF0070C0"/>
      <name val="Arial"/>
      <family val="2"/>
    </font>
    <font>
      <b/>
      <sz val="10"/>
      <color theme="1"/>
      <name val="Arial"/>
      <family val="2"/>
    </font>
    <font>
      <b/>
      <i/>
      <sz val="10"/>
      <color theme="1"/>
      <name val="Arial"/>
      <family val="2"/>
    </font>
    <font>
      <b/>
      <sz val="11"/>
      <color theme="1"/>
      <name val="Arial"/>
      <family val="2"/>
    </font>
    <font>
      <b/>
      <sz val="10"/>
      <color rgb="FFFF0000"/>
      <name val="Arial"/>
      <family val="2"/>
    </font>
    <font>
      <b/>
      <sz val="14"/>
      <color theme="1"/>
      <name val="Arial"/>
      <family val="2"/>
    </font>
    <font>
      <sz val="11"/>
      <color theme="1"/>
      <name val="Arial"/>
      <family val="2"/>
    </font>
    <font>
      <i/>
      <vertAlign val="superscript"/>
      <sz val="10"/>
      <color rgb="FFFF0000"/>
      <name val="Arial"/>
      <family val="2"/>
    </font>
    <font>
      <b/>
      <sz val="9"/>
      <color indexed="81"/>
      <name val="Tahoma"/>
      <family val="2"/>
    </font>
    <font>
      <sz val="9"/>
      <color indexed="81"/>
      <name val="Tahoma"/>
      <family val="2"/>
    </font>
    <font>
      <sz val="11"/>
      <color indexed="8"/>
      <name val="Calibri"/>
      <family val="2"/>
    </font>
    <font>
      <sz val="11"/>
      <color rgb="FFFF0000"/>
      <name val="Arial"/>
      <family val="2"/>
    </font>
    <font>
      <sz val="10"/>
      <name val="Arial"/>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i/>
      <sz val="11"/>
      <color theme="1"/>
      <name val="Calibri"/>
      <family val="2"/>
      <scheme val="minor"/>
    </font>
    <font>
      <sz val="10"/>
      <color indexed="8"/>
      <name val="Arial"/>
      <family val="2"/>
    </font>
    <font>
      <b/>
      <sz val="10"/>
      <color rgb="FFFF66CC"/>
      <name val="Arial"/>
      <family val="2"/>
    </font>
    <font>
      <b/>
      <sz val="10"/>
      <color rgb="FF00B0F0"/>
      <name val="Arial"/>
      <family val="2"/>
    </font>
    <font>
      <b/>
      <i/>
      <sz val="10"/>
      <color rgb="FF0070C0"/>
      <name val="Arial"/>
      <family val="2"/>
    </font>
    <font>
      <sz val="10"/>
      <color rgb="FF7030A0"/>
      <name val="Arial"/>
      <family val="2"/>
    </font>
    <font>
      <b/>
      <sz val="12"/>
      <color theme="1"/>
      <name val="Arial"/>
      <family val="2"/>
    </font>
    <font>
      <sz val="11"/>
      <color theme="1"/>
      <name val="Times New Roman"/>
      <family val="1"/>
    </font>
    <font>
      <b/>
      <sz val="11"/>
      <color theme="1"/>
      <name val="Times New Roman"/>
      <family val="1"/>
    </font>
    <font>
      <i/>
      <sz val="11"/>
      <color theme="1"/>
      <name val="Times New Roman"/>
      <family val="1"/>
    </font>
    <font>
      <sz val="11"/>
      <color rgb="FF000000"/>
      <name val="Times New Roman"/>
      <family val="1"/>
    </font>
    <font>
      <sz val="11"/>
      <color rgb="FF000066"/>
      <name val="Times New Roman"/>
      <family val="1"/>
    </font>
    <font>
      <i/>
      <sz val="11"/>
      <color rgb="FF000000"/>
      <name val="Times New Roman"/>
      <family val="1"/>
    </font>
    <font>
      <u/>
      <sz val="11"/>
      <color rgb="FF0000FF"/>
      <name val="Times New Roman"/>
      <family val="1"/>
    </font>
    <font>
      <sz val="11"/>
      <color rgb="FF000033"/>
      <name val="Times New Roman"/>
      <family val="1"/>
    </font>
    <font>
      <i/>
      <sz val="11"/>
      <color rgb="FF000033"/>
      <name val="Times New Roman"/>
      <family val="1"/>
    </font>
    <font>
      <sz val="11"/>
      <name val="Arial"/>
      <family val="2"/>
    </font>
    <font>
      <b/>
      <sz val="18"/>
      <color theme="1"/>
      <name val="Arial"/>
      <family val="2"/>
    </font>
  </fonts>
  <fills count="6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5"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theme="0" tint="-0.14999847407452621"/>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s>
  <cellStyleXfs count="62072">
    <xf numFmtId="0" fontId="0" fillId="0" borderId="0"/>
    <xf numFmtId="0" fontId="19" fillId="0" borderId="0"/>
    <xf numFmtId="0" fontId="2" fillId="0" borderId="0"/>
    <xf numFmtId="0" fontId="2" fillId="0" borderId="0"/>
    <xf numFmtId="0" fontId="33"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ill="0" applyBorder="0" applyAlignment="0" applyProtection="0"/>
    <xf numFmtId="0" fontId="2" fillId="0" borderId="0"/>
    <xf numFmtId="0" fontId="2" fillId="0" borderId="0"/>
    <xf numFmtId="0" fontId="2" fillId="0" borderId="0"/>
    <xf numFmtId="0" fontId="2" fillId="0" borderId="0"/>
    <xf numFmtId="0" fontId="46" fillId="0" borderId="0"/>
    <xf numFmtId="0" fontId="2" fillId="0" borderId="0"/>
    <xf numFmtId="0" fontId="2" fillId="0" borderId="0"/>
    <xf numFmtId="0" fontId="19" fillId="0" borderId="0" applyNumberFormat="0" applyFill="0" applyBorder="0" applyAlignment="0" applyProtection="0"/>
    <xf numFmtId="0" fontId="2" fillId="0" borderId="0"/>
    <xf numFmtId="0" fontId="2" fillId="0" borderId="0"/>
    <xf numFmtId="0" fontId="46"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46" fillId="39" borderId="0" applyNumberFormat="0" applyBorder="0" applyAlignment="0" applyProtection="0"/>
    <xf numFmtId="0" fontId="46" fillId="40"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46" fillId="45" borderId="0" applyNumberFormat="0" applyBorder="0" applyAlignment="0" applyProtection="0"/>
    <xf numFmtId="0" fontId="46" fillId="46" borderId="0" applyNumberFormat="0" applyBorder="0" applyAlignment="0" applyProtection="0"/>
    <xf numFmtId="0" fontId="46" fillId="47" borderId="0" applyNumberFormat="0" applyBorder="0" applyAlignment="0" applyProtection="0"/>
    <xf numFmtId="0" fontId="46" fillId="42" borderId="0" applyNumberFormat="0" applyBorder="0" applyAlignment="0" applyProtection="0"/>
    <xf numFmtId="0" fontId="46" fillId="45" borderId="0" applyNumberFormat="0" applyBorder="0" applyAlignment="0" applyProtection="0"/>
    <xf numFmtId="0" fontId="46" fillId="48" borderId="0" applyNumberFormat="0" applyBorder="0" applyAlignment="0" applyProtection="0"/>
    <xf numFmtId="0" fontId="49" fillId="49" borderId="0" applyNumberFormat="0" applyBorder="0" applyAlignment="0" applyProtection="0"/>
    <xf numFmtId="0" fontId="49" fillId="46" borderId="0" applyNumberFormat="0" applyBorder="0" applyAlignment="0" applyProtection="0"/>
    <xf numFmtId="0" fontId="49" fillId="47" borderId="0" applyNumberFormat="0" applyBorder="0" applyAlignment="0" applyProtection="0"/>
    <xf numFmtId="0" fontId="49" fillId="50" borderId="0" applyNumberFormat="0" applyBorder="0" applyAlignment="0" applyProtection="0"/>
    <xf numFmtId="0" fontId="49" fillId="51" borderId="0" applyNumberFormat="0" applyBorder="0" applyAlignment="0" applyProtection="0"/>
    <xf numFmtId="0" fontId="49" fillId="52" borderId="0" applyNumberFormat="0" applyBorder="0" applyAlignment="0" applyProtection="0"/>
    <xf numFmtId="0" fontId="49" fillId="53" borderId="0" applyNumberFormat="0" applyBorder="0" applyAlignment="0" applyProtection="0"/>
    <xf numFmtId="0" fontId="49" fillId="54" borderId="0" applyNumberFormat="0" applyBorder="0" applyAlignment="0" applyProtection="0"/>
    <xf numFmtId="0" fontId="49" fillId="55" borderId="0" applyNumberFormat="0" applyBorder="0" applyAlignment="0" applyProtection="0"/>
    <xf numFmtId="0" fontId="49" fillId="50" borderId="0" applyNumberFormat="0" applyBorder="0" applyAlignment="0" applyProtection="0"/>
    <xf numFmtId="0" fontId="49" fillId="51" borderId="0" applyNumberFormat="0" applyBorder="0" applyAlignment="0" applyProtection="0"/>
    <xf numFmtId="0" fontId="49" fillId="56" borderId="0" applyNumberFormat="0" applyBorder="0" applyAlignment="0" applyProtection="0"/>
    <xf numFmtId="0" fontId="50" fillId="0" borderId="0" applyNumberFormat="0" applyFill="0" applyBorder="0" applyAlignment="0" applyProtection="0"/>
    <xf numFmtId="0" fontId="51" fillId="57" borderId="10" applyNumberFormat="0" applyAlignment="0" applyProtection="0"/>
    <xf numFmtId="0" fontId="52" fillId="0" borderId="11" applyNumberFormat="0" applyFill="0" applyAlignment="0" applyProtection="0"/>
    <xf numFmtId="0" fontId="46" fillId="58" borderId="12" applyNumberFormat="0" applyFont="0" applyAlignment="0" applyProtection="0"/>
    <xf numFmtId="0" fontId="53" fillId="44" borderId="10" applyNumberFormat="0" applyAlignment="0" applyProtection="0"/>
    <xf numFmtId="0" fontId="54" fillId="40" borderId="0" applyNumberFormat="0" applyBorder="0" applyAlignment="0" applyProtection="0"/>
    <xf numFmtId="0" fontId="55" fillId="59" borderId="0" applyNumberFormat="0" applyBorder="0" applyAlignment="0" applyProtection="0"/>
    <xf numFmtId="0" fontId="56" fillId="41" borderId="0" applyNumberFormat="0" applyBorder="0" applyAlignment="0" applyProtection="0"/>
    <xf numFmtId="0" fontId="57" fillId="57" borderId="13" applyNumberFormat="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14" applyNumberFormat="0" applyFill="0" applyAlignment="0" applyProtection="0"/>
    <xf numFmtId="0" fontId="61" fillId="0" borderId="15" applyNumberFormat="0" applyFill="0" applyAlignment="0" applyProtection="0"/>
    <xf numFmtId="0" fontId="62" fillId="0" borderId="16" applyNumberFormat="0" applyFill="0" applyAlignment="0" applyProtection="0"/>
    <xf numFmtId="0" fontId="62" fillId="0" borderId="0" applyNumberFormat="0" applyFill="0" applyBorder="0" applyAlignment="0" applyProtection="0"/>
    <xf numFmtId="0" fontId="63" fillId="0" borderId="17" applyNumberFormat="0" applyFill="0" applyAlignment="0" applyProtection="0"/>
    <xf numFmtId="0" fontId="64" fillId="60" borderId="18" applyNumberFormat="0" applyAlignment="0" applyProtection="0"/>
    <xf numFmtId="0" fontId="2" fillId="0" borderId="0"/>
    <xf numFmtId="0" fontId="19" fillId="0" borderId="0"/>
    <xf numFmtId="0" fontId="46" fillId="39" borderId="0" applyNumberFormat="0" applyBorder="0" applyAlignment="0" applyProtection="0"/>
    <xf numFmtId="0" fontId="46" fillId="40"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46" fillId="45" borderId="0" applyNumberFormat="0" applyBorder="0" applyAlignment="0" applyProtection="0"/>
    <xf numFmtId="0" fontId="46" fillId="46" borderId="0" applyNumberFormat="0" applyBorder="0" applyAlignment="0" applyProtection="0"/>
    <xf numFmtId="0" fontId="46" fillId="47" borderId="0" applyNumberFormat="0" applyBorder="0" applyAlignment="0" applyProtection="0"/>
    <xf numFmtId="0" fontId="46" fillId="42" borderId="0" applyNumberFormat="0" applyBorder="0" applyAlignment="0" applyProtection="0"/>
    <xf numFmtId="0" fontId="46" fillId="45" borderId="0" applyNumberFormat="0" applyBorder="0" applyAlignment="0" applyProtection="0"/>
    <xf numFmtId="0" fontId="46" fillId="48" borderId="0" applyNumberFormat="0" applyBorder="0" applyAlignment="0" applyProtection="0"/>
    <xf numFmtId="0" fontId="49" fillId="49" borderId="0" applyNumberFormat="0" applyBorder="0" applyAlignment="0" applyProtection="0"/>
    <xf numFmtId="0" fontId="49" fillId="46" borderId="0" applyNumberFormat="0" applyBorder="0" applyAlignment="0" applyProtection="0"/>
    <xf numFmtId="0" fontId="49" fillId="47" borderId="0" applyNumberFormat="0" applyBorder="0" applyAlignment="0" applyProtection="0"/>
    <xf numFmtId="0" fontId="49" fillId="50" borderId="0" applyNumberFormat="0" applyBorder="0" applyAlignment="0" applyProtection="0"/>
    <xf numFmtId="0" fontId="49" fillId="51" borderId="0" applyNumberFormat="0" applyBorder="0" applyAlignment="0" applyProtection="0"/>
    <xf numFmtId="0" fontId="49" fillId="52" borderId="0" applyNumberFormat="0" applyBorder="0" applyAlignment="0" applyProtection="0"/>
    <xf numFmtId="0" fontId="49" fillId="53" borderId="0" applyNumberFormat="0" applyBorder="0" applyAlignment="0" applyProtection="0"/>
    <xf numFmtId="0" fontId="49" fillId="54" borderId="0" applyNumberFormat="0" applyBorder="0" applyAlignment="0" applyProtection="0"/>
    <xf numFmtId="0" fontId="49" fillId="55" borderId="0" applyNumberFormat="0" applyBorder="0" applyAlignment="0" applyProtection="0"/>
    <xf numFmtId="0" fontId="49" fillId="50" borderId="0" applyNumberFormat="0" applyBorder="0" applyAlignment="0" applyProtection="0"/>
    <xf numFmtId="0" fontId="49" fillId="51" borderId="0" applyNumberFormat="0" applyBorder="0" applyAlignment="0" applyProtection="0"/>
    <xf numFmtId="0" fontId="49" fillId="56" borderId="0" applyNumberFormat="0" applyBorder="0" applyAlignment="0" applyProtection="0"/>
    <xf numFmtId="0" fontId="50" fillId="0" borderId="0" applyNumberFormat="0" applyFill="0" applyBorder="0" applyAlignment="0" applyProtection="0"/>
    <xf numFmtId="0" fontId="51" fillId="57" borderId="10" applyNumberFormat="0" applyAlignment="0" applyProtection="0"/>
    <xf numFmtId="0" fontId="52" fillId="0" borderId="11" applyNumberFormat="0" applyFill="0" applyAlignment="0" applyProtection="0"/>
    <xf numFmtId="0" fontId="46" fillId="58" borderId="12" applyNumberFormat="0" applyFont="0" applyAlignment="0" applyProtection="0"/>
    <xf numFmtId="0" fontId="53" fillId="44" borderId="10" applyNumberFormat="0" applyAlignment="0" applyProtection="0"/>
    <xf numFmtId="0" fontId="54" fillId="40" borderId="0" applyNumberFormat="0" applyBorder="0" applyAlignment="0" applyProtection="0"/>
    <xf numFmtId="0" fontId="55" fillId="59" borderId="0" applyNumberFormat="0" applyBorder="0" applyAlignment="0" applyProtection="0"/>
    <xf numFmtId="0" fontId="56" fillId="41" borderId="0" applyNumberFormat="0" applyBorder="0" applyAlignment="0" applyProtection="0"/>
    <xf numFmtId="0" fontId="57" fillId="57" borderId="13" applyNumberFormat="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14" applyNumberFormat="0" applyFill="0" applyAlignment="0" applyProtection="0"/>
    <xf numFmtId="0" fontId="61" fillId="0" borderId="15" applyNumberFormat="0" applyFill="0" applyAlignment="0" applyProtection="0"/>
    <xf numFmtId="0" fontId="62" fillId="0" borderId="16" applyNumberFormat="0" applyFill="0" applyAlignment="0" applyProtection="0"/>
    <xf numFmtId="0" fontId="62" fillId="0" borderId="0" applyNumberFormat="0" applyFill="0" applyBorder="0" applyAlignment="0" applyProtection="0"/>
    <xf numFmtId="0" fontId="63" fillId="0" borderId="17" applyNumberFormat="0" applyFill="0" applyAlignment="0" applyProtection="0"/>
    <xf numFmtId="0" fontId="64" fillId="60" borderId="18" applyNumberFormat="0" applyAlignment="0" applyProtection="0"/>
    <xf numFmtId="0" fontId="2" fillId="0" borderId="0"/>
    <xf numFmtId="0" fontId="2" fillId="0" borderId="0"/>
    <xf numFmtId="0" fontId="2"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applyNumberFormat="0" applyFill="0" applyBorder="0" applyAlignment="0" applyProtection="0"/>
    <xf numFmtId="0" fontId="19" fillId="0" borderId="0"/>
    <xf numFmtId="43" fontId="19"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33" fillId="0" borderId="0"/>
    <xf numFmtId="0" fontId="2" fillId="0" borderId="0"/>
    <xf numFmtId="43" fontId="2" fillId="0" borderId="0" applyFont="0" applyFill="0" applyBorder="0" applyAlignment="0" applyProtection="0"/>
    <xf numFmtId="0" fontId="19" fillId="0" borderId="0"/>
    <xf numFmtId="0" fontId="46" fillId="39" borderId="0" applyNumberFormat="0" applyBorder="0" applyAlignment="0" applyProtection="0"/>
    <xf numFmtId="0" fontId="46" fillId="40"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46" fillId="45" borderId="0" applyNumberFormat="0" applyBorder="0" applyAlignment="0" applyProtection="0"/>
    <xf numFmtId="0" fontId="46" fillId="46" borderId="0" applyNumberFormat="0" applyBorder="0" applyAlignment="0" applyProtection="0"/>
    <xf numFmtId="0" fontId="46" fillId="47" borderId="0" applyNumberFormat="0" applyBorder="0" applyAlignment="0" applyProtection="0"/>
    <xf numFmtId="0" fontId="46" fillId="42" borderId="0" applyNumberFormat="0" applyBorder="0" applyAlignment="0" applyProtection="0"/>
    <xf numFmtId="0" fontId="46" fillId="45" borderId="0" applyNumberFormat="0" applyBorder="0" applyAlignment="0" applyProtection="0"/>
    <xf numFmtId="0" fontId="46" fillId="48" borderId="0" applyNumberFormat="0" applyBorder="0" applyAlignment="0" applyProtection="0"/>
    <xf numFmtId="0" fontId="49" fillId="49" borderId="0" applyNumberFormat="0" applyBorder="0" applyAlignment="0" applyProtection="0"/>
    <xf numFmtId="0" fontId="49" fillId="46" borderId="0" applyNumberFormat="0" applyBorder="0" applyAlignment="0" applyProtection="0"/>
    <xf numFmtId="0" fontId="49" fillId="47" borderId="0" applyNumberFormat="0" applyBorder="0" applyAlignment="0" applyProtection="0"/>
    <xf numFmtId="0" fontId="49" fillId="50" borderId="0" applyNumberFormat="0" applyBorder="0" applyAlignment="0" applyProtection="0"/>
    <xf numFmtId="0" fontId="49" fillId="51" borderId="0" applyNumberFormat="0" applyBorder="0" applyAlignment="0" applyProtection="0"/>
    <xf numFmtId="0" fontId="49" fillId="52" borderId="0" applyNumberFormat="0" applyBorder="0" applyAlignment="0" applyProtection="0"/>
    <xf numFmtId="0" fontId="49" fillId="53" borderId="0" applyNumberFormat="0" applyBorder="0" applyAlignment="0" applyProtection="0"/>
    <xf numFmtId="0" fontId="49" fillId="54" borderId="0" applyNumberFormat="0" applyBorder="0" applyAlignment="0" applyProtection="0"/>
    <xf numFmtId="0" fontId="49" fillId="55" borderId="0" applyNumberFormat="0" applyBorder="0" applyAlignment="0" applyProtection="0"/>
    <xf numFmtId="0" fontId="49" fillId="50" borderId="0" applyNumberFormat="0" applyBorder="0" applyAlignment="0" applyProtection="0"/>
    <xf numFmtId="0" fontId="49" fillId="51" borderId="0" applyNumberFormat="0" applyBorder="0" applyAlignment="0" applyProtection="0"/>
    <xf numFmtId="0" fontId="49" fillId="56" borderId="0" applyNumberFormat="0" applyBorder="0" applyAlignment="0" applyProtection="0"/>
    <xf numFmtId="0" fontId="50" fillId="0" borderId="0" applyNumberFormat="0" applyFill="0" applyBorder="0" applyAlignment="0" applyProtection="0"/>
    <xf numFmtId="0" fontId="51" fillId="57" borderId="10" applyNumberFormat="0" applyAlignment="0" applyProtection="0"/>
    <xf numFmtId="0" fontId="52" fillId="0" borderId="11" applyNumberFormat="0" applyFill="0" applyAlignment="0" applyProtection="0"/>
    <xf numFmtId="0" fontId="46" fillId="58" borderId="12" applyNumberFormat="0" applyFont="0" applyAlignment="0" applyProtection="0"/>
    <xf numFmtId="0" fontId="53" fillId="44" borderId="10" applyNumberFormat="0" applyAlignment="0" applyProtection="0"/>
    <xf numFmtId="0" fontId="54" fillId="40" borderId="0" applyNumberFormat="0" applyBorder="0" applyAlignment="0" applyProtection="0"/>
    <xf numFmtId="0" fontId="55" fillId="59" borderId="0" applyNumberFormat="0" applyBorder="0" applyAlignment="0" applyProtection="0"/>
    <xf numFmtId="0" fontId="56" fillId="41" borderId="0" applyNumberFormat="0" applyBorder="0" applyAlignment="0" applyProtection="0"/>
    <xf numFmtId="0" fontId="57" fillId="57" borderId="13" applyNumberFormat="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14" applyNumberFormat="0" applyFill="0" applyAlignment="0" applyProtection="0"/>
    <xf numFmtId="0" fontId="61" fillId="0" borderId="15" applyNumberFormat="0" applyFill="0" applyAlignment="0" applyProtection="0"/>
    <xf numFmtId="0" fontId="62" fillId="0" borderId="16" applyNumberFormat="0" applyFill="0" applyAlignment="0" applyProtection="0"/>
    <xf numFmtId="0" fontId="62" fillId="0" borderId="0" applyNumberFormat="0" applyFill="0" applyBorder="0" applyAlignment="0" applyProtection="0"/>
    <xf numFmtId="0" fontId="63" fillId="0" borderId="17" applyNumberFormat="0" applyFill="0" applyAlignment="0" applyProtection="0"/>
    <xf numFmtId="0" fontId="64" fillId="60" borderId="18" applyNumberForma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46" fillId="39" borderId="0" applyNumberFormat="0" applyBorder="0" applyAlignment="0" applyProtection="0"/>
    <xf numFmtId="0" fontId="46" fillId="40"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46" fillId="45" borderId="0" applyNumberFormat="0" applyBorder="0" applyAlignment="0" applyProtection="0"/>
    <xf numFmtId="0" fontId="46" fillId="46" borderId="0" applyNumberFormat="0" applyBorder="0" applyAlignment="0" applyProtection="0"/>
    <xf numFmtId="0" fontId="46" fillId="47" borderId="0" applyNumberFormat="0" applyBorder="0" applyAlignment="0" applyProtection="0"/>
    <xf numFmtId="0" fontId="46" fillId="42" borderId="0" applyNumberFormat="0" applyBorder="0" applyAlignment="0" applyProtection="0"/>
    <xf numFmtId="0" fontId="46" fillId="45" borderId="0" applyNumberFormat="0" applyBorder="0" applyAlignment="0" applyProtection="0"/>
    <xf numFmtId="0" fontId="46" fillId="48" borderId="0" applyNumberFormat="0" applyBorder="0" applyAlignment="0" applyProtection="0"/>
    <xf numFmtId="0" fontId="49" fillId="49" borderId="0" applyNumberFormat="0" applyBorder="0" applyAlignment="0" applyProtection="0"/>
    <xf numFmtId="0" fontId="49" fillId="46" borderId="0" applyNumberFormat="0" applyBorder="0" applyAlignment="0" applyProtection="0"/>
    <xf numFmtId="0" fontId="49" fillId="47" borderId="0" applyNumberFormat="0" applyBorder="0" applyAlignment="0" applyProtection="0"/>
    <xf numFmtId="0" fontId="49" fillId="50" borderId="0" applyNumberFormat="0" applyBorder="0" applyAlignment="0" applyProtection="0"/>
    <xf numFmtId="0" fontId="49" fillId="51" borderId="0" applyNumberFormat="0" applyBorder="0" applyAlignment="0" applyProtection="0"/>
    <xf numFmtId="0" fontId="49" fillId="52" borderId="0" applyNumberFormat="0" applyBorder="0" applyAlignment="0" applyProtection="0"/>
    <xf numFmtId="0" fontId="49" fillId="53" borderId="0" applyNumberFormat="0" applyBorder="0" applyAlignment="0" applyProtection="0"/>
    <xf numFmtId="0" fontId="49" fillId="54" borderId="0" applyNumberFormat="0" applyBorder="0" applyAlignment="0" applyProtection="0"/>
    <xf numFmtId="0" fontId="49" fillId="55" borderId="0" applyNumberFormat="0" applyBorder="0" applyAlignment="0" applyProtection="0"/>
    <xf numFmtId="0" fontId="49" fillId="50" borderId="0" applyNumberFormat="0" applyBorder="0" applyAlignment="0" applyProtection="0"/>
    <xf numFmtId="0" fontId="49" fillId="51" borderId="0" applyNumberFormat="0" applyBorder="0" applyAlignment="0" applyProtection="0"/>
    <xf numFmtId="0" fontId="49" fillId="56" borderId="0" applyNumberFormat="0" applyBorder="0" applyAlignment="0" applyProtection="0"/>
    <xf numFmtId="0" fontId="50" fillId="0" borderId="0" applyNumberFormat="0" applyFill="0" applyBorder="0" applyAlignment="0" applyProtection="0"/>
    <xf numFmtId="0" fontId="51" fillId="57" borderId="10" applyNumberFormat="0" applyAlignment="0" applyProtection="0"/>
    <xf numFmtId="0" fontId="52" fillId="0" borderId="11" applyNumberFormat="0" applyFill="0" applyAlignment="0" applyProtection="0"/>
    <xf numFmtId="0" fontId="46" fillId="58" borderId="12" applyNumberFormat="0" applyFont="0" applyAlignment="0" applyProtection="0"/>
    <xf numFmtId="0" fontId="53" fillId="44" borderId="10" applyNumberFormat="0" applyAlignment="0" applyProtection="0"/>
    <xf numFmtId="0" fontId="54" fillId="40" borderId="0" applyNumberFormat="0" applyBorder="0" applyAlignment="0" applyProtection="0"/>
    <xf numFmtId="0" fontId="55" fillId="59" borderId="0" applyNumberFormat="0" applyBorder="0" applyAlignment="0" applyProtection="0"/>
    <xf numFmtId="0" fontId="56" fillId="41" borderId="0" applyNumberFormat="0" applyBorder="0" applyAlignment="0" applyProtection="0"/>
    <xf numFmtId="0" fontId="57" fillId="57" borderId="13" applyNumberFormat="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14" applyNumberFormat="0" applyFill="0" applyAlignment="0" applyProtection="0"/>
    <xf numFmtId="0" fontId="61" fillId="0" borderId="15" applyNumberFormat="0" applyFill="0" applyAlignment="0" applyProtection="0"/>
    <xf numFmtId="0" fontId="62" fillId="0" borderId="16" applyNumberFormat="0" applyFill="0" applyAlignment="0" applyProtection="0"/>
    <xf numFmtId="0" fontId="62" fillId="0" borderId="0" applyNumberFormat="0" applyFill="0" applyBorder="0" applyAlignment="0" applyProtection="0"/>
    <xf numFmtId="0" fontId="63" fillId="0" borderId="17" applyNumberFormat="0" applyFill="0" applyAlignment="0" applyProtection="0"/>
    <xf numFmtId="0" fontId="64" fillId="60" borderId="18" applyNumberFormat="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19"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19" fillId="0" borderId="0"/>
    <xf numFmtId="43" fontId="19"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8" applyNumberFormat="0" applyFont="0" applyAlignment="0" applyProtection="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46" fillId="0" borderId="0" applyBorder="0" applyProtection="0"/>
    <xf numFmtId="0" fontId="66" fillId="0" borderId="0" applyBorder="0" applyProtection="0"/>
    <xf numFmtId="0" fontId="46" fillId="0" borderId="0" applyBorder="0" applyProtection="0"/>
    <xf numFmtId="0" fontId="46" fillId="0" borderId="0" applyBorder="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cellStyleXfs>
  <cellXfs count="394">
    <xf numFmtId="0" fontId="0" fillId="0" borderId="0" xfId="0"/>
    <xf numFmtId="0" fontId="19" fillId="0" borderId="0" xfId="0" applyFont="1"/>
    <xf numFmtId="0" fontId="20" fillId="0" borderId="0" xfId="0" applyFont="1"/>
    <xf numFmtId="0" fontId="23" fillId="0" borderId="0" xfId="0" applyFont="1"/>
    <xf numFmtId="0" fontId="24" fillId="0" borderId="0" xfId="0" applyFont="1"/>
    <xf numFmtId="0" fontId="25" fillId="0" borderId="0" xfId="0" applyFont="1"/>
    <xf numFmtId="0" fontId="25" fillId="0" borderId="0" xfId="0" applyFont="1" applyFill="1" applyBorder="1" applyAlignment="1">
      <alignment horizontal="right"/>
    </xf>
    <xf numFmtId="0" fontId="26" fillId="0" borderId="0" xfId="0" applyFont="1"/>
    <xf numFmtId="0" fontId="19" fillId="0" borderId="0" xfId="0" applyFont="1" applyFill="1"/>
    <xf numFmtId="0" fontId="19" fillId="34" borderId="0" xfId="0" applyFont="1" applyFill="1"/>
    <xf numFmtId="0" fontId="27" fillId="34" borderId="0" xfId="0" applyFont="1" applyFill="1"/>
    <xf numFmtId="0" fontId="23" fillId="34" borderId="0" xfId="0" applyFont="1" applyFill="1"/>
    <xf numFmtId="0" fontId="28" fillId="0" borderId="0" xfId="0" applyFont="1" applyFill="1"/>
    <xf numFmtId="0" fontId="29" fillId="0" borderId="0" xfId="0" applyFont="1" applyFill="1"/>
    <xf numFmtId="164" fontId="28" fillId="0" borderId="0" xfId="0" applyNumberFormat="1" applyFont="1" applyFill="1"/>
    <xf numFmtId="165" fontId="28" fillId="0" borderId="0" xfId="0" applyNumberFormat="1" applyFont="1"/>
    <xf numFmtId="2" fontId="30" fillId="0" borderId="0" xfId="0" applyNumberFormat="1" applyFont="1" applyFill="1"/>
    <xf numFmtId="2" fontId="19" fillId="0" borderId="0" xfId="0" applyNumberFormat="1" applyFont="1" applyFill="1"/>
    <xf numFmtId="0" fontId="32" fillId="0" borderId="0" xfId="0" applyFont="1" applyFill="1"/>
    <xf numFmtId="0" fontId="31" fillId="0" borderId="0" xfId="0" applyFont="1" applyFill="1"/>
    <xf numFmtId="0" fontId="28" fillId="0" borderId="0" xfId="0" applyFont="1"/>
    <xf numFmtId="0" fontId="25" fillId="0" borderId="0" xfId="0" applyFont="1" applyFill="1"/>
    <xf numFmtId="0" fontId="23" fillId="0" borderId="0" xfId="0" applyFont="1" applyFill="1"/>
    <xf numFmtId="0" fontId="25" fillId="35" borderId="0" xfId="0" applyFont="1" applyFill="1"/>
    <xf numFmtId="2" fontId="28" fillId="0" borderId="0" xfId="0" applyNumberFormat="1" applyFont="1" applyFill="1"/>
    <xf numFmtId="1" fontId="19" fillId="0" borderId="0" xfId="0" applyNumberFormat="1" applyFont="1" applyFill="1"/>
    <xf numFmtId="165" fontId="28" fillId="0" borderId="0" xfId="0" applyNumberFormat="1" applyFont="1" applyFill="1"/>
    <xf numFmtId="165" fontId="31" fillId="0" borderId="0" xfId="0" applyNumberFormat="1" applyFont="1" applyFill="1"/>
    <xf numFmtId="0" fontId="34" fillId="0" borderId="0" xfId="0" applyFont="1" applyFill="1"/>
    <xf numFmtId="0" fontId="35" fillId="0" borderId="0" xfId="0" applyFont="1" applyFill="1"/>
    <xf numFmtId="0" fontId="32" fillId="0" borderId="0" xfId="0" applyFont="1"/>
    <xf numFmtId="2" fontId="31" fillId="0" borderId="0" xfId="0" applyNumberFormat="1" applyFont="1" applyFill="1"/>
    <xf numFmtId="166" fontId="31" fillId="0" borderId="0" xfId="0" applyNumberFormat="1" applyFont="1" applyFill="1"/>
    <xf numFmtId="0" fontId="34" fillId="0" borderId="0" xfId="0" applyFont="1"/>
    <xf numFmtId="0" fontId="29" fillId="0" borderId="0" xfId="0" applyFont="1"/>
    <xf numFmtId="0" fontId="36" fillId="0" borderId="0" xfId="0" applyFont="1" applyFill="1"/>
    <xf numFmtId="0" fontId="37" fillId="0" borderId="0" xfId="0" applyFont="1" applyFill="1"/>
    <xf numFmtId="0" fontId="31" fillId="0" borderId="0" xfId="0" applyFont="1" applyBorder="1" applyAlignment="1">
      <alignment horizontal="justify" vertical="center" wrapText="1"/>
    </xf>
    <xf numFmtId="0" fontId="32" fillId="0" borderId="0" xfId="0" applyFont="1" applyFill="1" applyBorder="1"/>
    <xf numFmtId="0" fontId="31" fillId="0" borderId="0" xfId="0" applyFont="1" applyFill="1" applyBorder="1" applyAlignment="1">
      <alignment horizontal="justify" vertical="center" wrapText="1"/>
    </xf>
    <xf numFmtId="0" fontId="37" fillId="0" borderId="0" xfId="0" applyFont="1"/>
    <xf numFmtId="0" fontId="19" fillId="0" borderId="0" xfId="0" applyFont="1" applyBorder="1" applyAlignment="1">
      <alignment horizontal="justify" vertical="center" wrapText="1"/>
    </xf>
    <xf numFmtId="0" fontId="19" fillId="0" borderId="0" xfId="0" applyFont="1" applyFill="1" applyBorder="1" applyAlignment="1">
      <alignment horizontal="justify" vertical="center" wrapText="1"/>
    </xf>
    <xf numFmtId="1" fontId="28" fillId="0" borderId="0" xfId="0" applyNumberFormat="1" applyFont="1" applyFill="1"/>
    <xf numFmtId="0" fontId="19" fillId="0" borderId="0" xfId="0" applyFont="1" applyFill="1" applyBorder="1"/>
    <xf numFmtId="0" fontId="28" fillId="0" borderId="0" xfId="0" applyFont="1" applyBorder="1" applyAlignment="1">
      <alignment horizontal="justify" vertical="center" wrapText="1"/>
    </xf>
    <xf numFmtId="1" fontId="28" fillId="0" borderId="0" xfId="0" applyNumberFormat="1" applyFont="1"/>
    <xf numFmtId="0" fontId="31" fillId="0" borderId="0" xfId="0" applyFont="1" applyAlignment="1">
      <alignment horizontal="justify" vertical="center" wrapText="1"/>
    </xf>
    <xf numFmtId="0" fontId="31" fillId="0" borderId="0" xfId="0" applyFont="1" applyBorder="1" applyAlignment="1">
      <alignment horizontal="left" vertical="center" wrapText="1"/>
    </xf>
    <xf numFmtId="0" fontId="31" fillId="0" borderId="0" xfId="0" applyFont="1" applyBorder="1" applyAlignment="1">
      <alignment horizontal="left" vertical="center"/>
    </xf>
    <xf numFmtId="0" fontId="31" fillId="0" borderId="0" xfId="0" applyFont="1" applyBorder="1" applyAlignment="1">
      <alignment horizontal="right" vertical="center" wrapText="1"/>
    </xf>
    <xf numFmtId="0" fontId="31" fillId="0" borderId="0" xfId="0" applyFont="1" applyBorder="1" applyAlignment="1">
      <alignment horizontal="right"/>
    </xf>
    <xf numFmtId="0" fontId="25" fillId="0" borderId="0" xfId="0" applyFont="1" applyFill="1" applyAlignment="1">
      <alignment horizontal="left"/>
    </xf>
    <xf numFmtId="0" fontId="26" fillId="0" borderId="0" xfId="0" applyFont="1" applyFill="1"/>
    <xf numFmtId="165" fontId="19" fillId="0" borderId="0" xfId="0" applyNumberFormat="1" applyFont="1" applyFill="1"/>
    <xf numFmtId="0" fontId="31" fillId="0" borderId="0" xfId="0" applyFont="1" applyFill="1" applyBorder="1"/>
    <xf numFmtId="1" fontId="19" fillId="0" borderId="0" xfId="0" applyNumberFormat="1" applyFont="1" applyFill="1" applyBorder="1"/>
    <xf numFmtId="0" fontId="34" fillId="0" borderId="0" xfId="0" applyFont="1" applyFill="1" applyBorder="1" applyAlignment="1">
      <alignment horizontal="justify" vertical="center" wrapText="1"/>
    </xf>
    <xf numFmtId="0" fontId="34" fillId="0" borderId="0" xfId="0" applyFont="1" applyFill="1" applyBorder="1" applyAlignment="1">
      <alignment horizontal="justify" vertical="top" wrapText="1"/>
    </xf>
    <xf numFmtId="0" fontId="19" fillId="0" borderId="0" xfId="0" applyFont="1" applyFill="1" applyBorder="1" applyAlignment="1">
      <alignment horizontal="right"/>
    </xf>
    <xf numFmtId="0" fontId="19" fillId="0" borderId="0" xfId="0" applyFont="1" applyFill="1" applyAlignment="1">
      <alignment horizontal="left"/>
    </xf>
    <xf numFmtId="0" fontId="34" fillId="0" borderId="0" xfId="0" applyFont="1" applyFill="1" applyBorder="1" applyAlignment="1">
      <alignment horizontal="justify" vertical="top"/>
    </xf>
    <xf numFmtId="0" fontId="25" fillId="35" borderId="0" xfId="0" applyFont="1" applyFill="1" applyAlignment="1">
      <alignment horizontal="left" vertical="top"/>
    </xf>
    <xf numFmtId="0" fontId="31" fillId="0" borderId="0" xfId="0" applyFont="1" applyAlignment="1">
      <alignment horizontal="justify" vertical="center"/>
    </xf>
    <xf numFmtId="0" fontId="37" fillId="35" borderId="0" xfId="0" applyFont="1" applyFill="1" applyAlignment="1">
      <alignment horizontal="justify" vertical="center"/>
    </xf>
    <xf numFmtId="0" fontId="34" fillId="0" borderId="0" xfId="0" applyFont="1" applyAlignment="1">
      <alignment horizontal="left" vertical="top"/>
    </xf>
    <xf numFmtId="1" fontId="31" fillId="0" borderId="0" xfId="0" applyNumberFormat="1" applyFont="1" applyFill="1"/>
    <xf numFmtId="0" fontId="37" fillId="35" borderId="0" xfId="0" applyFont="1" applyFill="1"/>
    <xf numFmtId="0" fontId="38" fillId="35" borderId="0" xfId="0" applyFont="1" applyFill="1"/>
    <xf numFmtId="0" fontId="39" fillId="0" borderId="0" xfId="0" applyFont="1"/>
    <xf numFmtId="2" fontId="34" fillId="0" borderId="0" xfId="0" applyNumberFormat="1" applyFont="1" applyFill="1"/>
    <xf numFmtId="165" fontId="34" fillId="0" borderId="0" xfId="0" applyNumberFormat="1" applyFont="1" applyFill="1"/>
    <xf numFmtId="1" fontId="34" fillId="0" borderId="0" xfId="0" applyNumberFormat="1" applyFont="1" applyFill="1"/>
    <xf numFmtId="1" fontId="37" fillId="0" borderId="0" xfId="0" applyNumberFormat="1" applyFont="1" applyFill="1"/>
    <xf numFmtId="2" fontId="37" fillId="0" borderId="0" xfId="0" applyNumberFormat="1" applyFont="1" applyFill="1"/>
    <xf numFmtId="0" fontId="29" fillId="0" borderId="0" xfId="0" applyFont="1" applyFill="1" applyBorder="1" applyAlignment="1">
      <alignment horizontal="left" vertical="top"/>
    </xf>
    <xf numFmtId="0" fontId="28" fillId="0" borderId="0" xfId="0" applyFont="1" applyFill="1" applyBorder="1" applyAlignment="1">
      <alignment horizontal="left" vertical="top"/>
    </xf>
    <xf numFmtId="0" fontId="38" fillId="0" borderId="0" xfId="0" applyFont="1" applyFill="1" applyBorder="1" applyAlignment="1">
      <alignment horizontal="left" vertical="top"/>
    </xf>
    <xf numFmtId="0" fontId="37" fillId="0" borderId="0" xfId="0" applyFont="1" applyFill="1" applyBorder="1" applyAlignment="1">
      <alignment horizontal="left" vertical="top"/>
    </xf>
    <xf numFmtId="0" fontId="31" fillId="0" borderId="0" xfId="0" applyFont="1" applyFill="1" applyBorder="1" applyAlignment="1">
      <alignment horizontal="left" vertical="top"/>
    </xf>
    <xf numFmtId="0" fontId="32" fillId="0" borderId="0" xfId="0" applyFont="1" applyFill="1" applyBorder="1" applyAlignment="1">
      <alignment horizontal="left" vertical="top"/>
    </xf>
    <xf numFmtId="168" fontId="34" fillId="0" borderId="0" xfId="0" applyNumberFormat="1" applyFont="1" applyFill="1" applyBorder="1" applyAlignment="1">
      <alignment horizontal="right" vertical="top"/>
    </xf>
    <xf numFmtId="0" fontId="19" fillId="0" borderId="0" xfId="0" applyFont="1" applyFill="1" applyBorder="1" applyAlignment="1">
      <alignment horizontal="left" vertical="top"/>
    </xf>
    <xf numFmtId="0" fontId="23" fillId="0" borderId="0" xfId="0" applyFont="1" applyFill="1" applyBorder="1" applyAlignment="1">
      <alignment horizontal="left" vertical="top"/>
    </xf>
    <xf numFmtId="167" fontId="34" fillId="0" borderId="0" xfId="0" applyNumberFormat="1" applyFont="1" applyFill="1" applyBorder="1" applyAlignment="1">
      <alignment horizontal="right" vertical="top"/>
    </xf>
    <xf numFmtId="0" fontId="37" fillId="35" borderId="0" xfId="0" applyFont="1" applyFill="1" applyBorder="1" applyAlignment="1">
      <alignment horizontal="left" vertical="top"/>
    </xf>
    <xf numFmtId="0" fontId="38" fillId="35" borderId="0" xfId="0" applyFont="1" applyFill="1" applyBorder="1" applyAlignment="1">
      <alignment horizontal="left" vertical="top"/>
    </xf>
    <xf numFmtId="0" fontId="31" fillId="0" borderId="0" xfId="0" applyFont="1" applyFill="1" applyAlignment="1">
      <alignment horizontal="center" vertical="center"/>
    </xf>
    <xf numFmtId="0" fontId="31" fillId="0" borderId="0" xfId="0" applyFont="1" applyFill="1" applyAlignment="1">
      <alignment horizontal="center"/>
    </xf>
    <xf numFmtId="0" fontId="32" fillId="0" borderId="0" xfId="8" applyFont="1" applyFill="1"/>
    <xf numFmtId="0" fontId="31" fillId="0" borderId="0" xfId="8" applyFont="1" applyFill="1"/>
    <xf numFmtId="0" fontId="42" fillId="0" borderId="0" xfId="8" applyFont="1" applyFill="1"/>
    <xf numFmtId="0" fontId="19" fillId="0" borderId="0" xfId="0" applyFont="1" applyAlignment="1"/>
    <xf numFmtId="0" fontId="19" fillId="0" borderId="0" xfId="0" applyFont="1" applyFill="1" applyAlignment="1"/>
    <xf numFmtId="0" fontId="28" fillId="0" borderId="0" xfId="0" applyFont="1" applyFill="1" applyAlignment="1"/>
    <xf numFmtId="0" fontId="31" fillId="0" borderId="0" xfId="0" applyFont="1" applyAlignment="1"/>
    <xf numFmtId="0" fontId="31" fillId="0" borderId="0" xfId="0" applyFont="1" applyFill="1" applyAlignment="1"/>
    <xf numFmtId="165" fontId="31" fillId="0" borderId="0" xfId="2" applyNumberFormat="1" applyFont="1" applyAlignment="1"/>
    <xf numFmtId="0" fontId="23" fillId="0" borderId="0" xfId="0" applyFont="1" applyFill="1" applyAlignment="1"/>
    <xf numFmtId="0" fontId="25" fillId="35" borderId="0" xfId="0" applyFont="1" applyFill="1" applyAlignment="1"/>
    <xf numFmtId="2" fontId="28" fillId="0" borderId="0" xfId="0" applyNumberFormat="1" applyFont="1" applyFill="1" applyAlignment="1"/>
    <xf numFmtId="1" fontId="19" fillId="0" borderId="0" xfId="0" applyNumberFormat="1" applyFont="1" applyFill="1" applyAlignment="1"/>
    <xf numFmtId="165" fontId="31" fillId="0" borderId="0" xfId="0" applyNumberFormat="1" applyFont="1" applyFill="1" applyAlignment="1"/>
    <xf numFmtId="0" fontId="34" fillId="0" borderId="0" xfId="0" applyFont="1" applyFill="1" applyAlignment="1"/>
    <xf numFmtId="0" fontId="35" fillId="0" borderId="0" xfId="0" applyFont="1" applyFill="1" applyAlignment="1"/>
    <xf numFmtId="165" fontId="19" fillId="0" borderId="0" xfId="4" applyNumberFormat="1" applyFont="1" applyFill="1" applyAlignment="1"/>
    <xf numFmtId="2" fontId="31" fillId="0" borderId="0" xfId="0" applyNumberFormat="1" applyFont="1" applyFill="1" applyAlignment="1"/>
    <xf numFmtId="0" fontId="34" fillId="0" borderId="0" xfId="0" applyFont="1" applyAlignment="1"/>
    <xf numFmtId="0" fontId="32" fillId="0" borderId="0" xfId="0" applyFont="1" applyFill="1" applyBorder="1" applyAlignment="1"/>
    <xf numFmtId="0" fontId="31" fillId="0" borderId="0" xfId="0" applyFont="1" applyFill="1" applyBorder="1" applyAlignment="1">
      <alignment horizontal="justify" vertical="center"/>
    </xf>
    <xf numFmtId="0" fontId="19" fillId="0" borderId="0" xfId="0" applyFont="1" applyBorder="1" applyAlignment="1">
      <alignment horizontal="justify" vertical="center"/>
    </xf>
    <xf numFmtId="0" fontId="19" fillId="0" borderId="0" xfId="0" applyFont="1" applyFill="1" applyBorder="1" applyAlignment="1">
      <alignment horizontal="justify" vertical="center"/>
    </xf>
    <xf numFmtId="0" fontId="19" fillId="0" borderId="0" xfId="0" applyFont="1" applyFill="1" applyBorder="1" applyAlignment="1"/>
    <xf numFmtId="1" fontId="31" fillId="0" borderId="0" xfId="2" applyNumberFormat="1" applyFont="1" applyAlignment="1"/>
    <xf numFmtId="0" fontId="31" fillId="0" borderId="0" xfId="0" applyFont="1" applyBorder="1" applyAlignment="1">
      <alignment horizontal="right" vertical="center"/>
    </xf>
    <xf numFmtId="165" fontId="19" fillId="0" borderId="0" xfId="0" applyNumberFormat="1" applyFont="1" applyFill="1" applyAlignment="1"/>
    <xf numFmtId="164" fontId="31" fillId="0" borderId="0" xfId="0" applyNumberFormat="1" applyFont="1" applyFill="1" applyAlignment="1"/>
    <xf numFmtId="0" fontId="34" fillId="0" borderId="0" xfId="0" applyFont="1" applyFill="1" applyBorder="1" applyAlignment="1">
      <alignment horizontal="justify" vertical="center"/>
    </xf>
    <xf numFmtId="0" fontId="35" fillId="0" borderId="0" xfId="5" applyFont="1" applyFill="1" applyAlignment="1"/>
    <xf numFmtId="0" fontId="34" fillId="0" borderId="0" xfId="5" applyFont="1" applyFill="1" applyAlignment="1"/>
    <xf numFmtId="0" fontId="38" fillId="0" borderId="0" xfId="5" applyFont="1" applyFill="1" applyAlignment="1"/>
    <xf numFmtId="0" fontId="37" fillId="0" borderId="0" xfId="5" applyFont="1" applyFill="1" applyAlignment="1"/>
    <xf numFmtId="1" fontId="25" fillId="0" borderId="0" xfId="0" applyNumberFormat="1" applyFont="1" applyFill="1" applyAlignment="1"/>
    <xf numFmtId="0" fontId="32" fillId="0" borderId="0" xfId="5" applyFont="1" applyFill="1" applyAlignment="1"/>
    <xf numFmtId="0" fontId="34" fillId="0" borderId="0" xfId="0" applyFont="1" applyFill="1" applyBorder="1" applyAlignment="1">
      <alignment vertical="top"/>
    </xf>
    <xf numFmtId="0" fontId="34" fillId="0" borderId="0" xfId="0" applyFont="1" applyFill="1" applyBorder="1" applyAlignment="1">
      <alignment horizontal="left" vertical="top"/>
    </xf>
    <xf numFmtId="0" fontId="26" fillId="0" borderId="0" xfId="5" applyFont="1" applyFill="1" applyAlignment="1"/>
    <xf numFmtId="0" fontId="25" fillId="0" borderId="0" xfId="5" applyFont="1" applyFill="1" applyAlignment="1"/>
    <xf numFmtId="0" fontId="23" fillId="0" borderId="0" xfId="5" applyFont="1" applyFill="1" applyAlignment="1"/>
    <xf numFmtId="0" fontId="19" fillId="0" borderId="0" xfId="5" applyFont="1" applyFill="1" applyAlignment="1"/>
    <xf numFmtId="2" fontId="34" fillId="0" borderId="0" xfId="0" applyNumberFormat="1" applyFont="1" applyFill="1" applyAlignment="1"/>
    <xf numFmtId="165" fontId="34" fillId="0" borderId="0" xfId="0" applyNumberFormat="1" applyFont="1" applyFill="1" applyAlignment="1"/>
    <xf numFmtId="2" fontId="37" fillId="0" borderId="0" xfId="8" applyNumberFormat="1" applyFont="1" applyAlignment="1"/>
    <xf numFmtId="2" fontId="25" fillId="0" borderId="0" xfId="8" applyNumberFormat="1" applyFont="1" applyAlignment="1"/>
    <xf numFmtId="0" fontId="19" fillId="0" borderId="0" xfId="1" applyFill="1"/>
    <xf numFmtId="0" fontId="19" fillId="0" borderId="0" xfId="1" applyFont="1" applyFill="1"/>
    <xf numFmtId="0" fontId="25" fillId="34" borderId="0" xfId="1784" applyFont="1" applyFill="1"/>
    <xf numFmtId="0" fontId="25" fillId="35" borderId="0" xfId="1784" applyFont="1" applyFill="1"/>
    <xf numFmtId="2" fontId="37" fillId="0" borderId="0" xfId="6693" applyNumberFormat="1" applyFont="1"/>
    <xf numFmtId="0" fontId="34" fillId="0" borderId="0" xfId="6693" applyFont="1"/>
    <xf numFmtId="1" fontId="34" fillId="0" borderId="0" xfId="6693" applyNumberFormat="1" applyFont="1"/>
    <xf numFmtId="0" fontId="34" fillId="0" borderId="0" xfId="6693" applyFont="1" applyFill="1"/>
    <xf numFmtId="1" fontId="34" fillId="0" borderId="0" xfId="6693" applyNumberFormat="1" applyFont="1" applyFill="1"/>
    <xf numFmtId="1" fontId="34" fillId="37" borderId="0" xfId="6693" applyNumberFormat="1" applyFont="1" applyFill="1"/>
    <xf numFmtId="0" fontId="25" fillId="0" borderId="0" xfId="1" applyFont="1" applyFill="1" applyBorder="1" applyAlignment="1">
      <alignment horizontal="right"/>
    </xf>
    <xf numFmtId="0" fontId="25" fillId="33" borderId="0" xfId="1" applyFont="1" applyFill="1" applyBorder="1" applyAlignment="1">
      <alignment horizontal="right"/>
    </xf>
    <xf numFmtId="1" fontId="37" fillId="0" borderId="0" xfId="6693" applyNumberFormat="1" applyFont="1" applyFill="1"/>
    <xf numFmtId="0" fontId="31" fillId="0" borderId="0" xfId="6693" applyFont="1" applyFill="1"/>
    <xf numFmtId="0" fontId="25" fillId="0" borderId="0" xfId="1" applyFont="1" applyFill="1"/>
    <xf numFmtId="0" fontId="25" fillId="33" borderId="0" xfId="1" applyFont="1" applyFill="1"/>
    <xf numFmtId="165" fontId="2" fillId="0" borderId="0" xfId="1777" applyNumberFormat="1" applyFill="1"/>
    <xf numFmtId="2" fontId="2" fillId="0" borderId="0" xfId="1777" applyNumberFormat="1" applyFill="1"/>
    <xf numFmtId="2" fontId="19" fillId="0" borderId="0" xfId="1" applyNumberFormat="1" applyFill="1"/>
    <xf numFmtId="1" fontId="2" fillId="0" borderId="0" xfId="386" applyNumberFormat="1" applyFill="1"/>
    <xf numFmtId="1" fontId="2" fillId="0" borderId="0" xfId="848" applyNumberFormat="1" applyFill="1"/>
    <xf numFmtId="2" fontId="34" fillId="0" borderId="0" xfId="6693" applyNumberFormat="1" applyFont="1"/>
    <xf numFmtId="165" fontId="2" fillId="0" borderId="0" xfId="1777" applyNumberFormat="1" applyFont="1" applyFill="1"/>
    <xf numFmtId="0" fontId="34" fillId="0" borderId="0" xfId="5" applyFont="1" applyFill="1" applyAlignment="1">
      <alignment horizontal="left"/>
    </xf>
    <xf numFmtId="0" fontId="34" fillId="0" borderId="0" xfId="5" applyFont="1" applyFill="1"/>
    <xf numFmtId="0" fontId="37" fillId="0" borderId="0" xfId="5" applyFont="1" applyFill="1"/>
    <xf numFmtId="0" fontId="25" fillId="0" borderId="0" xfId="5" applyFont="1" applyFill="1"/>
    <xf numFmtId="0" fontId="19" fillId="0" borderId="0" xfId="5" applyFont="1" applyFill="1"/>
    <xf numFmtId="0" fontId="34" fillId="37" borderId="0" xfId="6693" applyFont="1" applyFill="1"/>
    <xf numFmtId="0" fontId="37" fillId="0" borderId="0" xfId="6693" applyFont="1" applyFill="1"/>
    <xf numFmtId="0" fontId="19" fillId="0" borderId="0" xfId="6693" applyFont="1"/>
    <xf numFmtId="0" fontId="31" fillId="0" borderId="0" xfId="6693" applyFont="1"/>
    <xf numFmtId="0" fontId="37" fillId="35" borderId="0" xfId="6693" applyFont="1" applyFill="1"/>
    <xf numFmtId="2" fontId="19" fillId="0" borderId="0" xfId="6693" applyNumberFormat="1" applyFont="1"/>
    <xf numFmtId="0" fontId="19" fillId="0" borderId="0" xfId="6693" applyFont="1" applyFill="1"/>
    <xf numFmtId="0" fontId="25" fillId="0" borderId="0" xfId="6693" applyFont="1" applyFill="1"/>
    <xf numFmtId="167" fontId="28" fillId="0" borderId="0" xfId="9" applyNumberFormat="1" applyFont="1" applyFill="1" applyBorder="1" applyAlignment="1">
      <alignment horizontal="right" vertical="top"/>
    </xf>
    <xf numFmtId="0" fontId="31" fillId="0" borderId="0" xfId="4" applyFont="1" applyFill="1"/>
    <xf numFmtId="1" fontId="28" fillId="0" borderId="0" xfId="44740" applyNumberFormat="1" applyFont="1" applyFill="1" applyBorder="1"/>
    <xf numFmtId="167" fontId="28" fillId="0" borderId="0" xfId="9" applyNumberFormat="1" applyFont="1"/>
    <xf numFmtId="1" fontId="31" fillId="0" borderId="0" xfId="14" applyNumberFormat="1" applyFont="1" applyFill="1"/>
    <xf numFmtId="2" fontId="31" fillId="0" borderId="0" xfId="6693" applyNumberFormat="1" applyFont="1"/>
    <xf numFmtId="2" fontId="34" fillId="0" borderId="0" xfId="6693" applyNumberFormat="1" applyFont="1" applyFill="1"/>
    <xf numFmtId="2" fontId="25" fillId="0" borderId="0" xfId="6693" applyNumberFormat="1" applyFont="1"/>
    <xf numFmtId="165" fontId="31" fillId="0" borderId="0" xfId="6693" applyNumberFormat="1" applyFont="1"/>
    <xf numFmtId="2" fontId="31" fillId="0" borderId="0" xfId="6693" applyNumberFormat="1" applyFont="1" applyFill="1"/>
    <xf numFmtId="2" fontId="31" fillId="0" borderId="0" xfId="12287" applyNumberFormat="1" applyFont="1" applyFill="1"/>
    <xf numFmtId="0" fontId="28" fillId="0" borderId="0" xfId="9" applyFont="1" applyFill="1" applyBorder="1" applyAlignment="1">
      <alignment horizontal="left" vertical="top"/>
    </xf>
    <xf numFmtId="0" fontId="36" fillId="0" borderId="0" xfId="9" applyFont="1" applyFill="1" applyBorder="1" applyAlignment="1">
      <alignment horizontal="left" vertical="top"/>
    </xf>
    <xf numFmtId="0" fontId="37" fillId="35" borderId="0" xfId="6693" applyFont="1" applyFill="1" applyBorder="1" applyAlignment="1">
      <alignment horizontal="left" vertical="top"/>
    </xf>
    <xf numFmtId="0" fontId="31" fillId="0" borderId="0" xfId="6693" applyFont="1" applyFill="1" applyBorder="1" applyAlignment="1">
      <alignment horizontal="left" vertical="top"/>
    </xf>
    <xf numFmtId="0" fontId="34" fillId="0" borderId="0" xfId="6693" applyFont="1" applyFill="1" applyBorder="1" applyAlignment="1">
      <alignment horizontal="left" vertical="top"/>
    </xf>
    <xf numFmtId="0" fontId="37" fillId="0" borderId="0" xfId="5" applyFont="1" applyFill="1" applyAlignment="1">
      <alignment horizontal="left"/>
    </xf>
    <xf numFmtId="0" fontId="25" fillId="0" borderId="0" xfId="5" applyFont="1" applyFill="1" applyAlignment="1">
      <alignment horizontal="left"/>
    </xf>
    <xf numFmtId="0" fontId="34" fillId="38" borderId="0" xfId="6693" applyFont="1" applyFill="1"/>
    <xf numFmtId="0" fontId="34" fillId="0" borderId="0" xfId="6693" applyFont="1" applyFill="1" applyBorder="1"/>
    <xf numFmtId="0" fontId="31" fillId="0" borderId="0" xfId="6693" applyFont="1" applyBorder="1"/>
    <xf numFmtId="0" fontId="19" fillId="0" borderId="0" xfId="4" applyFont="1" applyFill="1"/>
    <xf numFmtId="2" fontId="19" fillId="0" borderId="0" xfId="4" applyNumberFormat="1" applyFont="1" applyFill="1"/>
    <xf numFmtId="165" fontId="19" fillId="0" borderId="0" xfId="4" applyNumberFormat="1" applyFont="1" applyFill="1"/>
    <xf numFmtId="165" fontId="31" fillId="0" borderId="0" xfId="4" applyNumberFormat="1" applyFont="1" applyFill="1"/>
    <xf numFmtId="165" fontId="28" fillId="0" borderId="0" xfId="7" applyNumberFormat="1" applyFont="1" applyFill="1"/>
    <xf numFmtId="165" fontId="28" fillId="0" borderId="0" xfId="7" applyNumberFormat="1" applyFont="1" applyFill="1" applyBorder="1"/>
    <xf numFmtId="165" fontId="19" fillId="0" borderId="0" xfId="1" applyNumberFormat="1" applyFill="1"/>
    <xf numFmtId="0" fontId="31" fillId="0" borderId="0" xfId="9" applyFont="1" applyFill="1" applyBorder="1" applyAlignment="1">
      <alignment horizontal="left" vertical="top"/>
    </xf>
    <xf numFmtId="0" fontId="40" fillId="0" borderId="0" xfId="9" applyFont="1" applyFill="1" applyBorder="1" applyAlignment="1">
      <alignment horizontal="left" vertical="top"/>
    </xf>
    <xf numFmtId="0" fontId="41" fillId="37" borderId="0" xfId="6693" applyFont="1" applyFill="1"/>
    <xf numFmtId="0" fontId="41" fillId="0" borderId="0" xfId="6693" applyFont="1" applyFill="1"/>
    <xf numFmtId="0" fontId="42" fillId="0" borderId="0" xfId="6693" applyFont="1" applyFill="1"/>
    <xf numFmtId="0" fontId="41" fillId="38" borderId="0" xfId="6693" applyFont="1" applyFill="1"/>
    <xf numFmtId="0" fontId="42" fillId="0" borderId="0" xfId="6693" applyFont="1"/>
    <xf numFmtId="0" fontId="39" fillId="0" borderId="0" xfId="6693" applyFont="1"/>
    <xf numFmtId="0" fontId="39" fillId="0" borderId="0" xfId="6693" applyFont="1" applyFill="1"/>
    <xf numFmtId="2" fontId="39" fillId="0" borderId="0" xfId="6693" applyNumberFormat="1" applyFont="1"/>
    <xf numFmtId="0" fontId="27" fillId="34" borderId="0" xfId="1784" applyFont="1" applyFill="1"/>
    <xf numFmtId="0" fontId="26" fillId="34" borderId="0" xfId="1784" applyFont="1" applyFill="1"/>
    <xf numFmtId="0" fontId="26" fillId="35" borderId="0" xfId="1784" applyFont="1" applyFill="1"/>
    <xf numFmtId="0" fontId="23" fillId="0" borderId="0" xfId="6693" applyFont="1"/>
    <xf numFmtId="0" fontId="23" fillId="0" borderId="0" xfId="6693" applyFont="1" applyFill="1"/>
    <xf numFmtId="0" fontId="35" fillId="0" borderId="0" xfId="5" applyFont="1" applyFill="1"/>
    <xf numFmtId="0" fontId="38" fillId="0" borderId="0" xfId="5" applyFont="1" applyFill="1"/>
    <xf numFmtId="0" fontId="32" fillId="0" borderId="0" xfId="5" applyFont="1" applyFill="1"/>
    <xf numFmtId="0" fontId="26" fillId="0" borderId="0" xfId="5" applyFont="1" applyFill="1"/>
    <xf numFmtId="0" fontId="23" fillId="0" borderId="0" xfId="5" applyFont="1" applyFill="1"/>
    <xf numFmtId="0" fontId="35" fillId="37" borderId="0" xfId="6693" applyFont="1" applyFill="1"/>
    <xf numFmtId="0" fontId="35" fillId="0" borderId="0" xfId="6693" applyFont="1" applyFill="1"/>
    <xf numFmtId="0" fontId="35" fillId="0" borderId="0" xfId="6693" applyFont="1"/>
    <xf numFmtId="0" fontId="32" fillId="0" borderId="0" xfId="6693" applyFont="1"/>
    <xf numFmtId="0" fontId="32" fillId="0" borderId="0" xfId="6693" applyFont="1" applyFill="1"/>
    <xf numFmtId="0" fontId="38" fillId="35" borderId="0" xfId="6693" applyFont="1" applyFill="1"/>
    <xf numFmtId="2" fontId="23" fillId="0" borderId="0" xfId="6693" applyNumberFormat="1" applyFont="1"/>
    <xf numFmtId="1" fontId="34" fillId="0" borderId="0" xfId="848" applyNumberFormat="1" applyFont="1" applyFill="1"/>
    <xf numFmtId="1" fontId="34" fillId="0" borderId="0" xfId="386" applyNumberFormat="1" applyFont="1" applyFill="1"/>
    <xf numFmtId="0" fontId="34" fillId="0" borderId="0" xfId="5" applyFont="1" applyFill="1" applyAlignment="1">
      <alignment vertical="top"/>
    </xf>
    <xf numFmtId="2" fontId="28" fillId="0" borderId="0" xfId="7" applyNumberFormat="1" applyFont="1" applyFill="1" applyBorder="1"/>
    <xf numFmtId="2" fontId="31" fillId="0" borderId="0" xfId="4" applyNumberFormat="1" applyFont="1" applyFill="1"/>
    <xf numFmtId="0" fontId="28" fillId="0" borderId="0" xfId="10" applyFont="1" applyFill="1" applyBorder="1" applyAlignment="1">
      <alignment horizontal="left" vertical="top"/>
    </xf>
    <xf numFmtId="0" fontId="29" fillId="0" borderId="0" xfId="12" applyFont="1" applyFill="1" applyBorder="1" applyAlignment="1">
      <alignment horizontal="left" vertical="top"/>
    </xf>
    <xf numFmtId="0" fontId="37" fillId="0" borderId="0" xfId="10" applyFont="1" applyFill="1" applyBorder="1" applyAlignment="1">
      <alignment horizontal="left" vertical="top"/>
    </xf>
    <xf numFmtId="1" fontId="28" fillId="0" borderId="0" xfId="4" applyNumberFormat="1" applyFont="1" applyFill="1"/>
    <xf numFmtId="165" fontId="30" fillId="0" borderId="0" xfId="5" applyNumberFormat="1" applyFont="1" applyBorder="1"/>
    <xf numFmtId="165" fontId="30" fillId="0" borderId="0" xfId="5" applyNumberFormat="1" applyFont="1"/>
    <xf numFmtId="0" fontId="0" fillId="0" borderId="0" xfId="0" applyFill="1"/>
    <xf numFmtId="0" fontId="25" fillId="61" borderId="0" xfId="0" applyFont="1" applyFill="1" applyAlignment="1">
      <alignment horizontal="left"/>
    </xf>
    <xf numFmtId="0" fontId="0" fillId="0" borderId="0" xfId="0" applyAlignment="1">
      <alignment horizontal="left"/>
    </xf>
    <xf numFmtId="0" fontId="0" fillId="0" borderId="0" xfId="0" applyFill="1" applyAlignment="1">
      <alignment horizontal="left"/>
    </xf>
    <xf numFmtId="0" fontId="19" fillId="0" borderId="0" xfId="0" applyFont="1" applyAlignment="1">
      <alignment horizontal="left"/>
    </xf>
    <xf numFmtId="0" fontId="20" fillId="37" borderId="0" xfId="0" applyFont="1" applyFill="1" applyAlignment="1">
      <alignment horizontal="left"/>
    </xf>
    <xf numFmtId="0" fontId="0" fillId="37" borderId="0" xfId="0" applyFill="1"/>
    <xf numFmtId="0" fontId="0" fillId="61" borderId="0" xfId="0" applyFill="1"/>
    <xf numFmtId="1" fontId="0" fillId="0" borderId="0" xfId="0" applyNumberFormat="1" applyFill="1"/>
    <xf numFmtId="1" fontId="0" fillId="61" borderId="0" xfId="0" applyNumberFormat="1" applyFill="1"/>
    <xf numFmtId="0" fontId="25" fillId="36" borderId="0" xfId="0" applyFont="1" applyFill="1"/>
    <xf numFmtId="0" fontId="0" fillId="36" borderId="0" xfId="0" applyFill="1"/>
    <xf numFmtId="2" fontId="0" fillId="0" borderId="0" xfId="0" applyNumberFormat="1" applyFill="1"/>
    <xf numFmtId="165" fontId="0" fillId="0" borderId="0" xfId="0" applyNumberFormat="1" applyFill="1"/>
    <xf numFmtId="2" fontId="23" fillId="0" borderId="0" xfId="0" applyNumberFormat="1" applyFont="1" applyFill="1"/>
    <xf numFmtId="2" fontId="23" fillId="61" borderId="0" xfId="0" applyNumberFormat="1" applyFont="1" applyFill="1"/>
    <xf numFmtId="1" fontId="23" fillId="0" borderId="0" xfId="0" applyNumberFormat="1" applyFont="1" applyFill="1"/>
    <xf numFmtId="1" fontId="23" fillId="61" borderId="0" xfId="0" applyNumberFormat="1" applyFont="1" applyFill="1"/>
    <xf numFmtId="165" fontId="0" fillId="61" borderId="0" xfId="0" applyNumberFormat="1" applyFill="1"/>
    <xf numFmtId="2" fontId="0" fillId="61" borderId="0" xfId="0" applyNumberFormat="1" applyFill="1"/>
    <xf numFmtId="165" fontId="23" fillId="0" borderId="0" xfId="0" applyNumberFormat="1" applyFont="1" applyFill="1"/>
    <xf numFmtId="165" fontId="23" fillId="61" borderId="0" xfId="0" applyNumberFormat="1" applyFont="1" applyFill="1"/>
    <xf numFmtId="0" fontId="25" fillId="62" borderId="0" xfId="0" applyFont="1" applyFill="1"/>
    <xf numFmtId="0" fontId="0" fillId="62" borderId="0" xfId="0" applyFill="1"/>
    <xf numFmtId="164" fontId="0" fillId="0" borderId="0" xfId="0" applyNumberFormat="1" applyFill="1"/>
    <xf numFmtId="0" fontId="65" fillId="0" borderId="0" xfId="0" applyFont="1"/>
    <xf numFmtId="0" fontId="0" fillId="0" borderId="0" xfId="0" applyFill="1"/>
    <xf numFmtId="165" fontId="65" fillId="0" borderId="0" xfId="0" applyNumberFormat="1" applyFont="1" applyFill="1"/>
    <xf numFmtId="0" fontId="25" fillId="61" borderId="0" xfId="0" applyFont="1" applyFill="1" applyAlignment="1">
      <alignment horizontal="left" wrapText="1"/>
    </xf>
    <xf numFmtId="0" fontId="0" fillId="0" borderId="0" xfId="0" applyFill="1"/>
    <xf numFmtId="2" fontId="31" fillId="0" borderId="0" xfId="0" applyNumberFormat="1" applyFont="1" applyBorder="1" applyAlignment="1">
      <alignment horizontal="right" vertical="center"/>
    </xf>
    <xf numFmtId="2" fontId="31" fillId="0" borderId="0" xfId="0" applyNumberFormat="1" applyFont="1"/>
    <xf numFmtId="0" fontId="31" fillId="0" borderId="0" xfId="0" applyFont="1"/>
    <xf numFmtId="0" fontId="0" fillId="0" borderId="0" xfId="0"/>
    <xf numFmtId="165" fontId="31" fillId="0" borderId="0" xfId="0" applyNumberFormat="1" applyFont="1"/>
    <xf numFmtId="168" fontId="31" fillId="0" borderId="0" xfId="0" applyNumberFormat="1" applyFont="1" applyFill="1" applyBorder="1" applyAlignment="1">
      <alignment horizontal="right" vertical="top"/>
    </xf>
    <xf numFmtId="169" fontId="31" fillId="0" borderId="0" xfId="0" applyNumberFormat="1" applyFont="1" applyFill="1" applyBorder="1" applyAlignment="1">
      <alignment horizontal="right" vertical="top"/>
    </xf>
    <xf numFmtId="165" fontId="31" fillId="0" borderId="0" xfId="1781" applyNumberFormat="1" applyFont="1"/>
    <xf numFmtId="165" fontId="31" fillId="0" borderId="0" xfId="1781" applyNumberFormat="1" applyFont="1" applyBorder="1"/>
    <xf numFmtId="0" fontId="29" fillId="0" borderId="0" xfId="0" applyFont="1" applyAlignment="1">
      <alignment horizontal="left"/>
    </xf>
    <xf numFmtId="0" fontId="67" fillId="0" borderId="0" xfId="0" applyFont="1" applyAlignment="1"/>
    <xf numFmtId="164" fontId="31" fillId="0" borderId="0" xfId="0" applyNumberFormat="1" applyFont="1" applyBorder="1" applyAlignment="1">
      <alignment horizontal="right" vertical="center"/>
    </xf>
    <xf numFmtId="0" fontId="34" fillId="0" borderId="0" xfId="0" applyFont="1" applyAlignment="1">
      <alignment horizontal="justify" vertical="center"/>
    </xf>
    <xf numFmtId="2" fontId="34" fillId="0" borderId="0" xfId="2" applyNumberFormat="1" applyFont="1" applyAlignment="1"/>
    <xf numFmtId="0" fontId="37" fillId="35" borderId="0" xfId="5" applyFont="1" applyFill="1" applyAlignment="1">
      <alignment horizontal="left"/>
    </xf>
    <xf numFmtId="0" fontId="31" fillId="0" borderId="0" xfId="5" applyFont="1" applyFill="1" applyAlignment="1">
      <alignment horizontal="left"/>
    </xf>
    <xf numFmtId="0" fontId="31" fillId="0" borderId="0" xfId="5" applyFont="1" applyFill="1" applyAlignment="1"/>
    <xf numFmtId="0" fontId="19" fillId="0" borderId="0" xfId="0" applyFont="1" applyAlignment="1">
      <alignment horizontal="justify" vertical="center"/>
    </xf>
    <xf numFmtId="2" fontId="19" fillId="36" borderId="0" xfId="0" applyNumberFormat="1" applyFont="1" applyFill="1"/>
    <xf numFmtId="0" fontId="29" fillId="0" borderId="0" xfId="0" applyFont="1" applyFill="1" applyAlignment="1"/>
    <xf numFmtId="0" fontId="0" fillId="0" borderId="0" xfId="0"/>
    <xf numFmtId="0" fontId="19" fillId="36" borderId="0" xfId="0" applyFont="1" applyFill="1" applyAlignment="1">
      <alignment horizontal="justify" vertical="center" wrapText="1"/>
    </xf>
    <xf numFmtId="0" fontId="19" fillId="36" borderId="0" xfId="0" applyFont="1" applyFill="1" applyBorder="1" applyAlignment="1">
      <alignment horizontal="justify" vertical="center" wrapText="1"/>
    </xf>
    <xf numFmtId="0" fontId="23" fillId="36" borderId="0" xfId="0" applyFont="1" applyFill="1"/>
    <xf numFmtId="0" fontId="19" fillId="36" borderId="0" xfId="0" applyFont="1" applyFill="1"/>
    <xf numFmtId="0" fontId="25" fillId="36" borderId="0" xfId="0" applyFont="1" applyFill="1" applyBorder="1" applyAlignment="1">
      <alignment horizontal="justify" vertical="center" wrapText="1"/>
    </xf>
    <xf numFmtId="1" fontId="19" fillId="36" borderId="0" xfId="0" applyNumberFormat="1" applyFont="1" applyFill="1"/>
    <xf numFmtId="0" fontId="36" fillId="0" borderId="0" xfId="10" applyFont="1" applyFill="1" applyBorder="1" applyAlignment="1">
      <alignment horizontal="left" vertical="top"/>
    </xf>
    <xf numFmtId="0" fontId="69" fillId="0" borderId="0" xfId="12" applyFont="1" applyFill="1" applyBorder="1" applyAlignment="1">
      <alignment horizontal="left" vertical="top"/>
    </xf>
    <xf numFmtId="0" fontId="25" fillId="0" borderId="0" xfId="10" applyFont="1" applyFill="1" applyBorder="1" applyAlignment="1">
      <alignment horizontal="left" vertical="top"/>
    </xf>
    <xf numFmtId="0" fontId="19" fillId="36" borderId="0" xfId="9" applyFont="1" applyFill="1" applyBorder="1" applyAlignment="1">
      <alignment horizontal="left" vertical="top"/>
    </xf>
    <xf numFmtId="0" fontId="23" fillId="36" borderId="0" xfId="0" applyFont="1" applyFill="1" applyBorder="1" applyAlignment="1">
      <alignment horizontal="left" vertical="top"/>
    </xf>
    <xf numFmtId="0" fontId="19" fillId="36" borderId="0" xfId="0" applyFont="1" applyFill="1" applyBorder="1" applyAlignment="1">
      <alignment horizontal="left" vertical="top"/>
    </xf>
    <xf numFmtId="167" fontId="19" fillId="36" borderId="0" xfId="9" applyNumberFormat="1" applyFont="1" applyFill="1"/>
    <xf numFmtId="167" fontId="19" fillId="36" borderId="0" xfId="9" applyNumberFormat="1" applyFont="1" applyFill="1" applyBorder="1" applyAlignment="1">
      <alignment horizontal="right" vertical="top"/>
    </xf>
    <xf numFmtId="2" fontId="19" fillId="0" borderId="0" xfId="0" applyNumberFormat="1" applyFont="1" applyFill="1" applyBorder="1" applyAlignment="1">
      <alignment horizontal="right" vertical="top"/>
    </xf>
    <xf numFmtId="2" fontId="19" fillId="0" borderId="0" xfId="0" applyNumberFormat="1" applyFont="1" applyFill="1" applyBorder="1" applyAlignment="1">
      <alignment horizontal="left" vertical="top"/>
    </xf>
    <xf numFmtId="0" fontId="25" fillId="36" borderId="0" xfId="9" applyFont="1" applyFill="1" applyBorder="1" applyAlignment="1">
      <alignment horizontal="left" vertical="top"/>
    </xf>
    <xf numFmtId="1" fontId="19" fillId="36" borderId="0" xfId="9" applyNumberFormat="1" applyFont="1" applyFill="1"/>
    <xf numFmtId="1" fontId="19" fillId="36" borderId="0" xfId="12" applyNumberFormat="1" applyFont="1" applyFill="1"/>
    <xf numFmtId="0" fontId="19" fillId="36" borderId="0" xfId="10" applyFont="1" applyFill="1" applyBorder="1" applyAlignment="1">
      <alignment horizontal="left" vertical="top"/>
    </xf>
    <xf numFmtId="0" fontId="23" fillId="36" borderId="0" xfId="12" applyFont="1" applyFill="1" applyBorder="1" applyAlignment="1">
      <alignment horizontal="left" vertical="top"/>
    </xf>
    <xf numFmtId="0" fontId="25" fillId="0" borderId="0" xfId="0" applyFont="1" applyFill="1" applyBorder="1" applyAlignment="1">
      <alignment horizontal="left" vertical="top"/>
    </xf>
    <xf numFmtId="0" fontId="19" fillId="0" borderId="0" xfId="10" applyFont="1" applyFill="1" applyBorder="1" applyAlignment="1">
      <alignment horizontal="left" vertical="top"/>
    </xf>
    <xf numFmtId="0" fontId="23" fillId="0" borderId="0" xfId="12" applyFont="1" applyFill="1" applyBorder="1" applyAlignment="1">
      <alignment horizontal="left" vertical="top"/>
    </xf>
    <xf numFmtId="1" fontId="19" fillId="0" borderId="0" xfId="12" applyNumberFormat="1" applyFont="1" applyFill="1"/>
    <xf numFmtId="0" fontId="25" fillId="36" borderId="0" xfId="10" applyFont="1" applyFill="1" applyBorder="1" applyAlignment="1">
      <alignment horizontal="left" vertical="top"/>
    </xf>
    <xf numFmtId="0" fontId="26" fillId="36" borderId="0" xfId="0" applyFont="1" applyFill="1" applyBorder="1" applyAlignment="1">
      <alignment horizontal="left" vertical="top"/>
    </xf>
    <xf numFmtId="2" fontId="31" fillId="0" borderId="0" xfId="1781" applyNumberFormat="1" applyFont="1"/>
    <xf numFmtId="1" fontId="19" fillId="36" borderId="0" xfId="0" applyNumberFormat="1" applyFont="1" applyFill="1" applyBorder="1"/>
    <xf numFmtId="0" fontId="38" fillId="0" borderId="0" xfId="0" applyFont="1" applyFill="1"/>
    <xf numFmtId="1" fontId="28" fillId="0" borderId="0" xfId="10" applyNumberFormat="1" applyFont="1" applyAlignment="1"/>
    <xf numFmtId="0" fontId="37" fillId="0" borderId="0" xfId="0" quotePrefix="1" applyFont="1" applyFill="1" applyAlignment="1">
      <alignment horizontal="right"/>
    </xf>
    <xf numFmtId="0" fontId="36" fillId="0" borderId="0" xfId="0" applyFont="1"/>
    <xf numFmtId="0" fontId="34" fillId="0" borderId="0" xfId="0" applyFont="1" applyAlignment="1">
      <alignment horizontal="right"/>
    </xf>
    <xf numFmtId="0" fontId="23" fillId="0" borderId="0" xfId="0" applyFont="1" applyAlignment="1">
      <alignment horizontal="left"/>
    </xf>
    <xf numFmtId="0" fontId="25" fillId="0" borderId="0" xfId="1" applyFont="1" applyFill="1" applyAlignment="1">
      <alignment horizontal="right"/>
    </xf>
    <xf numFmtId="0" fontId="25" fillId="0" borderId="0" xfId="0" applyFont="1" applyFill="1" applyAlignment="1">
      <alignment horizontal="right"/>
    </xf>
    <xf numFmtId="0" fontId="25" fillId="33" borderId="0" xfId="1" applyFont="1" applyFill="1" applyAlignment="1">
      <alignment horizontal="right"/>
    </xf>
    <xf numFmtId="0" fontId="34" fillId="0" borderId="0" xfId="0" applyFont="1" applyFill="1" applyAlignment="1">
      <alignment horizontal="right"/>
    </xf>
    <xf numFmtId="0" fontId="25" fillId="61" borderId="0" xfId="0" applyFont="1" applyFill="1" applyAlignment="1">
      <alignment horizontal="right"/>
    </xf>
    <xf numFmtId="0" fontId="25" fillId="0" borderId="0" xfId="0" applyFont="1" applyFill="1" applyAlignment="1">
      <alignment horizontal="left" vertical="center" wrapText="1"/>
    </xf>
    <xf numFmtId="0" fontId="25" fillId="0" borderId="0" xfId="0" applyFont="1" applyFill="1" applyAlignment="1">
      <alignment horizontal="center" vertical="center" wrapText="1"/>
    </xf>
    <xf numFmtId="165" fontId="34" fillId="61" borderId="0" xfId="0" applyNumberFormat="1" applyFont="1" applyFill="1"/>
    <xf numFmtId="1" fontId="35" fillId="0" borderId="0" xfId="0" applyNumberFormat="1" applyFont="1" applyFill="1"/>
    <xf numFmtId="2" fontId="35" fillId="0" borderId="0" xfId="0" applyNumberFormat="1" applyFont="1" applyFill="1"/>
    <xf numFmtId="0" fontId="40" fillId="0" borderId="0" xfId="0" applyFont="1"/>
    <xf numFmtId="1" fontId="34" fillId="0" borderId="0" xfId="0" applyNumberFormat="1" applyFont="1"/>
    <xf numFmtId="0" fontId="34" fillId="0" borderId="0" xfId="0" applyFont="1" applyAlignment="1">
      <alignment wrapText="1"/>
    </xf>
    <xf numFmtId="2" fontId="28" fillId="63" borderId="0" xfId="0" applyNumberFormat="1" applyFont="1" applyFill="1"/>
    <xf numFmtId="165" fontId="19" fillId="36" borderId="0" xfId="0" applyNumberFormat="1" applyFont="1" applyFill="1"/>
    <xf numFmtId="170" fontId="19" fillId="36" borderId="0" xfId="0" applyNumberFormat="1" applyFont="1" applyFill="1"/>
    <xf numFmtId="0" fontId="34" fillId="36" borderId="0" xfId="0" applyFont="1" applyFill="1"/>
    <xf numFmtId="165" fontId="34" fillId="36" borderId="0" xfId="0" applyNumberFormat="1" applyFont="1" applyFill="1"/>
    <xf numFmtId="166" fontId="28" fillId="0" borderId="0" xfId="0" applyNumberFormat="1" applyFont="1"/>
    <xf numFmtId="166" fontId="37" fillId="0" borderId="0" xfId="0" applyNumberFormat="1" applyFont="1"/>
    <xf numFmtId="166" fontId="34" fillId="0" borderId="0" xfId="0" applyNumberFormat="1" applyFont="1"/>
    <xf numFmtId="0" fontId="37" fillId="36" borderId="0" xfId="0" applyFont="1" applyFill="1"/>
    <xf numFmtId="167" fontId="37" fillId="36" borderId="0" xfId="0" applyNumberFormat="1" applyFont="1" applyFill="1"/>
    <xf numFmtId="165" fontId="19" fillId="0" borderId="0" xfId="0" applyNumberFormat="1" applyFont="1"/>
    <xf numFmtId="1" fontId="65" fillId="0" borderId="0" xfId="0" applyNumberFormat="1" applyFont="1" applyFill="1"/>
    <xf numFmtId="0" fontId="65" fillId="0" borderId="0" xfId="0" applyFont="1" applyFill="1"/>
    <xf numFmtId="1" fontId="65" fillId="61" borderId="0" xfId="0" applyNumberFormat="1" applyFont="1" applyFill="1"/>
    <xf numFmtId="1" fontId="19" fillId="34" borderId="0" xfId="0" applyNumberFormat="1" applyFont="1" applyFill="1"/>
    <xf numFmtId="164" fontId="34" fillId="0" borderId="0" xfId="0" applyNumberFormat="1" applyFont="1"/>
    <xf numFmtId="1" fontId="34" fillId="36" borderId="0" xfId="0" applyNumberFormat="1" applyFont="1" applyFill="1"/>
    <xf numFmtId="0" fontId="31" fillId="0" borderId="0" xfId="0" applyFont="1" applyFill="1" applyBorder="1" applyAlignment="1">
      <alignment horizontal="right" vertical="center" wrapText="1"/>
    </xf>
    <xf numFmtId="165" fontId="37" fillId="36" borderId="0" xfId="0" applyNumberFormat="1" applyFont="1" applyFill="1"/>
    <xf numFmtId="2" fontId="37" fillId="36" borderId="0" xfId="0" applyNumberFormat="1" applyFont="1" applyFill="1"/>
    <xf numFmtId="0" fontId="71" fillId="0" borderId="0" xfId="0" applyFont="1" applyAlignment="1">
      <alignment horizontal="left" vertical="center" wrapText="1"/>
    </xf>
    <xf numFmtId="0" fontId="19" fillId="0" borderId="0" xfId="0" applyFont="1" applyAlignment="1">
      <alignment wrapText="1"/>
    </xf>
    <xf numFmtId="0" fontId="72" fillId="0" borderId="0" xfId="0" applyFont="1" applyAlignment="1"/>
    <xf numFmtId="0" fontId="73" fillId="0" borderId="0" xfId="0" applyFont="1" applyAlignment="1"/>
    <xf numFmtId="0" fontId="72" fillId="0" borderId="0" xfId="0" applyFont="1" applyAlignment="1">
      <alignment horizontal="justify" vertical="center"/>
    </xf>
    <xf numFmtId="0" fontId="72" fillId="0" borderId="0" xfId="0" applyFont="1" applyAlignment="1">
      <alignment vertical="center"/>
    </xf>
    <xf numFmtId="0" fontId="75" fillId="0" borderId="0" xfId="0" applyFont="1" applyAlignment="1">
      <alignment horizontal="justify" vertical="center"/>
    </xf>
    <xf numFmtId="0" fontId="75" fillId="0" borderId="0" xfId="0" applyFont="1" applyAlignment="1">
      <alignment vertical="center"/>
    </xf>
    <xf numFmtId="1" fontId="19" fillId="0" borderId="0" xfId="7" applyNumberFormat="1" applyFont="1" applyBorder="1"/>
    <xf numFmtId="0" fontId="81" fillId="0" borderId="0" xfId="0" applyFont="1"/>
    <xf numFmtId="0" fontId="19" fillId="0" borderId="0" xfId="0" applyFont="1" applyAlignment="1">
      <alignment horizontal="justify" vertical="center" wrapText="1"/>
    </xf>
    <xf numFmtId="165" fontId="19" fillId="0" borderId="0" xfId="10" applyNumberFormat="1" applyFont="1" applyFill="1"/>
    <xf numFmtId="165" fontId="19" fillId="0" borderId="0" xfId="10" applyNumberFormat="1" applyFont="1" applyFill="1" applyBorder="1"/>
    <xf numFmtId="1" fontId="19" fillId="0" borderId="0" xfId="10" applyNumberFormat="1" applyFont="1" applyFill="1" applyBorder="1"/>
    <xf numFmtId="2" fontId="19" fillId="0" borderId="0" xfId="0" applyNumberFormat="1" applyFont="1"/>
    <xf numFmtId="1" fontId="19" fillId="0" borderId="0" xfId="3" applyNumberFormat="1" applyFont="1" applyBorder="1"/>
    <xf numFmtId="165" fontId="19" fillId="0" borderId="0" xfId="3" applyNumberFormat="1" applyFont="1" applyBorder="1"/>
    <xf numFmtId="0" fontId="31" fillId="0" borderId="0" xfId="10" applyFont="1" applyFill="1" applyBorder="1" applyAlignment="1">
      <alignment horizontal="left" vertical="top"/>
    </xf>
    <xf numFmtId="169" fontId="70" fillId="0" borderId="0" xfId="0" applyNumberFormat="1" applyFont="1" applyFill="1" applyBorder="1" applyAlignment="1">
      <alignment horizontal="right" vertical="top"/>
    </xf>
    <xf numFmtId="0" fontId="47" fillId="0" borderId="0" xfId="0" applyFont="1"/>
    <xf numFmtId="0" fontId="82" fillId="64" borderId="0" xfId="0" applyFont="1" applyFill="1"/>
    <xf numFmtId="0" fontId="42" fillId="0" borderId="0" xfId="0" applyFont="1"/>
    <xf numFmtId="165" fontId="34" fillId="0" borderId="0" xfId="0" applyNumberFormat="1" applyFont="1" applyAlignment="1"/>
    <xf numFmtId="165" fontId="31" fillId="0" borderId="0" xfId="0" applyNumberFormat="1" applyFont="1" applyAlignment="1"/>
    <xf numFmtId="1" fontId="19" fillId="0" borderId="0" xfId="0" applyNumberFormat="1" applyFont="1" applyAlignment="1"/>
    <xf numFmtId="165" fontId="19" fillId="0" borderId="0" xfId="0" applyNumberFormat="1" applyFont="1" applyAlignment="1"/>
    <xf numFmtId="1" fontId="34" fillId="0" borderId="0" xfId="0" applyNumberFormat="1" applyFont="1" applyAlignment="1"/>
    <xf numFmtId="165" fontId="28" fillId="0" borderId="0" xfId="0" applyNumberFormat="1" applyFont="1" applyAlignment="1"/>
    <xf numFmtId="2" fontId="31" fillId="0" borderId="0" xfId="0" applyNumberFormat="1" applyFont="1" applyAlignment="1"/>
    <xf numFmtId="2" fontId="19" fillId="0" borderId="0" xfId="0" applyNumberFormat="1" applyFont="1" applyAlignment="1"/>
    <xf numFmtId="164" fontId="31" fillId="0" borderId="0" xfId="0" applyNumberFormat="1" applyFont="1" applyAlignment="1"/>
    <xf numFmtId="1" fontId="31" fillId="0" borderId="0" xfId="0" applyNumberFormat="1" applyFont="1" applyAlignment="1"/>
    <xf numFmtId="0" fontId="42" fillId="0" borderId="0" xfId="0" applyFont="1" applyFill="1"/>
    <xf numFmtId="0" fontId="42" fillId="64" borderId="0" xfId="0" applyFont="1" applyFill="1"/>
    <xf numFmtId="0" fontId="25" fillId="0" borderId="0" xfId="0" applyFont="1" applyAlignment="1">
      <alignment horizontal="left"/>
    </xf>
    <xf numFmtId="1" fontId="19" fillId="0" borderId="0" xfId="0" applyNumberFormat="1" applyFont="1"/>
    <xf numFmtId="0" fontId="31" fillId="0" borderId="0" xfId="34" applyFont="1"/>
    <xf numFmtId="0" fontId="31" fillId="0" borderId="0" xfId="34" applyFont="1" applyAlignment="1">
      <alignment horizontal="right"/>
    </xf>
    <xf numFmtId="1" fontId="31" fillId="0" borderId="0" xfId="0" applyNumberFormat="1" applyFont="1"/>
  </cellXfs>
  <cellStyles count="62072">
    <cellStyle name="20 % - Accent1 2" xfId="84"/>
    <cellStyle name="20 % - Accent1 3" xfId="146"/>
    <cellStyle name="20 % - Accent1 3 10" xfId="1831"/>
    <cellStyle name="20 % - Accent1 3 10 2" xfId="5077"/>
    <cellStyle name="20 % - Accent1 3 10 2 2" xfId="11609"/>
    <cellStyle name="20 % - Accent1 3 10 2 2 2" xfId="31082"/>
    <cellStyle name="20 % - Accent1 3 10 2 2 3" xfId="44062"/>
    <cellStyle name="20 % - Accent1 3 10 2 2 4" xfId="60291"/>
    <cellStyle name="20 % - Accent1 3 10 2 3" xfId="18102"/>
    <cellStyle name="20 % - Accent1 3 10 2 4" xfId="24592"/>
    <cellStyle name="20 % - Accent1 3 10 2 5" xfId="37572"/>
    <cellStyle name="20 % - Accent1 3 10 2 6" xfId="53801"/>
    <cellStyle name="20 % - Accent1 3 10 3" xfId="8364"/>
    <cellStyle name="20 % - Accent1 3 10 3 2" xfId="27837"/>
    <cellStyle name="20 % - Accent1 3 10 3 3" xfId="40817"/>
    <cellStyle name="20 % - Accent1 3 10 3 4" xfId="57046"/>
    <cellStyle name="20 % - Accent1 3 10 4" xfId="14857"/>
    <cellStyle name="20 % - Accent1 3 10 4 2" xfId="50556"/>
    <cellStyle name="20 % - Accent1 3 10 5" xfId="21347"/>
    <cellStyle name="20 % - Accent1 3 10 6" xfId="34327"/>
    <cellStyle name="20 % - Accent1 3 10 7" xfId="47310"/>
    <cellStyle name="20 % - Accent1 3 11" xfId="3453"/>
    <cellStyle name="20 % - Accent1 3 11 2" xfId="9985"/>
    <cellStyle name="20 % - Accent1 3 11 2 2" xfId="29458"/>
    <cellStyle name="20 % - Accent1 3 11 2 3" xfId="42438"/>
    <cellStyle name="20 % - Accent1 3 11 2 4" xfId="58667"/>
    <cellStyle name="20 % - Accent1 3 11 3" xfId="16478"/>
    <cellStyle name="20 % - Accent1 3 11 4" xfId="22968"/>
    <cellStyle name="20 % - Accent1 3 11 5" xfId="35948"/>
    <cellStyle name="20 % - Accent1 3 11 6" xfId="52177"/>
    <cellStyle name="20 % - Accent1 3 12" xfId="6740"/>
    <cellStyle name="20 % - Accent1 3 12 2" xfId="26213"/>
    <cellStyle name="20 % - Accent1 3 12 3" xfId="39193"/>
    <cellStyle name="20 % - Accent1 3 12 4" xfId="55422"/>
    <cellStyle name="20 % - Accent1 3 13" xfId="13233"/>
    <cellStyle name="20 % - Accent1 3 13 2" xfId="48932"/>
    <cellStyle name="20 % - Accent1 3 14" xfId="19723"/>
    <cellStyle name="20 % - Accent1 3 15" xfId="32703"/>
    <cellStyle name="20 % - Accent1 3 16" xfId="45686"/>
    <cellStyle name="20 % - Accent1 3 2" xfId="180"/>
    <cellStyle name="20 % - Accent1 3 2 10" xfId="6762"/>
    <cellStyle name="20 % - Accent1 3 2 10 2" xfId="26235"/>
    <cellStyle name="20 % - Accent1 3 2 10 3" xfId="39215"/>
    <cellStyle name="20 % - Accent1 3 2 10 4" xfId="55444"/>
    <cellStyle name="20 % - Accent1 3 2 11" xfId="13255"/>
    <cellStyle name="20 % - Accent1 3 2 11 2" xfId="48954"/>
    <cellStyle name="20 % - Accent1 3 2 12" xfId="19745"/>
    <cellStyle name="20 % - Accent1 3 2 13" xfId="32725"/>
    <cellStyle name="20 % - Accent1 3 2 14" xfId="45708"/>
    <cellStyle name="20 % - Accent1 3 2 2" xfId="269"/>
    <cellStyle name="20 % - Accent1 3 2 2 10" xfId="19833"/>
    <cellStyle name="20 % - Accent1 3 2 2 11" xfId="32813"/>
    <cellStyle name="20 % - Accent1 3 2 2 12" xfId="45796"/>
    <cellStyle name="20 % - Accent1 3 2 2 2" xfId="357"/>
    <cellStyle name="20 % - Accent1 3 2 2 2 10" xfId="32901"/>
    <cellStyle name="20 % - Accent1 3 2 2 2 11" xfId="45884"/>
    <cellStyle name="20 % - Accent1 3 2 2 2 2" xfId="821"/>
    <cellStyle name="20 % - Accent1 3 2 2 2 2 10" xfId="46344"/>
    <cellStyle name="20 % - Accent1 3 2 2 2 2 2" xfId="1760"/>
    <cellStyle name="20 % - Accent1 3 2 2 2 2 2 2" xfId="3427"/>
    <cellStyle name="20 % - Accent1 3 2 2 2 2 2 2 2" xfId="6672"/>
    <cellStyle name="20 % - Accent1 3 2 2 2 2 2 2 2 2" xfId="13204"/>
    <cellStyle name="20 % - Accent1 3 2 2 2 2 2 2 2 2 2" xfId="32677"/>
    <cellStyle name="20 % - Accent1 3 2 2 2 2 2 2 2 2 3" xfId="45657"/>
    <cellStyle name="20 % - Accent1 3 2 2 2 2 2 2 2 2 4" xfId="61886"/>
    <cellStyle name="20 % - Accent1 3 2 2 2 2 2 2 2 3" xfId="19697"/>
    <cellStyle name="20 % - Accent1 3 2 2 2 2 2 2 2 4" xfId="26187"/>
    <cellStyle name="20 % - Accent1 3 2 2 2 2 2 2 2 5" xfId="39167"/>
    <cellStyle name="20 % - Accent1 3 2 2 2 2 2 2 2 6" xfId="55396"/>
    <cellStyle name="20 % - Accent1 3 2 2 2 2 2 2 3" xfId="9959"/>
    <cellStyle name="20 % - Accent1 3 2 2 2 2 2 2 3 2" xfId="29432"/>
    <cellStyle name="20 % - Accent1 3 2 2 2 2 2 2 3 3" xfId="42412"/>
    <cellStyle name="20 % - Accent1 3 2 2 2 2 2 2 3 4" xfId="58641"/>
    <cellStyle name="20 % - Accent1 3 2 2 2 2 2 2 4" xfId="16452"/>
    <cellStyle name="20 % - Accent1 3 2 2 2 2 2 2 4 2" xfId="52151"/>
    <cellStyle name="20 % - Accent1 3 2 2 2 2 2 2 5" xfId="22942"/>
    <cellStyle name="20 % - Accent1 3 2 2 2 2 2 2 6" xfId="35922"/>
    <cellStyle name="20 % - Accent1 3 2 2 2 2 2 2 7" xfId="48905"/>
    <cellStyle name="20 % - Accent1 3 2 2 2 2 2 3" xfId="5049"/>
    <cellStyle name="20 % - Accent1 3 2 2 2 2 2 3 2" xfId="11581"/>
    <cellStyle name="20 % - Accent1 3 2 2 2 2 2 3 2 2" xfId="31054"/>
    <cellStyle name="20 % - Accent1 3 2 2 2 2 2 3 2 3" xfId="44034"/>
    <cellStyle name="20 % - Accent1 3 2 2 2 2 2 3 2 4" xfId="60263"/>
    <cellStyle name="20 % - Accent1 3 2 2 2 2 2 3 3" xfId="18074"/>
    <cellStyle name="20 % - Accent1 3 2 2 2 2 2 3 4" xfId="24564"/>
    <cellStyle name="20 % - Accent1 3 2 2 2 2 2 3 5" xfId="37544"/>
    <cellStyle name="20 % - Accent1 3 2 2 2 2 2 3 6" xfId="53773"/>
    <cellStyle name="20 % - Accent1 3 2 2 2 2 2 4" xfId="8336"/>
    <cellStyle name="20 % - Accent1 3 2 2 2 2 2 4 2" xfId="27809"/>
    <cellStyle name="20 % - Accent1 3 2 2 2 2 2 4 3" xfId="40789"/>
    <cellStyle name="20 % - Accent1 3 2 2 2 2 2 4 4" xfId="57018"/>
    <cellStyle name="20 % - Accent1 3 2 2 2 2 2 5" xfId="14829"/>
    <cellStyle name="20 % - Accent1 3 2 2 2 2 2 5 2" xfId="50528"/>
    <cellStyle name="20 % - Accent1 3 2 2 2 2 2 6" xfId="21319"/>
    <cellStyle name="20 % - Accent1 3 2 2 2 2 2 7" xfId="34299"/>
    <cellStyle name="20 % - Accent1 3 2 2 2 2 2 8" xfId="47282"/>
    <cellStyle name="20 % - Accent1 3 2 2 2 2 3" xfId="1297"/>
    <cellStyle name="20 % - Accent1 3 2 2 2 2 3 2" xfId="2964"/>
    <cellStyle name="20 % - Accent1 3 2 2 2 2 3 2 2" xfId="6209"/>
    <cellStyle name="20 % - Accent1 3 2 2 2 2 3 2 2 2" xfId="12741"/>
    <cellStyle name="20 % - Accent1 3 2 2 2 2 3 2 2 2 2" xfId="32214"/>
    <cellStyle name="20 % - Accent1 3 2 2 2 2 3 2 2 2 3" xfId="45194"/>
    <cellStyle name="20 % - Accent1 3 2 2 2 2 3 2 2 2 4" xfId="61423"/>
    <cellStyle name="20 % - Accent1 3 2 2 2 2 3 2 2 3" xfId="19234"/>
    <cellStyle name="20 % - Accent1 3 2 2 2 2 3 2 2 4" xfId="25724"/>
    <cellStyle name="20 % - Accent1 3 2 2 2 2 3 2 2 5" xfId="38704"/>
    <cellStyle name="20 % - Accent1 3 2 2 2 2 3 2 2 6" xfId="54933"/>
    <cellStyle name="20 % - Accent1 3 2 2 2 2 3 2 3" xfId="9496"/>
    <cellStyle name="20 % - Accent1 3 2 2 2 2 3 2 3 2" xfId="28969"/>
    <cellStyle name="20 % - Accent1 3 2 2 2 2 3 2 3 3" xfId="41949"/>
    <cellStyle name="20 % - Accent1 3 2 2 2 2 3 2 3 4" xfId="58178"/>
    <cellStyle name="20 % - Accent1 3 2 2 2 2 3 2 4" xfId="15989"/>
    <cellStyle name="20 % - Accent1 3 2 2 2 2 3 2 4 2" xfId="51688"/>
    <cellStyle name="20 % - Accent1 3 2 2 2 2 3 2 5" xfId="22479"/>
    <cellStyle name="20 % - Accent1 3 2 2 2 2 3 2 6" xfId="35459"/>
    <cellStyle name="20 % - Accent1 3 2 2 2 2 3 2 7" xfId="48442"/>
    <cellStyle name="20 % - Accent1 3 2 2 2 2 3 3" xfId="4586"/>
    <cellStyle name="20 % - Accent1 3 2 2 2 2 3 3 2" xfId="11118"/>
    <cellStyle name="20 % - Accent1 3 2 2 2 2 3 3 2 2" xfId="30591"/>
    <cellStyle name="20 % - Accent1 3 2 2 2 2 3 3 2 3" xfId="43571"/>
    <cellStyle name="20 % - Accent1 3 2 2 2 2 3 3 2 4" xfId="59800"/>
    <cellStyle name="20 % - Accent1 3 2 2 2 2 3 3 3" xfId="17611"/>
    <cellStyle name="20 % - Accent1 3 2 2 2 2 3 3 4" xfId="24101"/>
    <cellStyle name="20 % - Accent1 3 2 2 2 2 3 3 5" xfId="37081"/>
    <cellStyle name="20 % - Accent1 3 2 2 2 2 3 3 6" xfId="53310"/>
    <cellStyle name="20 % - Accent1 3 2 2 2 2 3 4" xfId="7873"/>
    <cellStyle name="20 % - Accent1 3 2 2 2 2 3 4 2" xfId="27346"/>
    <cellStyle name="20 % - Accent1 3 2 2 2 2 3 4 3" xfId="40326"/>
    <cellStyle name="20 % - Accent1 3 2 2 2 2 3 4 4" xfId="56555"/>
    <cellStyle name="20 % - Accent1 3 2 2 2 2 3 5" xfId="14366"/>
    <cellStyle name="20 % - Accent1 3 2 2 2 2 3 5 2" xfId="50065"/>
    <cellStyle name="20 % - Accent1 3 2 2 2 2 3 6" xfId="20856"/>
    <cellStyle name="20 % - Accent1 3 2 2 2 2 3 7" xfId="33836"/>
    <cellStyle name="20 % - Accent1 3 2 2 2 2 3 8" xfId="46819"/>
    <cellStyle name="20 % - Accent1 3 2 2 2 2 4" xfId="2489"/>
    <cellStyle name="20 % - Accent1 3 2 2 2 2 4 2" xfId="5734"/>
    <cellStyle name="20 % - Accent1 3 2 2 2 2 4 2 2" xfId="12266"/>
    <cellStyle name="20 % - Accent1 3 2 2 2 2 4 2 2 2" xfId="31739"/>
    <cellStyle name="20 % - Accent1 3 2 2 2 2 4 2 2 3" xfId="44719"/>
    <cellStyle name="20 % - Accent1 3 2 2 2 2 4 2 2 4" xfId="60948"/>
    <cellStyle name="20 % - Accent1 3 2 2 2 2 4 2 3" xfId="18759"/>
    <cellStyle name="20 % - Accent1 3 2 2 2 2 4 2 4" xfId="25249"/>
    <cellStyle name="20 % - Accent1 3 2 2 2 2 4 2 5" xfId="38229"/>
    <cellStyle name="20 % - Accent1 3 2 2 2 2 4 2 6" xfId="54458"/>
    <cellStyle name="20 % - Accent1 3 2 2 2 2 4 3" xfId="9021"/>
    <cellStyle name="20 % - Accent1 3 2 2 2 2 4 3 2" xfId="28494"/>
    <cellStyle name="20 % - Accent1 3 2 2 2 2 4 3 3" xfId="41474"/>
    <cellStyle name="20 % - Accent1 3 2 2 2 2 4 3 4" xfId="57703"/>
    <cellStyle name="20 % - Accent1 3 2 2 2 2 4 4" xfId="15514"/>
    <cellStyle name="20 % - Accent1 3 2 2 2 2 4 4 2" xfId="51213"/>
    <cellStyle name="20 % - Accent1 3 2 2 2 2 4 5" xfId="22004"/>
    <cellStyle name="20 % - Accent1 3 2 2 2 2 4 6" xfId="34984"/>
    <cellStyle name="20 % - Accent1 3 2 2 2 2 4 7" xfId="47967"/>
    <cellStyle name="20 % - Accent1 3 2 2 2 2 5" xfId="4111"/>
    <cellStyle name="20 % - Accent1 3 2 2 2 2 5 2" xfId="10643"/>
    <cellStyle name="20 % - Accent1 3 2 2 2 2 5 2 2" xfId="30116"/>
    <cellStyle name="20 % - Accent1 3 2 2 2 2 5 2 3" xfId="43096"/>
    <cellStyle name="20 % - Accent1 3 2 2 2 2 5 2 4" xfId="59325"/>
    <cellStyle name="20 % - Accent1 3 2 2 2 2 5 3" xfId="17136"/>
    <cellStyle name="20 % - Accent1 3 2 2 2 2 5 4" xfId="23626"/>
    <cellStyle name="20 % - Accent1 3 2 2 2 2 5 5" xfId="36606"/>
    <cellStyle name="20 % - Accent1 3 2 2 2 2 5 6" xfId="52835"/>
    <cellStyle name="20 % - Accent1 3 2 2 2 2 6" xfId="7398"/>
    <cellStyle name="20 % - Accent1 3 2 2 2 2 6 2" xfId="26871"/>
    <cellStyle name="20 % - Accent1 3 2 2 2 2 6 3" xfId="39851"/>
    <cellStyle name="20 % - Accent1 3 2 2 2 2 6 4" xfId="56080"/>
    <cellStyle name="20 % - Accent1 3 2 2 2 2 7" xfId="13891"/>
    <cellStyle name="20 % - Accent1 3 2 2 2 2 7 2" xfId="49590"/>
    <cellStyle name="20 % - Accent1 3 2 2 2 2 8" xfId="20381"/>
    <cellStyle name="20 % - Accent1 3 2 2 2 2 9" xfId="33361"/>
    <cellStyle name="20 % - Accent1 3 2 2 2 3" xfId="591"/>
    <cellStyle name="20 % - Accent1 3 2 2 2 3 2" xfId="1540"/>
    <cellStyle name="20 % - Accent1 3 2 2 2 3 2 2" xfId="3207"/>
    <cellStyle name="20 % - Accent1 3 2 2 2 3 2 2 2" xfId="6452"/>
    <cellStyle name="20 % - Accent1 3 2 2 2 3 2 2 2 2" xfId="12984"/>
    <cellStyle name="20 % - Accent1 3 2 2 2 3 2 2 2 2 2" xfId="32457"/>
    <cellStyle name="20 % - Accent1 3 2 2 2 3 2 2 2 2 3" xfId="45437"/>
    <cellStyle name="20 % - Accent1 3 2 2 2 3 2 2 2 2 4" xfId="61666"/>
    <cellStyle name="20 % - Accent1 3 2 2 2 3 2 2 2 3" xfId="19477"/>
    <cellStyle name="20 % - Accent1 3 2 2 2 3 2 2 2 4" xfId="25967"/>
    <cellStyle name="20 % - Accent1 3 2 2 2 3 2 2 2 5" xfId="38947"/>
    <cellStyle name="20 % - Accent1 3 2 2 2 3 2 2 2 6" xfId="55176"/>
    <cellStyle name="20 % - Accent1 3 2 2 2 3 2 2 3" xfId="9739"/>
    <cellStyle name="20 % - Accent1 3 2 2 2 3 2 2 3 2" xfId="29212"/>
    <cellStyle name="20 % - Accent1 3 2 2 2 3 2 2 3 3" xfId="42192"/>
    <cellStyle name="20 % - Accent1 3 2 2 2 3 2 2 3 4" xfId="58421"/>
    <cellStyle name="20 % - Accent1 3 2 2 2 3 2 2 4" xfId="16232"/>
    <cellStyle name="20 % - Accent1 3 2 2 2 3 2 2 4 2" xfId="51931"/>
    <cellStyle name="20 % - Accent1 3 2 2 2 3 2 2 5" xfId="22722"/>
    <cellStyle name="20 % - Accent1 3 2 2 2 3 2 2 6" xfId="35702"/>
    <cellStyle name="20 % - Accent1 3 2 2 2 3 2 2 7" xfId="48685"/>
    <cellStyle name="20 % - Accent1 3 2 2 2 3 2 3" xfId="4829"/>
    <cellStyle name="20 % - Accent1 3 2 2 2 3 2 3 2" xfId="11361"/>
    <cellStyle name="20 % - Accent1 3 2 2 2 3 2 3 2 2" xfId="30834"/>
    <cellStyle name="20 % - Accent1 3 2 2 2 3 2 3 2 3" xfId="43814"/>
    <cellStyle name="20 % - Accent1 3 2 2 2 3 2 3 2 4" xfId="60043"/>
    <cellStyle name="20 % - Accent1 3 2 2 2 3 2 3 3" xfId="17854"/>
    <cellStyle name="20 % - Accent1 3 2 2 2 3 2 3 4" xfId="24344"/>
    <cellStyle name="20 % - Accent1 3 2 2 2 3 2 3 5" xfId="37324"/>
    <cellStyle name="20 % - Accent1 3 2 2 2 3 2 3 6" xfId="53553"/>
    <cellStyle name="20 % - Accent1 3 2 2 2 3 2 4" xfId="8116"/>
    <cellStyle name="20 % - Accent1 3 2 2 2 3 2 4 2" xfId="27589"/>
    <cellStyle name="20 % - Accent1 3 2 2 2 3 2 4 3" xfId="40569"/>
    <cellStyle name="20 % - Accent1 3 2 2 2 3 2 4 4" xfId="56798"/>
    <cellStyle name="20 % - Accent1 3 2 2 2 3 2 5" xfId="14609"/>
    <cellStyle name="20 % - Accent1 3 2 2 2 3 2 5 2" xfId="50308"/>
    <cellStyle name="20 % - Accent1 3 2 2 2 3 2 6" xfId="21099"/>
    <cellStyle name="20 % - Accent1 3 2 2 2 3 2 7" xfId="34079"/>
    <cellStyle name="20 % - Accent1 3 2 2 2 3 2 8" xfId="47062"/>
    <cellStyle name="20 % - Accent1 3 2 2 2 3 3" xfId="2259"/>
    <cellStyle name="20 % - Accent1 3 2 2 2 3 3 2" xfId="5504"/>
    <cellStyle name="20 % - Accent1 3 2 2 2 3 3 2 2" xfId="12036"/>
    <cellStyle name="20 % - Accent1 3 2 2 2 3 3 2 2 2" xfId="31509"/>
    <cellStyle name="20 % - Accent1 3 2 2 2 3 3 2 2 3" xfId="44489"/>
    <cellStyle name="20 % - Accent1 3 2 2 2 3 3 2 2 4" xfId="60718"/>
    <cellStyle name="20 % - Accent1 3 2 2 2 3 3 2 3" xfId="18529"/>
    <cellStyle name="20 % - Accent1 3 2 2 2 3 3 2 4" xfId="25019"/>
    <cellStyle name="20 % - Accent1 3 2 2 2 3 3 2 5" xfId="37999"/>
    <cellStyle name="20 % - Accent1 3 2 2 2 3 3 2 6" xfId="54228"/>
    <cellStyle name="20 % - Accent1 3 2 2 2 3 3 3" xfId="8791"/>
    <cellStyle name="20 % - Accent1 3 2 2 2 3 3 3 2" xfId="28264"/>
    <cellStyle name="20 % - Accent1 3 2 2 2 3 3 3 3" xfId="41244"/>
    <cellStyle name="20 % - Accent1 3 2 2 2 3 3 3 4" xfId="57473"/>
    <cellStyle name="20 % - Accent1 3 2 2 2 3 3 4" xfId="15284"/>
    <cellStyle name="20 % - Accent1 3 2 2 2 3 3 4 2" xfId="50983"/>
    <cellStyle name="20 % - Accent1 3 2 2 2 3 3 5" xfId="21774"/>
    <cellStyle name="20 % - Accent1 3 2 2 2 3 3 6" xfId="34754"/>
    <cellStyle name="20 % - Accent1 3 2 2 2 3 3 7" xfId="47737"/>
    <cellStyle name="20 % - Accent1 3 2 2 2 3 4" xfId="3881"/>
    <cellStyle name="20 % - Accent1 3 2 2 2 3 4 2" xfId="10413"/>
    <cellStyle name="20 % - Accent1 3 2 2 2 3 4 2 2" xfId="29886"/>
    <cellStyle name="20 % - Accent1 3 2 2 2 3 4 2 3" xfId="42866"/>
    <cellStyle name="20 % - Accent1 3 2 2 2 3 4 2 4" xfId="59095"/>
    <cellStyle name="20 % - Accent1 3 2 2 2 3 4 3" xfId="16906"/>
    <cellStyle name="20 % - Accent1 3 2 2 2 3 4 4" xfId="23396"/>
    <cellStyle name="20 % - Accent1 3 2 2 2 3 4 5" xfId="36376"/>
    <cellStyle name="20 % - Accent1 3 2 2 2 3 4 6" xfId="52605"/>
    <cellStyle name="20 % - Accent1 3 2 2 2 3 5" xfId="7168"/>
    <cellStyle name="20 % - Accent1 3 2 2 2 3 5 2" xfId="26641"/>
    <cellStyle name="20 % - Accent1 3 2 2 2 3 5 3" xfId="39621"/>
    <cellStyle name="20 % - Accent1 3 2 2 2 3 5 4" xfId="55850"/>
    <cellStyle name="20 % - Accent1 3 2 2 2 3 6" xfId="13661"/>
    <cellStyle name="20 % - Accent1 3 2 2 2 3 6 2" xfId="49360"/>
    <cellStyle name="20 % - Accent1 3 2 2 2 3 7" xfId="20151"/>
    <cellStyle name="20 % - Accent1 3 2 2 2 3 8" xfId="33131"/>
    <cellStyle name="20 % - Accent1 3 2 2 2 3 9" xfId="46114"/>
    <cellStyle name="20 % - Accent1 3 2 2 2 4" xfId="1077"/>
    <cellStyle name="20 % - Accent1 3 2 2 2 4 2" xfId="2744"/>
    <cellStyle name="20 % - Accent1 3 2 2 2 4 2 2" xfId="5989"/>
    <cellStyle name="20 % - Accent1 3 2 2 2 4 2 2 2" xfId="12521"/>
    <cellStyle name="20 % - Accent1 3 2 2 2 4 2 2 2 2" xfId="31994"/>
    <cellStyle name="20 % - Accent1 3 2 2 2 4 2 2 2 3" xfId="44974"/>
    <cellStyle name="20 % - Accent1 3 2 2 2 4 2 2 2 4" xfId="61203"/>
    <cellStyle name="20 % - Accent1 3 2 2 2 4 2 2 3" xfId="19014"/>
    <cellStyle name="20 % - Accent1 3 2 2 2 4 2 2 4" xfId="25504"/>
    <cellStyle name="20 % - Accent1 3 2 2 2 4 2 2 5" xfId="38484"/>
    <cellStyle name="20 % - Accent1 3 2 2 2 4 2 2 6" xfId="54713"/>
    <cellStyle name="20 % - Accent1 3 2 2 2 4 2 3" xfId="9276"/>
    <cellStyle name="20 % - Accent1 3 2 2 2 4 2 3 2" xfId="28749"/>
    <cellStyle name="20 % - Accent1 3 2 2 2 4 2 3 3" xfId="41729"/>
    <cellStyle name="20 % - Accent1 3 2 2 2 4 2 3 4" xfId="57958"/>
    <cellStyle name="20 % - Accent1 3 2 2 2 4 2 4" xfId="15769"/>
    <cellStyle name="20 % - Accent1 3 2 2 2 4 2 4 2" xfId="51468"/>
    <cellStyle name="20 % - Accent1 3 2 2 2 4 2 5" xfId="22259"/>
    <cellStyle name="20 % - Accent1 3 2 2 2 4 2 6" xfId="35239"/>
    <cellStyle name="20 % - Accent1 3 2 2 2 4 2 7" xfId="48222"/>
    <cellStyle name="20 % - Accent1 3 2 2 2 4 3" xfId="4366"/>
    <cellStyle name="20 % - Accent1 3 2 2 2 4 3 2" xfId="10898"/>
    <cellStyle name="20 % - Accent1 3 2 2 2 4 3 2 2" xfId="30371"/>
    <cellStyle name="20 % - Accent1 3 2 2 2 4 3 2 3" xfId="43351"/>
    <cellStyle name="20 % - Accent1 3 2 2 2 4 3 2 4" xfId="59580"/>
    <cellStyle name="20 % - Accent1 3 2 2 2 4 3 3" xfId="17391"/>
    <cellStyle name="20 % - Accent1 3 2 2 2 4 3 4" xfId="23881"/>
    <cellStyle name="20 % - Accent1 3 2 2 2 4 3 5" xfId="36861"/>
    <cellStyle name="20 % - Accent1 3 2 2 2 4 3 6" xfId="53090"/>
    <cellStyle name="20 % - Accent1 3 2 2 2 4 4" xfId="7653"/>
    <cellStyle name="20 % - Accent1 3 2 2 2 4 4 2" xfId="27126"/>
    <cellStyle name="20 % - Accent1 3 2 2 2 4 4 3" xfId="40106"/>
    <cellStyle name="20 % - Accent1 3 2 2 2 4 4 4" xfId="56335"/>
    <cellStyle name="20 % - Accent1 3 2 2 2 4 5" xfId="14146"/>
    <cellStyle name="20 % - Accent1 3 2 2 2 4 5 2" xfId="49845"/>
    <cellStyle name="20 % - Accent1 3 2 2 2 4 6" xfId="20636"/>
    <cellStyle name="20 % - Accent1 3 2 2 2 4 7" xfId="33616"/>
    <cellStyle name="20 % - Accent1 3 2 2 2 4 8" xfId="46599"/>
    <cellStyle name="20 % - Accent1 3 2 2 2 5" xfId="2030"/>
    <cellStyle name="20 % - Accent1 3 2 2 2 5 2" xfId="5275"/>
    <cellStyle name="20 % - Accent1 3 2 2 2 5 2 2" xfId="11807"/>
    <cellStyle name="20 % - Accent1 3 2 2 2 5 2 2 2" xfId="31280"/>
    <cellStyle name="20 % - Accent1 3 2 2 2 5 2 2 3" xfId="44260"/>
    <cellStyle name="20 % - Accent1 3 2 2 2 5 2 2 4" xfId="60489"/>
    <cellStyle name="20 % - Accent1 3 2 2 2 5 2 3" xfId="18300"/>
    <cellStyle name="20 % - Accent1 3 2 2 2 5 2 4" xfId="24790"/>
    <cellStyle name="20 % - Accent1 3 2 2 2 5 2 5" xfId="37770"/>
    <cellStyle name="20 % - Accent1 3 2 2 2 5 2 6" xfId="53999"/>
    <cellStyle name="20 % - Accent1 3 2 2 2 5 3" xfId="8562"/>
    <cellStyle name="20 % - Accent1 3 2 2 2 5 3 2" xfId="28035"/>
    <cellStyle name="20 % - Accent1 3 2 2 2 5 3 3" xfId="41015"/>
    <cellStyle name="20 % - Accent1 3 2 2 2 5 3 4" xfId="57244"/>
    <cellStyle name="20 % - Accent1 3 2 2 2 5 4" xfId="15055"/>
    <cellStyle name="20 % - Accent1 3 2 2 2 5 4 2" xfId="50754"/>
    <cellStyle name="20 % - Accent1 3 2 2 2 5 5" xfId="21545"/>
    <cellStyle name="20 % - Accent1 3 2 2 2 5 6" xfId="34525"/>
    <cellStyle name="20 % - Accent1 3 2 2 2 5 7" xfId="47508"/>
    <cellStyle name="20 % - Accent1 3 2 2 2 6" xfId="3651"/>
    <cellStyle name="20 % - Accent1 3 2 2 2 6 2" xfId="10183"/>
    <cellStyle name="20 % - Accent1 3 2 2 2 6 2 2" xfId="29656"/>
    <cellStyle name="20 % - Accent1 3 2 2 2 6 2 3" xfId="42636"/>
    <cellStyle name="20 % - Accent1 3 2 2 2 6 2 4" xfId="58865"/>
    <cellStyle name="20 % - Accent1 3 2 2 2 6 3" xfId="16676"/>
    <cellStyle name="20 % - Accent1 3 2 2 2 6 4" xfId="23166"/>
    <cellStyle name="20 % - Accent1 3 2 2 2 6 5" xfId="36146"/>
    <cellStyle name="20 % - Accent1 3 2 2 2 6 6" xfId="52375"/>
    <cellStyle name="20 % - Accent1 3 2 2 2 7" xfId="6938"/>
    <cellStyle name="20 % - Accent1 3 2 2 2 7 2" xfId="26411"/>
    <cellStyle name="20 % - Accent1 3 2 2 2 7 3" xfId="39391"/>
    <cellStyle name="20 % - Accent1 3 2 2 2 7 4" xfId="55620"/>
    <cellStyle name="20 % - Accent1 3 2 2 2 8" xfId="13431"/>
    <cellStyle name="20 % - Accent1 3 2 2 2 8 2" xfId="49130"/>
    <cellStyle name="20 % - Accent1 3 2 2 2 9" xfId="19921"/>
    <cellStyle name="20 % - Accent1 3 2 2 3" xfId="733"/>
    <cellStyle name="20 % - Accent1 3 2 2 3 10" xfId="46256"/>
    <cellStyle name="20 % - Accent1 3 2 2 3 2" xfId="1672"/>
    <cellStyle name="20 % - Accent1 3 2 2 3 2 2" xfId="3339"/>
    <cellStyle name="20 % - Accent1 3 2 2 3 2 2 2" xfId="6584"/>
    <cellStyle name="20 % - Accent1 3 2 2 3 2 2 2 2" xfId="13116"/>
    <cellStyle name="20 % - Accent1 3 2 2 3 2 2 2 2 2" xfId="32589"/>
    <cellStyle name="20 % - Accent1 3 2 2 3 2 2 2 2 3" xfId="45569"/>
    <cellStyle name="20 % - Accent1 3 2 2 3 2 2 2 2 4" xfId="61798"/>
    <cellStyle name="20 % - Accent1 3 2 2 3 2 2 2 3" xfId="19609"/>
    <cellStyle name="20 % - Accent1 3 2 2 3 2 2 2 4" xfId="26099"/>
    <cellStyle name="20 % - Accent1 3 2 2 3 2 2 2 5" xfId="39079"/>
    <cellStyle name="20 % - Accent1 3 2 2 3 2 2 2 6" xfId="55308"/>
    <cellStyle name="20 % - Accent1 3 2 2 3 2 2 3" xfId="9871"/>
    <cellStyle name="20 % - Accent1 3 2 2 3 2 2 3 2" xfId="29344"/>
    <cellStyle name="20 % - Accent1 3 2 2 3 2 2 3 3" xfId="42324"/>
    <cellStyle name="20 % - Accent1 3 2 2 3 2 2 3 4" xfId="58553"/>
    <cellStyle name="20 % - Accent1 3 2 2 3 2 2 4" xfId="16364"/>
    <cellStyle name="20 % - Accent1 3 2 2 3 2 2 4 2" xfId="52063"/>
    <cellStyle name="20 % - Accent1 3 2 2 3 2 2 5" xfId="22854"/>
    <cellStyle name="20 % - Accent1 3 2 2 3 2 2 6" xfId="35834"/>
    <cellStyle name="20 % - Accent1 3 2 2 3 2 2 7" xfId="48817"/>
    <cellStyle name="20 % - Accent1 3 2 2 3 2 3" xfId="4961"/>
    <cellStyle name="20 % - Accent1 3 2 2 3 2 3 2" xfId="11493"/>
    <cellStyle name="20 % - Accent1 3 2 2 3 2 3 2 2" xfId="30966"/>
    <cellStyle name="20 % - Accent1 3 2 2 3 2 3 2 3" xfId="43946"/>
    <cellStyle name="20 % - Accent1 3 2 2 3 2 3 2 4" xfId="60175"/>
    <cellStyle name="20 % - Accent1 3 2 2 3 2 3 3" xfId="17986"/>
    <cellStyle name="20 % - Accent1 3 2 2 3 2 3 4" xfId="24476"/>
    <cellStyle name="20 % - Accent1 3 2 2 3 2 3 5" xfId="37456"/>
    <cellStyle name="20 % - Accent1 3 2 2 3 2 3 6" xfId="53685"/>
    <cellStyle name="20 % - Accent1 3 2 2 3 2 4" xfId="8248"/>
    <cellStyle name="20 % - Accent1 3 2 2 3 2 4 2" xfId="27721"/>
    <cellStyle name="20 % - Accent1 3 2 2 3 2 4 3" xfId="40701"/>
    <cellStyle name="20 % - Accent1 3 2 2 3 2 4 4" xfId="56930"/>
    <cellStyle name="20 % - Accent1 3 2 2 3 2 5" xfId="14741"/>
    <cellStyle name="20 % - Accent1 3 2 2 3 2 5 2" xfId="50440"/>
    <cellStyle name="20 % - Accent1 3 2 2 3 2 6" xfId="21231"/>
    <cellStyle name="20 % - Accent1 3 2 2 3 2 7" xfId="34211"/>
    <cellStyle name="20 % - Accent1 3 2 2 3 2 8" xfId="47194"/>
    <cellStyle name="20 % - Accent1 3 2 2 3 3" xfId="1209"/>
    <cellStyle name="20 % - Accent1 3 2 2 3 3 2" xfId="2876"/>
    <cellStyle name="20 % - Accent1 3 2 2 3 3 2 2" xfId="6121"/>
    <cellStyle name="20 % - Accent1 3 2 2 3 3 2 2 2" xfId="12653"/>
    <cellStyle name="20 % - Accent1 3 2 2 3 3 2 2 2 2" xfId="32126"/>
    <cellStyle name="20 % - Accent1 3 2 2 3 3 2 2 2 3" xfId="45106"/>
    <cellStyle name="20 % - Accent1 3 2 2 3 3 2 2 2 4" xfId="61335"/>
    <cellStyle name="20 % - Accent1 3 2 2 3 3 2 2 3" xfId="19146"/>
    <cellStyle name="20 % - Accent1 3 2 2 3 3 2 2 4" xfId="25636"/>
    <cellStyle name="20 % - Accent1 3 2 2 3 3 2 2 5" xfId="38616"/>
    <cellStyle name="20 % - Accent1 3 2 2 3 3 2 2 6" xfId="54845"/>
    <cellStyle name="20 % - Accent1 3 2 2 3 3 2 3" xfId="9408"/>
    <cellStyle name="20 % - Accent1 3 2 2 3 3 2 3 2" xfId="28881"/>
    <cellStyle name="20 % - Accent1 3 2 2 3 3 2 3 3" xfId="41861"/>
    <cellStyle name="20 % - Accent1 3 2 2 3 3 2 3 4" xfId="58090"/>
    <cellStyle name="20 % - Accent1 3 2 2 3 3 2 4" xfId="15901"/>
    <cellStyle name="20 % - Accent1 3 2 2 3 3 2 4 2" xfId="51600"/>
    <cellStyle name="20 % - Accent1 3 2 2 3 3 2 5" xfId="22391"/>
    <cellStyle name="20 % - Accent1 3 2 2 3 3 2 6" xfId="35371"/>
    <cellStyle name="20 % - Accent1 3 2 2 3 3 2 7" xfId="48354"/>
    <cellStyle name="20 % - Accent1 3 2 2 3 3 3" xfId="4498"/>
    <cellStyle name="20 % - Accent1 3 2 2 3 3 3 2" xfId="11030"/>
    <cellStyle name="20 % - Accent1 3 2 2 3 3 3 2 2" xfId="30503"/>
    <cellStyle name="20 % - Accent1 3 2 2 3 3 3 2 3" xfId="43483"/>
    <cellStyle name="20 % - Accent1 3 2 2 3 3 3 2 4" xfId="59712"/>
    <cellStyle name="20 % - Accent1 3 2 2 3 3 3 3" xfId="17523"/>
    <cellStyle name="20 % - Accent1 3 2 2 3 3 3 4" xfId="24013"/>
    <cellStyle name="20 % - Accent1 3 2 2 3 3 3 5" xfId="36993"/>
    <cellStyle name="20 % - Accent1 3 2 2 3 3 3 6" xfId="53222"/>
    <cellStyle name="20 % - Accent1 3 2 2 3 3 4" xfId="7785"/>
    <cellStyle name="20 % - Accent1 3 2 2 3 3 4 2" xfId="27258"/>
    <cellStyle name="20 % - Accent1 3 2 2 3 3 4 3" xfId="40238"/>
    <cellStyle name="20 % - Accent1 3 2 2 3 3 4 4" xfId="56467"/>
    <cellStyle name="20 % - Accent1 3 2 2 3 3 5" xfId="14278"/>
    <cellStyle name="20 % - Accent1 3 2 2 3 3 5 2" xfId="49977"/>
    <cellStyle name="20 % - Accent1 3 2 2 3 3 6" xfId="20768"/>
    <cellStyle name="20 % - Accent1 3 2 2 3 3 7" xfId="33748"/>
    <cellStyle name="20 % - Accent1 3 2 2 3 3 8" xfId="46731"/>
    <cellStyle name="20 % - Accent1 3 2 2 3 4" xfId="2401"/>
    <cellStyle name="20 % - Accent1 3 2 2 3 4 2" xfId="5646"/>
    <cellStyle name="20 % - Accent1 3 2 2 3 4 2 2" xfId="12178"/>
    <cellStyle name="20 % - Accent1 3 2 2 3 4 2 2 2" xfId="31651"/>
    <cellStyle name="20 % - Accent1 3 2 2 3 4 2 2 3" xfId="44631"/>
    <cellStyle name="20 % - Accent1 3 2 2 3 4 2 2 4" xfId="60860"/>
    <cellStyle name="20 % - Accent1 3 2 2 3 4 2 3" xfId="18671"/>
    <cellStyle name="20 % - Accent1 3 2 2 3 4 2 4" xfId="25161"/>
    <cellStyle name="20 % - Accent1 3 2 2 3 4 2 5" xfId="38141"/>
    <cellStyle name="20 % - Accent1 3 2 2 3 4 2 6" xfId="54370"/>
    <cellStyle name="20 % - Accent1 3 2 2 3 4 3" xfId="8933"/>
    <cellStyle name="20 % - Accent1 3 2 2 3 4 3 2" xfId="28406"/>
    <cellStyle name="20 % - Accent1 3 2 2 3 4 3 3" xfId="41386"/>
    <cellStyle name="20 % - Accent1 3 2 2 3 4 3 4" xfId="57615"/>
    <cellStyle name="20 % - Accent1 3 2 2 3 4 4" xfId="15426"/>
    <cellStyle name="20 % - Accent1 3 2 2 3 4 4 2" xfId="51125"/>
    <cellStyle name="20 % - Accent1 3 2 2 3 4 5" xfId="21916"/>
    <cellStyle name="20 % - Accent1 3 2 2 3 4 6" xfId="34896"/>
    <cellStyle name="20 % - Accent1 3 2 2 3 4 7" xfId="47879"/>
    <cellStyle name="20 % - Accent1 3 2 2 3 5" xfId="4023"/>
    <cellStyle name="20 % - Accent1 3 2 2 3 5 2" xfId="10555"/>
    <cellStyle name="20 % - Accent1 3 2 2 3 5 2 2" xfId="30028"/>
    <cellStyle name="20 % - Accent1 3 2 2 3 5 2 3" xfId="43008"/>
    <cellStyle name="20 % - Accent1 3 2 2 3 5 2 4" xfId="59237"/>
    <cellStyle name="20 % - Accent1 3 2 2 3 5 3" xfId="17048"/>
    <cellStyle name="20 % - Accent1 3 2 2 3 5 4" xfId="23538"/>
    <cellStyle name="20 % - Accent1 3 2 2 3 5 5" xfId="36518"/>
    <cellStyle name="20 % - Accent1 3 2 2 3 5 6" xfId="52747"/>
    <cellStyle name="20 % - Accent1 3 2 2 3 6" xfId="7310"/>
    <cellStyle name="20 % - Accent1 3 2 2 3 6 2" xfId="26783"/>
    <cellStyle name="20 % - Accent1 3 2 2 3 6 3" xfId="39763"/>
    <cellStyle name="20 % - Accent1 3 2 2 3 6 4" xfId="55992"/>
    <cellStyle name="20 % - Accent1 3 2 2 3 7" xfId="13803"/>
    <cellStyle name="20 % - Accent1 3 2 2 3 7 2" xfId="49502"/>
    <cellStyle name="20 % - Accent1 3 2 2 3 8" xfId="20293"/>
    <cellStyle name="20 % - Accent1 3 2 2 3 9" xfId="33273"/>
    <cellStyle name="20 % - Accent1 3 2 2 4" xfId="503"/>
    <cellStyle name="20 % - Accent1 3 2 2 4 2" xfId="1452"/>
    <cellStyle name="20 % - Accent1 3 2 2 4 2 2" xfId="3119"/>
    <cellStyle name="20 % - Accent1 3 2 2 4 2 2 2" xfId="6364"/>
    <cellStyle name="20 % - Accent1 3 2 2 4 2 2 2 2" xfId="12896"/>
    <cellStyle name="20 % - Accent1 3 2 2 4 2 2 2 2 2" xfId="32369"/>
    <cellStyle name="20 % - Accent1 3 2 2 4 2 2 2 2 3" xfId="45349"/>
    <cellStyle name="20 % - Accent1 3 2 2 4 2 2 2 2 4" xfId="61578"/>
    <cellStyle name="20 % - Accent1 3 2 2 4 2 2 2 3" xfId="19389"/>
    <cellStyle name="20 % - Accent1 3 2 2 4 2 2 2 4" xfId="25879"/>
    <cellStyle name="20 % - Accent1 3 2 2 4 2 2 2 5" xfId="38859"/>
    <cellStyle name="20 % - Accent1 3 2 2 4 2 2 2 6" xfId="55088"/>
    <cellStyle name="20 % - Accent1 3 2 2 4 2 2 3" xfId="9651"/>
    <cellStyle name="20 % - Accent1 3 2 2 4 2 2 3 2" xfId="29124"/>
    <cellStyle name="20 % - Accent1 3 2 2 4 2 2 3 3" xfId="42104"/>
    <cellStyle name="20 % - Accent1 3 2 2 4 2 2 3 4" xfId="58333"/>
    <cellStyle name="20 % - Accent1 3 2 2 4 2 2 4" xfId="16144"/>
    <cellStyle name="20 % - Accent1 3 2 2 4 2 2 4 2" xfId="51843"/>
    <cellStyle name="20 % - Accent1 3 2 2 4 2 2 5" xfId="22634"/>
    <cellStyle name="20 % - Accent1 3 2 2 4 2 2 6" xfId="35614"/>
    <cellStyle name="20 % - Accent1 3 2 2 4 2 2 7" xfId="48597"/>
    <cellStyle name="20 % - Accent1 3 2 2 4 2 3" xfId="4741"/>
    <cellStyle name="20 % - Accent1 3 2 2 4 2 3 2" xfId="11273"/>
    <cellStyle name="20 % - Accent1 3 2 2 4 2 3 2 2" xfId="30746"/>
    <cellStyle name="20 % - Accent1 3 2 2 4 2 3 2 3" xfId="43726"/>
    <cellStyle name="20 % - Accent1 3 2 2 4 2 3 2 4" xfId="59955"/>
    <cellStyle name="20 % - Accent1 3 2 2 4 2 3 3" xfId="17766"/>
    <cellStyle name="20 % - Accent1 3 2 2 4 2 3 4" xfId="24256"/>
    <cellStyle name="20 % - Accent1 3 2 2 4 2 3 5" xfId="37236"/>
    <cellStyle name="20 % - Accent1 3 2 2 4 2 3 6" xfId="53465"/>
    <cellStyle name="20 % - Accent1 3 2 2 4 2 4" xfId="8028"/>
    <cellStyle name="20 % - Accent1 3 2 2 4 2 4 2" xfId="27501"/>
    <cellStyle name="20 % - Accent1 3 2 2 4 2 4 3" xfId="40481"/>
    <cellStyle name="20 % - Accent1 3 2 2 4 2 4 4" xfId="56710"/>
    <cellStyle name="20 % - Accent1 3 2 2 4 2 5" xfId="14521"/>
    <cellStyle name="20 % - Accent1 3 2 2 4 2 5 2" xfId="50220"/>
    <cellStyle name="20 % - Accent1 3 2 2 4 2 6" xfId="21011"/>
    <cellStyle name="20 % - Accent1 3 2 2 4 2 7" xfId="33991"/>
    <cellStyle name="20 % - Accent1 3 2 2 4 2 8" xfId="46974"/>
    <cellStyle name="20 % - Accent1 3 2 2 4 3" xfId="2171"/>
    <cellStyle name="20 % - Accent1 3 2 2 4 3 2" xfId="5416"/>
    <cellStyle name="20 % - Accent1 3 2 2 4 3 2 2" xfId="11948"/>
    <cellStyle name="20 % - Accent1 3 2 2 4 3 2 2 2" xfId="31421"/>
    <cellStyle name="20 % - Accent1 3 2 2 4 3 2 2 3" xfId="44401"/>
    <cellStyle name="20 % - Accent1 3 2 2 4 3 2 2 4" xfId="60630"/>
    <cellStyle name="20 % - Accent1 3 2 2 4 3 2 3" xfId="18441"/>
    <cellStyle name="20 % - Accent1 3 2 2 4 3 2 4" xfId="24931"/>
    <cellStyle name="20 % - Accent1 3 2 2 4 3 2 5" xfId="37911"/>
    <cellStyle name="20 % - Accent1 3 2 2 4 3 2 6" xfId="54140"/>
    <cellStyle name="20 % - Accent1 3 2 2 4 3 3" xfId="8703"/>
    <cellStyle name="20 % - Accent1 3 2 2 4 3 3 2" xfId="28176"/>
    <cellStyle name="20 % - Accent1 3 2 2 4 3 3 3" xfId="41156"/>
    <cellStyle name="20 % - Accent1 3 2 2 4 3 3 4" xfId="57385"/>
    <cellStyle name="20 % - Accent1 3 2 2 4 3 4" xfId="15196"/>
    <cellStyle name="20 % - Accent1 3 2 2 4 3 4 2" xfId="50895"/>
    <cellStyle name="20 % - Accent1 3 2 2 4 3 5" xfId="21686"/>
    <cellStyle name="20 % - Accent1 3 2 2 4 3 6" xfId="34666"/>
    <cellStyle name="20 % - Accent1 3 2 2 4 3 7" xfId="47649"/>
    <cellStyle name="20 % - Accent1 3 2 2 4 4" xfId="3793"/>
    <cellStyle name="20 % - Accent1 3 2 2 4 4 2" xfId="10325"/>
    <cellStyle name="20 % - Accent1 3 2 2 4 4 2 2" xfId="29798"/>
    <cellStyle name="20 % - Accent1 3 2 2 4 4 2 3" xfId="42778"/>
    <cellStyle name="20 % - Accent1 3 2 2 4 4 2 4" xfId="59007"/>
    <cellStyle name="20 % - Accent1 3 2 2 4 4 3" xfId="16818"/>
    <cellStyle name="20 % - Accent1 3 2 2 4 4 4" xfId="23308"/>
    <cellStyle name="20 % - Accent1 3 2 2 4 4 5" xfId="36288"/>
    <cellStyle name="20 % - Accent1 3 2 2 4 4 6" xfId="52517"/>
    <cellStyle name="20 % - Accent1 3 2 2 4 5" xfId="7080"/>
    <cellStyle name="20 % - Accent1 3 2 2 4 5 2" xfId="26553"/>
    <cellStyle name="20 % - Accent1 3 2 2 4 5 3" xfId="39533"/>
    <cellStyle name="20 % - Accent1 3 2 2 4 5 4" xfId="55762"/>
    <cellStyle name="20 % - Accent1 3 2 2 4 6" xfId="13573"/>
    <cellStyle name="20 % - Accent1 3 2 2 4 6 2" xfId="49272"/>
    <cellStyle name="20 % - Accent1 3 2 2 4 7" xfId="20063"/>
    <cellStyle name="20 % - Accent1 3 2 2 4 8" xfId="33043"/>
    <cellStyle name="20 % - Accent1 3 2 2 4 9" xfId="46026"/>
    <cellStyle name="20 % - Accent1 3 2 2 5" xfId="989"/>
    <cellStyle name="20 % - Accent1 3 2 2 5 2" xfId="2656"/>
    <cellStyle name="20 % - Accent1 3 2 2 5 2 2" xfId="5901"/>
    <cellStyle name="20 % - Accent1 3 2 2 5 2 2 2" xfId="12433"/>
    <cellStyle name="20 % - Accent1 3 2 2 5 2 2 2 2" xfId="31906"/>
    <cellStyle name="20 % - Accent1 3 2 2 5 2 2 2 3" xfId="44886"/>
    <cellStyle name="20 % - Accent1 3 2 2 5 2 2 2 4" xfId="61115"/>
    <cellStyle name="20 % - Accent1 3 2 2 5 2 2 3" xfId="18926"/>
    <cellStyle name="20 % - Accent1 3 2 2 5 2 2 4" xfId="25416"/>
    <cellStyle name="20 % - Accent1 3 2 2 5 2 2 5" xfId="38396"/>
    <cellStyle name="20 % - Accent1 3 2 2 5 2 2 6" xfId="54625"/>
    <cellStyle name="20 % - Accent1 3 2 2 5 2 3" xfId="9188"/>
    <cellStyle name="20 % - Accent1 3 2 2 5 2 3 2" xfId="28661"/>
    <cellStyle name="20 % - Accent1 3 2 2 5 2 3 3" xfId="41641"/>
    <cellStyle name="20 % - Accent1 3 2 2 5 2 3 4" xfId="57870"/>
    <cellStyle name="20 % - Accent1 3 2 2 5 2 4" xfId="15681"/>
    <cellStyle name="20 % - Accent1 3 2 2 5 2 4 2" xfId="51380"/>
    <cellStyle name="20 % - Accent1 3 2 2 5 2 5" xfId="22171"/>
    <cellStyle name="20 % - Accent1 3 2 2 5 2 6" xfId="35151"/>
    <cellStyle name="20 % - Accent1 3 2 2 5 2 7" xfId="48134"/>
    <cellStyle name="20 % - Accent1 3 2 2 5 3" xfId="4278"/>
    <cellStyle name="20 % - Accent1 3 2 2 5 3 2" xfId="10810"/>
    <cellStyle name="20 % - Accent1 3 2 2 5 3 2 2" xfId="30283"/>
    <cellStyle name="20 % - Accent1 3 2 2 5 3 2 3" xfId="43263"/>
    <cellStyle name="20 % - Accent1 3 2 2 5 3 2 4" xfId="59492"/>
    <cellStyle name="20 % - Accent1 3 2 2 5 3 3" xfId="17303"/>
    <cellStyle name="20 % - Accent1 3 2 2 5 3 4" xfId="23793"/>
    <cellStyle name="20 % - Accent1 3 2 2 5 3 5" xfId="36773"/>
    <cellStyle name="20 % - Accent1 3 2 2 5 3 6" xfId="53002"/>
    <cellStyle name="20 % - Accent1 3 2 2 5 4" xfId="7565"/>
    <cellStyle name="20 % - Accent1 3 2 2 5 4 2" xfId="27038"/>
    <cellStyle name="20 % - Accent1 3 2 2 5 4 3" xfId="40018"/>
    <cellStyle name="20 % - Accent1 3 2 2 5 4 4" xfId="56247"/>
    <cellStyle name="20 % - Accent1 3 2 2 5 5" xfId="14058"/>
    <cellStyle name="20 % - Accent1 3 2 2 5 5 2" xfId="49757"/>
    <cellStyle name="20 % - Accent1 3 2 2 5 6" xfId="20548"/>
    <cellStyle name="20 % - Accent1 3 2 2 5 7" xfId="33528"/>
    <cellStyle name="20 % - Accent1 3 2 2 5 8" xfId="46511"/>
    <cellStyle name="20 % - Accent1 3 2 2 6" xfId="1942"/>
    <cellStyle name="20 % - Accent1 3 2 2 6 2" xfId="5187"/>
    <cellStyle name="20 % - Accent1 3 2 2 6 2 2" xfId="11719"/>
    <cellStyle name="20 % - Accent1 3 2 2 6 2 2 2" xfId="31192"/>
    <cellStyle name="20 % - Accent1 3 2 2 6 2 2 3" xfId="44172"/>
    <cellStyle name="20 % - Accent1 3 2 2 6 2 2 4" xfId="60401"/>
    <cellStyle name="20 % - Accent1 3 2 2 6 2 3" xfId="18212"/>
    <cellStyle name="20 % - Accent1 3 2 2 6 2 4" xfId="24702"/>
    <cellStyle name="20 % - Accent1 3 2 2 6 2 5" xfId="37682"/>
    <cellStyle name="20 % - Accent1 3 2 2 6 2 6" xfId="53911"/>
    <cellStyle name="20 % - Accent1 3 2 2 6 3" xfId="8474"/>
    <cellStyle name="20 % - Accent1 3 2 2 6 3 2" xfId="27947"/>
    <cellStyle name="20 % - Accent1 3 2 2 6 3 3" xfId="40927"/>
    <cellStyle name="20 % - Accent1 3 2 2 6 3 4" xfId="57156"/>
    <cellStyle name="20 % - Accent1 3 2 2 6 4" xfId="14967"/>
    <cellStyle name="20 % - Accent1 3 2 2 6 4 2" xfId="50666"/>
    <cellStyle name="20 % - Accent1 3 2 2 6 5" xfId="21457"/>
    <cellStyle name="20 % - Accent1 3 2 2 6 6" xfId="34437"/>
    <cellStyle name="20 % - Accent1 3 2 2 6 7" xfId="47420"/>
    <cellStyle name="20 % - Accent1 3 2 2 7" xfId="3563"/>
    <cellStyle name="20 % - Accent1 3 2 2 7 2" xfId="10095"/>
    <cellStyle name="20 % - Accent1 3 2 2 7 2 2" xfId="29568"/>
    <cellStyle name="20 % - Accent1 3 2 2 7 2 3" xfId="42548"/>
    <cellStyle name="20 % - Accent1 3 2 2 7 2 4" xfId="58777"/>
    <cellStyle name="20 % - Accent1 3 2 2 7 3" xfId="16588"/>
    <cellStyle name="20 % - Accent1 3 2 2 7 4" xfId="23078"/>
    <cellStyle name="20 % - Accent1 3 2 2 7 5" xfId="36058"/>
    <cellStyle name="20 % - Accent1 3 2 2 7 6" xfId="52287"/>
    <cellStyle name="20 % - Accent1 3 2 2 8" xfId="6850"/>
    <cellStyle name="20 % - Accent1 3 2 2 8 2" xfId="26323"/>
    <cellStyle name="20 % - Accent1 3 2 2 8 3" xfId="39303"/>
    <cellStyle name="20 % - Accent1 3 2 2 8 4" xfId="55532"/>
    <cellStyle name="20 % - Accent1 3 2 2 9" xfId="13343"/>
    <cellStyle name="20 % - Accent1 3 2 2 9 2" xfId="49042"/>
    <cellStyle name="20 % - Accent1 3 2 3" xfId="225"/>
    <cellStyle name="20 % - Accent1 3 2 3 10" xfId="32769"/>
    <cellStyle name="20 % - Accent1 3 2 3 11" xfId="45752"/>
    <cellStyle name="20 % - Accent1 3 2 3 2" xfId="689"/>
    <cellStyle name="20 % - Accent1 3 2 3 2 10" xfId="46212"/>
    <cellStyle name="20 % - Accent1 3 2 3 2 2" xfId="1628"/>
    <cellStyle name="20 % - Accent1 3 2 3 2 2 2" xfId="3295"/>
    <cellStyle name="20 % - Accent1 3 2 3 2 2 2 2" xfId="6540"/>
    <cellStyle name="20 % - Accent1 3 2 3 2 2 2 2 2" xfId="13072"/>
    <cellStyle name="20 % - Accent1 3 2 3 2 2 2 2 2 2" xfId="32545"/>
    <cellStyle name="20 % - Accent1 3 2 3 2 2 2 2 2 3" xfId="45525"/>
    <cellStyle name="20 % - Accent1 3 2 3 2 2 2 2 2 4" xfId="61754"/>
    <cellStyle name="20 % - Accent1 3 2 3 2 2 2 2 3" xfId="19565"/>
    <cellStyle name="20 % - Accent1 3 2 3 2 2 2 2 4" xfId="26055"/>
    <cellStyle name="20 % - Accent1 3 2 3 2 2 2 2 5" xfId="39035"/>
    <cellStyle name="20 % - Accent1 3 2 3 2 2 2 2 6" xfId="55264"/>
    <cellStyle name="20 % - Accent1 3 2 3 2 2 2 3" xfId="9827"/>
    <cellStyle name="20 % - Accent1 3 2 3 2 2 2 3 2" xfId="29300"/>
    <cellStyle name="20 % - Accent1 3 2 3 2 2 2 3 3" xfId="42280"/>
    <cellStyle name="20 % - Accent1 3 2 3 2 2 2 3 4" xfId="58509"/>
    <cellStyle name="20 % - Accent1 3 2 3 2 2 2 4" xfId="16320"/>
    <cellStyle name="20 % - Accent1 3 2 3 2 2 2 4 2" xfId="52019"/>
    <cellStyle name="20 % - Accent1 3 2 3 2 2 2 5" xfId="22810"/>
    <cellStyle name="20 % - Accent1 3 2 3 2 2 2 6" xfId="35790"/>
    <cellStyle name="20 % - Accent1 3 2 3 2 2 2 7" xfId="48773"/>
    <cellStyle name="20 % - Accent1 3 2 3 2 2 3" xfId="4917"/>
    <cellStyle name="20 % - Accent1 3 2 3 2 2 3 2" xfId="11449"/>
    <cellStyle name="20 % - Accent1 3 2 3 2 2 3 2 2" xfId="30922"/>
    <cellStyle name="20 % - Accent1 3 2 3 2 2 3 2 3" xfId="43902"/>
    <cellStyle name="20 % - Accent1 3 2 3 2 2 3 2 4" xfId="60131"/>
    <cellStyle name="20 % - Accent1 3 2 3 2 2 3 3" xfId="17942"/>
    <cellStyle name="20 % - Accent1 3 2 3 2 2 3 4" xfId="24432"/>
    <cellStyle name="20 % - Accent1 3 2 3 2 2 3 5" xfId="37412"/>
    <cellStyle name="20 % - Accent1 3 2 3 2 2 3 6" xfId="53641"/>
    <cellStyle name="20 % - Accent1 3 2 3 2 2 4" xfId="8204"/>
    <cellStyle name="20 % - Accent1 3 2 3 2 2 4 2" xfId="27677"/>
    <cellStyle name="20 % - Accent1 3 2 3 2 2 4 3" xfId="40657"/>
    <cellStyle name="20 % - Accent1 3 2 3 2 2 4 4" xfId="56886"/>
    <cellStyle name="20 % - Accent1 3 2 3 2 2 5" xfId="14697"/>
    <cellStyle name="20 % - Accent1 3 2 3 2 2 5 2" xfId="50396"/>
    <cellStyle name="20 % - Accent1 3 2 3 2 2 6" xfId="21187"/>
    <cellStyle name="20 % - Accent1 3 2 3 2 2 7" xfId="34167"/>
    <cellStyle name="20 % - Accent1 3 2 3 2 2 8" xfId="47150"/>
    <cellStyle name="20 % - Accent1 3 2 3 2 3" xfId="1165"/>
    <cellStyle name="20 % - Accent1 3 2 3 2 3 2" xfId="2832"/>
    <cellStyle name="20 % - Accent1 3 2 3 2 3 2 2" xfId="6077"/>
    <cellStyle name="20 % - Accent1 3 2 3 2 3 2 2 2" xfId="12609"/>
    <cellStyle name="20 % - Accent1 3 2 3 2 3 2 2 2 2" xfId="32082"/>
    <cellStyle name="20 % - Accent1 3 2 3 2 3 2 2 2 3" xfId="45062"/>
    <cellStyle name="20 % - Accent1 3 2 3 2 3 2 2 2 4" xfId="61291"/>
    <cellStyle name="20 % - Accent1 3 2 3 2 3 2 2 3" xfId="19102"/>
    <cellStyle name="20 % - Accent1 3 2 3 2 3 2 2 4" xfId="25592"/>
    <cellStyle name="20 % - Accent1 3 2 3 2 3 2 2 5" xfId="38572"/>
    <cellStyle name="20 % - Accent1 3 2 3 2 3 2 2 6" xfId="54801"/>
    <cellStyle name="20 % - Accent1 3 2 3 2 3 2 3" xfId="9364"/>
    <cellStyle name="20 % - Accent1 3 2 3 2 3 2 3 2" xfId="28837"/>
    <cellStyle name="20 % - Accent1 3 2 3 2 3 2 3 3" xfId="41817"/>
    <cellStyle name="20 % - Accent1 3 2 3 2 3 2 3 4" xfId="58046"/>
    <cellStyle name="20 % - Accent1 3 2 3 2 3 2 4" xfId="15857"/>
    <cellStyle name="20 % - Accent1 3 2 3 2 3 2 4 2" xfId="51556"/>
    <cellStyle name="20 % - Accent1 3 2 3 2 3 2 5" xfId="22347"/>
    <cellStyle name="20 % - Accent1 3 2 3 2 3 2 6" xfId="35327"/>
    <cellStyle name="20 % - Accent1 3 2 3 2 3 2 7" xfId="48310"/>
    <cellStyle name="20 % - Accent1 3 2 3 2 3 3" xfId="4454"/>
    <cellStyle name="20 % - Accent1 3 2 3 2 3 3 2" xfId="10986"/>
    <cellStyle name="20 % - Accent1 3 2 3 2 3 3 2 2" xfId="30459"/>
    <cellStyle name="20 % - Accent1 3 2 3 2 3 3 2 3" xfId="43439"/>
    <cellStyle name="20 % - Accent1 3 2 3 2 3 3 2 4" xfId="59668"/>
    <cellStyle name="20 % - Accent1 3 2 3 2 3 3 3" xfId="17479"/>
    <cellStyle name="20 % - Accent1 3 2 3 2 3 3 4" xfId="23969"/>
    <cellStyle name="20 % - Accent1 3 2 3 2 3 3 5" xfId="36949"/>
    <cellStyle name="20 % - Accent1 3 2 3 2 3 3 6" xfId="53178"/>
    <cellStyle name="20 % - Accent1 3 2 3 2 3 4" xfId="7741"/>
    <cellStyle name="20 % - Accent1 3 2 3 2 3 4 2" xfId="27214"/>
    <cellStyle name="20 % - Accent1 3 2 3 2 3 4 3" xfId="40194"/>
    <cellStyle name="20 % - Accent1 3 2 3 2 3 4 4" xfId="56423"/>
    <cellStyle name="20 % - Accent1 3 2 3 2 3 5" xfId="14234"/>
    <cellStyle name="20 % - Accent1 3 2 3 2 3 5 2" xfId="49933"/>
    <cellStyle name="20 % - Accent1 3 2 3 2 3 6" xfId="20724"/>
    <cellStyle name="20 % - Accent1 3 2 3 2 3 7" xfId="33704"/>
    <cellStyle name="20 % - Accent1 3 2 3 2 3 8" xfId="46687"/>
    <cellStyle name="20 % - Accent1 3 2 3 2 4" xfId="2357"/>
    <cellStyle name="20 % - Accent1 3 2 3 2 4 2" xfId="5602"/>
    <cellStyle name="20 % - Accent1 3 2 3 2 4 2 2" xfId="12134"/>
    <cellStyle name="20 % - Accent1 3 2 3 2 4 2 2 2" xfId="31607"/>
    <cellStyle name="20 % - Accent1 3 2 3 2 4 2 2 3" xfId="44587"/>
    <cellStyle name="20 % - Accent1 3 2 3 2 4 2 2 4" xfId="60816"/>
    <cellStyle name="20 % - Accent1 3 2 3 2 4 2 3" xfId="18627"/>
    <cellStyle name="20 % - Accent1 3 2 3 2 4 2 4" xfId="25117"/>
    <cellStyle name="20 % - Accent1 3 2 3 2 4 2 5" xfId="38097"/>
    <cellStyle name="20 % - Accent1 3 2 3 2 4 2 6" xfId="54326"/>
    <cellStyle name="20 % - Accent1 3 2 3 2 4 3" xfId="8889"/>
    <cellStyle name="20 % - Accent1 3 2 3 2 4 3 2" xfId="28362"/>
    <cellStyle name="20 % - Accent1 3 2 3 2 4 3 3" xfId="41342"/>
    <cellStyle name="20 % - Accent1 3 2 3 2 4 3 4" xfId="57571"/>
    <cellStyle name="20 % - Accent1 3 2 3 2 4 4" xfId="15382"/>
    <cellStyle name="20 % - Accent1 3 2 3 2 4 4 2" xfId="51081"/>
    <cellStyle name="20 % - Accent1 3 2 3 2 4 5" xfId="21872"/>
    <cellStyle name="20 % - Accent1 3 2 3 2 4 6" xfId="34852"/>
    <cellStyle name="20 % - Accent1 3 2 3 2 4 7" xfId="47835"/>
    <cellStyle name="20 % - Accent1 3 2 3 2 5" xfId="3979"/>
    <cellStyle name="20 % - Accent1 3 2 3 2 5 2" xfId="10511"/>
    <cellStyle name="20 % - Accent1 3 2 3 2 5 2 2" xfId="29984"/>
    <cellStyle name="20 % - Accent1 3 2 3 2 5 2 3" xfId="42964"/>
    <cellStyle name="20 % - Accent1 3 2 3 2 5 2 4" xfId="59193"/>
    <cellStyle name="20 % - Accent1 3 2 3 2 5 3" xfId="17004"/>
    <cellStyle name="20 % - Accent1 3 2 3 2 5 4" xfId="23494"/>
    <cellStyle name="20 % - Accent1 3 2 3 2 5 5" xfId="36474"/>
    <cellStyle name="20 % - Accent1 3 2 3 2 5 6" xfId="52703"/>
    <cellStyle name="20 % - Accent1 3 2 3 2 6" xfId="7266"/>
    <cellStyle name="20 % - Accent1 3 2 3 2 6 2" xfId="26739"/>
    <cellStyle name="20 % - Accent1 3 2 3 2 6 3" xfId="39719"/>
    <cellStyle name="20 % - Accent1 3 2 3 2 6 4" xfId="55948"/>
    <cellStyle name="20 % - Accent1 3 2 3 2 7" xfId="13759"/>
    <cellStyle name="20 % - Accent1 3 2 3 2 7 2" xfId="49458"/>
    <cellStyle name="20 % - Accent1 3 2 3 2 8" xfId="20249"/>
    <cellStyle name="20 % - Accent1 3 2 3 2 9" xfId="33229"/>
    <cellStyle name="20 % - Accent1 3 2 3 3" xfId="459"/>
    <cellStyle name="20 % - Accent1 3 2 3 3 2" xfId="1408"/>
    <cellStyle name="20 % - Accent1 3 2 3 3 2 2" xfId="3075"/>
    <cellStyle name="20 % - Accent1 3 2 3 3 2 2 2" xfId="6320"/>
    <cellStyle name="20 % - Accent1 3 2 3 3 2 2 2 2" xfId="12852"/>
    <cellStyle name="20 % - Accent1 3 2 3 3 2 2 2 2 2" xfId="32325"/>
    <cellStyle name="20 % - Accent1 3 2 3 3 2 2 2 2 3" xfId="45305"/>
    <cellStyle name="20 % - Accent1 3 2 3 3 2 2 2 2 4" xfId="61534"/>
    <cellStyle name="20 % - Accent1 3 2 3 3 2 2 2 3" xfId="19345"/>
    <cellStyle name="20 % - Accent1 3 2 3 3 2 2 2 4" xfId="25835"/>
    <cellStyle name="20 % - Accent1 3 2 3 3 2 2 2 5" xfId="38815"/>
    <cellStyle name="20 % - Accent1 3 2 3 3 2 2 2 6" xfId="55044"/>
    <cellStyle name="20 % - Accent1 3 2 3 3 2 2 3" xfId="9607"/>
    <cellStyle name="20 % - Accent1 3 2 3 3 2 2 3 2" xfId="29080"/>
    <cellStyle name="20 % - Accent1 3 2 3 3 2 2 3 3" xfId="42060"/>
    <cellStyle name="20 % - Accent1 3 2 3 3 2 2 3 4" xfId="58289"/>
    <cellStyle name="20 % - Accent1 3 2 3 3 2 2 4" xfId="16100"/>
    <cellStyle name="20 % - Accent1 3 2 3 3 2 2 4 2" xfId="51799"/>
    <cellStyle name="20 % - Accent1 3 2 3 3 2 2 5" xfId="22590"/>
    <cellStyle name="20 % - Accent1 3 2 3 3 2 2 6" xfId="35570"/>
    <cellStyle name="20 % - Accent1 3 2 3 3 2 2 7" xfId="48553"/>
    <cellStyle name="20 % - Accent1 3 2 3 3 2 3" xfId="4697"/>
    <cellStyle name="20 % - Accent1 3 2 3 3 2 3 2" xfId="11229"/>
    <cellStyle name="20 % - Accent1 3 2 3 3 2 3 2 2" xfId="30702"/>
    <cellStyle name="20 % - Accent1 3 2 3 3 2 3 2 3" xfId="43682"/>
    <cellStyle name="20 % - Accent1 3 2 3 3 2 3 2 4" xfId="59911"/>
    <cellStyle name="20 % - Accent1 3 2 3 3 2 3 3" xfId="17722"/>
    <cellStyle name="20 % - Accent1 3 2 3 3 2 3 4" xfId="24212"/>
    <cellStyle name="20 % - Accent1 3 2 3 3 2 3 5" xfId="37192"/>
    <cellStyle name="20 % - Accent1 3 2 3 3 2 3 6" xfId="53421"/>
    <cellStyle name="20 % - Accent1 3 2 3 3 2 4" xfId="7984"/>
    <cellStyle name="20 % - Accent1 3 2 3 3 2 4 2" xfId="27457"/>
    <cellStyle name="20 % - Accent1 3 2 3 3 2 4 3" xfId="40437"/>
    <cellStyle name="20 % - Accent1 3 2 3 3 2 4 4" xfId="56666"/>
    <cellStyle name="20 % - Accent1 3 2 3 3 2 5" xfId="14477"/>
    <cellStyle name="20 % - Accent1 3 2 3 3 2 5 2" xfId="50176"/>
    <cellStyle name="20 % - Accent1 3 2 3 3 2 6" xfId="20967"/>
    <cellStyle name="20 % - Accent1 3 2 3 3 2 7" xfId="33947"/>
    <cellStyle name="20 % - Accent1 3 2 3 3 2 8" xfId="46930"/>
    <cellStyle name="20 % - Accent1 3 2 3 3 3" xfId="2127"/>
    <cellStyle name="20 % - Accent1 3 2 3 3 3 2" xfId="5372"/>
    <cellStyle name="20 % - Accent1 3 2 3 3 3 2 2" xfId="11904"/>
    <cellStyle name="20 % - Accent1 3 2 3 3 3 2 2 2" xfId="31377"/>
    <cellStyle name="20 % - Accent1 3 2 3 3 3 2 2 3" xfId="44357"/>
    <cellStyle name="20 % - Accent1 3 2 3 3 3 2 2 4" xfId="60586"/>
    <cellStyle name="20 % - Accent1 3 2 3 3 3 2 3" xfId="18397"/>
    <cellStyle name="20 % - Accent1 3 2 3 3 3 2 4" xfId="24887"/>
    <cellStyle name="20 % - Accent1 3 2 3 3 3 2 5" xfId="37867"/>
    <cellStyle name="20 % - Accent1 3 2 3 3 3 2 6" xfId="54096"/>
    <cellStyle name="20 % - Accent1 3 2 3 3 3 3" xfId="8659"/>
    <cellStyle name="20 % - Accent1 3 2 3 3 3 3 2" xfId="28132"/>
    <cellStyle name="20 % - Accent1 3 2 3 3 3 3 3" xfId="41112"/>
    <cellStyle name="20 % - Accent1 3 2 3 3 3 3 4" xfId="57341"/>
    <cellStyle name="20 % - Accent1 3 2 3 3 3 4" xfId="15152"/>
    <cellStyle name="20 % - Accent1 3 2 3 3 3 4 2" xfId="50851"/>
    <cellStyle name="20 % - Accent1 3 2 3 3 3 5" xfId="21642"/>
    <cellStyle name="20 % - Accent1 3 2 3 3 3 6" xfId="34622"/>
    <cellStyle name="20 % - Accent1 3 2 3 3 3 7" xfId="47605"/>
    <cellStyle name="20 % - Accent1 3 2 3 3 4" xfId="3749"/>
    <cellStyle name="20 % - Accent1 3 2 3 3 4 2" xfId="10281"/>
    <cellStyle name="20 % - Accent1 3 2 3 3 4 2 2" xfId="29754"/>
    <cellStyle name="20 % - Accent1 3 2 3 3 4 2 3" xfId="42734"/>
    <cellStyle name="20 % - Accent1 3 2 3 3 4 2 4" xfId="58963"/>
    <cellStyle name="20 % - Accent1 3 2 3 3 4 3" xfId="16774"/>
    <cellStyle name="20 % - Accent1 3 2 3 3 4 4" xfId="23264"/>
    <cellStyle name="20 % - Accent1 3 2 3 3 4 5" xfId="36244"/>
    <cellStyle name="20 % - Accent1 3 2 3 3 4 6" xfId="52473"/>
    <cellStyle name="20 % - Accent1 3 2 3 3 5" xfId="7036"/>
    <cellStyle name="20 % - Accent1 3 2 3 3 5 2" xfId="26509"/>
    <cellStyle name="20 % - Accent1 3 2 3 3 5 3" xfId="39489"/>
    <cellStyle name="20 % - Accent1 3 2 3 3 5 4" xfId="55718"/>
    <cellStyle name="20 % - Accent1 3 2 3 3 6" xfId="13529"/>
    <cellStyle name="20 % - Accent1 3 2 3 3 6 2" xfId="49228"/>
    <cellStyle name="20 % - Accent1 3 2 3 3 7" xfId="20019"/>
    <cellStyle name="20 % - Accent1 3 2 3 3 8" xfId="32999"/>
    <cellStyle name="20 % - Accent1 3 2 3 3 9" xfId="45982"/>
    <cellStyle name="20 % - Accent1 3 2 3 4" xfId="945"/>
    <cellStyle name="20 % - Accent1 3 2 3 4 2" xfId="2612"/>
    <cellStyle name="20 % - Accent1 3 2 3 4 2 2" xfId="5857"/>
    <cellStyle name="20 % - Accent1 3 2 3 4 2 2 2" xfId="12389"/>
    <cellStyle name="20 % - Accent1 3 2 3 4 2 2 2 2" xfId="31862"/>
    <cellStyle name="20 % - Accent1 3 2 3 4 2 2 2 3" xfId="44842"/>
    <cellStyle name="20 % - Accent1 3 2 3 4 2 2 2 4" xfId="61071"/>
    <cellStyle name="20 % - Accent1 3 2 3 4 2 2 3" xfId="18882"/>
    <cellStyle name="20 % - Accent1 3 2 3 4 2 2 4" xfId="25372"/>
    <cellStyle name="20 % - Accent1 3 2 3 4 2 2 5" xfId="38352"/>
    <cellStyle name="20 % - Accent1 3 2 3 4 2 2 6" xfId="54581"/>
    <cellStyle name="20 % - Accent1 3 2 3 4 2 3" xfId="9144"/>
    <cellStyle name="20 % - Accent1 3 2 3 4 2 3 2" xfId="28617"/>
    <cellStyle name="20 % - Accent1 3 2 3 4 2 3 3" xfId="41597"/>
    <cellStyle name="20 % - Accent1 3 2 3 4 2 3 4" xfId="57826"/>
    <cellStyle name="20 % - Accent1 3 2 3 4 2 4" xfId="15637"/>
    <cellStyle name="20 % - Accent1 3 2 3 4 2 4 2" xfId="51336"/>
    <cellStyle name="20 % - Accent1 3 2 3 4 2 5" xfId="22127"/>
    <cellStyle name="20 % - Accent1 3 2 3 4 2 6" xfId="35107"/>
    <cellStyle name="20 % - Accent1 3 2 3 4 2 7" xfId="48090"/>
    <cellStyle name="20 % - Accent1 3 2 3 4 3" xfId="4234"/>
    <cellStyle name="20 % - Accent1 3 2 3 4 3 2" xfId="10766"/>
    <cellStyle name="20 % - Accent1 3 2 3 4 3 2 2" xfId="30239"/>
    <cellStyle name="20 % - Accent1 3 2 3 4 3 2 3" xfId="43219"/>
    <cellStyle name="20 % - Accent1 3 2 3 4 3 2 4" xfId="59448"/>
    <cellStyle name="20 % - Accent1 3 2 3 4 3 3" xfId="17259"/>
    <cellStyle name="20 % - Accent1 3 2 3 4 3 4" xfId="23749"/>
    <cellStyle name="20 % - Accent1 3 2 3 4 3 5" xfId="36729"/>
    <cellStyle name="20 % - Accent1 3 2 3 4 3 6" xfId="52958"/>
    <cellStyle name="20 % - Accent1 3 2 3 4 4" xfId="7521"/>
    <cellStyle name="20 % - Accent1 3 2 3 4 4 2" xfId="26994"/>
    <cellStyle name="20 % - Accent1 3 2 3 4 4 3" xfId="39974"/>
    <cellStyle name="20 % - Accent1 3 2 3 4 4 4" xfId="56203"/>
    <cellStyle name="20 % - Accent1 3 2 3 4 5" xfId="14014"/>
    <cellStyle name="20 % - Accent1 3 2 3 4 5 2" xfId="49713"/>
    <cellStyle name="20 % - Accent1 3 2 3 4 6" xfId="20504"/>
    <cellStyle name="20 % - Accent1 3 2 3 4 7" xfId="33484"/>
    <cellStyle name="20 % - Accent1 3 2 3 4 8" xfId="46467"/>
    <cellStyle name="20 % - Accent1 3 2 3 5" xfId="1898"/>
    <cellStyle name="20 % - Accent1 3 2 3 5 2" xfId="5143"/>
    <cellStyle name="20 % - Accent1 3 2 3 5 2 2" xfId="11675"/>
    <cellStyle name="20 % - Accent1 3 2 3 5 2 2 2" xfId="31148"/>
    <cellStyle name="20 % - Accent1 3 2 3 5 2 2 3" xfId="44128"/>
    <cellStyle name="20 % - Accent1 3 2 3 5 2 2 4" xfId="60357"/>
    <cellStyle name="20 % - Accent1 3 2 3 5 2 3" xfId="18168"/>
    <cellStyle name="20 % - Accent1 3 2 3 5 2 4" xfId="24658"/>
    <cellStyle name="20 % - Accent1 3 2 3 5 2 5" xfId="37638"/>
    <cellStyle name="20 % - Accent1 3 2 3 5 2 6" xfId="53867"/>
    <cellStyle name="20 % - Accent1 3 2 3 5 3" xfId="8430"/>
    <cellStyle name="20 % - Accent1 3 2 3 5 3 2" xfId="27903"/>
    <cellStyle name="20 % - Accent1 3 2 3 5 3 3" xfId="40883"/>
    <cellStyle name="20 % - Accent1 3 2 3 5 3 4" xfId="57112"/>
    <cellStyle name="20 % - Accent1 3 2 3 5 4" xfId="14923"/>
    <cellStyle name="20 % - Accent1 3 2 3 5 4 2" xfId="50622"/>
    <cellStyle name="20 % - Accent1 3 2 3 5 5" xfId="21413"/>
    <cellStyle name="20 % - Accent1 3 2 3 5 6" xfId="34393"/>
    <cellStyle name="20 % - Accent1 3 2 3 5 7" xfId="47376"/>
    <cellStyle name="20 % - Accent1 3 2 3 6" xfId="3519"/>
    <cellStyle name="20 % - Accent1 3 2 3 6 2" xfId="10051"/>
    <cellStyle name="20 % - Accent1 3 2 3 6 2 2" xfId="29524"/>
    <cellStyle name="20 % - Accent1 3 2 3 6 2 3" xfId="42504"/>
    <cellStyle name="20 % - Accent1 3 2 3 6 2 4" xfId="58733"/>
    <cellStyle name="20 % - Accent1 3 2 3 6 3" xfId="16544"/>
    <cellStyle name="20 % - Accent1 3 2 3 6 4" xfId="23034"/>
    <cellStyle name="20 % - Accent1 3 2 3 6 5" xfId="36014"/>
    <cellStyle name="20 % - Accent1 3 2 3 6 6" xfId="52243"/>
    <cellStyle name="20 % - Accent1 3 2 3 7" xfId="6806"/>
    <cellStyle name="20 % - Accent1 3 2 3 7 2" xfId="26279"/>
    <cellStyle name="20 % - Accent1 3 2 3 7 3" xfId="39259"/>
    <cellStyle name="20 % - Accent1 3 2 3 7 4" xfId="55488"/>
    <cellStyle name="20 % - Accent1 3 2 3 8" xfId="13299"/>
    <cellStyle name="20 % - Accent1 3 2 3 8 2" xfId="48998"/>
    <cellStyle name="20 % - Accent1 3 2 3 9" xfId="19789"/>
    <cellStyle name="20 % - Accent1 3 2 4" xfId="313"/>
    <cellStyle name="20 % - Accent1 3 2 4 10" xfId="32857"/>
    <cellStyle name="20 % - Accent1 3 2 4 11" xfId="45840"/>
    <cellStyle name="20 % - Accent1 3 2 4 2" xfId="777"/>
    <cellStyle name="20 % - Accent1 3 2 4 2 10" xfId="46300"/>
    <cellStyle name="20 % - Accent1 3 2 4 2 2" xfId="1716"/>
    <cellStyle name="20 % - Accent1 3 2 4 2 2 2" xfId="3383"/>
    <cellStyle name="20 % - Accent1 3 2 4 2 2 2 2" xfId="6628"/>
    <cellStyle name="20 % - Accent1 3 2 4 2 2 2 2 2" xfId="13160"/>
    <cellStyle name="20 % - Accent1 3 2 4 2 2 2 2 2 2" xfId="32633"/>
    <cellStyle name="20 % - Accent1 3 2 4 2 2 2 2 2 3" xfId="45613"/>
    <cellStyle name="20 % - Accent1 3 2 4 2 2 2 2 2 4" xfId="61842"/>
    <cellStyle name="20 % - Accent1 3 2 4 2 2 2 2 3" xfId="19653"/>
    <cellStyle name="20 % - Accent1 3 2 4 2 2 2 2 4" xfId="26143"/>
    <cellStyle name="20 % - Accent1 3 2 4 2 2 2 2 5" xfId="39123"/>
    <cellStyle name="20 % - Accent1 3 2 4 2 2 2 2 6" xfId="55352"/>
    <cellStyle name="20 % - Accent1 3 2 4 2 2 2 3" xfId="9915"/>
    <cellStyle name="20 % - Accent1 3 2 4 2 2 2 3 2" xfId="29388"/>
    <cellStyle name="20 % - Accent1 3 2 4 2 2 2 3 3" xfId="42368"/>
    <cellStyle name="20 % - Accent1 3 2 4 2 2 2 3 4" xfId="58597"/>
    <cellStyle name="20 % - Accent1 3 2 4 2 2 2 4" xfId="16408"/>
    <cellStyle name="20 % - Accent1 3 2 4 2 2 2 4 2" xfId="52107"/>
    <cellStyle name="20 % - Accent1 3 2 4 2 2 2 5" xfId="22898"/>
    <cellStyle name="20 % - Accent1 3 2 4 2 2 2 6" xfId="35878"/>
    <cellStyle name="20 % - Accent1 3 2 4 2 2 2 7" xfId="48861"/>
    <cellStyle name="20 % - Accent1 3 2 4 2 2 3" xfId="5005"/>
    <cellStyle name="20 % - Accent1 3 2 4 2 2 3 2" xfId="11537"/>
    <cellStyle name="20 % - Accent1 3 2 4 2 2 3 2 2" xfId="31010"/>
    <cellStyle name="20 % - Accent1 3 2 4 2 2 3 2 3" xfId="43990"/>
    <cellStyle name="20 % - Accent1 3 2 4 2 2 3 2 4" xfId="60219"/>
    <cellStyle name="20 % - Accent1 3 2 4 2 2 3 3" xfId="18030"/>
    <cellStyle name="20 % - Accent1 3 2 4 2 2 3 4" xfId="24520"/>
    <cellStyle name="20 % - Accent1 3 2 4 2 2 3 5" xfId="37500"/>
    <cellStyle name="20 % - Accent1 3 2 4 2 2 3 6" xfId="53729"/>
    <cellStyle name="20 % - Accent1 3 2 4 2 2 4" xfId="8292"/>
    <cellStyle name="20 % - Accent1 3 2 4 2 2 4 2" xfId="27765"/>
    <cellStyle name="20 % - Accent1 3 2 4 2 2 4 3" xfId="40745"/>
    <cellStyle name="20 % - Accent1 3 2 4 2 2 4 4" xfId="56974"/>
    <cellStyle name="20 % - Accent1 3 2 4 2 2 5" xfId="14785"/>
    <cellStyle name="20 % - Accent1 3 2 4 2 2 5 2" xfId="50484"/>
    <cellStyle name="20 % - Accent1 3 2 4 2 2 6" xfId="21275"/>
    <cellStyle name="20 % - Accent1 3 2 4 2 2 7" xfId="34255"/>
    <cellStyle name="20 % - Accent1 3 2 4 2 2 8" xfId="47238"/>
    <cellStyle name="20 % - Accent1 3 2 4 2 3" xfId="1253"/>
    <cellStyle name="20 % - Accent1 3 2 4 2 3 2" xfId="2920"/>
    <cellStyle name="20 % - Accent1 3 2 4 2 3 2 2" xfId="6165"/>
    <cellStyle name="20 % - Accent1 3 2 4 2 3 2 2 2" xfId="12697"/>
    <cellStyle name="20 % - Accent1 3 2 4 2 3 2 2 2 2" xfId="32170"/>
    <cellStyle name="20 % - Accent1 3 2 4 2 3 2 2 2 3" xfId="45150"/>
    <cellStyle name="20 % - Accent1 3 2 4 2 3 2 2 2 4" xfId="61379"/>
    <cellStyle name="20 % - Accent1 3 2 4 2 3 2 2 3" xfId="19190"/>
    <cellStyle name="20 % - Accent1 3 2 4 2 3 2 2 4" xfId="25680"/>
    <cellStyle name="20 % - Accent1 3 2 4 2 3 2 2 5" xfId="38660"/>
    <cellStyle name="20 % - Accent1 3 2 4 2 3 2 2 6" xfId="54889"/>
    <cellStyle name="20 % - Accent1 3 2 4 2 3 2 3" xfId="9452"/>
    <cellStyle name="20 % - Accent1 3 2 4 2 3 2 3 2" xfId="28925"/>
    <cellStyle name="20 % - Accent1 3 2 4 2 3 2 3 3" xfId="41905"/>
    <cellStyle name="20 % - Accent1 3 2 4 2 3 2 3 4" xfId="58134"/>
    <cellStyle name="20 % - Accent1 3 2 4 2 3 2 4" xfId="15945"/>
    <cellStyle name="20 % - Accent1 3 2 4 2 3 2 4 2" xfId="51644"/>
    <cellStyle name="20 % - Accent1 3 2 4 2 3 2 5" xfId="22435"/>
    <cellStyle name="20 % - Accent1 3 2 4 2 3 2 6" xfId="35415"/>
    <cellStyle name="20 % - Accent1 3 2 4 2 3 2 7" xfId="48398"/>
    <cellStyle name="20 % - Accent1 3 2 4 2 3 3" xfId="4542"/>
    <cellStyle name="20 % - Accent1 3 2 4 2 3 3 2" xfId="11074"/>
    <cellStyle name="20 % - Accent1 3 2 4 2 3 3 2 2" xfId="30547"/>
    <cellStyle name="20 % - Accent1 3 2 4 2 3 3 2 3" xfId="43527"/>
    <cellStyle name="20 % - Accent1 3 2 4 2 3 3 2 4" xfId="59756"/>
    <cellStyle name="20 % - Accent1 3 2 4 2 3 3 3" xfId="17567"/>
    <cellStyle name="20 % - Accent1 3 2 4 2 3 3 4" xfId="24057"/>
    <cellStyle name="20 % - Accent1 3 2 4 2 3 3 5" xfId="37037"/>
    <cellStyle name="20 % - Accent1 3 2 4 2 3 3 6" xfId="53266"/>
    <cellStyle name="20 % - Accent1 3 2 4 2 3 4" xfId="7829"/>
    <cellStyle name="20 % - Accent1 3 2 4 2 3 4 2" xfId="27302"/>
    <cellStyle name="20 % - Accent1 3 2 4 2 3 4 3" xfId="40282"/>
    <cellStyle name="20 % - Accent1 3 2 4 2 3 4 4" xfId="56511"/>
    <cellStyle name="20 % - Accent1 3 2 4 2 3 5" xfId="14322"/>
    <cellStyle name="20 % - Accent1 3 2 4 2 3 5 2" xfId="50021"/>
    <cellStyle name="20 % - Accent1 3 2 4 2 3 6" xfId="20812"/>
    <cellStyle name="20 % - Accent1 3 2 4 2 3 7" xfId="33792"/>
    <cellStyle name="20 % - Accent1 3 2 4 2 3 8" xfId="46775"/>
    <cellStyle name="20 % - Accent1 3 2 4 2 4" xfId="2445"/>
    <cellStyle name="20 % - Accent1 3 2 4 2 4 2" xfId="5690"/>
    <cellStyle name="20 % - Accent1 3 2 4 2 4 2 2" xfId="12222"/>
    <cellStyle name="20 % - Accent1 3 2 4 2 4 2 2 2" xfId="31695"/>
    <cellStyle name="20 % - Accent1 3 2 4 2 4 2 2 3" xfId="44675"/>
    <cellStyle name="20 % - Accent1 3 2 4 2 4 2 2 4" xfId="60904"/>
    <cellStyle name="20 % - Accent1 3 2 4 2 4 2 3" xfId="18715"/>
    <cellStyle name="20 % - Accent1 3 2 4 2 4 2 4" xfId="25205"/>
    <cellStyle name="20 % - Accent1 3 2 4 2 4 2 5" xfId="38185"/>
    <cellStyle name="20 % - Accent1 3 2 4 2 4 2 6" xfId="54414"/>
    <cellStyle name="20 % - Accent1 3 2 4 2 4 3" xfId="8977"/>
    <cellStyle name="20 % - Accent1 3 2 4 2 4 3 2" xfId="28450"/>
    <cellStyle name="20 % - Accent1 3 2 4 2 4 3 3" xfId="41430"/>
    <cellStyle name="20 % - Accent1 3 2 4 2 4 3 4" xfId="57659"/>
    <cellStyle name="20 % - Accent1 3 2 4 2 4 4" xfId="15470"/>
    <cellStyle name="20 % - Accent1 3 2 4 2 4 4 2" xfId="51169"/>
    <cellStyle name="20 % - Accent1 3 2 4 2 4 5" xfId="21960"/>
    <cellStyle name="20 % - Accent1 3 2 4 2 4 6" xfId="34940"/>
    <cellStyle name="20 % - Accent1 3 2 4 2 4 7" xfId="47923"/>
    <cellStyle name="20 % - Accent1 3 2 4 2 5" xfId="4067"/>
    <cellStyle name="20 % - Accent1 3 2 4 2 5 2" xfId="10599"/>
    <cellStyle name="20 % - Accent1 3 2 4 2 5 2 2" xfId="30072"/>
    <cellStyle name="20 % - Accent1 3 2 4 2 5 2 3" xfId="43052"/>
    <cellStyle name="20 % - Accent1 3 2 4 2 5 2 4" xfId="59281"/>
    <cellStyle name="20 % - Accent1 3 2 4 2 5 3" xfId="17092"/>
    <cellStyle name="20 % - Accent1 3 2 4 2 5 4" xfId="23582"/>
    <cellStyle name="20 % - Accent1 3 2 4 2 5 5" xfId="36562"/>
    <cellStyle name="20 % - Accent1 3 2 4 2 5 6" xfId="52791"/>
    <cellStyle name="20 % - Accent1 3 2 4 2 6" xfId="7354"/>
    <cellStyle name="20 % - Accent1 3 2 4 2 6 2" xfId="26827"/>
    <cellStyle name="20 % - Accent1 3 2 4 2 6 3" xfId="39807"/>
    <cellStyle name="20 % - Accent1 3 2 4 2 6 4" xfId="56036"/>
    <cellStyle name="20 % - Accent1 3 2 4 2 7" xfId="13847"/>
    <cellStyle name="20 % - Accent1 3 2 4 2 7 2" xfId="49546"/>
    <cellStyle name="20 % - Accent1 3 2 4 2 8" xfId="20337"/>
    <cellStyle name="20 % - Accent1 3 2 4 2 9" xfId="33317"/>
    <cellStyle name="20 % - Accent1 3 2 4 3" xfId="547"/>
    <cellStyle name="20 % - Accent1 3 2 4 3 2" xfId="1496"/>
    <cellStyle name="20 % - Accent1 3 2 4 3 2 2" xfId="3163"/>
    <cellStyle name="20 % - Accent1 3 2 4 3 2 2 2" xfId="6408"/>
    <cellStyle name="20 % - Accent1 3 2 4 3 2 2 2 2" xfId="12940"/>
    <cellStyle name="20 % - Accent1 3 2 4 3 2 2 2 2 2" xfId="32413"/>
    <cellStyle name="20 % - Accent1 3 2 4 3 2 2 2 2 3" xfId="45393"/>
    <cellStyle name="20 % - Accent1 3 2 4 3 2 2 2 2 4" xfId="61622"/>
    <cellStyle name="20 % - Accent1 3 2 4 3 2 2 2 3" xfId="19433"/>
    <cellStyle name="20 % - Accent1 3 2 4 3 2 2 2 4" xfId="25923"/>
    <cellStyle name="20 % - Accent1 3 2 4 3 2 2 2 5" xfId="38903"/>
    <cellStyle name="20 % - Accent1 3 2 4 3 2 2 2 6" xfId="55132"/>
    <cellStyle name="20 % - Accent1 3 2 4 3 2 2 3" xfId="9695"/>
    <cellStyle name="20 % - Accent1 3 2 4 3 2 2 3 2" xfId="29168"/>
    <cellStyle name="20 % - Accent1 3 2 4 3 2 2 3 3" xfId="42148"/>
    <cellStyle name="20 % - Accent1 3 2 4 3 2 2 3 4" xfId="58377"/>
    <cellStyle name="20 % - Accent1 3 2 4 3 2 2 4" xfId="16188"/>
    <cellStyle name="20 % - Accent1 3 2 4 3 2 2 4 2" xfId="51887"/>
    <cellStyle name="20 % - Accent1 3 2 4 3 2 2 5" xfId="22678"/>
    <cellStyle name="20 % - Accent1 3 2 4 3 2 2 6" xfId="35658"/>
    <cellStyle name="20 % - Accent1 3 2 4 3 2 2 7" xfId="48641"/>
    <cellStyle name="20 % - Accent1 3 2 4 3 2 3" xfId="4785"/>
    <cellStyle name="20 % - Accent1 3 2 4 3 2 3 2" xfId="11317"/>
    <cellStyle name="20 % - Accent1 3 2 4 3 2 3 2 2" xfId="30790"/>
    <cellStyle name="20 % - Accent1 3 2 4 3 2 3 2 3" xfId="43770"/>
    <cellStyle name="20 % - Accent1 3 2 4 3 2 3 2 4" xfId="59999"/>
    <cellStyle name="20 % - Accent1 3 2 4 3 2 3 3" xfId="17810"/>
    <cellStyle name="20 % - Accent1 3 2 4 3 2 3 4" xfId="24300"/>
    <cellStyle name="20 % - Accent1 3 2 4 3 2 3 5" xfId="37280"/>
    <cellStyle name="20 % - Accent1 3 2 4 3 2 3 6" xfId="53509"/>
    <cellStyle name="20 % - Accent1 3 2 4 3 2 4" xfId="8072"/>
    <cellStyle name="20 % - Accent1 3 2 4 3 2 4 2" xfId="27545"/>
    <cellStyle name="20 % - Accent1 3 2 4 3 2 4 3" xfId="40525"/>
    <cellStyle name="20 % - Accent1 3 2 4 3 2 4 4" xfId="56754"/>
    <cellStyle name="20 % - Accent1 3 2 4 3 2 5" xfId="14565"/>
    <cellStyle name="20 % - Accent1 3 2 4 3 2 5 2" xfId="50264"/>
    <cellStyle name="20 % - Accent1 3 2 4 3 2 6" xfId="21055"/>
    <cellStyle name="20 % - Accent1 3 2 4 3 2 7" xfId="34035"/>
    <cellStyle name="20 % - Accent1 3 2 4 3 2 8" xfId="47018"/>
    <cellStyle name="20 % - Accent1 3 2 4 3 3" xfId="2215"/>
    <cellStyle name="20 % - Accent1 3 2 4 3 3 2" xfId="5460"/>
    <cellStyle name="20 % - Accent1 3 2 4 3 3 2 2" xfId="11992"/>
    <cellStyle name="20 % - Accent1 3 2 4 3 3 2 2 2" xfId="31465"/>
    <cellStyle name="20 % - Accent1 3 2 4 3 3 2 2 3" xfId="44445"/>
    <cellStyle name="20 % - Accent1 3 2 4 3 3 2 2 4" xfId="60674"/>
    <cellStyle name="20 % - Accent1 3 2 4 3 3 2 3" xfId="18485"/>
    <cellStyle name="20 % - Accent1 3 2 4 3 3 2 4" xfId="24975"/>
    <cellStyle name="20 % - Accent1 3 2 4 3 3 2 5" xfId="37955"/>
    <cellStyle name="20 % - Accent1 3 2 4 3 3 2 6" xfId="54184"/>
    <cellStyle name="20 % - Accent1 3 2 4 3 3 3" xfId="8747"/>
    <cellStyle name="20 % - Accent1 3 2 4 3 3 3 2" xfId="28220"/>
    <cellStyle name="20 % - Accent1 3 2 4 3 3 3 3" xfId="41200"/>
    <cellStyle name="20 % - Accent1 3 2 4 3 3 3 4" xfId="57429"/>
    <cellStyle name="20 % - Accent1 3 2 4 3 3 4" xfId="15240"/>
    <cellStyle name="20 % - Accent1 3 2 4 3 3 4 2" xfId="50939"/>
    <cellStyle name="20 % - Accent1 3 2 4 3 3 5" xfId="21730"/>
    <cellStyle name="20 % - Accent1 3 2 4 3 3 6" xfId="34710"/>
    <cellStyle name="20 % - Accent1 3 2 4 3 3 7" xfId="47693"/>
    <cellStyle name="20 % - Accent1 3 2 4 3 4" xfId="3837"/>
    <cellStyle name="20 % - Accent1 3 2 4 3 4 2" xfId="10369"/>
    <cellStyle name="20 % - Accent1 3 2 4 3 4 2 2" xfId="29842"/>
    <cellStyle name="20 % - Accent1 3 2 4 3 4 2 3" xfId="42822"/>
    <cellStyle name="20 % - Accent1 3 2 4 3 4 2 4" xfId="59051"/>
    <cellStyle name="20 % - Accent1 3 2 4 3 4 3" xfId="16862"/>
    <cellStyle name="20 % - Accent1 3 2 4 3 4 4" xfId="23352"/>
    <cellStyle name="20 % - Accent1 3 2 4 3 4 5" xfId="36332"/>
    <cellStyle name="20 % - Accent1 3 2 4 3 4 6" xfId="52561"/>
    <cellStyle name="20 % - Accent1 3 2 4 3 5" xfId="7124"/>
    <cellStyle name="20 % - Accent1 3 2 4 3 5 2" xfId="26597"/>
    <cellStyle name="20 % - Accent1 3 2 4 3 5 3" xfId="39577"/>
    <cellStyle name="20 % - Accent1 3 2 4 3 5 4" xfId="55806"/>
    <cellStyle name="20 % - Accent1 3 2 4 3 6" xfId="13617"/>
    <cellStyle name="20 % - Accent1 3 2 4 3 6 2" xfId="49316"/>
    <cellStyle name="20 % - Accent1 3 2 4 3 7" xfId="20107"/>
    <cellStyle name="20 % - Accent1 3 2 4 3 8" xfId="33087"/>
    <cellStyle name="20 % - Accent1 3 2 4 3 9" xfId="46070"/>
    <cellStyle name="20 % - Accent1 3 2 4 4" xfId="1033"/>
    <cellStyle name="20 % - Accent1 3 2 4 4 2" xfId="2700"/>
    <cellStyle name="20 % - Accent1 3 2 4 4 2 2" xfId="5945"/>
    <cellStyle name="20 % - Accent1 3 2 4 4 2 2 2" xfId="12477"/>
    <cellStyle name="20 % - Accent1 3 2 4 4 2 2 2 2" xfId="31950"/>
    <cellStyle name="20 % - Accent1 3 2 4 4 2 2 2 3" xfId="44930"/>
    <cellStyle name="20 % - Accent1 3 2 4 4 2 2 2 4" xfId="61159"/>
    <cellStyle name="20 % - Accent1 3 2 4 4 2 2 3" xfId="18970"/>
    <cellStyle name="20 % - Accent1 3 2 4 4 2 2 4" xfId="25460"/>
    <cellStyle name="20 % - Accent1 3 2 4 4 2 2 5" xfId="38440"/>
    <cellStyle name="20 % - Accent1 3 2 4 4 2 2 6" xfId="54669"/>
    <cellStyle name="20 % - Accent1 3 2 4 4 2 3" xfId="9232"/>
    <cellStyle name="20 % - Accent1 3 2 4 4 2 3 2" xfId="28705"/>
    <cellStyle name="20 % - Accent1 3 2 4 4 2 3 3" xfId="41685"/>
    <cellStyle name="20 % - Accent1 3 2 4 4 2 3 4" xfId="57914"/>
    <cellStyle name="20 % - Accent1 3 2 4 4 2 4" xfId="15725"/>
    <cellStyle name="20 % - Accent1 3 2 4 4 2 4 2" xfId="51424"/>
    <cellStyle name="20 % - Accent1 3 2 4 4 2 5" xfId="22215"/>
    <cellStyle name="20 % - Accent1 3 2 4 4 2 6" xfId="35195"/>
    <cellStyle name="20 % - Accent1 3 2 4 4 2 7" xfId="48178"/>
    <cellStyle name="20 % - Accent1 3 2 4 4 3" xfId="4322"/>
    <cellStyle name="20 % - Accent1 3 2 4 4 3 2" xfId="10854"/>
    <cellStyle name="20 % - Accent1 3 2 4 4 3 2 2" xfId="30327"/>
    <cellStyle name="20 % - Accent1 3 2 4 4 3 2 3" xfId="43307"/>
    <cellStyle name="20 % - Accent1 3 2 4 4 3 2 4" xfId="59536"/>
    <cellStyle name="20 % - Accent1 3 2 4 4 3 3" xfId="17347"/>
    <cellStyle name="20 % - Accent1 3 2 4 4 3 4" xfId="23837"/>
    <cellStyle name="20 % - Accent1 3 2 4 4 3 5" xfId="36817"/>
    <cellStyle name="20 % - Accent1 3 2 4 4 3 6" xfId="53046"/>
    <cellStyle name="20 % - Accent1 3 2 4 4 4" xfId="7609"/>
    <cellStyle name="20 % - Accent1 3 2 4 4 4 2" xfId="27082"/>
    <cellStyle name="20 % - Accent1 3 2 4 4 4 3" xfId="40062"/>
    <cellStyle name="20 % - Accent1 3 2 4 4 4 4" xfId="56291"/>
    <cellStyle name="20 % - Accent1 3 2 4 4 5" xfId="14102"/>
    <cellStyle name="20 % - Accent1 3 2 4 4 5 2" xfId="49801"/>
    <cellStyle name="20 % - Accent1 3 2 4 4 6" xfId="20592"/>
    <cellStyle name="20 % - Accent1 3 2 4 4 7" xfId="33572"/>
    <cellStyle name="20 % - Accent1 3 2 4 4 8" xfId="46555"/>
    <cellStyle name="20 % - Accent1 3 2 4 5" xfId="1986"/>
    <cellStyle name="20 % - Accent1 3 2 4 5 2" xfId="5231"/>
    <cellStyle name="20 % - Accent1 3 2 4 5 2 2" xfId="11763"/>
    <cellStyle name="20 % - Accent1 3 2 4 5 2 2 2" xfId="31236"/>
    <cellStyle name="20 % - Accent1 3 2 4 5 2 2 3" xfId="44216"/>
    <cellStyle name="20 % - Accent1 3 2 4 5 2 2 4" xfId="60445"/>
    <cellStyle name="20 % - Accent1 3 2 4 5 2 3" xfId="18256"/>
    <cellStyle name="20 % - Accent1 3 2 4 5 2 4" xfId="24746"/>
    <cellStyle name="20 % - Accent1 3 2 4 5 2 5" xfId="37726"/>
    <cellStyle name="20 % - Accent1 3 2 4 5 2 6" xfId="53955"/>
    <cellStyle name="20 % - Accent1 3 2 4 5 3" xfId="8518"/>
    <cellStyle name="20 % - Accent1 3 2 4 5 3 2" xfId="27991"/>
    <cellStyle name="20 % - Accent1 3 2 4 5 3 3" xfId="40971"/>
    <cellStyle name="20 % - Accent1 3 2 4 5 3 4" xfId="57200"/>
    <cellStyle name="20 % - Accent1 3 2 4 5 4" xfId="15011"/>
    <cellStyle name="20 % - Accent1 3 2 4 5 4 2" xfId="50710"/>
    <cellStyle name="20 % - Accent1 3 2 4 5 5" xfId="21501"/>
    <cellStyle name="20 % - Accent1 3 2 4 5 6" xfId="34481"/>
    <cellStyle name="20 % - Accent1 3 2 4 5 7" xfId="47464"/>
    <cellStyle name="20 % - Accent1 3 2 4 6" xfId="3607"/>
    <cellStyle name="20 % - Accent1 3 2 4 6 2" xfId="10139"/>
    <cellStyle name="20 % - Accent1 3 2 4 6 2 2" xfId="29612"/>
    <cellStyle name="20 % - Accent1 3 2 4 6 2 3" xfId="42592"/>
    <cellStyle name="20 % - Accent1 3 2 4 6 2 4" xfId="58821"/>
    <cellStyle name="20 % - Accent1 3 2 4 6 3" xfId="16632"/>
    <cellStyle name="20 % - Accent1 3 2 4 6 4" xfId="23122"/>
    <cellStyle name="20 % - Accent1 3 2 4 6 5" xfId="36102"/>
    <cellStyle name="20 % - Accent1 3 2 4 6 6" xfId="52331"/>
    <cellStyle name="20 % - Accent1 3 2 4 7" xfId="6894"/>
    <cellStyle name="20 % - Accent1 3 2 4 7 2" xfId="26367"/>
    <cellStyle name="20 % - Accent1 3 2 4 7 3" xfId="39347"/>
    <cellStyle name="20 % - Accent1 3 2 4 7 4" xfId="55576"/>
    <cellStyle name="20 % - Accent1 3 2 4 8" xfId="13387"/>
    <cellStyle name="20 % - Accent1 3 2 4 8 2" xfId="49086"/>
    <cellStyle name="20 % - Accent1 3 2 4 9" xfId="19877"/>
    <cellStyle name="20 % - Accent1 3 2 5" xfId="645"/>
    <cellStyle name="20 % - Accent1 3 2 5 10" xfId="46168"/>
    <cellStyle name="20 % - Accent1 3 2 5 2" xfId="1584"/>
    <cellStyle name="20 % - Accent1 3 2 5 2 2" xfId="3251"/>
    <cellStyle name="20 % - Accent1 3 2 5 2 2 2" xfId="6496"/>
    <cellStyle name="20 % - Accent1 3 2 5 2 2 2 2" xfId="13028"/>
    <cellStyle name="20 % - Accent1 3 2 5 2 2 2 2 2" xfId="32501"/>
    <cellStyle name="20 % - Accent1 3 2 5 2 2 2 2 3" xfId="45481"/>
    <cellStyle name="20 % - Accent1 3 2 5 2 2 2 2 4" xfId="61710"/>
    <cellStyle name="20 % - Accent1 3 2 5 2 2 2 3" xfId="19521"/>
    <cellStyle name="20 % - Accent1 3 2 5 2 2 2 4" xfId="26011"/>
    <cellStyle name="20 % - Accent1 3 2 5 2 2 2 5" xfId="38991"/>
    <cellStyle name="20 % - Accent1 3 2 5 2 2 2 6" xfId="55220"/>
    <cellStyle name="20 % - Accent1 3 2 5 2 2 3" xfId="9783"/>
    <cellStyle name="20 % - Accent1 3 2 5 2 2 3 2" xfId="29256"/>
    <cellStyle name="20 % - Accent1 3 2 5 2 2 3 3" xfId="42236"/>
    <cellStyle name="20 % - Accent1 3 2 5 2 2 3 4" xfId="58465"/>
    <cellStyle name="20 % - Accent1 3 2 5 2 2 4" xfId="16276"/>
    <cellStyle name="20 % - Accent1 3 2 5 2 2 4 2" xfId="51975"/>
    <cellStyle name="20 % - Accent1 3 2 5 2 2 5" xfId="22766"/>
    <cellStyle name="20 % - Accent1 3 2 5 2 2 6" xfId="35746"/>
    <cellStyle name="20 % - Accent1 3 2 5 2 2 7" xfId="48729"/>
    <cellStyle name="20 % - Accent1 3 2 5 2 3" xfId="4873"/>
    <cellStyle name="20 % - Accent1 3 2 5 2 3 2" xfId="11405"/>
    <cellStyle name="20 % - Accent1 3 2 5 2 3 2 2" xfId="30878"/>
    <cellStyle name="20 % - Accent1 3 2 5 2 3 2 3" xfId="43858"/>
    <cellStyle name="20 % - Accent1 3 2 5 2 3 2 4" xfId="60087"/>
    <cellStyle name="20 % - Accent1 3 2 5 2 3 3" xfId="17898"/>
    <cellStyle name="20 % - Accent1 3 2 5 2 3 4" xfId="24388"/>
    <cellStyle name="20 % - Accent1 3 2 5 2 3 5" xfId="37368"/>
    <cellStyle name="20 % - Accent1 3 2 5 2 3 6" xfId="53597"/>
    <cellStyle name="20 % - Accent1 3 2 5 2 4" xfId="8160"/>
    <cellStyle name="20 % - Accent1 3 2 5 2 4 2" xfId="27633"/>
    <cellStyle name="20 % - Accent1 3 2 5 2 4 3" xfId="40613"/>
    <cellStyle name="20 % - Accent1 3 2 5 2 4 4" xfId="56842"/>
    <cellStyle name="20 % - Accent1 3 2 5 2 5" xfId="14653"/>
    <cellStyle name="20 % - Accent1 3 2 5 2 5 2" xfId="50352"/>
    <cellStyle name="20 % - Accent1 3 2 5 2 6" xfId="21143"/>
    <cellStyle name="20 % - Accent1 3 2 5 2 7" xfId="34123"/>
    <cellStyle name="20 % - Accent1 3 2 5 2 8" xfId="47106"/>
    <cellStyle name="20 % - Accent1 3 2 5 3" xfId="1121"/>
    <cellStyle name="20 % - Accent1 3 2 5 3 2" xfId="2788"/>
    <cellStyle name="20 % - Accent1 3 2 5 3 2 2" xfId="6033"/>
    <cellStyle name="20 % - Accent1 3 2 5 3 2 2 2" xfId="12565"/>
    <cellStyle name="20 % - Accent1 3 2 5 3 2 2 2 2" xfId="32038"/>
    <cellStyle name="20 % - Accent1 3 2 5 3 2 2 2 3" xfId="45018"/>
    <cellStyle name="20 % - Accent1 3 2 5 3 2 2 2 4" xfId="61247"/>
    <cellStyle name="20 % - Accent1 3 2 5 3 2 2 3" xfId="19058"/>
    <cellStyle name="20 % - Accent1 3 2 5 3 2 2 4" xfId="25548"/>
    <cellStyle name="20 % - Accent1 3 2 5 3 2 2 5" xfId="38528"/>
    <cellStyle name="20 % - Accent1 3 2 5 3 2 2 6" xfId="54757"/>
    <cellStyle name="20 % - Accent1 3 2 5 3 2 3" xfId="9320"/>
    <cellStyle name="20 % - Accent1 3 2 5 3 2 3 2" xfId="28793"/>
    <cellStyle name="20 % - Accent1 3 2 5 3 2 3 3" xfId="41773"/>
    <cellStyle name="20 % - Accent1 3 2 5 3 2 3 4" xfId="58002"/>
    <cellStyle name="20 % - Accent1 3 2 5 3 2 4" xfId="15813"/>
    <cellStyle name="20 % - Accent1 3 2 5 3 2 4 2" xfId="51512"/>
    <cellStyle name="20 % - Accent1 3 2 5 3 2 5" xfId="22303"/>
    <cellStyle name="20 % - Accent1 3 2 5 3 2 6" xfId="35283"/>
    <cellStyle name="20 % - Accent1 3 2 5 3 2 7" xfId="48266"/>
    <cellStyle name="20 % - Accent1 3 2 5 3 3" xfId="4410"/>
    <cellStyle name="20 % - Accent1 3 2 5 3 3 2" xfId="10942"/>
    <cellStyle name="20 % - Accent1 3 2 5 3 3 2 2" xfId="30415"/>
    <cellStyle name="20 % - Accent1 3 2 5 3 3 2 3" xfId="43395"/>
    <cellStyle name="20 % - Accent1 3 2 5 3 3 2 4" xfId="59624"/>
    <cellStyle name="20 % - Accent1 3 2 5 3 3 3" xfId="17435"/>
    <cellStyle name="20 % - Accent1 3 2 5 3 3 4" xfId="23925"/>
    <cellStyle name="20 % - Accent1 3 2 5 3 3 5" xfId="36905"/>
    <cellStyle name="20 % - Accent1 3 2 5 3 3 6" xfId="53134"/>
    <cellStyle name="20 % - Accent1 3 2 5 3 4" xfId="7697"/>
    <cellStyle name="20 % - Accent1 3 2 5 3 4 2" xfId="27170"/>
    <cellStyle name="20 % - Accent1 3 2 5 3 4 3" xfId="40150"/>
    <cellStyle name="20 % - Accent1 3 2 5 3 4 4" xfId="56379"/>
    <cellStyle name="20 % - Accent1 3 2 5 3 5" xfId="14190"/>
    <cellStyle name="20 % - Accent1 3 2 5 3 5 2" xfId="49889"/>
    <cellStyle name="20 % - Accent1 3 2 5 3 6" xfId="20680"/>
    <cellStyle name="20 % - Accent1 3 2 5 3 7" xfId="33660"/>
    <cellStyle name="20 % - Accent1 3 2 5 3 8" xfId="46643"/>
    <cellStyle name="20 % - Accent1 3 2 5 4" xfId="2313"/>
    <cellStyle name="20 % - Accent1 3 2 5 4 2" xfId="5558"/>
    <cellStyle name="20 % - Accent1 3 2 5 4 2 2" xfId="12090"/>
    <cellStyle name="20 % - Accent1 3 2 5 4 2 2 2" xfId="31563"/>
    <cellStyle name="20 % - Accent1 3 2 5 4 2 2 3" xfId="44543"/>
    <cellStyle name="20 % - Accent1 3 2 5 4 2 2 4" xfId="60772"/>
    <cellStyle name="20 % - Accent1 3 2 5 4 2 3" xfId="18583"/>
    <cellStyle name="20 % - Accent1 3 2 5 4 2 4" xfId="25073"/>
    <cellStyle name="20 % - Accent1 3 2 5 4 2 5" xfId="38053"/>
    <cellStyle name="20 % - Accent1 3 2 5 4 2 6" xfId="54282"/>
    <cellStyle name="20 % - Accent1 3 2 5 4 3" xfId="8845"/>
    <cellStyle name="20 % - Accent1 3 2 5 4 3 2" xfId="28318"/>
    <cellStyle name="20 % - Accent1 3 2 5 4 3 3" xfId="41298"/>
    <cellStyle name="20 % - Accent1 3 2 5 4 3 4" xfId="57527"/>
    <cellStyle name="20 % - Accent1 3 2 5 4 4" xfId="15338"/>
    <cellStyle name="20 % - Accent1 3 2 5 4 4 2" xfId="51037"/>
    <cellStyle name="20 % - Accent1 3 2 5 4 5" xfId="21828"/>
    <cellStyle name="20 % - Accent1 3 2 5 4 6" xfId="34808"/>
    <cellStyle name="20 % - Accent1 3 2 5 4 7" xfId="47791"/>
    <cellStyle name="20 % - Accent1 3 2 5 5" xfId="3935"/>
    <cellStyle name="20 % - Accent1 3 2 5 5 2" xfId="10467"/>
    <cellStyle name="20 % - Accent1 3 2 5 5 2 2" xfId="29940"/>
    <cellStyle name="20 % - Accent1 3 2 5 5 2 3" xfId="42920"/>
    <cellStyle name="20 % - Accent1 3 2 5 5 2 4" xfId="59149"/>
    <cellStyle name="20 % - Accent1 3 2 5 5 3" xfId="16960"/>
    <cellStyle name="20 % - Accent1 3 2 5 5 4" xfId="23450"/>
    <cellStyle name="20 % - Accent1 3 2 5 5 5" xfId="36430"/>
    <cellStyle name="20 % - Accent1 3 2 5 5 6" xfId="52659"/>
    <cellStyle name="20 % - Accent1 3 2 5 6" xfId="7222"/>
    <cellStyle name="20 % - Accent1 3 2 5 6 2" xfId="26695"/>
    <cellStyle name="20 % - Accent1 3 2 5 6 3" xfId="39675"/>
    <cellStyle name="20 % - Accent1 3 2 5 6 4" xfId="55904"/>
    <cellStyle name="20 % - Accent1 3 2 5 7" xfId="13715"/>
    <cellStyle name="20 % - Accent1 3 2 5 7 2" xfId="49414"/>
    <cellStyle name="20 % - Accent1 3 2 5 8" xfId="20205"/>
    <cellStyle name="20 % - Accent1 3 2 5 9" xfId="33185"/>
    <cellStyle name="20 % - Accent1 3 2 6" xfId="415"/>
    <cellStyle name="20 % - Accent1 3 2 6 2" xfId="1364"/>
    <cellStyle name="20 % - Accent1 3 2 6 2 2" xfId="3031"/>
    <cellStyle name="20 % - Accent1 3 2 6 2 2 2" xfId="6276"/>
    <cellStyle name="20 % - Accent1 3 2 6 2 2 2 2" xfId="12808"/>
    <cellStyle name="20 % - Accent1 3 2 6 2 2 2 2 2" xfId="32281"/>
    <cellStyle name="20 % - Accent1 3 2 6 2 2 2 2 3" xfId="45261"/>
    <cellStyle name="20 % - Accent1 3 2 6 2 2 2 2 4" xfId="61490"/>
    <cellStyle name="20 % - Accent1 3 2 6 2 2 2 3" xfId="19301"/>
    <cellStyle name="20 % - Accent1 3 2 6 2 2 2 4" xfId="25791"/>
    <cellStyle name="20 % - Accent1 3 2 6 2 2 2 5" xfId="38771"/>
    <cellStyle name="20 % - Accent1 3 2 6 2 2 2 6" xfId="55000"/>
    <cellStyle name="20 % - Accent1 3 2 6 2 2 3" xfId="9563"/>
    <cellStyle name="20 % - Accent1 3 2 6 2 2 3 2" xfId="29036"/>
    <cellStyle name="20 % - Accent1 3 2 6 2 2 3 3" xfId="42016"/>
    <cellStyle name="20 % - Accent1 3 2 6 2 2 3 4" xfId="58245"/>
    <cellStyle name="20 % - Accent1 3 2 6 2 2 4" xfId="16056"/>
    <cellStyle name="20 % - Accent1 3 2 6 2 2 4 2" xfId="51755"/>
    <cellStyle name="20 % - Accent1 3 2 6 2 2 5" xfId="22546"/>
    <cellStyle name="20 % - Accent1 3 2 6 2 2 6" xfId="35526"/>
    <cellStyle name="20 % - Accent1 3 2 6 2 2 7" xfId="48509"/>
    <cellStyle name="20 % - Accent1 3 2 6 2 3" xfId="4653"/>
    <cellStyle name="20 % - Accent1 3 2 6 2 3 2" xfId="11185"/>
    <cellStyle name="20 % - Accent1 3 2 6 2 3 2 2" xfId="30658"/>
    <cellStyle name="20 % - Accent1 3 2 6 2 3 2 3" xfId="43638"/>
    <cellStyle name="20 % - Accent1 3 2 6 2 3 2 4" xfId="59867"/>
    <cellStyle name="20 % - Accent1 3 2 6 2 3 3" xfId="17678"/>
    <cellStyle name="20 % - Accent1 3 2 6 2 3 4" xfId="24168"/>
    <cellStyle name="20 % - Accent1 3 2 6 2 3 5" xfId="37148"/>
    <cellStyle name="20 % - Accent1 3 2 6 2 3 6" xfId="53377"/>
    <cellStyle name="20 % - Accent1 3 2 6 2 4" xfId="7940"/>
    <cellStyle name="20 % - Accent1 3 2 6 2 4 2" xfId="27413"/>
    <cellStyle name="20 % - Accent1 3 2 6 2 4 3" xfId="40393"/>
    <cellStyle name="20 % - Accent1 3 2 6 2 4 4" xfId="56622"/>
    <cellStyle name="20 % - Accent1 3 2 6 2 5" xfId="14433"/>
    <cellStyle name="20 % - Accent1 3 2 6 2 5 2" xfId="50132"/>
    <cellStyle name="20 % - Accent1 3 2 6 2 6" xfId="20923"/>
    <cellStyle name="20 % - Accent1 3 2 6 2 7" xfId="33903"/>
    <cellStyle name="20 % - Accent1 3 2 6 2 8" xfId="46886"/>
    <cellStyle name="20 % - Accent1 3 2 6 3" xfId="2083"/>
    <cellStyle name="20 % - Accent1 3 2 6 3 2" xfId="5328"/>
    <cellStyle name="20 % - Accent1 3 2 6 3 2 2" xfId="11860"/>
    <cellStyle name="20 % - Accent1 3 2 6 3 2 2 2" xfId="31333"/>
    <cellStyle name="20 % - Accent1 3 2 6 3 2 2 3" xfId="44313"/>
    <cellStyle name="20 % - Accent1 3 2 6 3 2 2 4" xfId="60542"/>
    <cellStyle name="20 % - Accent1 3 2 6 3 2 3" xfId="18353"/>
    <cellStyle name="20 % - Accent1 3 2 6 3 2 4" xfId="24843"/>
    <cellStyle name="20 % - Accent1 3 2 6 3 2 5" xfId="37823"/>
    <cellStyle name="20 % - Accent1 3 2 6 3 2 6" xfId="54052"/>
    <cellStyle name="20 % - Accent1 3 2 6 3 3" xfId="8615"/>
    <cellStyle name="20 % - Accent1 3 2 6 3 3 2" xfId="28088"/>
    <cellStyle name="20 % - Accent1 3 2 6 3 3 3" xfId="41068"/>
    <cellStyle name="20 % - Accent1 3 2 6 3 3 4" xfId="57297"/>
    <cellStyle name="20 % - Accent1 3 2 6 3 4" xfId="15108"/>
    <cellStyle name="20 % - Accent1 3 2 6 3 4 2" xfId="50807"/>
    <cellStyle name="20 % - Accent1 3 2 6 3 5" xfId="21598"/>
    <cellStyle name="20 % - Accent1 3 2 6 3 6" xfId="34578"/>
    <cellStyle name="20 % - Accent1 3 2 6 3 7" xfId="47561"/>
    <cellStyle name="20 % - Accent1 3 2 6 4" xfId="3705"/>
    <cellStyle name="20 % - Accent1 3 2 6 4 2" xfId="10237"/>
    <cellStyle name="20 % - Accent1 3 2 6 4 2 2" xfId="29710"/>
    <cellStyle name="20 % - Accent1 3 2 6 4 2 3" xfId="42690"/>
    <cellStyle name="20 % - Accent1 3 2 6 4 2 4" xfId="58919"/>
    <cellStyle name="20 % - Accent1 3 2 6 4 3" xfId="16730"/>
    <cellStyle name="20 % - Accent1 3 2 6 4 4" xfId="23220"/>
    <cellStyle name="20 % - Accent1 3 2 6 4 5" xfId="36200"/>
    <cellStyle name="20 % - Accent1 3 2 6 4 6" xfId="52429"/>
    <cellStyle name="20 % - Accent1 3 2 6 5" xfId="6992"/>
    <cellStyle name="20 % - Accent1 3 2 6 5 2" xfId="26465"/>
    <cellStyle name="20 % - Accent1 3 2 6 5 3" xfId="39445"/>
    <cellStyle name="20 % - Accent1 3 2 6 5 4" xfId="55674"/>
    <cellStyle name="20 % - Accent1 3 2 6 6" xfId="13485"/>
    <cellStyle name="20 % - Accent1 3 2 6 6 2" xfId="49184"/>
    <cellStyle name="20 % - Accent1 3 2 6 7" xfId="19975"/>
    <cellStyle name="20 % - Accent1 3 2 6 8" xfId="32955"/>
    <cellStyle name="20 % - Accent1 3 2 6 9" xfId="45938"/>
    <cellStyle name="20 % - Accent1 3 2 7" xfId="901"/>
    <cellStyle name="20 % - Accent1 3 2 7 2" xfId="2568"/>
    <cellStyle name="20 % - Accent1 3 2 7 2 2" xfId="5813"/>
    <cellStyle name="20 % - Accent1 3 2 7 2 2 2" xfId="12345"/>
    <cellStyle name="20 % - Accent1 3 2 7 2 2 2 2" xfId="31818"/>
    <cellStyle name="20 % - Accent1 3 2 7 2 2 2 3" xfId="44798"/>
    <cellStyle name="20 % - Accent1 3 2 7 2 2 2 4" xfId="61027"/>
    <cellStyle name="20 % - Accent1 3 2 7 2 2 3" xfId="18838"/>
    <cellStyle name="20 % - Accent1 3 2 7 2 2 4" xfId="25328"/>
    <cellStyle name="20 % - Accent1 3 2 7 2 2 5" xfId="38308"/>
    <cellStyle name="20 % - Accent1 3 2 7 2 2 6" xfId="54537"/>
    <cellStyle name="20 % - Accent1 3 2 7 2 3" xfId="9100"/>
    <cellStyle name="20 % - Accent1 3 2 7 2 3 2" xfId="28573"/>
    <cellStyle name="20 % - Accent1 3 2 7 2 3 3" xfId="41553"/>
    <cellStyle name="20 % - Accent1 3 2 7 2 3 4" xfId="57782"/>
    <cellStyle name="20 % - Accent1 3 2 7 2 4" xfId="15593"/>
    <cellStyle name="20 % - Accent1 3 2 7 2 4 2" xfId="51292"/>
    <cellStyle name="20 % - Accent1 3 2 7 2 5" xfId="22083"/>
    <cellStyle name="20 % - Accent1 3 2 7 2 6" xfId="35063"/>
    <cellStyle name="20 % - Accent1 3 2 7 2 7" xfId="48046"/>
    <cellStyle name="20 % - Accent1 3 2 7 3" xfId="4190"/>
    <cellStyle name="20 % - Accent1 3 2 7 3 2" xfId="10722"/>
    <cellStyle name="20 % - Accent1 3 2 7 3 2 2" xfId="30195"/>
    <cellStyle name="20 % - Accent1 3 2 7 3 2 3" xfId="43175"/>
    <cellStyle name="20 % - Accent1 3 2 7 3 2 4" xfId="59404"/>
    <cellStyle name="20 % - Accent1 3 2 7 3 3" xfId="17215"/>
    <cellStyle name="20 % - Accent1 3 2 7 3 4" xfId="23705"/>
    <cellStyle name="20 % - Accent1 3 2 7 3 5" xfId="36685"/>
    <cellStyle name="20 % - Accent1 3 2 7 3 6" xfId="52914"/>
    <cellStyle name="20 % - Accent1 3 2 7 4" xfId="7477"/>
    <cellStyle name="20 % - Accent1 3 2 7 4 2" xfId="26950"/>
    <cellStyle name="20 % - Accent1 3 2 7 4 3" xfId="39930"/>
    <cellStyle name="20 % - Accent1 3 2 7 4 4" xfId="56159"/>
    <cellStyle name="20 % - Accent1 3 2 7 5" xfId="13970"/>
    <cellStyle name="20 % - Accent1 3 2 7 5 2" xfId="49669"/>
    <cellStyle name="20 % - Accent1 3 2 7 6" xfId="20460"/>
    <cellStyle name="20 % - Accent1 3 2 7 7" xfId="33440"/>
    <cellStyle name="20 % - Accent1 3 2 7 8" xfId="46423"/>
    <cellStyle name="20 % - Accent1 3 2 8" xfId="1854"/>
    <cellStyle name="20 % - Accent1 3 2 8 2" xfId="5099"/>
    <cellStyle name="20 % - Accent1 3 2 8 2 2" xfId="11631"/>
    <cellStyle name="20 % - Accent1 3 2 8 2 2 2" xfId="31104"/>
    <cellStyle name="20 % - Accent1 3 2 8 2 2 3" xfId="44084"/>
    <cellStyle name="20 % - Accent1 3 2 8 2 2 4" xfId="60313"/>
    <cellStyle name="20 % - Accent1 3 2 8 2 3" xfId="18124"/>
    <cellStyle name="20 % - Accent1 3 2 8 2 4" xfId="24614"/>
    <cellStyle name="20 % - Accent1 3 2 8 2 5" xfId="37594"/>
    <cellStyle name="20 % - Accent1 3 2 8 2 6" xfId="53823"/>
    <cellStyle name="20 % - Accent1 3 2 8 3" xfId="8386"/>
    <cellStyle name="20 % - Accent1 3 2 8 3 2" xfId="27859"/>
    <cellStyle name="20 % - Accent1 3 2 8 3 3" xfId="40839"/>
    <cellStyle name="20 % - Accent1 3 2 8 3 4" xfId="57068"/>
    <cellStyle name="20 % - Accent1 3 2 8 4" xfId="14879"/>
    <cellStyle name="20 % - Accent1 3 2 8 4 2" xfId="50578"/>
    <cellStyle name="20 % - Accent1 3 2 8 5" xfId="21369"/>
    <cellStyle name="20 % - Accent1 3 2 8 6" xfId="34349"/>
    <cellStyle name="20 % - Accent1 3 2 8 7" xfId="47332"/>
    <cellStyle name="20 % - Accent1 3 2 9" xfId="3475"/>
    <cellStyle name="20 % - Accent1 3 2 9 2" xfId="10007"/>
    <cellStyle name="20 % - Accent1 3 2 9 2 2" xfId="29480"/>
    <cellStyle name="20 % - Accent1 3 2 9 2 3" xfId="42460"/>
    <cellStyle name="20 % - Accent1 3 2 9 2 4" xfId="58689"/>
    <cellStyle name="20 % - Accent1 3 2 9 3" xfId="16500"/>
    <cellStyle name="20 % - Accent1 3 2 9 4" xfId="22990"/>
    <cellStyle name="20 % - Accent1 3 2 9 5" xfId="35970"/>
    <cellStyle name="20 % - Accent1 3 2 9 6" xfId="52199"/>
    <cellStyle name="20 % - Accent1 3 3" xfId="247"/>
    <cellStyle name="20 % - Accent1 3 3 10" xfId="19811"/>
    <cellStyle name="20 % - Accent1 3 3 11" xfId="32791"/>
    <cellStyle name="20 % - Accent1 3 3 12" xfId="45774"/>
    <cellStyle name="20 % - Accent1 3 3 2" xfId="335"/>
    <cellStyle name="20 % - Accent1 3 3 2 10" xfId="32879"/>
    <cellStyle name="20 % - Accent1 3 3 2 11" xfId="45862"/>
    <cellStyle name="20 % - Accent1 3 3 2 2" xfId="799"/>
    <cellStyle name="20 % - Accent1 3 3 2 2 10" xfId="46322"/>
    <cellStyle name="20 % - Accent1 3 3 2 2 2" xfId="1738"/>
    <cellStyle name="20 % - Accent1 3 3 2 2 2 2" xfId="3405"/>
    <cellStyle name="20 % - Accent1 3 3 2 2 2 2 2" xfId="6650"/>
    <cellStyle name="20 % - Accent1 3 3 2 2 2 2 2 2" xfId="13182"/>
    <cellStyle name="20 % - Accent1 3 3 2 2 2 2 2 2 2" xfId="32655"/>
    <cellStyle name="20 % - Accent1 3 3 2 2 2 2 2 2 3" xfId="45635"/>
    <cellStyle name="20 % - Accent1 3 3 2 2 2 2 2 2 4" xfId="61864"/>
    <cellStyle name="20 % - Accent1 3 3 2 2 2 2 2 3" xfId="19675"/>
    <cellStyle name="20 % - Accent1 3 3 2 2 2 2 2 4" xfId="26165"/>
    <cellStyle name="20 % - Accent1 3 3 2 2 2 2 2 5" xfId="39145"/>
    <cellStyle name="20 % - Accent1 3 3 2 2 2 2 2 6" xfId="55374"/>
    <cellStyle name="20 % - Accent1 3 3 2 2 2 2 3" xfId="9937"/>
    <cellStyle name="20 % - Accent1 3 3 2 2 2 2 3 2" xfId="29410"/>
    <cellStyle name="20 % - Accent1 3 3 2 2 2 2 3 3" xfId="42390"/>
    <cellStyle name="20 % - Accent1 3 3 2 2 2 2 3 4" xfId="58619"/>
    <cellStyle name="20 % - Accent1 3 3 2 2 2 2 4" xfId="16430"/>
    <cellStyle name="20 % - Accent1 3 3 2 2 2 2 4 2" xfId="52129"/>
    <cellStyle name="20 % - Accent1 3 3 2 2 2 2 5" xfId="22920"/>
    <cellStyle name="20 % - Accent1 3 3 2 2 2 2 6" xfId="35900"/>
    <cellStyle name="20 % - Accent1 3 3 2 2 2 2 7" xfId="48883"/>
    <cellStyle name="20 % - Accent1 3 3 2 2 2 3" xfId="5027"/>
    <cellStyle name="20 % - Accent1 3 3 2 2 2 3 2" xfId="11559"/>
    <cellStyle name="20 % - Accent1 3 3 2 2 2 3 2 2" xfId="31032"/>
    <cellStyle name="20 % - Accent1 3 3 2 2 2 3 2 3" xfId="44012"/>
    <cellStyle name="20 % - Accent1 3 3 2 2 2 3 2 4" xfId="60241"/>
    <cellStyle name="20 % - Accent1 3 3 2 2 2 3 3" xfId="18052"/>
    <cellStyle name="20 % - Accent1 3 3 2 2 2 3 4" xfId="24542"/>
    <cellStyle name="20 % - Accent1 3 3 2 2 2 3 5" xfId="37522"/>
    <cellStyle name="20 % - Accent1 3 3 2 2 2 3 6" xfId="53751"/>
    <cellStyle name="20 % - Accent1 3 3 2 2 2 4" xfId="8314"/>
    <cellStyle name="20 % - Accent1 3 3 2 2 2 4 2" xfId="27787"/>
    <cellStyle name="20 % - Accent1 3 3 2 2 2 4 3" xfId="40767"/>
    <cellStyle name="20 % - Accent1 3 3 2 2 2 4 4" xfId="56996"/>
    <cellStyle name="20 % - Accent1 3 3 2 2 2 5" xfId="14807"/>
    <cellStyle name="20 % - Accent1 3 3 2 2 2 5 2" xfId="50506"/>
    <cellStyle name="20 % - Accent1 3 3 2 2 2 6" xfId="21297"/>
    <cellStyle name="20 % - Accent1 3 3 2 2 2 7" xfId="34277"/>
    <cellStyle name="20 % - Accent1 3 3 2 2 2 8" xfId="47260"/>
    <cellStyle name="20 % - Accent1 3 3 2 2 3" xfId="1275"/>
    <cellStyle name="20 % - Accent1 3 3 2 2 3 2" xfId="2942"/>
    <cellStyle name="20 % - Accent1 3 3 2 2 3 2 2" xfId="6187"/>
    <cellStyle name="20 % - Accent1 3 3 2 2 3 2 2 2" xfId="12719"/>
    <cellStyle name="20 % - Accent1 3 3 2 2 3 2 2 2 2" xfId="32192"/>
    <cellStyle name="20 % - Accent1 3 3 2 2 3 2 2 2 3" xfId="45172"/>
    <cellStyle name="20 % - Accent1 3 3 2 2 3 2 2 2 4" xfId="61401"/>
    <cellStyle name="20 % - Accent1 3 3 2 2 3 2 2 3" xfId="19212"/>
    <cellStyle name="20 % - Accent1 3 3 2 2 3 2 2 4" xfId="25702"/>
    <cellStyle name="20 % - Accent1 3 3 2 2 3 2 2 5" xfId="38682"/>
    <cellStyle name="20 % - Accent1 3 3 2 2 3 2 2 6" xfId="54911"/>
    <cellStyle name="20 % - Accent1 3 3 2 2 3 2 3" xfId="9474"/>
    <cellStyle name="20 % - Accent1 3 3 2 2 3 2 3 2" xfId="28947"/>
    <cellStyle name="20 % - Accent1 3 3 2 2 3 2 3 3" xfId="41927"/>
    <cellStyle name="20 % - Accent1 3 3 2 2 3 2 3 4" xfId="58156"/>
    <cellStyle name="20 % - Accent1 3 3 2 2 3 2 4" xfId="15967"/>
    <cellStyle name="20 % - Accent1 3 3 2 2 3 2 4 2" xfId="51666"/>
    <cellStyle name="20 % - Accent1 3 3 2 2 3 2 5" xfId="22457"/>
    <cellStyle name="20 % - Accent1 3 3 2 2 3 2 6" xfId="35437"/>
    <cellStyle name="20 % - Accent1 3 3 2 2 3 2 7" xfId="48420"/>
    <cellStyle name="20 % - Accent1 3 3 2 2 3 3" xfId="4564"/>
    <cellStyle name="20 % - Accent1 3 3 2 2 3 3 2" xfId="11096"/>
    <cellStyle name="20 % - Accent1 3 3 2 2 3 3 2 2" xfId="30569"/>
    <cellStyle name="20 % - Accent1 3 3 2 2 3 3 2 3" xfId="43549"/>
    <cellStyle name="20 % - Accent1 3 3 2 2 3 3 2 4" xfId="59778"/>
    <cellStyle name="20 % - Accent1 3 3 2 2 3 3 3" xfId="17589"/>
    <cellStyle name="20 % - Accent1 3 3 2 2 3 3 4" xfId="24079"/>
    <cellStyle name="20 % - Accent1 3 3 2 2 3 3 5" xfId="37059"/>
    <cellStyle name="20 % - Accent1 3 3 2 2 3 3 6" xfId="53288"/>
    <cellStyle name="20 % - Accent1 3 3 2 2 3 4" xfId="7851"/>
    <cellStyle name="20 % - Accent1 3 3 2 2 3 4 2" xfId="27324"/>
    <cellStyle name="20 % - Accent1 3 3 2 2 3 4 3" xfId="40304"/>
    <cellStyle name="20 % - Accent1 3 3 2 2 3 4 4" xfId="56533"/>
    <cellStyle name="20 % - Accent1 3 3 2 2 3 5" xfId="14344"/>
    <cellStyle name="20 % - Accent1 3 3 2 2 3 5 2" xfId="50043"/>
    <cellStyle name="20 % - Accent1 3 3 2 2 3 6" xfId="20834"/>
    <cellStyle name="20 % - Accent1 3 3 2 2 3 7" xfId="33814"/>
    <cellStyle name="20 % - Accent1 3 3 2 2 3 8" xfId="46797"/>
    <cellStyle name="20 % - Accent1 3 3 2 2 4" xfId="2467"/>
    <cellStyle name="20 % - Accent1 3 3 2 2 4 2" xfId="5712"/>
    <cellStyle name="20 % - Accent1 3 3 2 2 4 2 2" xfId="12244"/>
    <cellStyle name="20 % - Accent1 3 3 2 2 4 2 2 2" xfId="31717"/>
    <cellStyle name="20 % - Accent1 3 3 2 2 4 2 2 3" xfId="44697"/>
    <cellStyle name="20 % - Accent1 3 3 2 2 4 2 2 4" xfId="60926"/>
    <cellStyle name="20 % - Accent1 3 3 2 2 4 2 3" xfId="18737"/>
    <cellStyle name="20 % - Accent1 3 3 2 2 4 2 4" xfId="25227"/>
    <cellStyle name="20 % - Accent1 3 3 2 2 4 2 5" xfId="38207"/>
    <cellStyle name="20 % - Accent1 3 3 2 2 4 2 6" xfId="54436"/>
    <cellStyle name="20 % - Accent1 3 3 2 2 4 3" xfId="8999"/>
    <cellStyle name="20 % - Accent1 3 3 2 2 4 3 2" xfId="28472"/>
    <cellStyle name="20 % - Accent1 3 3 2 2 4 3 3" xfId="41452"/>
    <cellStyle name="20 % - Accent1 3 3 2 2 4 3 4" xfId="57681"/>
    <cellStyle name="20 % - Accent1 3 3 2 2 4 4" xfId="15492"/>
    <cellStyle name="20 % - Accent1 3 3 2 2 4 4 2" xfId="51191"/>
    <cellStyle name="20 % - Accent1 3 3 2 2 4 5" xfId="21982"/>
    <cellStyle name="20 % - Accent1 3 3 2 2 4 6" xfId="34962"/>
    <cellStyle name="20 % - Accent1 3 3 2 2 4 7" xfId="47945"/>
    <cellStyle name="20 % - Accent1 3 3 2 2 5" xfId="4089"/>
    <cellStyle name="20 % - Accent1 3 3 2 2 5 2" xfId="10621"/>
    <cellStyle name="20 % - Accent1 3 3 2 2 5 2 2" xfId="30094"/>
    <cellStyle name="20 % - Accent1 3 3 2 2 5 2 3" xfId="43074"/>
    <cellStyle name="20 % - Accent1 3 3 2 2 5 2 4" xfId="59303"/>
    <cellStyle name="20 % - Accent1 3 3 2 2 5 3" xfId="17114"/>
    <cellStyle name="20 % - Accent1 3 3 2 2 5 4" xfId="23604"/>
    <cellStyle name="20 % - Accent1 3 3 2 2 5 5" xfId="36584"/>
    <cellStyle name="20 % - Accent1 3 3 2 2 5 6" xfId="52813"/>
    <cellStyle name="20 % - Accent1 3 3 2 2 6" xfId="7376"/>
    <cellStyle name="20 % - Accent1 3 3 2 2 6 2" xfId="26849"/>
    <cellStyle name="20 % - Accent1 3 3 2 2 6 3" xfId="39829"/>
    <cellStyle name="20 % - Accent1 3 3 2 2 6 4" xfId="56058"/>
    <cellStyle name="20 % - Accent1 3 3 2 2 7" xfId="13869"/>
    <cellStyle name="20 % - Accent1 3 3 2 2 7 2" xfId="49568"/>
    <cellStyle name="20 % - Accent1 3 3 2 2 8" xfId="20359"/>
    <cellStyle name="20 % - Accent1 3 3 2 2 9" xfId="33339"/>
    <cellStyle name="20 % - Accent1 3 3 2 3" xfId="569"/>
    <cellStyle name="20 % - Accent1 3 3 2 3 2" xfId="1518"/>
    <cellStyle name="20 % - Accent1 3 3 2 3 2 2" xfId="3185"/>
    <cellStyle name="20 % - Accent1 3 3 2 3 2 2 2" xfId="6430"/>
    <cellStyle name="20 % - Accent1 3 3 2 3 2 2 2 2" xfId="12962"/>
    <cellStyle name="20 % - Accent1 3 3 2 3 2 2 2 2 2" xfId="32435"/>
    <cellStyle name="20 % - Accent1 3 3 2 3 2 2 2 2 3" xfId="45415"/>
    <cellStyle name="20 % - Accent1 3 3 2 3 2 2 2 2 4" xfId="61644"/>
    <cellStyle name="20 % - Accent1 3 3 2 3 2 2 2 3" xfId="19455"/>
    <cellStyle name="20 % - Accent1 3 3 2 3 2 2 2 4" xfId="25945"/>
    <cellStyle name="20 % - Accent1 3 3 2 3 2 2 2 5" xfId="38925"/>
    <cellStyle name="20 % - Accent1 3 3 2 3 2 2 2 6" xfId="55154"/>
    <cellStyle name="20 % - Accent1 3 3 2 3 2 2 3" xfId="9717"/>
    <cellStyle name="20 % - Accent1 3 3 2 3 2 2 3 2" xfId="29190"/>
    <cellStyle name="20 % - Accent1 3 3 2 3 2 2 3 3" xfId="42170"/>
    <cellStyle name="20 % - Accent1 3 3 2 3 2 2 3 4" xfId="58399"/>
    <cellStyle name="20 % - Accent1 3 3 2 3 2 2 4" xfId="16210"/>
    <cellStyle name="20 % - Accent1 3 3 2 3 2 2 4 2" xfId="51909"/>
    <cellStyle name="20 % - Accent1 3 3 2 3 2 2 5" xfId="22700"/>
    <cellStyle name="20 % - Accent1 3 3 2 3 2 2 6" xfId="35680"/>
    <cellStyle name="20 % - Accent1 3 3 2 3 2 2 7" xfId="48663"/>
    <cellStyle name="20 % - Accent1 3 3 2 3 2 3" xfId="4807"/>
    <cellStyle name="20 % - Accent1 3 3 2 3 2 3 2" xfId="11339"/>
    <cellStyle name="20 % - Accent1 3 3 2 3 2 3 2 2" xfId="30812"/>
    <cellStyle name="20 % - Accent1 3 3 2 3 2 3 2 3" xfId="43792"/>
    <cellStyle name="20 % - Accent1 3 3 2 3 2 3 2 4" xfId="60021"/>
    <cellStyle name="20 % - Accent1 3 3 2 3 2 3 3" xfId="17832"/>
    <cellStyle name="20 % - Accent1 3 3 2 3 2 3 4" xfId="24322"/>
    <cellStyle name="20 % - Accent1 3 3 2 3 2 3 5" xfId="37302"/>
    <cellStyle name="20 % - Accent1 3 3 2 3 2 3 6" xfId="53531"/>
    <cellStyle name="20 % - Accent1 3 3 2 3 2 4" xfId="8094"/>
    <cellStyle name="20 % - Accent1 3 3 2 3 2 4 2" xfId="27567"/>
    <cellStyle name="20 % - Accent1 3 3 2 3 2 4 3" xfId="40547"/>
    <cellStyle name="20 % - Accent1 3 3 2 3 2 4 4" xfId="56776"/>
    <cellStyle name="20 % - Accent1 3 3 2 3 2 5" xfId="14587"/>
    <cellStyle name="20 % - Accent1 3 3 2 3 2 5 2" xfId="50286"/>
    <cellStyle name="20 % - Accent1 3 3 2 3 2 6" xfId="21077"/>
    <cellStyle name="20 % - Accent1 3 3 2 3 2 7" xfId="34057"/>
    <cellStyle name="20 % - Accent1 3 3 2 3 2 8" xfId="47040"/>
    <cellStyle name="20 % - Accent1 3 3 2 3 3" xfId="2237"/>
    <cellStyle name="20 % - Accent1 3 3 2 3 3 2" xfId="5482"/>
    <cellStyle name="20 % - Accent1 3 3 2 3 3 2 2" xfId="12014"/>
    <cellStyle name="20 % - Accent1 3 3 2 3 3 2 2 2" xfId="31487"/>
    <cellStyle name="20 % - Accent1 3 3 2 3 3 2 2 3" xfId="44467"/>
    <cellStyle name="20 % - Accent1 3 3 2 3 3 2 2 4" xfId="60696"/>
    <cellStyle name="20 % - Accent1 3 3 2 3 3 2 3" xfId="18507"/>
    <cellStyle name="20 % - Accent1 3 3 2 3 3 2 4" xfId="24997"/>
    <cellStyle name="20 % - Accent1 3 3 2 3 3 2 5" xfId="37977"/>
    <cellStyle name="20 % - Accent1 3 3 2 3 3 2 6" xfId="54206"/>
    <cellStyle name="20 % - Accent1 3 3 2 3 3 3" xfId="8769"/>
    <cellStyle name="20 % - Accent1 3 3 2 3 3 3 2" xfId="28242"/>
    <cellStyle name="20 % - Accent1 3 3 2 3 3 3 3" xfId="41222"/>
    <cellStyle name="20 % - Accent1 3 3 2 3 3 3 4" xfId="57451"/>
    <cellStyle name="20 % - Accent1 3 3 2 3 3 4" xfId="15262"/>
    <cellStyle name="20 % - Accent1 3 3 2 3 3 4 2" xfId="50961"/>
    <cellStyle name="20 % - Accent1 3 3 2 3 3 5" xfId="21752"/>
    <cellStyle name="20 % - Accent1 3 3 2 3 3 6" xfId="34732"/>
    <cellStyle name="20 % - Accent1 3 3 2 3 3 7" xfId="47715"/>
    <cellStyle name="20 % - Accent1 3 3 2 3 4" xfId="3859"/>
    <cellStyle name="20 % - Accent1 3 3 2 3 4 2" xfId="10391"/>
    <cellStyle name="20 % - Accent1 3 3 2 3 4 2 2" xfId="29864"/>
    <cellStyle name="20 % - Accent1 3 3 2 3 4 2 3" xfId="42844"/>
    <cellStyle name="20 % - Accent1 3 3 2 3 4 2 4" xfId="59073"/>
    <cellStyle name="20 % - Accent1 3 3 2 3 4 3" xfId="16884"/>
    <cellStyle name="20 % - Accent1 3 3 2 3 4 4" xfId="23374"/>
    <cellStyle name="20 % - Accent1 3 3 2 3 4 5" xfId="36354"/>
    <cellStyle name="20 % - Accent1 3 3 2 3 4 6" xfId="52583"/>
    <cellStyle name="20 % - Accent1 3 3 2 3 5" xfId="7146"/>
    <cellStyle name="20 % - Accent1 3 3 2 3 5 2" xfId="26619"/>
    <cellStyle name="20 % - Accent1 3 3 2 3 5 3" xfId="39599"/>
    <cellStyle name="20 % - Accent1 3 3 2 3 5 4" xfId="55828"/>
    <cellStyle name="20 % - Accent1 3 3 2 3 6" xfId="13639"/>
    <cellStyle name="20 % - Accent1 3 3 2 3 6 2" xfId="49338"/>
    <cellStyle name="20 % - Accent1 3 3 2 3 7" xfId="20129"/>
    <cellStyle name="20 % - Accent1 3 3 2 3 8" xfId="33109"/>
    <cellStyle name="20 % - Accent1 3 3 2 3 9" xfId="46092"/>
    <cellStyle name="20 % - Accent1 3 3 2 4" xfId="1055"/>
    <cellStyle name="20 % - Accent1 3 3 2 4 2" xfId="2722"/>
    <cellStyle name="20 % - Accent1 3 3 2 4 2 2" xfId="5967"/>
    <cellStyle name="20 % - Accent1 3 3 2 4 2 2 2" xfId="12499"/>
    <cellStyle name="20 % - Accent1 3 3 2 4 2 2 2 2" xfId="31972"/>
    <cellStyle name="20 % - Accent1 3 3 2 4 2 2 2 3" xfId="44952"/>
    <cellStyle name="20 % - Accent1 3 3 2 4 2 2 2 4" xfId="61181"/>
    <cellStyle name="20 % - Accent1 3 3 2 4 2 2 3" xfId="18992"/>
    <cellStyle name="20 % - Accent1 3 3 2 4 2 2 4" xfId="25482"/>
    <cellStyle name="20 % - Accent1 3 3 2 4 2 2 5" xfId="38462"/>
    <cellStyle name="20 % - Accent1 3 3 2 4 2 2 6" xfId="54691"/>
    <cellStyle name="20 % - Accent1 3 3 2 4 2 3" xfId="9254"/>
    <cellStyle name="20 % - Accent1 3 3 2 4 2 3 2" xfId="28727"/>
    <cellStyle name="20 % - Accent1 3 3 2 4 2 3 3" xfId="41707"/>
    <cellStyle name="20 % - Accent1 3 3 2 4 2 3 4" xfId="57936"/>
    <cellStyle name="20 % - Accent1 3 3 2 4 2 4" xfId="15747"/>
    <cellStyle name="20 % - Accent1 3 3 2 4 2 4 2" xfId="51446"/>
    <cellStyle name="20 % - Accent1 3 3 2 4 2 5" xfId="22237"/>
    <cellStyle name="20 % - Accent1 3 3 2 4 2 6" xfId="35217"/>
    <cellStyle name="20 % - Accent1 3 3 2 4 2 7" xfId="48200"/>
    <cellStyle name="20 % - Accent1 3 3 2 4 3" xfId="4344"/>
    <cellStyle name="20 % - Accent1 3 3 2 4 3 2" xfId="10876"/>
    <cellStyle name="20 % - Accent1 3 3 2 4 3 2 2" xfId="30349"/>
    <cellStyle name="20 % - Accent1 3 3 2 4 3 2 3" xfId="43329"/>
    <cellStyle name="20 % - Accent1 3 3 2 4 3 2 4" xfId="59558"/>
    <cellStyle name="20 % - Accent1 3 3 2 4 3 3" xfId="17369"/>
    <cellStyle name="20 % - Accent1 3 3 2 4 3 4" xfId="23859"/>
    <cellStyle name="20 % - Accent1 3 3 2 4 3 5" xfId="36839"/>
    <cellStyle name="20 % - Accent1 3 3 2 4 3 6" xfId="53068"/>
    <cellStyle name="20 % - Accent1 3 3 2 4 4" xfId="7631"/>
    <cellStyle name="20 % - Accent1 3 3 2 4 4 2" xfId="27104"/>
    <cellStyle name="20 % - Accent1 3 3 2 4 4 3" xfId="40084"/>
    <cellStyle name="20 % - Accent1 3 3 2 4 4 4" xfId="56313"/>
    <cellStyle name="20 % - Accent1 3 3 2 4 5" xfId="14124"/>
    <cellStyle name="20 % - Accent1 3 3 2 4 5 2" xfId="49823"/>
    <cellStyle name="20 % - Accent1 3 3 2 4 6" xfId="20614"/>
    <cellStyle name="20 % - Accent1 3 3 2 4 7" xfId="33594"/>
    <cellStyle name="20 % - Accent1 3 3 2 4 8" xfId="46577"/>
    <cellStyle name="20 % - Accent1 3 3 2 5" xfId="2008"/>
    <cellStyle name="20 % - Accent1 3 3 2 5 2" xfId="5253"/>
    <cellStyle name="20 % - Accent1 3 3 2 5 2 2" xfId="11785"/>
    <cellStyle name="20 % - Accent1 3 3 2 5 2 2 2" xfId="31258"/>
    <cellStyle name="20 % - Accent1 3 3 2 5 2 2 3" xfId="44238"/>
    <cellStyle name="20 % - Accent1 3 3 2 5 2 2 4" xfId="60467"/>
    <cellStyle name="20 % - Accent1 3 3 2 5 2 3" xfId="18278"/>
    <cellStyle name="20 % - Accent1 3 3 2 5 2 4" xfId="24768"/>
    <cellStyle name="20 % - Accent1 3 3 2 5 2 5" xfId="37748"/>
    <cellStyle name="20 % - Accent1 3 3 2 5 2 6" xfId="53977"/>
    <cellStyle name="20 % - Accent1 3 3 2 5 3" xfId="8540"/>
    <cellStyle name="20 % - Accent1 3 3 2 5 3 2" xfId="28013"/>
    <cellStyle name="20 % - Accent1 3 3 2 5 3 3" xfId="40993"/>
    <cellStyle name="20 % - Accent1 3 3 2 5 3 4" xfId="57222"/>
    <cellStyle name="20 % - Accent1 3 3 2 5 4" xfId="15033"/>
    <cellStyle name="20 % - Accent1 3 3 2 5 4 2" xfId="50732"/>
    <cellStyle name="20 % - Accent1 3 3 2 5 5" xfId="21523"/>
    <cellStyle name="20 % - Accent1 3 3 2 5 6" xfId="34503"/>
    <cellStyle name="20 % - Accent1 3 3 2 5 7" xfId="47486"/>
    <cellStyle name="20 % - Accent1 3 3 2 6" xfId="3629"/>
    <cellStyle name="20 % - Accent1 3 3 2 6 2" xfId="10161"/>
    <cellStyle name="20 % - Accent1 3 3 2 6 2 2" xfId="29634"/>
    <cellStyle name="20 % - Accent1 3 3 2 6 2 3" xfId="42614"/>
    <cellStyle name="20 % - Accent1 3 3 2 6 2 4" xfId="58843"/>
    <cellStyle name="20 % - Accent1 3 3 2 6 3" xfId="16654"/>
    <cellStyle name="20 % - Accent1 3 3 2 6 4" xfId="23144"/>
    <cellStyle name="20 % - Accent1 3 3 2 6 5" xfId="36124"/>
    <cellStyle name="20 % - Accent1 3 3 2 6 6" xfId="52353"/>
    <cellStyle name="20 % - Accent1 3 3 2 7" xfId="6916"/>
    <cellStyle name="20 % - Accent1 3 3 2 7 2" xfId="26389"/>
    <cellStyle name="20 % - Accent1 3 3 2 7 3" xfId="39369"/>
    <cellStyle name="20 % - Accent1 3 3 2 7 4" xfId="55598"/>
    <cellStyle name="20 % - Accent1 3 3 2 8" xfId="13409"/>
    <cellStyle name="20 % - Accent1 3 3 2 8 2" xfId="49108"/>
    <cellStyle name="20 % - Accent1 3 3 2 9" xfId="19899"/>
    <cellStyle name="20 % - Accent1 3 3 3" xfId="711"/>
    <cellStyle name="20 % - Accent1 3 3 3 10" xfId="46234"/>
    <cellStyle name="20 % - Accent1 3 3 3 2" xfId="1650"/>
    <cellStyle name="20 % - Accent1 3 3 3 2 2" xfId="3317"/>
    <cellStyle name="20 % - Accent1 3 3 3 2 2 2" xfId="6562"/>
    <cellStyle name="20 % - Accent1 3 3 3 2 2 2 2" xfId="13094"/>
    <cellStyle name="20 % - Accent1 3 3 3 2 2 2 2 2" xfId="32567"/>
    <cellStyle name="20 % - Accent1 3 3 3 2 2 2 2 3" xfId="45547"/>
    <cellStyle name="20 % - Accent1 3 3 3 2 2 2 2 4" xfId="61776"/>
    <cellStyle name="20 % - Accent1 3 3 3 2 2 2 3" xfId="19587"/>
    <cellStyle name="20 % - Accent1 3 3 3 2 2 2 4" xfId="26077"/>
    <cellStyle name="20 % - Accent1 3 3 3 2 2 2 5" xfId="39057"/>
    <cellStyle name="20 % - Accent1 3 3 3 2 2 2 6" xfId="55286"/>
    <cellStyle name="20 % - Accent1 3 3 3 2 2 3" xfId="9849"/>
    <cellStyle name="20 % - Accent1 3 3 3 2 2 3 2" xfId="29322"/>
    <cellStyle name="20 % - Accent1 3 3 3 2 2 3 3" xfId="42302"/>
    <cellStyle name="20 % - Accent1 3 3 3 2 2 3 4" xfId="58531"/>
    <cellStyle name="20 % - Accent1 3 3 3 2 2 4" xfId="16342"/>
    <cellStyle name="20 % - Accent1 3 3 3 2 2 4 2" xfId="52041"/>
    <cellStyle name="20 % - Accent1 3 3 3 2 2 5" xfId="22832"/>
    <cellStyle name="20 % - Accent1 3 3 3 2 2 6" xfId="35812"/>
    <cellStyle name="20 % - Accent1 3 3 3 2 2 7" xfId="48795"/>
    <cellStyle name="20 % - Accent1 3 3 3 2 3" xfId="4939"/>
    <cellStyle name="20 % - Accent1 3 3 3 2 3 2" xfId="11471"/>
    <cellStyle name="20 % - Accent1 3 3 3 2 3 2 2" xfId="30944"/>
    <cellStyle name="20 % - Accent1 3 3 3 2 3 2 3" xfId="43924"/>
    <cellStyle name="20 % - Accent1 3 3 3 2 3 2 4" xfId="60153"/>
    <cellStyle name="20 % - Accent1 3 3 3 2 3 3" xfId="17964"/>
    <cellStyle name="20 % - Accent1 3 3 3 2 3 4" xfId="24454"/>
    <cellStyle name="20 % - Accent1 3 3 3 2 3 5" xfId="37434"/>
    <cellStyle name="20 % - Accent1 3 3 3 2 3 6" xfId="53663"/>
    <cellStyle name="20 % - Accent1 3 3 3 2 4" xfId="8226"/>
    <cellStyle name="20 % - Accent1 3 3 3 2 4 2" xfId="27699"/>
    <cellStyle name="20 % - Accent1 3 3 3 2 4 3" xfId="40679"/>
    <cellStyle name="20 % - Accent1 3 3 3 2 4 4" xfId="56908"/>
    <cellStyle name="20 % - Accent1 3 3 3 2 5" xfId="14719"/>
    <cellStyle name="20 % - Accent1 3 3 3 2 5 2" xfId="50418"/>
    <cellStyle name="20 % - Accent1 3 3 3 2 6" xfId="21209"/>
    <cellStyle name="20 % - Accent1 3 3 3 2 7" xfId="34189"/>
    <cellStyle name="20 % - Accent1 3 3 3 2 8" xfId="47172"/>
    <cellStyle name="20 % - Accent1 3 3 3 3" xfId="1187"/>
    <cellStyle name="20 % - Accent1 3 3 3 3 2" xfId="2854"/>
    <cellStyle name="20 % - Accent1 3 3 3 3 2 2" xfId="6099"/>
    <cellStyle name="20 % - Accent1 3 3 3 3 2 2 2" xfId="12631"/>
    <cellStyle name="20 % - Accent1 3 3 3 3 2 2 2 2" xfId="32104"/>
    <cellStyle name="20 % - Accent1 3 3 3 3 2 2 2 3" xfId="45084"/>
    <cellStyle name="20 % - Accent1 3 3 3 3 2 2 2 4" xfId="61313"/>
    <cellStyle name="20 % - Accent1 3 3 3 3 2 2 3" xfId="19124"/>
    <cellStyle name="20 % - Accent1 3 3 3 3 2 2 4" xfId="25614"/>
    <cellStyle name="20 % - Accent1 3 3 3 3 2 2 5" xfId="38594"/>
    <cellStyle name="20 % - Accent1 3 3 3 3 2 2 6" xfId="54823"/>
    <cellStyle name="20 % - Accent1 3 3 3 3 2 3" xfId="9386"/>
    <cellStyle name="20 % - Accent1 3 3 3 3 2 3 2" xfId="28859"/>
    <cellStyle name="20 % - Accent1 3 3 3 3 2 3 3" xfId="41839"/>
    <cellStyle name="20 % - Accent1 3 3 3 3 2 3 4" xfId="58068"/>
    <cellStyle name="20 % - Accent1 3 3 3 3 2 4" xfId="15879"/>
    <cellStyle name="20 % - Accent1 3 3 3 3 2 4 2" xfId="51578"/>
    <cellStyle name="20 % - Accent1 3 3 3 3 2 5" xfId="22369"/>
    <cellStyle name="20 % - Accent1 3 3 3 3 2 6" xfId="35349"/>
    <cellStyle name="20 % - Accent1 3 3 3 3 2 7" xfId="48332"/>
    <cellStyle name="20 % - Accent1 3 3 3 3 3" xfId="4476"/>
    <cellStyle name="20 % - Accent1 3 3 3 3 3 2" xfId="11008"/>
    <cellStyle name="20 % - Accent1 3 3 3 3 3 2 2" xfId="30481"/>
    <cellStyle name="20 % - Accent1 3 3 3 3 3 2 3" xfId="43461"/>
    <cellStyle name="20 % - Accent1 3 3 3 3 3 2 4" xfId="59690"/>
    <cellStyle name="20 % - Accent1 3 3 3 3 3 3" xfId="17501"/>
    <cellStyle name="20 % - Accent1 3 3 3 3 3 4" xfId="23991"/>
    <cellStyle name="20 % - Accent1 3 3 3 3 3 5" xfId="36971"/>
    <cellStyle name="20 % - Accent1 3 3 3 3 3 6" xfId="53200"/>
    <cellStyle name="20 % - Accent1 3 3 3 3 4" xfId="7763"/>
    <cellStyle name="20 % - Accent1 3 3 3 3 4 2" xfId="27236"/>
    <cellStyle name="20 % - Accent1 3 3 3 3 4 3" xfId="40216"/>
    <cellStyle name="20 % - Accent1 3 3 3 3 4 4" xfId="56445"/>
    <cellStyle name="20 % - Accent1 3 3 3 3 5" xfId="14256"/>
    <cellStyle name="20 % - Accent1 3 3 3 3 5 2" xfId="49955"/>
    <cellStyle name="20 % - Accent1 3 3 3 3 6" xfId="20746"/>
    <cellStyle name="20 % - Accent1 3 3 3 3 7" xfId="33726"/>
    <cellStyle name="20 % - Accent1 3 3 3 3 8" xfId="46709"/>
    <cellStyle name="20 % - Accent1 3 3 3 4" xfId="2379"/>
    <cellStyle name="20 % - Accent1 3 3 3 4 2" xfId="5624"/>
    <cellStyle name="20 % - Accent1 3 3 3 4 2 2" xfId="12156"/>
    <cellStyle name="20 % - Accent1 3 3 3 4 2 2 2" xfId="31629"/>
    <cellStyle name="20 % - Accent1 3 3 3 4 2 2 3" xfId="44609"/>
    <cellStyle name="20 % - Accent1 3 3 3 4 2 2 4" xfId="60838"/>
    <cellStyle name="20 % - Accent1 3 3 3 4 2 3" xfId="18649"/>
    <cellStyle name="20 % - Accent1 3 3 3 4 2 4" xfId="25139"/>
    <cellStyle name="20 % - Accent1 3 3 3 4 2 5" xfId="38119"/>
    <cellStyle name="20 % - Accent1 3 3 3 4 2 6" xfId="54348"/>
    <cellStyle name="20 % - Accent1 3 3 3 4 3" xfId="8911"/>
    <cellStyle name="20 % - Accent1 3 3 3 4 3 2" xfId="28384"/>
    <cellStyle name="20 % - Accent1 3 3 3 4 3 3" xfId="41364"/>
    <cellStyle name="20 % - Accent1 3 3 3 4 3 4" xfId="57593"/>
    <cellStyle name="20 % - Accent1 3 3 3 4 4" xfId="15404"/>
    <cellStyle name="20 % - Accent1 3 3 3 4 4 2" xfId="51103"/>
    <cellStyle name="20 % - Accent1 3 3 3 4 5" xfId="21894"/>
    <cellStyle name="20 % - Accent1 3 3 3 4 6" xfId="34874"/>
    <cellStyle name="20 % - Accent1 3 3 3 4 7" xfId="47857"/>
    <cellStyle name="20 % - Accent1 3 3 3 5" xfId="4001"/>
    <cellStyle name="20 % - Accent1 3 3 3 5 2" xfId="10533"/>
    <cellStyle name="20 % - Accent1 3 3 3 5 2 2" xfId="30006"/>
    <cellStyle name="20 % - Accent1 3 3 3 5 2 3" xfId="42986"/>
    <cellStyle name="20 % - Accent1 3 3 3 5 2 4" xfId="59215"/>
    <cellStyle name="20 % - Accent1 3 3 3 5 3" xfId="17026"/>
    <cellStyle name="20 % - Accent1 3 3 3 5 4" xfId="23516"/>
    <cellStyle name="20 % - Accent1 3 3 3 5 5" xfId="36496"/>
    <cellStyle name="20 % - Accent1 3 3 3 5 6" xfId="52725"/>
    <cellStyle name="20 % - Accent1 3 3 3 6" xfId="7288"/>
    <cellStyle name="20 % - Accent1 3 3 3 6 2" xfId="26761"/>
    <cellStyle name="20 % - Accent1 3 3 3 6 3" xfId="39741"/>
    <cellStyle name="20 % - Accent1 3 3 3 6 4" xfId="55970"/>
    <cellStyle name="20 % - Accent1 3 3 3 7" xfId="13781"/>
    <cellStyle name="20 % - Accent1 3 3 3 7 2" xfId="49480"/>
    <cellStyle name="20 % - Accent1 3 3 3 8" xfId="20271"/>
    <cellStyle name="20 % - Accent1 3 3 3 9" xfId="33251"/>
    <cellStyle name="20 % - Accent1 3 3 4" xfId="481"/>
    <cellStyle name="20 % - Accent1 3 3 4 2" xfId="1430"/>
    <cellStyle name="20 % - Accent1 3 3 4 2 2" xfId="3097"/>
    <cellStyle name="20 % - Accent1 3 3 4 2 2 2" xfId="6342"/>
    <cellStyle name="20 % - Accent1 3 3 4 2 2 2 2" xfId="12874"/>
    <cellStyle name="20 % - Accent1 3 3 4 2 2 2 2 2" xfId="32347"/>
    <cellStyle name="20 % - Accent1 3 3 4 2 2 2 2 3" xfId="45327"/>
    <cellStyle name="20 % - Accent1 3 3 4 2 2 2 2 4" xfId="61556"/>
    <cellStyle name="20 % - Accent1 3 3 4 2 2 2 3" xfId="19367"/>
    <cellStyle name="20 % - Accent1 3 3 4 2 2 2 4" xfId="25857"/>
    <cellStyle name="20 % - Accent1 3 3 4 2 2 2 5" xfId="38837"/>
    <cellStyle name="20 % - Accent1 3 3 4 2 2 2 6" xfId="55066"/>
    <cellStyle name="20 % - Accent1 3 3 4 2 2 3" xfId="9629"/>
    <cellStyle name="20 % - Accent1 3 3 4 2 2 3 2" xfId="29102"/>
    <cellStyle name="20 % - Accent1 3 3 4 2 2 3 3" xfId="42082"/>
    <cellStyle name="20 % - Accent1 3 3 4 2 2 3 4" xfId="58311"/>
    <cellStyle name="20 % - Accent1 3 3 4 2 2 4" xfId="16122"/>
    <cellStyle name="20 % - Accent1 3 3 4 2 2 4 2" xfId="51821"/>
    <cellStyle name="20 % - Accent1 3 3 4 2 2 5" xfId="22612"/>
    <cellStyle name="20 % - Accent1 3 3 4 2 2 6" xfId="35592"/>
    <cellStyle name="20 % - Accent1 3 3 4 2 2 7" xfId="48575"/>
    <cellStyle name="20 % - Accent1 3 3 4 2 3" xfId="4719"/>
    <cellStyle name="20 % - Accent1 3 3 4 2 3 2" xfId="11251"/>
    <cellStyle name="20 % - Accent1 3 3 4 2 3 2 2" xfId="30724"/>
    <cellStyle name="20 % - Accent1 3 3 4 2 3 2 3" xfId="43704"/>
    <cellStyle name="20 % - Accent1 3 3 4 2 3 2 4" xfId="59933"/>
    <cellStyle name="20 % - Accent1 3 3 4 2 3 3" xfId="17744"/>
    <cellStyle name="20 % - Accent1 3 3 4 2 3 4" xfId="24234"/>
    <cellStyle name="20 % - Accent1 3 3 4 2 3 5" xfId="37214"/>
    <cellStyle name="20 % - Accent1 3 3 4 2 3 6" xfId="53443"/>
    <cellStyle name="20 % - Accent1 3 3 4 2 4" xfId="8006"/>
    <cellStyle name="20 % - Accent1 3 3 4 2 4 2" xfId="27479"/>
    <cellStyle name="20 % - Accent1 3 3 4 2 4 3" xfId="40459"/>
    <cellStyle name="20 % - Accent1 3 3 4 2 4 4" xfId="56688"/>
    <cellStyle name="20 % - Accent1 3 3 4 2 5" xfId="14499"/>
    <cellStyle name="20 % - Accent1 3 3 4 2 5 2" xfId="50198"/>
    <cellStyle name="20 % - Accent1 3 3 4 2 6" xfId="20989"/>
    <cellStyle name="20 % - Accent1 3 3 4 2 7" xfId="33969"/>
    <cellStyle name="20 % - Accent1 3 3 4 2 8" xfId="46952"/>
    <cellStyle name="20 % - Accent1 3 3 4 3" xfId="2149"/>
    <cellStyle name="20 % - Accent1 3 3 4 3 2" xfId="5394"/>
    <cellStyle name="20 % - Accent1 3 3 4 3 2 2" xfId="11926"/>
    <cellStyle name="20 % - Accent1 3 3 4 3 2 2 2" xfId="31399"/>
    <cellStyle name="20 % - Accent1 3 3 4 3 2 2 3" xfId="44379"/>
    <cellStyle name="20 % - Accent1 3 3 4 3 2 2 4" xfId="60608"/>
    <cellStyle name="20 % - Accent1 3 3 4 3 2 3" xfId="18419"/>
    <cellStyle name="20 % - Accent1 3 3 4 3 2 4" xfId="24909"/>
    <cellStyle name="20 % - Accent1 3 3 4 3 2 5" xfId="37889"/>
    <cellStyle name="20 % - Accent1 3 3 4 3 2 6" xfId="54118"/>
    <cellStyle name="20 % - Accent1 3 3 4 3 3" xfId="8681"/>
    <cellStyle name="20 % - Accent1 3 3 4 3 3 2" xfId="28154"/>
    <cellStyle name="20 % - Accent1 3 3 4 3 3 3" xfId="41134"/>
    <cellStyle name="20 % - Accent1 3 3 4 3 3 4" xfId="57363"/>
    <cellStyle name="20 % - Accent1 3 3 4 3 4" xfId="15174"/>
    <cellStyle name="20 % - Accent1 3 3 4 3 4 2" xfId="50873"/>
    <cellStyle name="20 % - Accent1 3 3 4 3 5" xfId="21664"/>
    <cellStyle name="20 % - Accent1 3 3 4 3 6" xfId="34644"/>
    <cellStyle name="20 % - Accent1 3 3 4 3 7" xfId="47627"/>
    <cellStyle name="20 % - Accent1 3 3 4 4" xfId="3771"/>
    <cellStyle name="20 % - Accent1 3 3 4 4 2" xfId="10303"/>
    <cellStyle name="20 % - Accent1 3 3 4 4 2 2" xfId="29776"/>
    <cellStyle name="20 % - Accent1 3 3 4 4 2 3" xfId="42756"/>
    <cellStyle name="20 % - Accent1 3 3 4 4 2 4" xfId="58985"/>
    <cellStyle name="20 % - Accent1 3 3 4 4 3" xfId="16796"/>
    <cellStyle name="20 % - Accent1 3 3 4 4 4" xfId="23286"/>
    <cellStyle name="20 % - Accent1 3 3 4 4 5" xfId="36266"/>
    <cellStyle name="20 % - Accent1 3 3 4 4 6" xfId="52495"/>
    <cellStyle name="20 % - Accent1 3 3 4 5" xfId="7058"/>
    <cellStyle name="20 % - Accent1 3 3 4 5 2" xfId="26531"/>
    <cellStyle name="20 % - Accent1 3 3 4 5 3" xfId="39511"/>
    <cellStyle name="20 % - Accent1 3 3 4 5 4" xfId="55740"/>
    <cellStyle name="20 % - Accent1 3 3 4 6" xfId="13551"/>
    <cellStyle name="20 % - Accent1 3 3 4 6 2" xfId="49250"/>
    <cellStyle name="20 % - Accent1 3 3 4 7" xfId="20041"/>
    <cellStyle name="20 % - Accent1 3 3 4 8" xfId="33021"/>
    <cellStyle name="20 % - Accent1 3 3 4 9" xfId="46004"/>
    <cellStyle name="20 % - Accent1 3 3 5" xfId="967"/>
    <cellStyle name="20 % - Accent1 3 3 5 2" xfId="2634"/>
    <cellStyle name="20 % - Accent1 3 3 5 2 2" xfId="5879"/>
    <cellStyle name="20 % - Accent1 3 3 5 2 2 2" xfId="12411"/>
    <cellStyle name="20 % - Accent1 3 3 5 2 2 2 2" xfId="31884"/>
    <cellStyle name="20 % - Accent1 3 3 5 2 2 2 3" xfId="44864"/>
    <cellStyle name="20 % - Accent1 3 3 5 2 2 2 4" xfId="61093"/>
    <cellStyle name="20 % - Accent1 3 3 5 2 2 3" xfId="18904"/>
    <cellStyle name="20 % - Accent1 3 3 5 2 2 4" xfId="25394"/>
    <cellStyle name="20 % - Accent1 3 3 5 2 2 5" xfId="38374"/>
    <cellStyle name="20 % - Accent1 3 3 5 2 2 6" xfId="54603"/>
    <cellStyle name="20 % - Accent1 3 3 5 2 3" xfId="9166"/>
    <cellStyle name="20 % - Accent1 3 3 5 2 3 2" xfId="28639"/>
    <cellStyle name="20 % - Accent1 3 3 5 2 3 3" xfId="41619"/>
    <cellStyle name="20 % - Accent1 3 3 5 2 3 4" xfId="57848"/>
    <cellStyle name="20 % - Accent1 3 3 5 2 4" xfId="15659"/>
    <cellStyle name="20 % - Accent1 3 3 5 2 4 2" xfId="51358"/>
    <cellStyle name="20 % - Accent1 3 3 5 2 5" xfId="22149"/>
    <cellStyle name="20 % - Accent1 3 3 5 2 6" xfId="35129"/>
    <cellStyle name="20 % - Accent1 3 3 5 2 7" xfId="48112"/>
    <cellStyle name="20 % - Accent1 3 3 5 3" xfId="4256"/>
    <cellStyle name="20 % - Accent1 3 3 5 3 2" xfId="10788"/>
    <cellStyle name="20 % - Accent1 3 3 5 3 2 2" xfId="30261"/>
    <cellStyle name="20 % - Accent1 3 3 5 3 2 3" xfId="43241"/>
    <cellStyle name="20 % - Accent1 3 3 5 3 2 4" xfId="59470"/>
    <cellStyle name="20 % - Accent1 3 3 5 3 3" xfId="17281"/>
    <cellStyle name="20 % - Accent1 3 3 5 3 4" xfId="23771"/>
    <cellStyle name="20 % - Accent1 3 3 5 3 5" xfId="36751"/>
    <cellStyle name="20 % - Accent1 3 3 5 3 6" xfId="52980"/>
    <cellStyle name="20 % - Accent1 3 3 5 4" xfId="7543"/>
    <cellStyle name="20 % - Accent1 3 3 5 4 2" xfId="27016"/>
    <cellStyle name="20 % - Accent1 3 3 5 4 3" xfId="39996"/>
    <cellStyle name="20 % - Accent1 3 3 5 4 4" xfId="56225"/>
    <cellStyle name="20 % - Accent1 3 3 5 5" xfId="14036"/>
    <cellStyle name="20 % - Accent1 3 3 5 5 2" xfId="49735"/>
    <cellStyle name="20 % - Accent1 3 3 5 6" xfId="20526"/>
    <cellStyle name="20 % - Accent1 3 3 5 7" xfId="33506"/>
    <cellStyle name="20 % - Accent1 3 3 5 8" xfId="46489"/>
    <cellStyle name="20 % - Accent1 3 3 6" xfId="1920"/>
    <cellStyle name="20 % - Accent1 3 3 6 2" xfId="5165"/>
    <cellStyle name="20 % - Accent1 3 3 6 2 2" xfId="11697"/>
    <cellStyle name="20 % - Accent1 3 3 6 2 2 2" xfId="31170"/>
    <cellStyle name="20 % - Accent1 3 3 6 2 2 3" xfId="44150"/>
    <cellStyle name="20 % - Accent1 3 3 6 2 2 4" xfId="60379"/>
    <cellStyle name="20 % - Accent1 3 3 6 2 3" xfId="18190"/>
    <cellStyle name="20 % - Accent1 3 3 6 2 4" xfId="24680"/>
    <cellStyle name="20 % - Accent1 3 3 6 2 5" xfId="37660"/>
    <cellStyle name="20 % - Accent1 3 3 6 2 6" xfId="53889"/>
    <cellStyle name="20 % - Accent1 3 3 6 3" xfId="8452"/>
    <cellStyle name="20 % - Accent1 3 3 6 3 2" xfId="27925"/>
    <cellStyle name="20 % - Accent1 3 3 6 3 3" xfId="40905"/>
    <cellStyle name="20 % - Accent1 3 3 6 3 4" xfId="57134"/>
    <cellStyle name="20 % - Accent1 3 3 6 4" xfId="14945"/>
    <cellStyle name="20 % - Accent1 3 3 6 4 2" xfId="50644"/>
    <cellStyle name="20 % - Accent1 3 3 6 5" xfId="21435"/>
    <cellStyle name="20 % - Accent1 3 3 6 6" xfId="34415"/>
    <cellStyle name="20 % - Accent1 3 3 6 7" xfId="47398"/>
    <cellStyle name="20 % - Accent1 3 3 7" xfId="3541"/>
    <cellStyle name="20 % - Accent1 3 3 7 2" xfId="10073"/>
    <cellStyle name="20 % - Accent1 3 3 7 2 2" xfId="29546"/>
    <cellStyle name="20 % - Accent1 3 3 7 2 3" xfId="42526"/>
    <cellStyle name="20 % - Accent1 3 3 7 2 4" xfId="58755"/>
    <cellStyle name="20 % - Accent1 3 3 7 3" xfId="16566"/>
    <cellStyle name="20 % - Accent1 3 3 7 4" xfId="23056"/>
    <cellStyle name="20 % - Accent1 3 3 7 5" xfId="36036"/>
    <cellStyle name="20 % - Accent1 3 3 7 6" xfId="52265"/>
    <cellStyle name="20 % - Accent1 3 3 8" xfId="6828"/>
    <cellStyle name="20 % - Accent1 3 3 8 2" xfId="26301"/>
    <cellStyle name="20 % - Accent1 3 3 8 3" xfId="39281"/>
    <cellStyle name="20 % - Accent1 3 3 8 4" xfId="55510"/>
    <cellStyle name="20 % - Accent1 3 3 9" xfId="13321"/>
    <cellStyle name="20 % - Accent1 3 3 9 2" xfId="49020"/>
    <cellStyle name="20 % - Accent1 3 4" xfId="203"/>
    <cellStyle name="20 % - Accent1 3 4 10" xfId="32747"/>
    <cellStyle name="20 % - Accent1 3 4 11" xfId="45730"/>
    <cellStyle name="20 % - Accent1 3 4 2" xfId="667"/>
    <cellStyle name="20 % - Accent1 3 4 2 10" xfId="46190"/>
    <cellStyle name="20 % - Accent1 3 4 2 2" xfId="1606"/>
    <cellStyle name="20 % - Accent1 3 4 2 2 2" xfId="3273"/>
    <cellStyle name="20 % - Accent1 3 4 2 2 2 2" xfId="6518"/>
    <cellStyle name="20 % - Accent1 3 4 2 2 2 2 2" xfId="13050"/>
    <cellStyle name="20 % - Accent1 3 4 2 2 2 2 2 2" xfId="32523"/>
    <cellStyle name="20 % - Accent1 3 4 2 2 2 2 2 3" xfId="45503"/>
    <cellStyle name="20 % - Accent1 3 4 2 2 2 2 2 4" xfId="61732"/>
    <cellStyle name="20 % - Accent1 3 4 2 2 2 2 3" xfId="19543"/>
    <cellStyle name="20 % - Accent1 3 4 2 2 2 2 4" xfId="26033"/>
    <cellStyle name="20 % - Accent1 3 4 2 2 2 2 5" xfId="39013"/>
    <cellStyle name="20 % - Accent1 3 4 2 2 2 2 6" xfId="55242"/>
    <cellStyle name="20 % - Accent1 3 4 2 2 2 3" xfId="9805"/>
    <cellStyle name="20 % - Accent1 3 4 2 2 2 3 2" xfId="29278"/>
    <cellStyle name="20 % - Accent1 3 4 2 2 2 3 3" xfId="42258"/>
    <cellStyle name="20 % - Accent1 3 4 2 2 2 3 4" xfId="58487"/>
    <cellStyle name="20 % - Accent1 3 4 2 2 2 4" xfId="16298"/>
    <cellStyle name="20 % - Accent1 3 4 2 2 2 4 2" xfId="51997"/>
    <cellStyle name="20 % - Accent1 3 4 2 2 2 5" xfId="22788"/>
    <cellStyle name="20 % - Accent1 3 4 2 2 2 6" xfId="35768"/>
    <cellStyle name="20 % - Accent1 3 4 2 2 2 7" xfId="48751"/>
    <cellStyle name="20 % - Accent1 3 4 2 2 3" xfId="4895"/>
    <cellStyle name="20 % - Accent1 3 4 2 2 3 2" xfId="11427"/>
    <cellStyle name="20 % - Accent1 3 4 2 2 3 2 2" xfId="30900"/>
    <cellStyle name="20 % - Accent1 3 4 2 2 3 2 3" xfId="43880"/>
    <cellStyle name="20 % - Accent1 3 4 2 2 3 2 4" xfId="60109"/>
    <cellStyle name="20 % - Accent1 3 4 2 2 3 3" xfId="17920"/>
    <cellStyle name="20 % - Accent1 3 4 2 2 3 4" xfId="24410"/>
    <cellStyle name="20 % - Accent1 3 4 2 2 3 5" xfId="37390"/>
    <cellStyle name="20 % - Accent1 3 4 2 2 3 6" xfId="53619"/>
    <cellStyle name="20 % - Accent1 3 4 2 2 4" xfId="8182"/>
    <cellStyle name="20 % - Accent1 3 4 2 2 4 2" xfId="27655"/>
    <cellStyle name="20 % - Accent1 3 4 2 2 4 3" xfId="40635"/>
    <cellStyle name="20 % - Accent1 3 4 2 2 4 4" xfId="56864"/>
    <cellStyle name="20 % - Accent1 3 4 2 2 5" xfId="14675"/>
    <cellStyle name="20 % - Accent1 3 4 2 2 5 2" xfId="50374"/>
    <cellStyle name="20 % - Accent1 3 4 2 2 6" xfId="21165"/>
    <cellStyle name="20 % - Accent1 3 4 2 2 7" xfId="34145"/>
    <cellStyle name="20 % - Accent1 3 4 2 2 8" xfId="47128"/>
    <cellStyle name="20 % - Accent1 3 4 2 3" xfId="1143"/>
    <cellStyle name="20 % - Accent1 3 4 2 3 2" xfId="2810"/>
    <cellStyle name="20 % - Accent1 3 4 2 3 2 2" xfId="6055"/>
    <cellStyle name="20 % - Accent1 3 4 2 3 2 2 2" xfId="12587"/>
    <cellStyle name="20 % - Accent1 3 4 2 3 2 2 2 2" xfId="32060"/>
    <cellStyle name="20 % - Accent1 3 4 2 3 2 2 2 3" xfId="45040"/>
    <cellStyle name="20 % - Accent1 3 4 2 3 2 2 2 4" xfId="61269"/>
    <cellStyle name="20 % - Accent1 3 4 2 3 2 2 3" xfId="19080"/>
    <cellStyle name="20 % - Accent1 3 4 2 3 2 2 4" xfId="25570"/>
    <cellStyle name="20 % - Accent1 3 4 2 3 2 2 5" xfId="38550"/>
    <cellStyle name="20 % - Accent1 3 4 2 3 2 2 6" xfId="54779"/>
    <cellStyle name="20 % - Accent1 3 4 2 3 2 3" xfId="9342"/>
    <cellStyle name="20 % - Accent1 3 4 2 3 2 3 2" xfId="28815"/>
    <cellStyle name="20 % - Accent1 3 4 2 3 2 3 3" xfId="41795"/>
    <cellStyle name="20 % - Accent1 3 4 2 3 2 3 4" xfId="58024"/>
    <cellStyle name="20 % - Accent1 3 4 2 3 2 4" xfId="15835"/>
    <cellStyle name="20 % - Accent1 3 4 2 3 2 4 2" xfId="51534"/>
    <cellStyle name="20 % - Accent1 3 4 2 3 2 5" xfId="22325"/>
    <cellStyle name="20 % - Accent1 3 4 2 3 2 6" xfId="35305"/>
    <cellStyle name="20 % - Accent1 3 4 2 3 2 7" xfId="48288"/>
    <cellStyle name="20 % - Accent1 3 4 2 3 3" xfId="4432"/>
    <cellStyle name="20 % - Accent1 3 4 2 3 3 2" xfId="10964"/>
    <cellStyle name="20 % - Accent1 3 4 2 3 3 2 2" xfId="30437"/>
    <cellStyle name="20 % - Accent1 3 4 2 3 3 2 3" xfId="43417"/>
    <cellStyle name="20 % - Accent1 3 4 2 3 3 2 4" xfId="59646"/>
    <cellStyle name="20 % - Accent1 3 4 2 3 3 3" xfId="17457"/>
    <cellStyle name="20 % - Accent1 3 4 2 3 3 4" xfId="23947"/>
    <cellStyle name="20 % - Accent1 3 4 2 3 3 5" xfId="36927"/>
    <cellStyle name="20 % - Accent1 3 4 2 3 3 6" xfId="53156"/>
    <cellStyle name="20 % - Accent1 3 4 2 3 4" xfId="7719"/>
    <cellStyle name="20 % - Accent1 3 4 2 3 4 2" xfId="27192"/>
    <cellStyle name="20 % - Accent1 3 4 2 3 4 3" xfId="40172"/>
    <cellStyle name="20 % - Accent1 3 4 2 3 4 4" xfId="56401"/>
    <cellStyle name="20 % - Accent1 3 4 2 3 5" xfId="14212"/>
    <cellStyle name="20 % - Accent1 3 4 2 3 5 2" xfId="49911"/>
    <cellStyle name="20 % - Accent1 3 4 2 3 6" xfId="20702"/>
    <cellStyle name="20 % - Accent1 3 4 2 3 7" xfId="33682"/>
    <cellStyle name="20 % - Accent1 3 4 2 3 8" xfId="46665"/>
    <cellStyle name="20 % - Accent1 3 4 2 4" xfId="2335"/>
    <cellStyle name="20 % - Accent1 3 4 2 4 2" xfId="5580"/>
    <cellStyle name="20 % - Accent1 3 4 2 4 2 2" xfId="12112"/>
    <cellStyle name="20 % - Accent1 3 4 2 4 2 2 2" xfId="31585"/>
    <cellStyle name="20 % - Accent1 3 4 2 4 2 2 3" xfId="44565"/>
    <cellStyle name="20 % - Accent1 3 4 2 4 2 2 4" xfId="60794"/>
    <cellStyle name="20 % - Accent1 3 4 2 4 2 3" xfId="18605"/>
    <cellStyle name="20 % - Accent1 3 4 2 4 2 4" xfId="25095"/>
    <cellStyle name="20 % - Accent1 3 4 2 4 2 5" xfId="38075"/>
    <cellStyle name="20 % - Accent1 3 4 2 4 2 6" xfId="54304"/>
    <cellStyle name="20 % - Accent1 3 4 2 4 3" xfId="8867"/>
    <cellStyle name="20 % - Accent1 3 4 2 4 3 2" xfId="28340"/>
    <cellStyle name="20 % - Accent1 3 4 2 4 3 3" xfId="41320"/>
    <cellStyle name="20 % - Accent1 3 4 2 4 3 4" xfId="57549"/>
    <cellStyle name="20 % - Accent1 3 4 2 4 4" xfId="15360"/>
    <cellStyle name="20 % - Accent1 3 4 2 4 4 2" xfId="51059"/>
    <cellStyle name="20 % - Accent1 3 4 2 4 5" xfId="21850"/>
    <cellStyle name="20 % - Accent1 3 4 2 4 6" xfId="34830"/>
    <cellStyle name="20 % - Accent1 3 4 2 4 7" xfId="47813"/>
    <cellStyle name="20 % - Accent1 3 4 2 5" xfId="3957"/>
    <cellStyle name="20 % - Accent1 3 4 2 5 2" xfId="10489"/>
    <cellStyle name="20 % - Accent1 3 4 2 5 2 2" xfId="29962"/>
    <cellStyle name="20 % - Accent1 3 4 2 5 2 3" xfId="42942"/>
    <cellStyle name="20 % - Accent1 3 4 2 5 2 4" xfId="59171"/>
    <cellStyle name="20 % - Accent1 3 4 2 5 3" xfId="16982"/>
    <cellStyle name="20 % - Accent1 3 4 2 5 4" xfId="23472"/>
    <cellStyle name="20 % - Accent1 3 4 2 5 5" xfId="36452"/>
    <cellStyle name="20 % - Accent1 3 4 2 5 6" xfId="52681"/>
    <cellStyle name="20 % - Accent1 3 4 2 6" xfId="7244"/>
    <cellStyle name="20 % - Accent1 3 4 2 6 2" xfId="26717"/>
    <cellStyle name="20 % - Accent1 3 4 2 6 3" xfId="39697"/>
    <cellStyle name="20 % - Accent1 3 4 2 6 4" xfId="55926"/>
    <cellStyle name="20 % - Accent1 3 4 2 7" xfId="13737"/>
    <cellStyle name="20 % - Accent1 3 4 2 7 2" xfId="49436"/>
    <cellStyle name="20 % - Accent1 3 4 2 8" xfId="20227"/>
    <cellStyle name="20 % - Accent1 3 4 2 9" xfId="33207"/>
    <cellStyle name="20 % - Accent1 3 4 3" xfId="437"/>
    <cellStyle name="20 % - Accent1 3 4 3 2" xfId="1386"/>
    <cellStyle name="20 % - Accent1 3 4 3 2 2" xfId="3053"/>
    <cellStyle name="20 % - Accent1 3 4 3 2 2 2" xfId="6298"/>
    <cellStyle name="20 % - Accent1 3 4 3 2 2 2 2" xfId="12830"/>
    <cellStyle name="20 % - Accent1 3 4 3 2 2 2 2 2" xfId="32303"/>
    <cellStyle name="20 % - Accent1 3 4 3 2 2 2 2 3" xfId="45283"/>
    <cellStyle name="20 % - Accent1 3 4 3 2 2 2 2 4" xfId="61512"/>
    <cellStyle name="20 % - Accent1 3 4 3 2 2 2 3" xfId="19323"/>
    <cellStyle name="20 % - Accent1 3 4 3 2 2 2 4" xfId="25813"/>
    <cellStyle name="20 % - Accent1 3 4 3 2 2 2 5" xfId="38793"/>
    <cellStyle name="20 % - Accent1 3 4 3 2 2 2 6" xfId="55022"/>
    <cellStyle name="20 % - Accent1 3 4 3 2 2 3" xfId="9585"/>
    <cellStyle name="20 % - Accent1 3 4 3 2 2 3 2" xfId="29058"/>
    <cellStyle name="20 % - Accent1 3 4 3 2 2 3 3" xfId="42038"/>
    <cellStyle name="20 % - Accent1 3 4 3 2 2 3 4" xfId="58267"/>
    <cellStyle name="20 % - Accent1 3 4 3 2 2 4" xfId="16078"/>
    <cellStyle name="20 % - Accent1 3 4 3 2 2 4 2" xfId="51777"/>
    <cellStyle name="20 % - Accent1 3 4 3 2 2 5" xfId="22568"/>
    <cellStyle name="20 % - Accent1 3 4 3 2 2 6" xfId="35548"/>
    <cellStyle name="20 % - Accent1 3 4 3 2 2 7" xfId="48531"/>
    <cellStyle name="20 % - Accent1 3 4 3 2 3" xfId="4675"/>
    <cellStyle name="20 % - Accent1 3 4 3 2 3 2" xfId="11207"/>
    <cellStyle name="20 % - Accent1 3 4 3 2 3 2 2" xfId="30680"/>
    <cellStyle name="20 % - Accent1 3 4 3 2 3 2 3" xfId="43660"/>
    <cellStyle name="20 % - Accent1 3 4 3 2 3 2 4" xfId="59889"/>
    <cellStyle name="20 % - Accent1 3 4 3 2 3 3" xfId="17700"/>
    <cellStyle name="20 % - Accent1 3 4 3 2 3 4" xfId="24190"/>
    <cellStyle name="20 % - Accent1 3 4 3 2 3 5" xfId="37170"/>
    <cellStyle name="20 % - Accent1 3 4 3 2 3 6" xfId="53399"/>
    <cellStyle name="20 % - Accent1 3 4 3 2 4" xfId="7962"/>
    <cellStyle name="20 % - Accent1 3 4 3 2 4 2" xfId="27435"/>
    <cellStyle name="20 % - Accent1 3 4 3 2 4 3" xfId="40415"/>
    <cellStyle name="20 % - Accent1 3 4 3 2 4 4" xfId="56644"/>
    <cellStyle name="20 % - Accent1 3 4 3 2 5" xfId="14455"/>
    <cellStyle name="20 % - Accent1 3 4 3 2 5 2" xfId="50154"/>
    <cellStyle name="20 % - Accent1 3 4 3 2 6" xfId="20945"/>
    <cellStyle name="20 % - Accent1 3 4 3 2 7" xfId="33925"/>
    <cellStyle name="20 % - Accent1 3 4 3 2 8" xfId="46908"/>
    <cellStyle name="20 % - Accent1 3 4 3 3" xfId="2105"/>
    <cellStyle name="20 % - Accent1 3 4 3 3 2" xfId="5350"/>
    <cellStyle name="20 % - Accent1 3 4 3 3 2 2" xfId="11882"/>
    <cellStyle name="20 % - Accent1 3 4 3 3 2 2 2" xfId="31355"/>
    <cellStyle name="20 % - Accent1 3 4 3 3 2 2 3" xfId="44335"/>
    <cellStyle name="20 % - Accent1 3 4 3 3 2 2 4" xfId="60564"/>
    <cellStyle name="20 % - Accent1 3 4 3 3 2 3" xfId="18375"/>
    <cellStyle name="20 % - Accent1 3 4 3 3 2 4" xfId="24865"/>
    <cellStyle name="20 % - Accent1 3 4 3 3 2 5" xfId="37845"/>
    <cellStyle name="20 % - Accent1 3 4 3 3 2 6" xfId="54074"/>
    <cellStyle name="20 % - Accent1 3 4 3 3 3" xfId="8637"/>
    <cellStyle name="20 % - Accent1 3 4 3 3 3 2" xfId="28110"/>
    <cellStyle name="20 % - Accent1 3 4 3 3 3 3" xfId="41090"/>
    <cellStyle name="20 % - Accent1 3 4 3 3 3 4" xfId="57319"/>
    <cellStyle name="20 % - Accent1 3 4 3 3 4" xfId="15130"/>
    <cellStyle name="20 % - Accent1 3 4 3 3 4 2" xfId="50829"/>
    <cellStyle name="20 % - Accent1 3 4 3 3 5" xfId="21620"/>
    <cellStyle name="20 % - Accent1 3 4 3 3 6" xfId="34600"/>
    <cellStyle name="20 % - Accent1 3 4 3 3 7" xfId="47583"/>
    <cellStyle name="20 % - Accent1 3 4 3 4" xfId="3727"/>
    <cellStyle name="20 % - Accent1 3 4 3 4 2" xfId="10259"/>
    <cellStyle name="20 % - Accent1 3 4 3 4 2 2" xfId="29732"/>
    <cellStyle name="20 % - Accent1 3 4 3 4 2 3" xfId="42712"/>
    <cellStyle name="20 % - Accent1 3 4 3 4 2 4" xfId="58941"/>
    <cellStyle name="20 % - Accent1 3 4 3 4 3" xfId="16752"/>
    <cellStyle name="20 % - Accent1 3 4 3 4 4" xfId="23242"/>
    <cellStyle name="20 % - Accent1 3 4 3 4 5" xfId="36222"/>
    <cellStyle name="20 % - Accent1 3 4 3 4 6" xfId="52451"/>
    <cellStyle name="20 % - Accent1 3 4 3 5" xfId="7014"/>
    <cellStyle name="20 % - Accent1 3 4 3 5 2" xfId="26487"/>
    <cellStyle name="20 % - Accent1 3 4 3 5 3" xfId="39467"/>
    <cellStyle name="20 % - Accent1 3 4 3 5 4" xfId="55696"/>
    <cellStyle name="20 % - Accent1 3 4 3 6" xfId="13507"/>
    <cellStyle name="20 % - Accent1 3 4 3 6 2" xfId="49206"/>
    <cellStyle name="20 % - Accent1 3 4 3 7" xfId="19997"/>
    <cellStyle name="20 % - Accent1 3 4 3 8" xfId="32977"/>
    <cellStyle name="20 % - Accent1 3 4 3 9" xfId="45960"/>
    <cellStyle name="20 % - Accent1 3 4 4" xfId="923"/>
    <cellStyle name="20 % - Accent1 3 4 4 2" xfId="2590"/>
    <cellStyle name="20 % - Accent1 3 4 4 2 2" xfId="5835"/>
    <cellStyle name="20 % - Accent1 3 4 4 2 2 2" xfId="12367"/>
    <cellStyle name="20 % - Accent1 3 4 4 2 2 2 2" xfId="31840"/>
    <cellStyle name="20 % - Accent1 3 4 4 2 2 2 3" xfId="44820"/>
    <cellStyle name="20 % - Accent1 3 4 4 2 2 2 4" xfId="61049"/>
    <cellStyle name="20 % - Accent1 3 4 4 2 2 3" xfId="18860"/>
    <cellStyle name="20 % - Accent1 3 4 4 2 2 4" xfId="25350"/>
    <cellStyle name="20 % - Accent1 3 4 4 2 2 5" xfId="38330"/>
    <cellStyle name="20 % - Accent1 3 4 4 2 2 6" xfId="54559"/>
    <cellStyle name="20 % - Accent1 3 4 4 2 3" xfId="9122"/>
    <cellStyle name="20 % - Accent1 3 4 4 2 3 2" xfId="28595"/>
    <cellStyle name="20 % - Accent1 3 4 4 2 3 3" xfId="41575"/>
    <cellStyle name="20 % - Accent1 3 4 4 2 3 4" xfId="57804"/>
    <cellStyle name="20 % - Accent1 3 4 4 2 4" xfId="15615"/>
    <cellStyle name="20 % - Accent1 3 4 4 2 4 2" xfId="51314"/>
    <cellStyle name="20 % - Accent1 3 4 4 2 5" xfId="22105"/>
    <cellStyle name="20 % - Accent1 3 4 4 2 6" xfId="35085"/>
    <cellStyle name="20 % - Accent1 3 4 4 2 7" xfId="48068"/>
    <cellStyle name="20 % - Accent1 3 4 4 3" xfId="4212"/>
    <cellStyle name="20 % - Accent1 3 4 4 3 2" xfId="10744"/>
    <cellStyle name="20 % - Accent1 3 4 4 3 2 2" xfId="30217"/>
    <cellStyle name="20 % - Accent1 3 4 4 3 2 3" xfId="43197"/>
    <cellStyle name="20 % - Accent1 3 4 4 3 2 4" xfId="59426"/>
    <cellStyle name="20 % - Accent1 3 4 4 3 3" xfId="17237"/>
    <cellStyle name="20 % - Accent1 3 4 4 3 4" xfId="23727"/>
    <cellStyle name="20 % - Accent1 3 4 4 3 5" xfId="36707"/>
    <cellStyle name="20 % - Accent1 3 4 4 3 6" xfId="52936"/>
    <cellStyle name="20 % - Accent1 3 4 4 4" xfId="7499"/>
    <cellStyle name="20 % - Accent1 3 4 4 4 2" xfId="26972"/>
    <cellStyle name="20 % - Accent1 3 4 4 4 3" xfId="39952"/>
    <cellStyle name="20 % - Accent1 3 4 4 4 4" xfId="56181"/>
    <cellStyle name="20 % - Accent1 3 4 4 5" xfId="13992"/>
    <cellStyle name="20 % - Accent1 3 4 4 5 2" xfId="49691"/>
    <cellStyle name="20 % - Accent1 3 4 4 6" xfId="20482"/>
    <cellStyle name="20 % - Accent1 3 4 4 7" xfId="33462"/>
    <cellStyle name="20 % - Accent1 3 4 4 8" xfId="46445"/>
    <cellStyle name="20 % - Accent1 3 4 5" xfId="1876"/>
    <cellStyle name="20 % - Accent1 3 4 5 2" xfId="5121"/>
    <cellStyle name="20 % - Accent1 3 4 5 2 2" xfId="11653"/>
    <cellStyle name="20 % - Accent1 3 4 5 2 2 2" xfId="31126"/>
    <cellStyle name="20 % - Accent1 3 4 5 2 2 3" xfId="44106"/>
    <cellStyle name="20 % - Accent1 3 4 5 2 2 4" xfId="60335"/>
    <cellStyle name="20 % - Accent1 3 4 5 2 3" xfId="18146"/>
    <cellStyle name="20 % - Accent1 3 4 5 2 4" xfId="24636"/>
    <cellStyle name="20 % - Accent1 3 4 5 2 5" xfId="37616"/>
    <cellStyle name="20 % - Accent1 3 4 5 2 6" xfId="53845"/>
    <cellStyle name="20 % - Accent1 3 4 5 3" xfId="8408"/>
    <cellStyle name="20 % - Accent1 3 4 5 3 2" xfId="27881"/>
    <cellStyle name="20 % - Accent1 3 4 5 3 3" xfId="40861"/>
    <cellStyle name="20 % - Accent1 3 4 5 3 4" xfId="57090"/>
    <cellStyle name="20 % - Accent1 3 4 5 4" xfId="14901"/>
    <cellStyle name="20 % - Accent1 3 4 5 4 2" xfId="50600"/>
    <cellStyle name="20 % - Accent1 3 4 5 5" xfId="21391"/>
    <cellStyle name="20 % - Accent1 3 4 5 6" xfId="34371"/>
    <cellStyle name="20 % - Accent1 3 4 5 7" xfId="47354"/>
    <cellStyle name="20 % - Accent1 3 4 6" xfId="3497"/>
    <cellStyle name="20 % - Accent1 3 4 6 2" xfId="10029"/>
    <cellStyle name="20 % - Accent1 3 4 6 2 2" xfId="29502"/>
    <cellStyle name="20 % - Accent1 3 4 6 2 3" xfId="42482"/>
    <cellStyle name="20 % - Accent1 3 4 6 2 4" xfId="58711"/>
    <cellStyle name="20 % - Accent1 3 4 6 3" xfId="16522"/>
    <cellStyle name="20 % - Accent1 3 4 6 4" xfId="23012"/>
    <cellStyle name="20 % - Accent1 3 4 6 5" xfId="35992"/>
    <cellStyle name="20 % - Accent1 3 4 6 6" xfId="52221"/>
    <cellStyle name="20 % - Accent1 3 4 7" xfId="6784"/>
    <cellStyle name="20 % - Accent1 3 4 7 2" xfId="26257"/>
    <cellStyle name="20 % - Accent1 3 4 7 3" xfId="39237"/>
    <cellStyle name="20 % - Accent1 3 4 7 4" xfId="55466"/>
    <cellStyle name="20 % - Accent1 3 4 8" xfId="13277"/>
    <cellStyle name="20 % - Accent1 3 4 8 2" xfId="48976"/>
    <cellStyle name="20 % - Accent1 3 4 9" xfId="19767"/>
    <cellStyle name="20 % - Accent1 3 5" xfId="291"/>
    <cellStyle name="20 % - Accent1 3 5 10" xfId="32835"/>
    <cellStyle name="20 % - Accent1 3 5 11" xfId="45818"/>
    <cellStyle name="20 % - Accent1 3 5 2" xfId="755"/>
    <cellStyle name="20 % - Accent1 3 5 2 10" xfId="46278"/>
    <cellStyle name="20 % - Accent1 3 5 2 2" xfId="1694"/>
    <cellStyle name="20 % - Accent1 3 5 2 2 2" xfId="3361"/>
    <cellStyle name="20 % - Accent1 3 5 2 2 2 2" xfId="6606"/>
    <cellStyle name="20 % - Accent1 3 5 2 2 2 2 2" xfId="13138"/>
    <cellStyle name="20 % - Accent1 3 5 2 2 2 2 2 2" xfId="32611"/>
    <cellStyle name="20 % - Accent1 3 5 2 2 2 2 2 3" xfId="45591"/>
    <cellStyle name="20 % - Accent1 3 5 2 2 2 2 2 4" xfId="61820"/>
    <cellStyle name="20 % - Accent1 3 5 2 2 2 2 3" xfId="19631"/>
    <cellStyle name="20 % - Accent1 3 5 2 2 2 2 4" xfId="26121"/>
    <cellStyle name="20 % - Accent1 3 5 2 2 2 2 5" xfId="39101"/>
    <cellStyle name="20 % - Accent1 3 5 2 2 2 2 6" xfId="55330"/>
    <cellStyle name="20 % - Accent1 3 5 2 2 2 3" xfId="9893"/>
    <cellStyle name="20 % - Accent1 3 5 2 2 2 3 2" xfId="29366"/>
    <cellStyle name="20 % - Accent1 3 5 2 2 2 3 3" xfId="42346"/>
    <cellStyle name="20 % - Accent1 3 5 2 2 2 3 4" xfId="58575"/>
    <cellStyle name="20 % - Accent1 3 5 2 2 2 4" xfId="16386"/>
    <cellStyle name="20 % - Accent1 3 5 2 2 2 4 2" xfId="52085"/>
    <cellStyle name="20 % - Accent1 3 5 2 2 2 5" xfId="22876"/>
    <cellStyle name="20 % - Accent1 3 5 2 2 2 6" xfId="35856"/>
    <cellStyle name="20 % - Accent1 3 5 2 2 2 7" xfId="48839"/>
    <cellStyle name="20 % - Accent1 3 5 2 2 3" xfId="4983"/>
    <cellStyle name="20 % - Accent1 3 5 2 2 3 2" xfId="11515"/>
    <cellStyle name="20 % - Accent1 3 5 2 2 3 2 2" xfId="30988"/>
    <cellStyle name="20 % - Accent1 3 5 2 2 3 2 3" xfId="43968"/>
    <cellStyle name="20 % - Accent1 3 5 2 2 3 2 4" xfId="60197"/>
    <cellStyle name="20 % - Accent1 3 5 2 2 3 3" xfId="18008"/>
    <cellStyle name="20 % - Accent1 3 5 2 2 3 4" xfId="24498"/>
    <cellStyle name="20 % - Accent1 3 5 2 2 3 5" xfId="37478"/>
    <cellStyle name="20 % - Accent1 3 5 2 2 3 6" xfId="53707"/>
    <cellStyle name="20 % - Accent1 3 5 2 2 4" xfId="8270"/>
    <cellStyle name="20 % - Accent1 3 5 2 2 4 2" xfId="27743"/>
    <cellStyle name="20 % - Accent1 3 5 2 2 4 3" xfId="40723"/>
    <cellStyle name="20 % - Accent1 3 5 2 2 4 4" xfId="56952"/>
    <cellStyle name="20 % - Accent1 3 5 2 2 5" xfId="14763"/>
    <cellStyle name="20 % - Accent1 3 5 2 2 5 2" xfId="50462"/>
    <cellStyle name="20 % - Accent1 3 5 2 2 6" xfId="21253"/>
    <cellStyle name="20 % - Accent1 3 5 2 2 7" xfId="34233"/>
    <cellStyle name="20 % - Accent1 3 5 2 2 8" xfId="47216"/>
    <cellStyle name="20 % - Accent1 3 5 2 3" xfId="1231"/>
    <cellStyle name="20 % - Accent1 3 5 2 3 2" xfId="2898"/>
    <cellStyle name="20 % - Accent1 3 5 2 3 2 2" xfId="6143"/>
    <cellStyle name="20 % - Accent1 3 5 2 3 2 2 2" xfId="12675"/>
    <cellStyle name="20 % - Accent1 3 5 2 3 2 2 2 2" xfId="32148"/>
    <cellStyle name="20 % - Accent1 3 5 2 3 2 2 2 3" xfId="45128"/>
    <cellStyle name="20 % - Accent1 3 5 2 3 2 2 2 4" xfId="61357"/>
    <cellStyle name="20 % - Accent1 3 5 2 3 2 2 3" xfId="19168"/>
    <cellStyle name="20 % - Accent1 3 5 2 3 2 2 4" xfId="25658"/>
    <cellStyle name="20 % - Accent1 3 5 2 3 2 2 5" xfId="38638"/>
    <cellStyle name="20 % - Accent1 3 5 2 3 2 2 6" xfId="54867"/>
    <cellStyle name="20 % - Accent1 3 5 2 3 2 3" xfId="9430"/>
    <cellStyle name="20 % - Accent1 3 5 2 3 2 3 2" xfId="28903"/>
    <cellStyle name="20 % - Accent1 3 5 2 3 2 3 3" xfId="41883"/>
    <cellStyle name="20 % - Accent1 3 5 2 3 2 3 4" xfId="58112"/>
    <cellStyle name="20 % - Accent1 3 5 2 3 2 4" xfId="15923"/>
    <cellStyle name="20 % - Accent1 3 5 2 3 2 4 2" xfId="51622"/>
    <cellStyle name="20 % - Accent1 3 5 2 3 2 5" xfId="22413"/>
    <cellStyle name="20 % - Accent1 3 5 2 3 2 6" xfId="35393"/>
    <cellStyle name="20 % - Accent1 3 5 2 3 2 7" xfId="48376"/>
    <cellStyle name="20 % - Accent1 3 5 2 3 3" xfId="4520"/>
    <cellStyle name="20 % - Accent1 3 5 2 3 3 2" xfId="11052"/>
    <cellStyle name="20 % - Accent1 3 5 2 3 3 2 2" xfId="30525"/>
    <cellStyle name="20 % - Accent1 3 5 2 3 3 2 3" xfId="43505"/>
    <cellStyle name="20 % - Accent1 3 5 2 3 3 2 4" xfId="59734"/>
    <cellStyle name="20 % - Accent1 3 5 2 3 3 3" xfId="17545"/>
    <cellStyle name="20 % - Accent1 3 5 2 3 3 4" xfId="24035"/>
    <cellStyle name="20 % - Accent1 3 5 2 3 3 5" xfId="37015"/>
    <cellStyle name="20 % - Accent1 3 5 2 3 3 6" xfId="53244"/>
    <cellStyle name="20 % - Accent1 3 5 2 3 4" xfId="7807"/>
    <cellStyle name="20 % - Accent1 3 5 2 3 4 2" xfId="27280"/>
    <cellStyle name="20 % - Accent1 3 5 2 3 4 3" xfId="40260"/>
    <cellStyle name="20 % - Accent1 3 5 2 3 4 4" xfId="56489"/>
    <cellStyle name="20 % - Accent1 3 5 2 3 5" xfId="14300"/>
    <cellStyle name="20 % - Accent1 3 5 2 3 5 2" xfId="49999"/>
    <cellStyle name="20 % - Accent1 3 5 2 3 6" xfId="20790"/>
    <cellStyle name="20 % - Accent1 3 5 2 3 7" xfId="33770"/>
    <cellStyle name="20 % - Accent1 3 5 2 3 8" xfId="46753"/>
    <cellStyle name="20 % - Accent1 3 5 2 4" xfId="2423"/>
    <cellStyle name="20 % - Accent1 3 5 2 4 2" xfId="5668"/>
    <cellStyle name="20 % - Accent1 3 5 2 4 2 2" xfId="12200"/>
    <cellStyle name="20 % - Accent1 3 5 2 4 2 2 2" xfId="31673"/>
    <cellStyle name="20 % - Accent1 3 5 2 4 2 2 3" xfId="44653"/>
    <cellStyle name="20 % - Accent1 3 5 2 4 2 2 4" xfId="60882"/>
    <cellStyle name="20 % - Accent1 3 5 2 4 2 3" xfId="18693"/>
    <cellStyle name="20 % - Accent1 3 5 2 4 2 4" xfId="25183"/>
    <cellStyle name="20 % - Accent1 3 5 2 4 2 5" xfId="38163"/>
    <cellStyle name="20 % - Accent1 3 5 2 4 2 6" xfId="54392"/>
    <cellStyle name="20 % - Accent1 3 5 2 4 3" xfId="8955"/>
    <cellStyle name="20 % - Accent1 3 5 2 4 3 2" xfId="28428"/>
    <cellStyle name="20 % - Accent1 3 5 2 4 3 3" xfId="41408"/>
    <cellStyle name="20 % - Accent1 3 5 2 4 3 4" xfId="57637"/>
    <cellStyle name="20 % - Accent1 3 5 2 4 4" xfId="15448"/>
    <cellStyle name="20 % - Accent1 3 5 2 4 4 2" xfId="51147"/>
    <cellStyle name="20 % - Accent1 3 5 2 4 5" xfId="21938"/>
    <cellStyle name="20 % - Accent1 3 5 2 4 6" xfId="34918"/>
    <cellStyle name="20 % - Accent1 3 5 2 4 7" xfId="47901"/>
    <cellStyle name="20 % - Accent1 3 5 2 5" xfId="4045"/>
    <cellStyle name="20 % - Accent1 3 5 2 5 2" xfId="10577"/>
    <cellStyle name="20 % - Accent1 3 5 2 5 2 2" xfId="30050"/>
    <cellStyle name="20 % - Accent1 3 5 2 5 2 3" xfId="43030"/>
    <cellStyle name="20 % - Accent1 3 5 2 5 2 4" xfId="59259"/>
    <cellStyle name="20 % - Accent1 3 5 2 5 3" xfId="17070"/>
    <cellStyle name="20 % - Accent1 3 5 2 5 4" xfId="23560"/>
    <cellStyle name="20 % - Accent1 3 5 2 5 5" xfId="36540"/>
    <cellStyle name="20 % - Accent1 3 5 2 5 6" xfId="52769"/>
    <cellStyle name="20 % - Accent1 3 5 2 6" xfId="7332"/>
    <cellStyle name="20 % - Accent1 3 5 2 6 2" xfId="26805"/>
    <cellStyle name="20 % - Accent1 3 5 2 6 3" xfId="39785"/>
    <cellStyle name="20 % - Accent1 3 5 2 6 4" xfId="56014"/>
    <cellStyle name="20 % - Accent1 3 5 2 7" xfId="13825"/>
    <cellStyle name="20 % - Accent1 3 5 2 7 2" xfId="49524"/>
    <cellStyle name="20 % - Accent1 3 5 2 8" xfId="20315"/>
    <cellStyle name="20 % - Accent1 3 5 2 9" xfId="33295"/>
    <cellStyle name="20 % - Accent1 3 5 3" xfId="525"/>
    <cellStyle name="20 % - Accent1 3 5 3 2" xfId="1474"/>
    <cellStyle name="20 % - Accent1 3 5 3 2 2" xfId="3141"/>
    <cellStyle name="20 % - Accent1 3 5 3 2 2 2" xfId="6386"/>
    <cellStyle name="20 % - Accent1 3 5 3 2 2 2 2" xfId="12918"/>
    <cellStyle name="20 % - Accent1 3 5 3 2 2 2 2 2" xfId="32391"/>
    <cellStyle name="20 % - Accent1 3 5 3 2 2 2 2 3" xfId="45371"/>
    <cellStyle name="20 % - Accent1 3 5 3 2 2 2 2 4" xfId="61600"/>
    <cellStyle name="20 % - Accent1 3 5 3 2 2 2 3" xfId="19411"/>
    <cellStyle name="20 % - Accent1 3 5 3 2 2 2 4" xfId="25901"/>
    <cellStyle name="20 % - Accent1 3 5 3 2 2 2 5" xfId="38881"/>
    <cellStyle name="20 % - Accent1 3 5 3 2 2 2 6" xfId="55110"/>
    <cellStyle name="20 % - Accent1 3 5 3 2 2 3" xfId="9673"/>
    <cellStyle name="20 % - Accent1 3 5 3 2 2 3 2" xfId="29146"/>
    <cellStyle name="20 % - Accent1 3 5 3 2 2 3 3" xfId="42126"/>
    <cellStyle name="20 % - Accent1 3 5 3 2 2 3 4" xfId="58355"/>
    <cellStyle name="20 % - Accent1 3 5 3 2 2 4" xfId="16166"/>
    <cellStyle name="20 % - Accent1 3 5 3 2 2 4 2" xfId="51865"/>
    <cellStyle name="20 % - Accent1 3 5 3 2 2 5" xfId="22656"/>
    <cellStyle name="20 % - Accent1 3 5 3 2 2 6" xfId="35636"/>
    <cellStyle name="20 % - Accent1 3 5 3 2 2 7" xfId="48619"/>
    <cellStyle name="20 % - Accent1 3 5 3 2 3" xfId="4763"/>
    <cellStyle name="20 % - Accent1 3 5 3 2 3 2" xfId="11295"/>
    <cellStyle name="20 % - Accent1 3 5 3 2 3 2 2" xfId="30768"/>
    <cellStyle name="20 % - Accent1 3 5 3 2 3 2 3" xfId="43748"/>
    <cellStyle name="20 % - Accent1 3 5 3 2 3 2 4" xfId="59977"/>
    <cellStyle name="20 % - Accent1 3 5 3 2 3 3" xfId="17788"/>
    <cellStyle name="20 % - Accent1 3 5 3 2 3 4" xfId="24278"/>
    <cellStyle name="20 % - Accent1 3 5 3 2 3 5" xfId="37258"/>
    <cellStyle name="20 % - Accent1 3 5 3 2 3 6" xfId="53487"/>
    <cellStyle name="20 % - Accent1 3 5 3 2 4" xfId="8050"/>
    <cellStyle name="20 % - Accent1 3 5 3 2 4 2" xfId="27523"/>
    <cellStyle name="20 % - Accent1 3 5 3 2 4 3" xfId="40503"/>
    <cellStyle name="20 % - Accent1 3 5 3 2 4 4" xfId="56732"/>
    <cellStyle name="20 % - Accent1 3 5 3 2 5" xfId="14543"/>
    <cellStyle name="20 % - Accent1 3 5 3 2 5 2" xfId="50242"/>
    <cellStyle name="20 % - Accent1 3 5 3 2 6" xfId="21033"/>
    <cellStyle name="20 % - Accent1 3 5 3 2 7" xfId="34013"/>
    <cellStyle name="20 % - Accent1 3 5 3 2 8" xfId="46996"/>
    <cellStyle name="20 % - Accent1 3 5 3 3" xfId="2193"/>
    <cellStyle name="20 % - Accent1 3 5 3 3 2" xfId="5438"/>
    <cellStyle name="20 % - Accent1 3 5 3 3 2 2" xfId="11970"/>
    <cellStyle name="20 % - Accent1 3 5 3 3 2 2 2" xfId="31443"/>
    <cellStyle name="20 % - Accent1 3 5 3 3 2 2 3" xfId="44423"/>
    <cellStyle name="20 % - Accent1 3 5 3 3 2 2 4" xfId="60652"/>
    <cellStyle name="20 % - Accent1 3 5 3 3 2 3" xfId="18463"/>
    <cellStyle name="20 % - Accent1 3 5 3 3 2 4" xfId="24953"/>
    <cellStyle name="20 % - Accent1 3 5 3 3 2 5" xfId="37933"/>
    <cellStyle name="20 % - Accent1 3 5 3 3 2 6" xfId="54162"/>
    <cellStyle name="20 % - Accent1 3 5 3 3 3" xfId="8725"/>
    <cellStyle name="20 % - Accent1 3 5 3 3 3 2" xfId="28198"/>
    <cellStyle name="20 % - Accent1 3 5 3 3 3 3" xfId="41178"/>
    <cellStyle name="20 % - Accent1 3 5 3 3 3 4" xfId="57407"/>
    <cellStyle name="20 % - Accent1 3 5 3 3 4" xfId="15218"/>
    <cellStyle name="20 % - Accent1 3 5 3 3 4 2" xfId="50917"/>
    <cellStyle name="20 % - Accent1 3 5 3 3 5" xfId="21708"/>
    <cellStyle name="20 % - Accent1 3 5 3 3 6" xfId="34688"/>
    <cellStyle name="20 % - Accent1 3 5 3 3 7" xfId="47671"/>
    <cellStyle name="20 % - Accent1 3 5 3 4" xfId="3815"/>
    <cellStyle name="20 % - Accent1 3 5 3 4 2" xfId="10347"/>
    <cellStyle name="20 % - Accent1 3 5 3 4 2 2" xfId="29820"/>
    <cellStyle name="20 % - Accent1 3 5 3 4 2 3" xfId="42800"/>
    <cellStyle name="20 % - Accent1 3 5 3 4 2 4" xfId="59029"/>
    <cellStyle name="20 % - Accent1 3 5 3 4 3" xfId="16840"/>
    <cellStyle name="20 % - Accent1 3 5 3 4 4" xfId="23330"/>
    <cellStyle name="20 % - Accent1 3 5 3 4 5" xfId="36310"/>
    <cellStyle name="20 % - Accent1 3 5 3 4 6" xfId="52539"/>
    <cellStyle name="20 % - Accent1 3 5 3 5" xfId="7102"/>
    <cellStyle name="20 % - Accent1 3 5 3 5 2" xfId="26575"/>
    <cellStyle name="20 % - Accent1 3 5 3 5 3" xfId="39555"/>
    <cellStyle name="20 % - Accent1 3 5 3 5 4" xfId="55784"/>
    <cellStyle name="20 % - Accent1 3 5 3 6" xfId="13595"/>
    <cellStyle name="20 % - Accent1 3 5 3 6 2" xfId="49294"/>
    <cellStyle name="20 % - Accent1 3 5 3 7" xfId="20085"/>
    <cellStyle name="20 % - Accent1 3 5 3 8" xfId="33065"/>
    <cellStyle name="20 % - Accent1 3 5 3 9" xfId="46048"/>
    <cellStyle name="20 % - Accent1 3 5 4" xfId="1011"/>
    <cellStyle name="20 % - Accent1 3 5 4 2" xfId="2678"/>
    <cellStyle name="20 % - Accent1 3 5 4 2 2" xfId="5923"/>
    <cellStyle name="20 % - Accent1 3 5 4 2 2 2" xfId="12455"/>
    <cellStyle name="20 % - Accent1 3 5 4 2 2 2 2" xfId="31928"/>
    <cellStyle name="20 % - Accent1 3 5 4 2 2 2 3" xfId="44908"/>
    <cellStyle name="20 % - Accent1 3 5 4 2 2 2 4" xfId="61137"/>
    <cellStyle name="20 % - Accent1 3 5 4 2 2 3" xfId="18948"/>
    <cellStyle name="20 % - Accent1 3 5 4 2 2 4" xfId="25438"/>
    <cellStyle name="20 % - Accent1 3 5 4 2 2 5" xfId="38418"/>
    <cellStyle name="20 % - Accent1 3 5 4 2 2 6" xfId="54647"/>
    <cellStyle name="20 % - Accent1 3 5 4 2 3" xfId="9210"/>
    <cellStyle name="20 % - Accent1 3 5 4 2 3 2" xfId="28683"/>
    <cellStyle name="20 % - Accent1 3 5 4 2 3 3" xfId="41663"/>
    <cellStyle name="20 % - Accent1 3 5 4 2 3 4" xfId="57892"/>
    <cellStyle name="20 % - Accent1 3 5 4 2 4" xfId="15703"/>
    <cellStyle name="20 % - Accent1 3 5 4 2 4 2" xfId="51402"/>
    <cellStyle name="20 % - Accent1 3 5 4 2 5" xfId="22193"/>
    <cellStyle name="20 % - Accent1 3 5 4 2 6" xfId="35173"/>
    <cellStyle name="20 % - Accent1 3 5 4 2 7" xfId="48156"/>
    <cellStyle name="20 % - Accent1 3 5 4 3" xfId="4300"/>
    <cellStyle name="20 % - Accent1 3 5 4 3 2" xfId="10832"/>
    <cellStyle name="20 % - Accent1 3 5 4 3 2 2" xfId="30305"/>
    <cellStyle name="20 % - Accent1 3 5 4 3 2 3" xfId="43285"/>
    <cellStyle name="20 % - Accent1 3 5 4 3 2 4" xfId="59514"/>
    <cellStyle name="20 % - Accent1 3 5 4 3 3" xfId="17325"/>
    <cellStyle name="20 % - Accent1 3 5 4 3 4" xfId="23815"/>
    <cellStyle name="20 % - Accent1 3 5 4 3 5" xfId="36795"/>
    <cellStyle name="20 % - Accent1 3 5 4 3 6" xfId="53024"/>
    <cellStyle name="20 % - Accent1 3 5 4 4" xfId="7587"/>
    <cellStyle name="20 % - Accent1 3 5 4 4 2" xfId="27060"/>
    <cellStyle name="20 % - Accent1 3 5 4 4 3" xfId="40040"/>
    <cellStyle name="20 % - Accent1 3 5 4 4 4" xfId="56269"/>
    <cellStyle name="20 % - Accent1 3 5 4 5" xfId="14080"/>
    <cellStyle name="20 % - Accent1 3 5 4 5 2" xfId="49779"/>
    <cellStyle name="20 % - Accent1 3 5 4 6" xfId="20570"/>
    <cellStyle name="20 % - Accent1 3 5 4 7" xfId="33550"/>
    <cellStyle name="20 % - Accent1 3 5 4 8" xfId="46533"/>
    <cellStyle name="20 % - Accent1 3 5 5" xfId="1964"/>
    <cellStyle name="20 % - Accent1 3 5 5 2" xfId="5209"/>
    <cellStyle name="20 % - Accent1 3 5 5 2 2" xfId="11741"/>
    <cellStyle name="20 % - Accent1 3 5 5 2 2 2" xfId="31214"/>
    <cellStyle name="20 % - Accent1 3 5 5 2 2 3" xfId="44194"/>
    <cellStyle name="20 % - Accent1 3 5 5 2 2 4" xfId="60423"/>
    <cellStyle name="20 % - Accent1 3 5 5 2 3" xfId="18234"/>
    <cellStyle name="20 % - Accent1 3 5 5 2 4" xfId="24724"/>
    <cellStyle name="20 % - Accent1 3 5 5 2 5" xfId="37704"/>
    <cellStyle name="20 % - Accent1 3 5 5 2 6" xfId="53933"/>
    <cellStyle name="20 % - Accent1 3 5 5 3" xfId="8496"/>
    <cellStyle name="20 % - Accent1 3 5 5 3 2" xfId="27969"/>
    <cellStyle name="20 % - Accent1 3 5 5 3 3" xfId="40949"/>
    <cellStyle name="20 % - Accent1 3 5 5 3 4" xfId="57178"/>
    <cellStyle name="20 % - Accent1 3 5 5 4" xfId="14989"/>
    <cellStyle name="20 % - Accent1 3 5 5 4 2" xfId="50688"/>
    <cellStyle name="20 % - Accent1 3 5 5 5" xfId="21479"/>
    <cellStyle name="20 % - Accent1 3 5 5 6" xfId="34459"/>
    <cellStyle name="20 % - Accent1 3 5 5 7" xfId="47442"/>
    <cellStyle name="20 % - Accent1 3 5 6" xfId="3585"/>
    <cellStyle name="20 % - Accent1 3 5 6 2" xfId="10117"/>
    <cellStyle name="20 % - Accent1 3 5 6 2 2" xfId="29590"/>
    <cellStyle name="20 % - Accent1 3 5 6 2 3" xfId="42570"/>
    <cellStyle name="20 % - Accent1 3 5 6 2 4" xfId="58799"/>
    <cellStyle name="20 % - Accent1 3 5 6 3" xfId="16610"/>
    <cellStyle name="20 % - Accent1 3 5 6 4" xfId="23100"/>
    <cellStyle name="20 % - Accent1 3 5 6 5" xfId="36080"/>
    <cellStyle name="20 % - Accent1 3 5 6 6" xfId="52309"/>
    <cellStyle name="20 % - Accent1 3 5 7" xfId="6872"/>
    <cellStyle name="20 % - Accent1 3 5 7 2" xfId="26345"/>
    <cellStyle name="20 % - Accent1 3 5 7 3" xfId="39325"/>
    <cellStyle name="20 % - Accent1 3 5 7 4" xfId="55554"/>
    <cellStyle name="20 % - Accent1 3 5 8" xfId="13365"/>
    <cellStyle name="20 % - Accent1 3 5 8 2" xfId="49064"/>
    <cellStyle name="20 % - Accent1 3 5 9" xfId="19855"/>
    <cellStyle name="20 % - Accent1 3 6" xfId="623"/>
    <cellStyle name="20 % - Accent1 3 6 10" xfId="46146"/>
    <cellStyle name="20 % - Accent1 3 6 2" xfId="1342"/>
    <cellStyle name="20 % - Accent1 3 6 2 2" xfId="3009"/>
    <cellStyle name="20 % - Accent1 3 6 2 2 2" xfId="6254"/>
    <cellStyle name="20 % - Accent1 3 6 2 2 2 2" xfId="12786"/>
    <cellStyle name="20 % - Accent1 3 6 2 2 2 2 2" xfId="32259"/>
    <cellStyle name="20 % - Accent1 3 6 2 2 2 2 3" xfId="45239"/>
    <cellStyle name="20 % - Accent1 3 6 2 2 2 2 4" xfId="61468"/>
    <cellStyle name="20 % - Accent1 3 6 2 2 2 3" xfId="19279"/>
    <cellStyle name="20 % - Accent1 3 6 2 2 2 4" xfId="25769"/>
    <cellStyle name="20 % - Accent1 3 6 2 2 2 5" xfId="38749"/>
    <cellStyle name="20 % - Accent1 3 6 2 2 2 6" xfId="54978"/>
    <cellStyle name="20 % - Accent1 3 6 2 2 3" xfId="9541"/>
    <cellStyle name="20 % - Accent1 3 6 2 2 3 2" xfId="29014"/>
    <cellStyle name="20 % - Accent1 3 6 2 2 3 3" xfId="41994"/>
    <cellStyle name="20 % - Accent1 3 6 2 2 3 4" xfId="58223"/>
    <cellStyle name="20 % - Accent1 3 6 2 2 4" xfId="16034"/>
    <cellStyle name="20 % - Accent1 3 6 2 2 4 2" xfId="51733"/>
    <cellStyle name="20 % - Accent1 3 6 2 2 5" xfId="22524"/>
    <cellStyle name="20 % - Accent1 3 6 2 2 6" xfId="35504"/>
    <cellStyle name="20 % - Accent1 3 6 2 2 7" xfId="48487"/>
    <cellStyle name="20 % - Accent1 3 6 2 3" xfId="4631"/>
    <cellStyle name="20 % - Accent1 3 6 2 3 2" xfId="11163"/>
    <cellStyle name="20 % - Accent1 3 6 2 3 2 2" xfId="30636"/>
    <cellStyle name="20 % - Accent1 3 6 2 3 2 3" xfId="43616"/>
    <cellStyle name="20 % - Accent1 3 6 2 3 2 4" xfId="59845"/>
    <cellStyle name="20 % - Accent1 3 6 2 3 3" xfId="17656"/>
    <cellStyle name="20 % - Accent1 3 6 2 3 4" xfId="24146"/>
    <cellStyle name="20 % - Accent1 3 6 2 3 5" xfId="37126"/>
    <cellStyle name="20 % - Accent1 3 6 2 3 6" xfId="53355"/>
    <cellStyle name="20 % - Accent1 3 6 2 4" xfId="7918"/>
    <cellStyle name="20 % - Accent1 3 6 2 4 2" xfId="27391"/>
    <cellStyle name="20 % - Accent1 3 6 2 4 3" xfId="40371"/>
    <cellStyle name="20 % - Accent1 3 6 2 4 4" xfId="56600"/>
    <cellStyle name="20 % - Accent1 3 6 2 5" xfId="14411"/>
    <cellStyle name="20 % - Accent1 3 6 2 5 2" xfId="50110"/>
    <cellStyle name="20 % - Accent1 3 6 2 6" xfId="20901"/>
    <cellStyle name="20 % - Accent1 3 6 2 7" xfId="33881"/>
    <cellStyle name="20 % - Accent1 3 6 2 8" xfId="46864"/>
    <cellStyle name="20 % - Accent1 3 6 3" xfId="878"/>
    <cellStyle name="20 % - Accent1 3 6 3 2" xfId="2546"/>
    <cellStyle name="20 % - Accent1 3 6 3 2 2" xfId="5791"/>
    <cellStyle name="20 % - Accent1 3 6 3 2 2 2" xfId="12323"/>
    <cellStyle name="20 % - Accent1 3 6 3 2 2 2 2" xfId="31796"/>
    <cellStyle name="20 % - Accent1 3 6 3 2 2 2 3" xfId="44776"/>
    <cellStyle name="20 % - Accent1 3 6 3 2 2 2 4" xfId="61005"/>
    <cellStyle name="20 % - Accent1 3 6 3 2 2 3" xfId="18816"/>
    <cellStyle name="20 % - Accent1 3 6 3 2 2 4" xfId="25306"/>
    <cellStyle name="20 % - Accent1 3 6 3 2 2 5" xfId="38286"/>
    <cellStyle name="20 % - Accent1 3 6 3 2 2 6" xfId="54515"/>
    <cellStyle name="20 % - Accent1 3 6 3 2 3" xfId="9078"/>
    <cellStyle name="20 % - Accent1 3 6 3 2 3 2" xfId="28551"/>
    <cellStyle name="20 % - Accent1 3 6 3 2 3 3" xfId="41531"/>
    <cellStyle name="20 % - Accent1 3 6 3 2 3 4" xfId="57760"/>
    <cellStyle name="20 % - Accent1 3 6 3 2 4" xfId="15571"/>
    <cellStyle name="20 % - Accent1 3 6 3 2 4 2" xfId="51270"/>
    <cellStyle name="20 % - Accent1 3 6 3 2 5" xfId="22061"/>
    <cellStyle name="20 % - Accent1 3 6 3 2 6" xfId="35041"/>
    <cellStyle name="20 % - Accent1 3 6 3 2 7" xfId="48024"/>
    <cellStyle name="20 % - Accent1 3 6 3 3" xfId="4168"/>
    <cellStyle name="20 % - Accent1 3 6 3 3 2" xfId="10700"/>
    <cellStyle name="20 % - Accent1 3 6 3 3 2 2" xfId="30173"/>
    <cellStyle name="20 % - Accent1 3 6 3 3 2 3" xfId="43153"/>
    <cellStyle name="20 % - Accent1 3 6 3 3 2 4" xfId="59382"/>
    <cellStyle name="20 % - Accent1 3 6 3 3 3" xfId="17193"/>
    <cellStyle name="20 % - Accent1 3 6 3 3 4" xfId="23683"/>
    <cellStyle name="20 % - Accent1 3 6 3 3 5" xfId="36663"/>
    <cellStyle name="20 % - Accent1 3 6 3 3 6" xfId="52892"/>
    <cellStyle name="20 % - Accent1 3 6 3 4" xfId="7455"/>
    <cellStyle name="20 % - Accent1 3 6 3 4 2" xfId="26928"/>
    <cellStyle name="20 % - Accent1 3 6 3 4 3" xfId="39908"/>
    <cellStyle name="20 % - Accent1 3 6 3 4 4" xfId="56137"/>
    <cellStyle name="20 % - Accent1 3 6 3 5" xfId="13948"/>
    <cellStyle name="20 % - Accent1 3 6 3 5 2" xfId="49647"/>
    <cellStyle name="20 % - Accent1 3 6 3 6" xfId="20438"/>
    <cellStyle name="20 % - Accent1 3 6 3 7" xfId="33418"/>
    <cellStyle name="20 % - Accent1 3 6 3 8" xfId="46401"/>
    <cellStyle name="20 % - Accent1 3 6 4" xfId="2291"/>
    <cellStyle name="20 % - Accent1 3 6 4 2" xfId="5536"/>
    <cellStyle name="20 % - Accent1 3 6 4 2 2" xfId="12068"/>
    <cellStyle name="20 % - Accent1 3 6 4 2 2 2" xfId="31541"/>
    <cellStyle name="20 % - Accent1 3 6 4 2 2 3" xfId="44521"/>
    <cellStyle name="20 % - Accent1 3 6 4 2 2 4" xfId="60750"/>
    <cellStyle name="20 % - Accent1 3 6 4 2 3" xfId="18561"/>
    <cellStyle name="20 % - Accent1 3 6 4 2 4" xfId="25051"/>
    <cellStyle name="20 % - Accent1 3 6 4 2 5" xfId="38031"/>
    <cellStyle name="20 % - Accent1 3 6 4 2 6" xfId="54260"/>
    <cellStyle name="20 % - Accent1 3 6 4 3" xfId="8823"/>
    <cellStyle name="20 % - Accent1 3 6 4 3 2" xfId="28296"/>
    <cellStyle name="20 % - Accent1 3 6 4 3 3" xfId="41276"/>
    <cellStyle name="20 % - Accent1 3 6 4 3 4" xfId="57505"/>
    <cellStyle name="20 % - Accent1 3 6 4 4" xfId="15316"/>
    <cellStyle name="20 % - Accent1 3 6 4 4 2" xfId="51015"/>
    <cellStyle name="20 % - Accent1 3 6 4 5" xfId="21806"/>
    <cellStyle name="20 % - Accent1 3 6 4 6" xfId="34786"/>
    <cellStyle name="20 % - Accent1 3 6 4 7" xfId="47769"/>
    <cellStyle name="20 % - Accent1 3 6 5" xfId="3913"/>
    <cellStyle name="20 % - Accent1 3 6 5 2" xfId="10445"/>
    <cellStyle name="20 % - Accent1 3 6 5 2 2" xfId="29918"/>
    <cellStyle name="20 % - Accent1 3 6 5 2 3" xfId="42898"/>
    <cellStyle name="20 % - Accent1 3 6 5 2 4" xfId="59127"/>
    <cellStyle name="20 % - Accent1 3 6 5 3" xfId="16938"/>
    <cellStyle name="20 % - Accent1 3 6 5 4" xfId="23428"/>
    <cellStyle name="20 % - Accent1 3 6 5 5" xfId="36408"/>
    <cellStyle name="20 % - Accent1 3 6 5 6" xfId="52637"/>
    <cellStyle name="20 % - Accent1 3 6 6" xfId="7200"/>
    <cellStyle name="20 % - Accent1 3 6 6 2" xfId="26673"/>
    <cellStyle name="20 % - Accent1 3 6 6 3" xfId="39653"/>
    <cellStyle name="20 % - Accent1 3 6 6 4" xfId="55882"/>
    <cellStyle name="20 % - Accent1 3 6 7" xfId="13693"/>
    <cellStyle name="20 % - Accent1 3 6 7 2" xfId="49392"/>
    <cellStyle name="20 % - Accent1 3 6 8" xfId="20183"/>
    <cellStyle name="20 % - Accent1 3 6 9" xfId="33163"/>
    <cellStyle name="20 % - Accent1 3 7" xfId="393"/>
    <cellStyle name="20 % - Accent1 3 7 10" xfId="45916"/>
    <cellStyle name="20 % - Accent1 3 7 2" xfId="1562"/>
    <cellStyle name="20 % - Accent1 3 7 2 2" xfId="3229"/>
    <cellStyle name="20 % - Accent1 3 7 2 2 2" xfId="6474"/>
    <cellStyle name="20 % - Accent1 3 7 2 2 2 2" xfId="13006"/>
    <cellStyle name="20 % - Accent1 3 7 2 2 2 2 2" xfId="32479"/>
    <cellStyle name="20 % - Accent1 3 7 2 2 2 2 3" xfId="45459"/>
    <cellStyle name="20 % - Accent1 3 7 2 2 2 2 4" xfId="61688"/>
    <cellStyle name="20 % - Accent1 3 7 2 2 2 3" xfId="19499"/>
    <cellStyle name="20 % - Accent1 3 7 2 2 2 4" xfId="25989"/>
    <cellStyle name="20 % - Accent1 3 7 2 2 2 5" xfId="38969"/>
    <cellStyle name="20 % - Accent1 3 7 2 2 2 6" xfId="55198"/>
    <cellStyle name="20 % - Accent1 3 7 2 2 3" xfId="9761"/>
    <cellStyle name="20 % - Accent1 3 7 2 2 3 2" xfId="29234"/>
    <cellStyle name="20 % - Accent1 3 7 2 2 3 3" xfId="42214"/>
    <cellStyle name="20 % - Accent1 3 7 2 2 3 4" xfId="58443"/>
    <cellStyle name="20 % - Accent1 3 7 2 2 4" xfId="16254"/>
    <cellStyle name="20 % - Accent1 3 7 2 2 4 2" xfId="51953"/>
    <cellStyle name="20 % - Accent1 3 7 2 2 5" xfId="22744"/>
    <cellStyle name="20 % - Accent1 3 7 2 2 6" xfId="35724"/>
    <cellStyle name="20 % - Accent1 3 7 2 2 7" xfId="48707"/>
    <cellStyle name="20 % - Accent1 3 7 2 3" xfId="4851"/>
    <cellStyle name="20 % - Accent1 3 7 2 3 2" xfId="11383"/>
    <cellStyle name="20 % - Accent1 3 7 2 3 2 2" xfId="30856"/>
    <cellStyle name="20 % - Accent1 3 7 2 3 2 3" xfId="43836"/>
    <cellStyle name="20 % - Accent1 3 7 2 3 2 4" xfId="60065"/>
    <cellStyle name="20 % - Accent1 3 7 2 3 3" xfId="17876"/>
    <cellStyle name="20 % - Accent1 3 7 2 3 4" xfId="24366"/>
    <cellStyle name="20 % - Accent1 3 7 2 3 5" xfId="37346"/>
    <cellStyle name="20 % - Accent1 3 7 2 3 6" xfId="53575"/>
    <cellStyle name="20 % - Accent1 3 7 2 4" xfId="8138"/>
    <cellStyle name="20 % - Accent1 3 7 2 4 2" xfId="27611"/>
    <cellStyle name="20 % - Accent1 3 7 2 4 3" xfId="40591"/>
    <cellStyle name="20 % - Accent1 3 7 2 4 4" xfId="56820"/>
    <cellStyle name="20 % - Accent1 3 7 2 5" xfId="14631"/>
    <cellStyle name="20 % - Accent1 3 7 2 5 2" xfId="50330"/>
    <cellStyle name="20 % - Accent1 3 7 2 6" xfId="21121"/>
    <cellStyle name="20 % - Accent1 3 7 2 7" xfId="34101"/>
    <cellStyle name="20 % - Accent1 3 7 2 8" xfId="47084"/>
    <cellStyle name="20 % - Accent1 3 7 3" xfId="1099"/>
    <cellStyle name="20 % - Accent1 3 7 3 2" xfId="2766"/>
    <cellStyle name="20 % - Accent1 3 7 3 2 2" xfId="6011"/>
    <cellStyle name="20 % - Accent1 3 7 3 2 2 2" xfId="12543"/>
    <cellStyle name="20 % - Accent1 3 7 3 2 2 2 2" xfId="32016"/>
    <cellStyle name="20 % - Accent1 3 7 3 2 2 2 3" xfId="44996"/>
    <cellStyle name="20 % - Accent1 3 7 3 2 2 2 4" xfId="61225"/>
    <cellStyle name="20 % - Accent1 3 7 3 2 2 3" xfId="19036"/>
    <cellStyle name="20 % - Accent1 3 7 3 2 2 4" xfId="25526"/>
    <cellStyle name="20 % - Accent1 3 7 3 2 2 5" xfId="38506"/>
    <cellStyle name="20 % - Accent1 3 7 3 2 2 6" xfId="54735"/>
    <cellStyle name="20 % - Accent1 3 7 3 2 3" xfId="9298"/>
    <cellStyle name="20 % - Accent1 3 7 3 2 3 2" xfId="28771"/>
    <cellStyle name="20 % - Accent1 3 7 3 2 3 3" xfId="41751"/>
    <cellStyle name="20 % - Accent1 3 7 3 2 3 4" xfId="57980"/>
    <cellStyle name="20 % - Accent1 3 7 3 2 4" xfId="15791"/>
    <cellStyle name="20 % - Accent1 3 7 3 2 4 2" xfId="51490"/>
    <cellStyle name="20 % - Accent1 3 7 3 2 5" xfId="22281"/>
    <cellStyle name="20 % - Accent1 3 7 3 2 6" xfId="35261"/>
    <cellStyle name="20 % - Accent1 3 7 3 2 7" xfId="48244"/>
    <cellStyle name="20 % - Accent1 3 7 3 3" xfId="4388"/>
    <cellStyle name="20 % - Accent1 3 7 3 3 2" xfId="10920"/>
    <cellStyle name="20 % - Accent1 3 7 3 3 2 2" xfId="30393"/>
    <cellStyle name="20 % - Accent1 3 7 3 3 2 3" xfId="43373"/>
    <cellStyle name="20 % - Accent1 3 7 3 3 2 4" xfId="59602"/>
    <cellStyle name="20 % - Accent1 3 7 3 3 3" xfId="17413"/>
    <cellStyle name="20 % - Accent1 3 7 3 3 4" xfId="23903"/>
    <cellStyle name="20 % - Accent1 3 7 3 3 5" xfId="36883"/>
    <cellStyle name="20 % - Accent1 3 7 3 3 6" xfId="53112"/>
    <cellStyle name="20 % - Accent1 3 7 3 4" xfId="7675"/>
    <cellStyle name="20 % - Accent1 3 7 3 4 2" xfId="27148"/>
    <cellStyle name="20 % - Accent1 3 7 3 4 3" xfId="40128"/>
    <cellStyle name="20 % - Accent1 3 7 3 4 4" xfId="56357"/>
    <cellStyle name="20 % - Accent1 3 7 3 5" xfId="14168"/>
    <cellStyle name="20 % - Accent1 3 7 3 5 2" xfId="49867"/>
    <cellStyle name="20 % - Accent1 3 7 3 6" xfId="20658"/>
    <cellStyle name="20 % - Accent1 3 7 3 7" xfId="33638"/>
    <cellStyle name="20 % - Accent1 3 7 3 8" xfId="46621"/>
    <cellStyle name="20 % - Accent1 3 7 4" xfId="2061"/>
    <cellStyle name="20 % - Accent1 3 7 4 2" xfId="5306"/>
    <cellStyle name="20 % - Accent1 3 7 4 2 2" xfId="11838"/>
    <cellStyle name="20 % - Accent1 3 7 4 2 2 2" xfId="31311"/>
    <cellStyle name="20 % - Accent1 3 7 4 2 2 3" xfId="44291"/>
    <cellStyle name="20 % - Accent1 3 7 4 2 2 4" xfId="60520"/>
    <cellStyle name="20 % - Accent1 3 7 4 2 3" xfId="18331"/>
    <cellStyle name="20 % - Accent1 3 7 4 2 4" xfId="24821"/>
    <cellStyle name="20 % - Accent1 3 7 4 2 5" xfId="37801"/>
    <cellStyle name="20 % - Accent1 3 7 4 2 6" xfId="54030"/>
    <cellStyle name="20 % - Accent1 3 7 4 3" xfId="8593"/>
    <cellStyle name="20 % - Accent1 3 7 4 3 2" xfId="28066"/>
    <cellStyle name="20 % - Accent1 3 7 4 3 3" xfId="41046"/>
    <cellStyle name="20 % - Accent1 3 7 4 3 4" xfId="57275"/>
    <cellStyle name="20 % - Accent1 3 7 4 4" xfId="15086"/>
    <cellStyle name="20 % - Accent1 3 7 4 4 2" xfId="50785"/>
    <cellStyle name="20 % - Accent1 3 7 4 5" xfId="21576"/>
    <cellStyle name="20 % - Accent1 3 7 4 6" xfId="34556"/>
    <cellStyle name="20 % - Accent1 3 7 4 7" xfId="47539"/>
    <cellStyle name="20 % - Accent1 3 7 5" xfId="3683"/>
    <cellStyle name="20 % - Accent1 3 7 5 2" xfId="10215"/>
    <cellStyle name="20 % - Accent1 3 7 5 2 2" xfId="29688"/>
    <cellStyle name="20 % - Accent1 3 7 5 2 3" xfId="42668"/>
    <cellStyle name="20 % - Accent1 3 7 5 2 4" xfId="58897"/>
    <cellStyle name="20 % - Accent1 3 7 5 3" xfId="16708"/>
    <cellStyle name="20 % - Accent1 3 7 5 4" xfId="23198"/>
    <cellStyle name="20 % - Accent1 3 7 5 5" xfId="36178"/>
    <cellStyle name="20 % - Accent1 3 7 5 6" xfId="52407"/>
    <cellStyle name="20 % - Accent1 3 7 6" xfId="6970"/>
    <cellStyle name="20 % - Accent1 3 7 6 2" xfId="26443"/>
    <cellStyle name="20 % - Accent1 3 7 6 3" xfId="39423"/>
    <cellStyle name="20 % - Accent1 3 7 6 4" xfId="55652"/>
    <cellStyle name="20 % - Accent1 3 7 7" xfId="13463"/>
    <cellStyle name="20 % - Accent1 3 7 7 2" xfId="49162"/>
    <cellStyle name="20 % - Accent1 3 7 8" xfId="19953"/>
    <cellStyle name="20 % - Accent1 3 7 9" xfId="32933"/>
    <cellStyle name="20 % - Accent1 3 8" xfId="1319"/>
    <cellStyle name="20 % - Accent1 3 8 2" xfId="2986"/>
    <cellStyle name="20 % - Accent1 3 8 2 2" xfId="6231"/>
    <cellStyle name="20 % - Accent1 3 8 2 2 2" xfId="12763"/>
    <cellStyle name="20 % - Accent1 3 8 2 2 2 2" xfId="32236"/>
    <cellStyle name="20 % - Accent1 3 8 2 2 2 3" xfId="45216"/>
    <cellStyle name="20 % - Accent1 3 8 2 2 2 4" xfId="61445"/>
    <cellStyle name="20 % - Accent1 3 8 2 2 3" xfId="19256"/>
    <cellStyle name="20 % - Accent1 3 8 2 2 4" xfId="25746"/>
    <cellStyle name="20 % - Accent1 3 8 2 2 5" xfId="38726"/>
    <cellStyle name="20 % - Accent1 3 8 2 2 6" xfId="54955"/>
    <cellStyle name="20 % - Accent1 3 8 2 3" xfId="9518"/>
    <cellStyle name="20 % - Accent1 3 8 2 3 2" xfId="28991"/>
    <cellStyle name="20 % - Accent1 3 8 2 3 3" xfId="41971"/>
    <cellStyle name="20 % - Accent1 3 8 2 3 4" xfId="58200"/>
    <cellStyle name="20 % - Accent1 3 8 2 4" xfId="16011"/>
    <cellStyle name="20 % - Accent1 3 8 2 4 2" xfId="51710"/>
    <cellStyle name="20 % - Accent1 3 8 2 5" xfId="22501"/>
    <cellStyle name="20 % - Accent1 3 8 2 6" xfId="35481"/>
    <cellStyle name="20 % - Accent1 3 8 2 7" xfId="48464"/>
    <cellStyle name="20 % - Accent1 3 8 3" xfId="4608"/>
    <cellStyle name="20 % - Accent1 3 8 3 2" xfId="11140"/>
    <cellStyle name="20 % - Accent1 3 8 3 2 2" xfId="30613"/>
    <cellStyle name="20 % - Accent1 3 8 3 2 3" xfId="43593"/>
    <cellStyle name="20 % - Accent1 3 8 3 2 4" xfId="59822"/>
    <cellStyle name="20 % - Accent1 3 8 3 3" xfId="17633"/>
    <cellStyle name="20 % - Accent1 3 8 3 4" xfId="24123"/>
    <cellStyle name="20 % - Accent1 3 8 3 5" xfId="37103"/>
    <cellStyle name="20 % - Accent1 3 8 3 6" xfId="53332"/>
    <cellStyle name="20 % - Accent1 3 8 4" xfId="7895"/>
    <cellStyle name="20 % - Accent1 3 8 4 2" xfId="27368"/>
    <cellStyle name="20 % - Accent1 3 8 4 3" xfId="40348"/>
    <cellStyle name="20 % - Accent1 3 8 4 4" xfId="56577"/>
    <cellStyle name="20 % - Accent1 3 8 5" xfId="14388"/>
    <cellStyle name="20 % - Accent1 3 8 5 2" xfId="50087"/>
    <cellStyle name="20 % - Accent1 3 8 6" xfId="20878"/>
    <cellStyle name="20 % - Accent1 3 8 7" xfId="33858"/>
    <cellStyle name="20 % - Accent1 3 8 8" xfId="46841"/>
    <cellStyle name="20 % - Accent1 3 9" xfId="855"/>
    <cellStyle name="20 % - Accent1 3 9 2" xfId="2523"/>
    <cellStyle name="20 % - Accent1 3 9 2 2" xfId="5768"/>
    <cellStyle name="20 % - Accent1 3 9 2 2 2" xfId="12300"/>
    <cellStyle name="20 % - Accent1 3 9 2 2 2 2" xfId="31773"/>
    <cellStyle name="20 % - Accent1 3 9 2 2 2 3" xfId="44753"/>
    <cellStyle name="20 % - Accent1 3 9 2 2 2 4" xfId="60982"/>
    <cellStyle name="20 % - Accent1 3 9 2 2 3" xfId="18793"/>
    <cellStyle name="20 % - Accent1 3 9 2 2 4" xfId="25283"/>
    <cellStyle name="20 % - Accent1 3 9 2 2 5" xfId="38263"/>
    <cellStyle name="20 % - Accent1 3 9 2 2 6" xfId="54492"/>
    <cellStyle name="20 % - Accent1 3 9 2 3" xfId="9055"/>
    <cellStyle name="20 % - Accent1 3 9 2 3 2" xfId="28528"/>
    <cellStyle name="20 % - Accent1 3 9 2 3 3" xfId="41508"/>
    <cellStyle name="20 % - Accent1 3 9 2 3 4" xfId="57737"/>
    <cellStyle name="20 % - Accent1 3 9 2 4" xfId="15548"/>
    <cellStyle name="20 % - Accent1 3 9 2 4 2" xfId="51247"/>
    <cellStyle name="20 % - Accent1 3 9 2 5" xfId="22038"/>
    <cellStyle name="20 % - Accent1 3 9 2 6" xfId="35018"/>
    <cellStyle name="20 % - Accent1 3 9 2 7" xfId="48001"/>
    <cellStyle name="20 % - Accent1 3 9 3" xfId="4145"/>
    <cellStyle name="20 % - Accent1 3 9 3 2" xfId="10677"/>
    <cellStyle name="20 % - Accent1 3 9 3 2 2" xfId="30150"/>
    <cellStyle name="20 % - Accent1 3 9 3 2 3" xfId="43130"/>
    <cellStyle name="20 % - Accent1 3 9 3 2 4" xfId="59359"/>
    <cellStyle name="20 % - Accent1 3 9 3 3" xfId="17170"/>
    <cellStyle name="20 % - Accent1 3 9 3 4" xfId="23660"/>
    <cellStyle name="20 % - Accent1 3 9 3 5" xfId="36640"/>
    <cellStyle name="20 % - Accent1 3 9 3 6" xfId="52869"/>
    <cellStyle name="20 % - Accent1 3 9 4" xfId="7432"/>
    <cellStyle name="20 % - Accent1 3 9 4 2" xfId="26905"/>
    <cellStyle name="20 % - Accent1 3 9 4 3" xfId="39885"/>
    <cellStyle name="20 % - Accent1 3 9 4 4" xfId="56114"/>
    <cellStyle name="20 % - Accent1 3 9 5" xfId="13925"/>
    <cellStyle name="20 % - Accent1 3 9 5 2" xfId="49624"/>
    <cellStyle name="20 % - Accent1 3 9 6" xfId="20415"/>
    <cellStyle name="20 % - Accent1 3 9 7" xfId="33395"/>
    <cellStyle name="20 % - Accent1 3 9 8" xfId="46378"/>
    <cellStyle name="20 % - Accent1 4" xfId="1785"/>
    <cellStyle name="20 % - Accent1 5" xfId="6694"/>
    <cellStyle name="20 % - Accent1 6" xfId="61911"/>
    <cellStyle name="20 % - Accent1 7" xfId="61929"/>
    <cellStyle name="20 % - Accent1 8" xfId="61941"/>
    <cellStyle name="20 % - Accent1 9" xfId="41"/>
    <cellStyle name="20 % - Accent2 2" xfId="85"/>
    <cellStyle name="20 % - Accent2 3" xfId="150"/>
    <cellStyle name="20 % - Accent2 3 10" xfId="1833"/>
    <cellStyle name="20 % - Accent2 3 10 2" xfId="5079"/>
    <cellStyle name="20 % - Accent2 3 10 2 2" xfId="11611"/>
    <cellStyle name="20 % - Accent2 3 10 2 2 2" xfId="31084"/>
    <cellStyle name="20 % - Accent2 3 10 2 2 3" xfId="44064"/>
    <cellStyle name="20 % - Accent2 3 10 2 2 4" xfId="60293"/>
    <cellStyle name="20 % - Accent2 3 10 2 3" xfId="18104"/>
    <cellStyle name="20 % - Accent2 3 10 2 4" xfId="24594"/>
    <cellStyle name="20 % - Accent2 3 10 2 5" xfId="37574"/>
    <cellStyle name="20 % - Accent2 3 10 2 6" xfId="53803"/>
    <cellStyle name="20 % - Accent2 3 10 3" xfId="8366"/>
    <cellStyle name="20 % - Accent2 3 10 3 2" xfId="27839"/>
    <cellStyle name="20 % - Accent2 3 10 3 3" xfId="40819"/>
    <cellStyle name="20 % - Accent2 3 10 3 4" xfId="57048"/>
    <cellStyle name="20 % - Accent2 3 10 4" xfId="14859"/>
    <cellStyle name="20 % - Accent2 3 10 4 2" xfId="50558"/>
    <cellStyle name="20 % - Accent2 3 10 5" xfId="21349"/>
    <cellStyle name="20 % - Accent2 3 10 6" xfId="34329"/>
    <cellStyle name="20 % - Accent2 3 10 7" xfId="47312"/>
    <cellStyle name="20 % - Accent2 3 11" xfId="3455"/>
    <cellStyle name="20 % - Accent2 3 11 2" xfId="9987"/>
    <cellStyle name="20 % - Accent2 3 11 2 2" xfId="29460"/>
    <cellStyle name="20 % - Accent2 3 11 2 3" xfId="42440"/>
    <cellStyle name="20 % - Accent2 3 11 2 4" xfId="58669"/>
    <cellStyle name="20 % - Accent2 3 11 3" xfId="16480"/>
    <cellStyle name="20 % - Accent2 3 11 4" xfId="22970"/>
    <cellStyle name="20 % - Accent2 3 11 5" xfId="35950"/>
    <cellStyle name="20 % - Accent2 3 11 6" xfId="52179"/>
    <cellStyle name="20 % - Accent2 3 12" xfId="6742"/>
    <cellStyle name="20 % - Accent2 3 12 2" xfId="26215"/>
    <cellStyle name="20 % - Accent2 3 12 3" xfId="39195"/>
    <cellStyle name="20 % - Accent2 3 12 4" xfId="55424"/>
    <cellStyle name="20 % - Accent2 3 13" xfId="13235"/>
    <cellStyle name="20 % - Accent2 3 13 2" xfId="48934"/>
    <cellStyle name="20 % - Accent2 3 14" xfId="19725"/>
    <cellStyle name="20 % - Accent2 3 15" xfId="32705"/>
    <cellStyle name="20 % - Accent2 3 16" xfId="45688"/>
    <cellStyle name="20 % - Accent2 3 2" xfId="182"/>
    <cellStyle name="20 % - Accent2 3 2 10" xfId="6764"/>
    <cellStyle name="20 % - Accent2 3 2 10 2" xfId="26237"/>
    <cellStyle name="20 % - Accent2 3 2 10 3" xfId="39217"/>
    <cellStyle name="20 % - Accent2 3 2 10 4" xfId="55446"/>
    <cellStyle name="20 % - Accent2 3 2 11" xfId="13257"/>
    <cellStyle name="20 % - Accent2 3 2 11 2" xfId="48956"/>
    <cellStyle name="20 % - Accent2 3 2 12" xfId="19747"/>
    <cellStyle name="20 % - Accent2 3 2 13" xfId="32727"/>
    <cellStyle name="20 % - Accent2 3 2 14" xfId="45710"/>
    <cellStyle name="20 % - Accent2 3 2 2" xfId="271"/>
    <cellStyle name="20 % - Accent2 3 2 2 10" xfId="19835"/>
    <cellStyle name="20 % - Accent2 3 2 2 11" xfId="32815"/>
    <cellStyle name="20 % - Accent2 3 2 2 12" xfId="45798"/>
    <cellStyle name="20 % - Accent2 3 2 2 2" xfId="359"/>
    <cellStyle name="20 % - Accent2 3 2 2 2 10" xfId="32903"/>
    <cellStyle name="20 % - Accent2 3 2 2 2 11" xfId="45886"/>
    <cellStyle name="20 % - Accent2 3 2 2 2 2" xfId="823"/>
    <cellStyle name="20 % - Accent2 3 2 2 2 2 10" xfId="46346"/>
    <cellStyle name="20 % - Accent2 3 2 2 2 2 2" xfId="1762"/>
    <cellStyle name="20 % - Accent2 3 2 2 2 2 2 2" xfId="3429"/>
    <cellStyle name="20 % - Accent2 3 2 2 2 2 2 2 2" xfId="6674"/>
    <cellStyle name="20 % - Accent2 3 2 2 2 2 2 2 2 2" xfId="13206"/>
    <cellStyle name="20 % - Accent2 3 2 2 2 2 2 2 2 2 2" xfId="32679"/>
    <cellStyle name="20 % - Accent2 3 2 2 2 2 2 2 2 2 3" xfId="45659"/>
    <cellStyle name="20 % - Accent2 3 2 2 2 2 2 2 2 2 4" xfId="61888"/>
    <cellStyle name="20 % - Accent2 3 2 2 2 2 2 2 2 3" xfId="19699"/>
    <cellStyle name="20 % - Accent2 3 2 2 2 2 2 2 2 4" xfId="26189"/>
    <cellStyle name="20 % - Accent2 3 2 2 2 2 2 2 2 5" xfId="39169"/>
    <cellStyle name="20 % - Accent2 3 2 2 2 2 2 2 2 6" xfId="55398"/>
    <cellStyle name="20 % - Accent2 3 2 2 2 2 2 2 3" xfId="9961"/>
    <cellStyle name="20 % - Accent2 3 2 2 2 2 2 2 3 2" xfId="29434"/>
    <cellStyle name="20 % - Accent2 3 2 2 2 2 2 2 3 3" xfId="42414"/>
    <cellStyle name="20 % - Accent2 3 2 2 2 2 2 2 3 4" xfId="58643"/>
    <cellStyle name="20 % - Accent2 3 2 2 2 2 2 2 4" xfId="16454"/>
    <cellStyle name="20 % - Accent2 3 2 2 2 2 2 2 4 2" xfId="52153"/>
    <cellStyle name="20 % - Accent2 3 2 2 2 2 2 2 5" xfId="22944"/>
    <cellStyle name="20 % - Accent2 3 2 2 2 2 2 2 6" xfId="35924"/>
    <cellStyle name="20 % - Accent2 3 2 2 2 2 2 2 7" xfId="48907"/>
    <cellStyle name="20 % - Accent2 3 2 2 2 2 2 3" xfId="5051"/>
    <cellStyle name="20 % - Accent2 3 2 2 2 2 2 3 2" xfId="11583"/>
    <cellStyle name="20 % - Accent2 3 2 2 2 2 2 3 2 2" xfId="31056"/>
    <cellStyle name="20 % - Accent2 3 2 2 2 2 2 3 2 3" xfId="44036"/>
    <cellStyle name="20 % - Accent2 3 2 2 2 2 2 3 2 4" xfId="60265"/>
    <cellStyle name="20 % - Accent2 3 2 2 2 2 2 3 3" xfId="18076"/>
    <cellStyle name="20 % - Accent2 3 2 2 2 2 2 3 4" xfId="24566"/>
    <cellStyle name="20 % - Accent2 3 2 2 2 2 2 3 5" xfId="37546"/>
    <cellStyle name="20 % - Accent2 3 2 2 2 2 2 3 6" xfId="53775"/>
    <cellStyle name="20 % - Accent2 3 2 2 2 2 2 4" xfId="8338"/>
    <cellStyle name="20 % - Accent2 3 2 2 2 2 2 4 2" xfId="27811"/>
    <cellStyle name="20 % - Accent2 3 2 2 2 2 2 4 3" xfId="40791"/>
    <cellStyle name="20 % - Accent2 3 2 2 2 2 2 4 4" xfId="57020"/>
    <cellStyle name="20 % - Accent2 3 2 2 2 2 2 5" xfId="14831"/>
    <cellStyle name="20 % - Accent2 3 2 2 2 2 2 5 2" xfId="50530"/>
    <cellStyle name="20 % - Accent2 3 2 2 2 2 2 6" xfId="21321"/>
    <cellStyle name="20 % - Accent2 3 2 2 2 2 2 7" xfId="34301"/>
    <cellStyle name="20 % - Accent2 3 2 2 2 2 2 8" xfId="47284"/>
    <cellStyle name="20 % - Accent2 3 2 2 2 2 3" xfId="1299"/>
    <cellStyle name="20 % - Accent2 3 2 2 2 2 3 2" xfId="2966"/>
    <cellStyle name="20 % - Accent2 3 2 2 2 2 3 2 2" xfId="6211"/>
    <cellStyle name="20 % - Accent2 3 2 2 2 2 3 2 2 2" xfId="12743"/>
    <cellStyle name="20 % - Accent2 3 2 2 2 2 3 2 2 2 2" xfId="32216"/>
    <cellStyle name="20 % - Accent2 3 2 2 2 2 3 2 2 2 3" xfId="45196"/>
    <cellStyle name="20 % - Accent2 3 2 2 2 2 3 2 2 2 4" xfId="61425"/>
    <cellStyle name="20 % - Accent2 3 2 2 2 2 3 2 2 3" xfId="19236"/>
    <cellStyle name="20 % - Accent2 3 2 2 2 2 3 2 2 4" xfId="25726"/>
    <cellStyle name="20 % - Accent2 3 2 2 2 2 3 2 2 5" xfId="38706"/>
    <cellStyle name="20 % - Accent2 3 2 2 2 2 3 2 2 6" xfId="54935"/>
    <cellStyle name="20 % - Accent2 3 2 2 2 2 3 2 3" xfId="9498"/>
    <cellStyle name="20 % - Accent2 3 2 2 2 2 3 2 3 2" xfId="28971"/>
    <cellStyle name="20 % - Accent2 3 2 2 2 2 3 2 3 3" xfId="41951"/>
    <cellStyle name="20 % - Accent2 3 2 2 2 2 3 2 3 4" xfId="58180"/>
    <cellStyle name="20 % - Accent2 3 2 2 2 2 3 2 4" xfId="15991"/>
    <cellStyle name="20 % - Accent2 3 2 2 2 2 3 2 4 2" xfId="51690"/>
    <cellStyle name="20 % - Accent2 3 2 2 2 2 3 2 5" xfId="22481"/>
    <cellStyle name="20 % - Accent2 3 2 2 2 2 3 2 6" xfId="35461"/>
    <cellStyle name="20 % - Accent2 3 2 2 2 2 3 2 7" xfId="48444"/>
    <cellStyle name="20 % - Accent2 3 2 2 2 2 3 3" xfId="4588"/>
    <cellStyle name="20 % - Accent2 3 2 2 2 2 3 3 2" xfId="11120"/>
    <cellStyle name="20 % - Accent2 3 2 2 2 2 3 3 2 2" xfId="30593"/>
    <cellStyle name="20 % - Accent2 3 2 2 2 2 3 3 2 3" xfId="43573"/>
    <cellStyle name="20 % - Accent2 3 2 2 2 2 3 3 2 4" xfId="59802"/>
    <cellStyle name="20 % - Accent2 3 2 2 2 2 3 3 3" xfId="17613"/>
    <cellStyle name="20 % - Accent2 3 2 2 2 2 3 3 4" xfId="24103"/>
    <cellStyle name="20 % - Accent2 3 2 2 2 2 3 3 5" xfId="37083"/>
    <cellStyle name="20 % - Accent2 3 2 2 2 2 3 3 6" xfId="53312"/>
    <cellStyle name="20 % - Accent2 3 2 2 2 2 3 4" xfId="7875"/>
    <cellStyle name="20 % - Accent2 3 2 2 2 2 3 4 2" xfId="27348"/>
    <cellStyle name="20 % - Accent2 3 2 2 2 2 3 4 3" xfId="40328"/>
    <cellStyle name="20 % - Accent2 3 2 2 2 2 3 4 4" xfId="56557"/>
    <cellStyle name="20 % - Accent2 3 2 2 2 2 3 5" xfId="14368"/>
    <cellStyle name="20 % - Accent2 3 2 2 2 2 3 5 2" xfId="50067"/>
    <cellStyle name="20 % - Accent2 3 2 2 2 2 3 6" xfId="20858"/>
    <cellStyle name="20 % - Accent2 3 2 2 2 2 3 7" xfId="33838"/>
    <cellStyle name="20 % - Accent2 3 2 2 2 2 3 8" xfId="46821"/>
    <cellStyle name="20 % - Accent2 3 2 2 2 2 4" xfId="2491"/>
    <cellStyle name="20 % - Accent2 3 2 2 2 2 4 2" xfId="5736"/>
    <cellStyle name="20 % - Accent2 3 2 2 2 2 4 2 2" xfId="12268"/>
    <cellStyle name="20 % - Accent2 3 2 2 2 2 4 2 2 2" xfId="31741"/>
    <cellStyle name="20 % - Accent2 3 2 2 2 2 4 2 2 3" xfId="44721"/>
    <cellStyle name="20 % - Accent2 3 2 2 2 2 4 2 2 4" xfId="60950"/>
    <cellStyle name="20 % - Accent2 3 2 2 2 2 4 2 3" xfId="18761"/>
    <cellStyle name="20 % - Accent2 3 2 2 2 2 4 2 4" xfId="25251"/>
    <cellStyle name="20 % - Accent2 3 2 2 2 2 4 2 5" xfId="38231"/>
    <cellStyle name="20 % - Accent2 3 2 2 2 2 4 2 6" xfId="54460"/>
    <cellStyle name="20 % - Accent2 3 2 2 2 2 4 3" xfId="9023"/>
    <cellStyle name="20 % - Accent2 3 2 2 2 2 4 3 2" xfId="28496"/>
    <cellStyle name="20 % - Accent2 3 2 2 2 2 4 3 3" xfId="41476"/>
    <cellStyle name="20 % - Accent2 3 2 2 2 2 4 3 4" xfId="57705"/>
    <cellStyle name="20 % - Accent2 3 2 2 2 2 4 4" xfId="15516"/>
    <cellStyle name="20 % - Accent2 3 2 2 2 2 4 4 2" xfId="51215"/>
    <cellStyle name="20 % - Accent2 3 2 2 2 2 4 5" xfId="22006"/>
    <cellStyle name="20 % - Accent2 3 2 2 2 2 4 6" xfId="34986"/>
    <cellStyle name="20 % - Accent2 3 2 2 2 2 4 7" xfId="47969"/>
    <cellStyle name="20 % - Accent2 3 2 2 2 2 5" xfId="4113"/>
    <cellStyle name="20 % - Accent2 3 2 2 2 2 5 2" xfId="10645"/>
    <cellStyle name="20 % - Accent2 3 2 2 2 2 5 2 2" xfId="30118"/>
    <cellStyle name="20 % - Accent2 3 2 2 2 2 5 2 3" xfId="43098"/>
    <cellStyle name="20 % - Accent2 3 2 2 2 2 5 2 4" xfId="59327"/>
    <cellStyle name="20 % - Accent2 3 2 2 2 2 5 3" xfId="17138"/>
    <cellStyle name="20 % - Accent2 3 2 2 2 2 5 4" xfId="23628"/>
    <cellStyle name="20 % - Accent2 3 2 2 2 2 5 5" xfId="36608"/>
    <cellStyle name="20 % - Accent2 3 2 2 2 2 5 6" xfId="52837"/>
    <cellStyle name="20 % - Accent2 3 2 2 2 2 6" xfId="7400"/>
    <cellStyle name="20 % - Accent2 3 2 2 2 2 6 2" xfId="26873"/>
    <cellStyle name="20 % - Accent2 3 2 2 2 2 6 3" xfId="39853"/>
    <cellStyle name="20 % - Accent2 3 2 2 2 2 6 4" xfId="56082"/>
    <cellStyle name="20 % - Accent2 3 2 2 2 2 7" xfId="13893"/>
    <cellStyle name="20 % - Accent2 3 2 2 2 2 7 2" xfId="49592"/>
    <cellStyle name="20 % - Accent2 3 2 2 2 2 8" xfId="20383"/>
    <cellStyle name="20 % - Accent2 3 2 2 2 2 9" xfId="33363"/>
    <cellStyle name="20 % - Accent2 3 2 2 2 3" xfId="593"/>
    <cellStyle name="20 % - Accent2 3 2 2 2 3 2" xfId="1542"/>
    <cellStyle name="20 % - Accent2 3 2 2 2 3 2 2" xfId="3209"/>
    <cellStyle name="20 % - Accent2 3 2 2 2 3 2 2 2" xfId="6454"/>
    <cellStyle name="20 % - Accent2 3 2 2 2 3 2 2 2 2" xfId="12986"/>
    <cellStyle name="20 % - Accent2 3 2 2 2 3 2 2 2 2 2" xfId="32459"/>
    <cellStyle name="20 % - Accent2 3 2 2 2 3 2 2 2 2 3" xfId="45439"/>
    <cellStyle name="20 % - Accent2 3 2 2 2 3 2 2 2 2 4" xfId="61668"/>
    <cellStyle name="20 % - Accent2 3 2 2 2 3 2 2 2 3" xfId="19479"/>
    <cellStyle name="20 % - Accent2 3 2 2 2 3 2 2 2 4" xfId="25969"/>
    <cellStyle name="20 % - Accent2 3 2 2 2 3 2 2 2 5" xfId="38949"/>
    <cellStyle name="20 % - Accent2 3 2 2 2 3 2 2 2 6" xfId="55178"/>
    <cellStyle name="20 % - Accent2 3 2 2 2 3 2 2 3" xfId="9741"/>
    <cellStyle name="20 % - Accent2 3 2 2 2 3 2 2 3 2" xfId="29214"/>
    <cellStyle name="20 % - Accent2 3 2 2 2 3 2 2 3 3" xfId="42194"/>
    <cellStyle name="20 % - Accent2 3 2 2 2 3 2 2 3 4" xfId="58423"/>
    <cellStyle name="20 % - Accent2 3 2 2 2 3 2 2 4" xfId="16234"/>
    <cellStyle name="20 % - Accent2 3 2 2 2 3 2 2 4 2" xfId="51933"/>
    <cellStyle name="20 % - Accent2 3 2 2 2 3 2 2 5" xfId="22724"/>
    <cellStyle name="20 % - Accent2 3 2 2 2 3 2 2 6" xfId="35704"/>
    <cellStyle name="20 % - Accent2 3 2 2 2 3 2 2 7" xfId="48687"/>
    <cellStyle name="20 % - Accent2 3 2 2 2 3 2 3" xfId="4831"/>
    <cellStyle name="20 % - Accent2 3 2 2 2 3 2 3 2" xfId="11363"/>
    <cellStyle name="20 % - Accent2 3 2 2 2 3 2 3 2 2" xfId="30836"/>
    <cellStyle name="20 % - Accent2 3 2 2 2 3 2 3 2 3" xfId="43816"/>
    <cellStyle name="20 % - Accent2 3 2 2 2 3 2 3 2 4" xfId="60045"/>
    <cellStyle name="20 % - Accent2 3 2 2 2 3 2 3 3" xfId="17856"/>
    <cellStyle name="20 % - Accent2 3 2 2 2 3 2 3 4" xfId="24346"/>
    <cellStyle name="20 % - Accent2 3 2 2 2 3 2 3 5" xfId="37326"/>
    <cellStyle name="20 % - Accent2 3 2 2 2 3 2 3 6" xfId="53555"/>
    <cellStyle name="20 % - Accent2 3 2 2 2 3 2 4" xfId="8118"/>
    <cellStyle name="20 % - Accent2 3 2 2 2 3 2 4 2" xfId="27591"/>
    <cellStyle name="20 % - Accent2 3 2 2 2 3 2 4 3" xfId="40571"/>
    <cellStyle name="20 % - Accent2 3 2 2 2 3 2 4 4" xfId="56800"/>
    <cellStyle name="20 % - Accent2 3 2 2 2 3 2 5" xfId="14611"/>
    <cellStyle name="20 % - Accent2 3 2 2 2 3 2 5 2" xfId="50310"/>
    <cellStyle name="20 % - Accent2 3 2 2 2 3 2 6" xfId="21101"/>
    <cellStyle name="20 % - Accent2 3 2 2 2 3 2 7" xfId="34081"/>
    <cellStyle name="20 % - Accent2 3 2 2 2 3 2 8" xfId="47064"/>
    <cellStyle name="20 % - Accent2 3 2 2 2 3 3" xfId="2261"/>
    <cellStyle name="20 % - Accent2 3 2 2 2 3 3 2" xfId="5506"/>
    <cellStyle name="20 % - Accent2 3 2 2 2 3 3 2 2" xfId="12038"/>
    <cellStyle name="20 % - Accent2 3 2 2 2 3 3 2 2 2" xfId="31511"/>
    <cellStyle name="20 % - Accent2 3 2 2 2 3 3 2 2 3" xfId="44491"/>
    <cellStyle name="20 % - Accent2 3 2 2 2 3 3 2 2 4" xfId="60720"/>
    <cellStyle name="20 % - Accent2 3 2 2 2 3 3 2 3" xfId="18531"/>
    <cellStyle name="20 % - Accent2 3 2 2 2 3 3 2 4" xfId="25021"/>
    <cellStyle name="20 % - Accent2 3 2 2 2 3 3 2 5" xfId="38001"/>
    <cellStyle name="20 % - Accent2 3 2 2 2 3 3 2 6" xfId="54230"/>
    <cellStyle name="20 % - Accent2 3 2 2 2 3 3 3" xfId="8793"/>
    <cellStyle name="20 % - Accent2 3 2 2 2 3 3 3 2" xfId="28266"/>
    <cellStyle name="20 % - Accent2 3 2 2 2 3 3 3 3" xfId="41246"/>
    <cellStyle name="20 % - Accent2 3 2 2 2 3 3 3 4" xfId="57475"/>
    <cellStyle name="20 % - Accent2 3 2 2 2 3 3 4" xfId="15286"/>
    <cellStyle name="20 % - Accent2 3 2 2 2 3 3 4 2" xfId="50985"/>
    <cellStyle name="20 % - Accent2 3 2 2 2 3 3 5" xfId="21776"/>
    <cellStyle name="20 % - Accent2 3 2 2 2 3 3 6" xfId="34756"/>
    <cellStyle name="20 % - Accent2 3 2 2 2 3 3 7" xfId="47739"/>
    <cellStyle name="20 % - Accent2 3 2 2 2 3 4" xfId="3883"/>
    <cellStyle name="20 % - Accent2 3 2 2 2 3 4 2" xfId="10415"/>
    <cellStyle name="20 % - Accent2 3 2 2 2 3 4 2 2" xfId="29888"/>
    <cellStyle name="20 % - Accent2 3 2 2 2 3 4 2 3" xfId="42868"/>
    <cellStyle name="20 % - Accent2 3 2 2 2 3 4 2 4" xfId="59097"/>
    <cellStyle name="20 % - Accent2 3 2 2 2 3 4 3" xfId="16908"/>
    <cellStyle name="20 % - Accent2 3 2 2 2 3 4 4" xfId="23398"/>
    <cellStyle name="20 % - Accent2 3 2 2 2 3 4 5" xfId="36378"/>
    <cellStyle name="20 % - Accent2 3 2 2 2 3 4 6" xfId="52607"/>
    <cellStyle name="20 % - Accent2 3 2 2 2 3 5" xfId="7170"/>
    <cellStyle name="20 % - Accent2 3 2 2 2 3 5 2" xfId="26643"/>
    <cellStyle name="20 % - Accent2 3 2 2 2 3 5 3" xfId="39623"/>
    <cellStyle name="20 % - Accent2 3 2 2 2 3 5 4" xfId="55852"/>
    <cellStyle name="20 % - Accent2 3 2 2 2 3 6" xfId="13663"/>
    <cellStyle name="20 % - Accent2 3 2 2 2 3 6 2" xfId="49362"/>
    <cellStyle name="20 % - Accent2 3 2 2 2 3 7" xfId="20153"/>
    <cellStyle name="20 % - Accent2 3 2 2 2 3 8" xfId="33133"/>
    <cellStyle name="20 % - Accent2 3 2 2 2 3 9" xfId="46116"/>
    <cellStyle name="20 % - Accent2 3 2 2 2 4" xfId="1079"/>
    <cellStyle name="20 % - Accent2 3 2 2 2 4 2" xfId="2746"/>
    <cellStyle name="20 % - Accent2 3 2 2 2 4 2 2" xfId="5991"/>
    <cellStyle name="20 % - Accent2 3 2 2 2 4 2 2 2" xfId="12523"/>
    <cellStyle name="20 % - Accent2 3 2 2 2 4 2 2 2 2" xfId="31996"/>
    <cellStyle name="20 % - Accent2 3 2 2 2 4 2 2 2 3" xfId="44976"/>
    <cellStyle name="20 % - Accent2 3 2 2 2 4 2 2 2 4" xfId="61205"/>
    <cellStyle name="20 % - Accent2 3 2 2 2 4 2 2 3" xfId="19016"/>
    <cellStyle name="20 % - Accent2 3 2 2 2 4 2 2 4" xfId="25506"/>
    <cellStyle name="20 % - Accent2 3 2 2 2 4 2 2 5" xfId="38486"/>
    <cellStyle name="20 % - Accent2 3 2 2 2 4 2 2 6" xfId="54715"/>
    <cellStyle name="20 % - Accent2 3 2 2 2 4 2 3" xfId="9278"/>
    <cellStyle name="20 % - Accent2 3 2 2 2 4 2 3 2" xfId="28751"/>
    <cellStyle name="20 % - Accent2 3 2 2 2 4 2 3 3" xfId="41731"/>
    <cellStyle name="20 % - Accent2 3 2 2 2 4 2 3 4" xfId="57960"/>
    <cellStyle name="20 % - Accent2 3 2 2 2 4 2 4" xfId="15771"/>
    <cellStyle name="20 % - Accent2 3 2 2 2 4 2 4 2" xfId="51470"/>
    <cellStyle name="20 % - Accent2 3 2 2 2 4 2 5" xfId="22261"/>
    <cellStyle name="20 % - Accent2 3 2 2 2 4 2 6" xfId="35241"/>
    <cellStyle name="20 % - Accent2 3 2 2 2 4 2 7" xfId="48224"/>
    <cellStyle name="20 % - Accent2 3 2 2 2 4 3" xfId="4368"/>
    <cellStyle name="20 % - Accent2 3 2 2 2 4 3 2" xfId="10900"/>
    <cellStyle name="20 % - Accent2 3 2 2 2 4 3 2 2" xfId="30373"/>
    <cellStyle name="20 % - Accent2 3 2 2 2 4 3 2 3" xfId="43353"/>
    <cellStyle name="20 % - Accent2 3 2 2 2 4 3 2 4" xfId="59582"/>
    <cellStyle name="20 % - Accent2 3 2 2 2 4 3 3" xfId="17393"/>
    <cellStyle name="20 % - Accent2 3 2 2 2 4 3 4" xfId="23883"/>
    <cellStyle name="20 % - Accent2 3 2 2 2 4 3 5" xfId="36863"/>
    <cellStyle name="20 % - Accent2 3 2 2 2 4 3 6" xfId="53092"/>
    <cellStyle name="20 % - Accent2 3 2 2 2 4 4" xfId="7655"/>
    <cellStyle name="20 % - Accent2 3 2 2 2 4 4 2" xfId="27128"/>
    <cellStyle name="20 % - Accent2 3 2 2 2 4 4 3" xfId="40108"/>
    <cellStyle name="20 % - Accent2 3 2 2 2 4 4 4" xfId="56337"/>
    <cellStyle name="20 % - Accent2 3 2 2 2 4 5" xfId="14148"/>
    <cellStyle name="20 % - Accent2 3 2 2 2 4 5 2" xfId="49847"/>
    <cellStyle name="20 % - Accent2 3 2 2 2 4 6" xfId="20638"/>
    <cellStyle name="20 % - Accent2 3 2 2 2 4 7" xfId="33618"/>
    <cellStyle name="20 % - Accent2 3 2 2 2 4 8" xfId="46601"/>
    <cellStyle name="20 % - Accent2 3 2 2 2 5" xfId="2032"/>
    <cellStyle name="20 % - Accent2 3 2 2 2 5 2" xfId="5277"/>
    <cellStyle name="20 % - Accent2 3 2 2 2 5 2 2" xfId="11809"/>
    <cellStyle name="20 % - Accent2 3 2 2 2 5 2 2 2" xfId="31282"/>
    <cellStyle name="20 % - Accent2 3 2 2 2 5 2 2 3" xfId="44262"/>
    <cellStyle name="20 % - Accent2 3 2 2 2 5 2 2 4" xfId="60491"/>
    <cellStyle name="20 % - Accent2 3 2 2 2 5 2 3" xfId="18302"/>
    <cellStyle name="20 % - Accent2 3 2 2 2 5 2 4" xfId="24792"/>
    <cellStyle name="20 % - Accent2 3 2 2 2 5 2 5" xfId="37772"/>
    <cellStyle name="20 % - Accent2 3 2 2 2 5 2 6" xfId="54001"/>
    <cellStyle name="20 % - Accent2 3 2 2 2 5 3" xfId="8564"/>
    <cellStyle name="20 % - Accent2 3 2 2 2 5 3 2" xfId="28037"/>
    <cellStyle name="20 % - Accent2 3 2 2 2 5 3 3" xfId="41017"/>
    <cellStyle name="20 % - Accent2 3 2 2 2 5 3 4" xfId="57246"/>
    <cellStyle name="20 % - Accent2 3 2 2 2 5 4" xfId="15057"/>
    <cellStyle name="20 % - Accent2 3 2 2 2 5 4 2" xfId="50756"/>
    <cellStyle name="20 % - Accent2 3 2 2 2 5 5" xfId="21547"/>
    <cellStyle name="20 % - Accent2 3 2 2 2 5 6" xfId="34527"/>
    <cellStyle name="20 % - Accent2 3 2 2 2 5 7" xfId="47510"/>
    <cellStyle name="20 % - Accent2 3 2 2 2 6" xfId="3653"/>
    <cellStyle name="20 % - Accent2 3 2 2 2 6 2" xfId="10185"/>
    <cellStyle name="20 % - Accent2 3 2 2 2 6 2 2" xfId="29658"/>
    <cellStyle name="20 % - Accent2 3 2 2 2 6 2 3" xfId="42638"/>
    <cellStyle name="20 % - Accent2 3 2 2 2 6 2 4" xfId="58867"/>
    <cellStyle name="20 % - Accent2 3 2 2 2 6 3" xfId="16678"/>
    <cellStyle name="20 % - Accent2 3 2 2 2 6 4" xfId="23168"/>
    <cellStyle name="20 % - Accent2 3 2 2 2 6 5" xfId="36148"/>
    <cellStyle name="20 % - Accent2 3 2 2 2 6 6" xfId="52377"/>
    <cellStyle name="20 % - Accent2 3 2 2 2 7" xfId="6940"/>
    <cellStyle name="20 % - Accent2 3 2 2 2 7 2" xfId="26413"/>
    <cellStyle name="20 % - Accent2 3 2 2 2 7 3" xfId="39393"/>
    <cellStyle name="20 % - Accent2 3 2 2 2 7 4" xfId="55622"/>
    <cellStyle name="20 % - Accent2 3 2 2 2 8" xfId="13433"/>
    <cellStyle name="20 % - Accent2 3 2 2 2 8 2" xfId="49132"/>
    <cellStyle name="20 % - Accent2 3 2 2 2 9" xfId="19923"/>
    <cellStyle name="20 % - Accent2 3 2 2 3" xfId="735"/>
    <cellStyle name="20 % - Accent2 3 2 2 3 10" xfId="46258"/>
    <cellStyle name="20 % - Accent2 3 2 2 3 2" xfId="1674"/>
    <cellStyle name="20 % - Accent2 3 2 2 3 2 2" xfId="3341"/>
    <cellStyle name="20 % - Accent2 3 2 2 3 2 2 2" xfId="6586"/>
    <cellStyle name="20 % - Accent2 3 2 2 3 2 2 2 2" xfId="13118"/>
    <cellStyle name="20 % - Accent2 3 2 2 3 2 2 2 2 2" xfId="32591"/>
    <cellStyle name="20 % - Accent2 3 2 2 3 2 2 2 2 3" xfId="45571"/>
    <cellStyle name="20 % - Accent2 3 2 2 3 2 2 2 2 4" xfId="61800"/>
    <cellStyle name="20 % - Accent2 3 2 2 3 2 2 2 3" xfId="19611"/>
    <cellStyle name="20 % - Accent2 3 2 2 3 2 2 2 4" xfId="26101"/>
    <cellStyle name="20 % - Accent2 3 2 2 3 2 2 2 5" xfId="39081"/>
    <cellStyle name="20 % - Accent2 3 2 2 3 2 2 2 6" xfId="55310"/>
    <cellStyle name="20 % - Accent2 3 2 2 3 2 2 3" xfId="9873"/>
    <cellStyle name="20 % - Accent2 3 2 2 3 2 2 3 2" xfId="29346"/>
    <cellStyle name="20 % - Accent2 3 2 2 3 2 2 3 3" xfId="42326"/>
    <cellStyle name="20 % - Accent2 3 2 2 3 2 2 3 4" xfId="58555"/>
    <cellStyle name="20 % - Accent2 3 2 2 3 2 2 4" xfId="16366"/>
    <cellStyle name="20 % - Accent2 3 2 2 3 2 2 4 2" xfId="52065"/>
    <cellStyle name="20 % - Accent2 3 2 2 3 2 2 5" xfId="22856"/>
    <cellStyle name="20 % - Accent2 3 2 2 3 2 2 6" xfId="35836"/>
    <cellStyle name="20 % - Accent2 3 2 2 3 2 2 7" xfId="48819"/>
    <cellStyle name="20 % - Accent2 3 2 2 3 2 3" xfId="4963"/>
    <cellStyle name="20 % - Accent2 3 2 2 3 2 3 2" xfId="11495"/>
    <cellStyle name="20 % - Accent2 3 2 2 3 2 3 2 2" xfId="30968"/>
    <cellStyle name="20 % - Accent2 3 2 2 3 2 3 2 3" xfId="43948"/>
    <cellStyle name="20 % - Accent2 3 2 2 3 2 3 2 4" xfId="60177"/>
    <cellStyle name="20 % - Accent2 3 2 2 3 2 3 3" xfId="17988"/>
    <cellStyle name="20 % - Accent2 3 2 2 3 2 3 4" xfId="24478"/>
    <cellStyle name="20 % - Accent2 3 2 2 3 2 3 5" xfId="37458"/>
    <cellStyle name="20 % - Accent2 3 2 2 3 2 3 6" xfId="53687"/>
    <cellStyle name="20 % - Accent2 3 2 2 3 2 4" xfId="8250"/>
    <cellStyle name="20 % - Accent2 3 2 2 3 2 4 2" xfId="27723"/>
    <cellStyle name="20 % - Accent2 3 2 2 3 2 4 3" xfId="40703"/>
    <cellStyle name="20 % - Accent2 3 2 2 3 2 4 4" xfId="56932"/>
    <cellStyle name="20 % - Accent2 3 2 2 3 2 5" xfId="14743"/>
    <cellStyle name="20 % - Accent2 3 2 2 3 2 5 2" xfId="50442"/>
    <cellStyle name="20 % - Accent2 3 2 2 3 2 6" xfId="21233"/>
    <cellStyle name="20 % - Accent2 3 2 2 3 2 7" xfId="34213"/>
    <cellStyle name="20 % - Accent2 3 2 2 3 2 8" xfId="47196"/>
    <cellStyle name="20 % - Accent2 3 2 2 3 3" xfId="1211"/>
    <cellStyle name="20 % - Accent2 3 2 2 3 3 2" xfId="2878"/>
    <cellStyle name="20 % - Accent2 3 2 2 3 3 2 2" xfId="6123"/>
    <cellStyle name="20 % - Accent2 3 2 2 3 3 2 2 2" xfId="12655"/>
    <cellStyle name="20 % - Accent2 3 2 2 3 3 2 2 2 2" xfId="32128"/>
    <cellStyle name="20 % - Accent2 3 2 2 3 3 2 2 2 3" xfId="45108"/>
    <cellStyle name="20 % - Accent2 3 2 2 3 3 2 2 2 4" xfId="61337"/>
    <cellStyle name="20 % - Accent2 3 2 2 3 3 2 2 3" xfId="19148"/>
    <cellStyle name="20 % - Accent2 3 2 2 3 3 2 2 4" xfId="25638"/>
    <cellStyle name="20 % - Accent2 3 2 2 3 3 2 2 5" xfId="38618"/>
    <cellStyle name="20 % - Accent2 3 2 2 3 3 2 2 6" xfId="54847"/>
    <cellStyle name="20 % - Accent2 3 2 2 3 3 2 3" xfId="9410"/>
    <cellStyle name="20 % - Accent2 3 2 2 3 3 2 3 2" xfId="28883"/>
    <cellStyle name="20 % - Accent2 3 2 2 3 3 2 3 3" xfId="41863"/>
    <cellStyle name="20 % - Accent2 3 2 2 3 3 2 3 4" xfId="58092"/>
    <cellStyle name="20 % - Accent2 3 2 2 3 3 2 4" xfId="15903"/>
    <cellStyle name="20 % - Accent2 3 2 2 3 3 2 4 2" xfId="51602"/>
    <cellStyle name="20 % - Accent2 3 2 2 3 3 2 5" xfId="22393"/>
    <cellStyle name="20 % - Accent2 3 2 2 3 3 2 6" xfId="35373"/>
    <cellStyle name="20 % - Accent2 3 2 2 3 3 2 7" xfId="48356"/>
    <cellStyle name="20 % - Accent2 3 2 2 3 3 3" xfId="4500"/>
    <cellStyle name="20 % - Accent2 3 2 2 3 3 3 2" xfId="11032"/>
    <cellStyle name="20 % - Accent2 3 2 2 3 3 3 2 2" xfId="30505"/>
    <cellStyle name="20 % - Accent2 3 2 2 3 3 3 2 3" xfId="43485"/>
    <cellStyle name="20 % - Accent2 3 2 2 3 3 3 2 4" xfId="59714"/>
    <cellStyle name="20 % - Accent2 3 2 2 3 3 3 3" xfId="17525"/>
    <cellStyle name="20 % - Accent2 3 2 2 3 3 3 4" xfId="24015"/>
    <cellStyle name="20 % - Accent2 3 2 2 3 3 3 5" xfId="36995"/>
    <cellStyle name="20 % - Accent2 3 2 2 3 3 3 6" xfId="53224"/>
    <cellStyle name="20 % - Accent2 3 2 2 3 3 4" xfId="7787"/>
    <cellStyle name="20 % - Accent2 3 2 2 3 3 4 2" xfId="27260"/>
    <cellStyle name="20 % - Accent2 3 2 2 3 3 4 3" xfId="40240"/>
    <cellStyle name="20 % - Accent2 3 2 2 3 3 4 4" xfId="56469"/>
    <cellStyle name="20 % - Accent2 3 2 2 3 3 5" xfId="14280"/>
    <cellStyle name="20 % - Accent2 3 2 2 3 3 5 2" xfId="49979"/>
    <cellStyle name="20 % - Accent2 3 2 2 3 3 6" xfId="20770"/>
    <cellStyle name="20 % - Accent2 3 2 2 3 3 7" xfId="33750"/>
    <cellStyle name="20 % - Accent2 3 2 2 3 3 8" xfId="46733"/>
    <cellStyle name="20 % - Accent2 3 2 2 3 4" xfId="2403"/>
    <cellStyle name="20 % - Accent2 3 2 2 3 4 2" xfId="5648"/>
    <cellStyle name="20 % - Accent2 3 2 2 3 4 2 2" xfId="12180"/>
    <cellStyle name="20 % - Accent2 3 2 2 3 4 2 2 2" xfId="31653"/>
    <cellStyle name="20 % - Accent2 3 2 2 3 4 2 2 3" xfId="44633"/>
    <cellStyle name="20 % - Accent2 3 2 2 3 4 2 2 4" xfId="60862"/>
    <cellStyle name="20 % - Accent2 3 2 2 3 4 2 3" xfId="18673"/>
    <cellStyle name="20 % - Accent2 3 2 2 3 4 2 4" xfId="25163"/>
    <cellStyle name="20 % - Accent2 3 2 2 3 4 2 5" xfId="38143"/>
    <cellStyle name="20 % - Accent2 3 2 2 3 4 2 6" xfId="54372"/>
    <cellStyle name="20 % - Accent2 3 2 2 3 4 3" xfId="8935"/>
    <cellStyle name="20 % - Accent2 3 2 2 3 4 3 2" xfId="28408"/>
    <cellStyle name="20 % - Accent2 3 2 2 3 4 3 3" xfId="41388"/>
    <cellStyle name="20 % - Accent2 3 2 2 3 4 3 4" xfId="57617"/>
    <cellStyle name="20 % - Accent2 3 2 2 3 4 4" xfId="15428"/>
    <cellStyle name="20 % - Accent2 3 2 2 3 4 4 2" xfId="51127"/>
    <cellStyle name="20 % - Accent2 3 2 2 3 4 5" xfId="21918"/>
    <cellStyle name="20 % - Accent2 3 2 2 3 4 6" xfId="34898"/>
    <cellStyle name="20 % - Accent2 3 2 2 3 4 7" xfId="47881"/>
    <cellStyle name="20 % - Accent2 3 2 2 3 5" xfId="4025"/>
    <cellStyle name="20 % - Accent2 3 2 2 3 5 2" xfId="10557"/>
    <cellStyle name="20 % - Accent2 3 2 2 3 5 2 2" xfId="30030"/>
    <cellStyle name="20 % - Accent2 3 2 2 3 5 2 3" xfId="43010"/>
    <cellStyle name="20 % - Accent2 3 2 2 3 5 2 4" xfId="59239"/>
    <cellStyle name="20 % - Accent2 3 2 2 3 5 3" xfId="17050"/>
    <cellStyle name="20 % - Accent2 3 2 2 3 5 4" xfId="23540"/>
    <cellStyle name="20 % - Accent2 3 2 2 3 5 5" xfId="36520"/>
    <cellStyle name="20 % - Accent2 3 2 2 3 5 6" xfId="52749"/>
    <cellStyle name="20 % - Accent2 3 2 2 3 6" xfId="7312"/>
    <cellStyle name="20 % - Accent2 3 2 2 3 6 2" xfId="26785"/>
    <cellStyle name="20 % - Accent2 3 2 2 3 6 3" xfId="39765"/>
    <cellStyle name="20 % - Accent2 3 2 2 3 6 4" xfId="55994"/>
    <cellStyle name="20 % - Accent2 3 2 2 3 7" xfId="13805"/>
    <cellStyle name="20 % - Accent2 3 2 2 3 7 2" xfId="49504"/>
    <cellStyle name="20 % - Accent2 3 2 2 3 8" xfId="20295"/>
    <cellStyle name="20 % - Accent2 3 2 2 3 9" xfId="33275"/>
    <cellStyle name="20 % - Accent2 3 2 2 4" xfId="505"/>
    <cellStyle name="20 % - Accent2 3 2 2 4 2" xfId="1454"/>
    <cellStyle name="20 % - Accent2 3 2 2 4 2 2" xfId="3121"/>
    <cellStyle name="20 % - Accent2 3 2 2 4 2 2 2" xfId="6366"/>
    <cellStyle name="20 % - Accent2 3 2 2 4 2 2 2 2" xfId="12898"/>
    <cellStyle name="20 % - Accent2 3 2 2 4 2 2 2 2 2" xfId="32371"/>
    <cellStyle name="20 % - Accent2 3 2 2 4 2 2 2 2 3" xfId="45351"/>
    <cellStyle name="20 % - Accent2 3 2 2 4 2 2 2 2 4" xfId="61580"/>
    <cellStyle name="20 % - Accent2 3 2 2 4 2 2 2 3" xfId="19391"/>
    <cellStyle name="20 % - Accent2 3 2 2 4 2 2 2 4" xfId="25881"/>
    <cellStyle name="20 % - Accent2 3 2 2 4 2 2 2 5" xfId="38861"/>
    <cellStyle name="20 % - Accent2 3 2 2 4 2 2 2 6" xfId="55090"/>
    <cellStyle name="20 % - Accent2 3 2 2 4 2 2 3" xfId="9653"/>
    <cellStyle name="20 % - Accent2 3 2 2 4 2 2 3 2" xfId="29126"/>
    <cellStyle name="20 % - Accent2 3 2 2 4 2 2 3 3" xfId="42106"/>
    <cellStyle name="20 % - Accent2 3 2 2 4 2 2 3 4" xfId="58335"/>
    <cellStyle name="20 % - Accent2 3 2 2 4 2 2 4" xfId="16146"/>
    <cellStyle name="20 % - Accent2 3 2 2 4 2 2 4 2" xfId="51845"/>
    <cellStyle name="20 % - Accent2 3 2 2 4 2 2 5" xfId="22636"/>
    <cellStyle name="20 % - Accent2 3 2 2 4 2 2 6" xfId="35616"/>
    <cellStyle name="20 % - Accent2 3 2 2 4 2 2 7" xfId="48599"/>
    <cellStyle name="20 % - Accent2 3 2 2 4 2 3" xfId="4743"/>
    <cellStyle name="20 % - Accent2 3 2 2 4 2 3 2" xfId="11275"/>
    <cellStyle name="20 % - Accent2 3 2 2 4 2 3 2 2" xfId="30748"/>
    <cellStyle name="20 % - Accent2 3 2 2 4 2 3 2 3" xfId="43728"/>
    <cellStyle name="20 % - Accent2 3 2 2 4 2 3 2 4" xfId="59957"/>
    <cellStyle name="20 % - Accent2 3 2 2 4 2 3 3" xfId="17768"/>
    <cellStyle name="20 % - Accent2 3 2 2 4 2 3 4" xfId="24258"/>
    <cellStyle name="20 % - Accent2 3 2 2 4 2 3 5" xfId="37238"/>
    <cellStyle name="20 % - Accent2 3 2 2 4 2 3 6" xfId="53467"/>
    <cellStyle name="20 % - Accent2 3 2 2 4 2 4" xfId="8030"/>
    <cellStyle name="20 % - Accent2 3 2 2 4 2 4 2" xfId="27503"/>
    <cellStyle name="20 % - Accent2 3 2 2 4 2 4 3" xfId="40483"/>
    <cellStyle name="20 % - Accent2 3 2 2 4 2 4 4" xfId="56712"/>
    <cellStyle name="20 % - Accent2 3 2 2 4 2 5" xfId="14523"/>
    <cellStyle name="20 % - Accent2 3 2 2 4 2 5 2" xfId="50222"/>
    <cellStyle name="20 % - Accent2 3 2 2 4 2 6" xfId="21013"/>
    <cellStyle name="20 % - Accent2 3 2 2 4 2 7" xfId="33993"/>
    <cellStyle name="20 % - Accent2 3 2 2 4 2 8" xfId="46976"/>
    <cellStyle name="20 % - Accent2 3 2 2 4 3" xfId="2173"/>
    <cellStyle name="20 % - Accent2 3 2 2 4 3 2" xfId="5418"/>
    <cellStyle name="20 % - Accent2 3 2 2 4 3 2 2" xfId="11950"/>
    <cellStyle name="20 % - Accent2 3 2 2 4 3 2 2 2" xfId="31423"/>
    <cellStyle name="20 % - Accent2 3 2 2 4 3 2 2 3" xfId="44403"/>
    <cellStyle name="20 % - Accent2 3 2 2 4 3 2 2 4" xfId="60632"/>
    <cellStyle name="20 % - Accent2 3 2 2 4 3 2 3" xfId="18443"/>
    <cellStyle name="20 % - Accent2 3 2 2 4 3 2 4" xfId="24933"/>
    <cellStyle name="20 % - Accent2 3 2 2 4 3 2 5" xfId="37913"/>
    <cellStyle name="20 % - Accent2 3 2 2 4 3 2 6" xfId="54142"/>
    <cellStyle name="20 % - Accent2 3 2 2 4 3 3" xfId="8705"/>
    <cellStyle name="20 % - Accent2 3 2 2 4 3 3 2" xfId="28178"/>
    <cellStyle name="20 % - Accent2 3 2 2 4 3 3 3" xfId="41158"/>
    <cellStyle name="20 % - Accent2 3 2 2 4 3 3 4" xfId="57387"/>
    <cellStyle name="20 % - Accent2 3 2 2 4 3 4" xfId="15198"/>
    <cellStyle name="20 % - Accent2 3 2 2 4 3 4 2" xfId="50897"/>
    <cellStyle name="20 % - Accent2 3 2 2 4 3 5" xfId="21688"/>
    <cellStyle name="20 % - Accent2 3 2 2 4 3 6" xfId="34668"/>
    <cellStyle name="20 % - Accent2 3 2 2 4 3 7" xfId="47651"/>
    <cellStyle name="20 % - Accent2 3 2 2 4 4" xfId="3795"/>
    <cellStyle name="20 % - Accent2 3 2 2 4 4 2" xfId="10327"/>
    <cellStyle name="20 % - Accent2 3 2 2 4 4 2 2" xfId="29800"/>
    <cellStyle name="20 % - Accent2 3 2 2 4 4 2 3" xfId="42780"/>
    <cellStyle name="20 % - Accent2 3 2 2 4 4 2 4" xfId="59009"/>
    <cellStyle name="20 % - Accent2 3 2 2 4 4 3" xfId="16820"/>
    <cellStyle name="20 % - Accent2 3 2 2 4 4 4" xfId="23310"/>
    <cellStyle name="20 % - Accent2 3 2 2 4 4 5" xfId="36290"/>
    <cellStyle name="20 % - Accent2 3 2 2 4 4 6" xfId="52519"/>
    <cellStyle name="20 % - Accent2 3 2 2 4 5" xfId="7082"/>
    <cellStyle name="20 % - Accent2 3 2 2 4 5 2" xfId="26555"/>
    <cellStyle name="20 % - Accent2 3 2 2 4 5 3" xfId="39535"/>
    <cellStyle name="20 % - Accent2 3 2 2 4 5 4" xfId="55764"/>
    <cellStyle name="20 % - Accent2 3 2 2 4 6" xfId="13575"/>
    <cellStyle name="20 % - Accent2 3 2 2 4 6 2" xfId="49274"/>
    <cellStyle name="20 % - Accent2 3 2 2 4 7" xfId="20065"/>
    <cellStyle name="20 % - Accent2 3 2 2 4 8" xfId="33045"/>
    <cellStyle name="20 % - Accent2 3 2 2 4 9" xfId="46028"/>
    <cellStyle name="20 % - Accent2 3 2 2 5" xfId="991"/>
    <cellStyle name="20 % - Accent2 3 2 2 5 2" xfId="2658"/>
    <cellStyle name="20 % - Accent2 3 2 2 5 2 2" xfId="5903"/>
    <cellStyle name="20 % - Accent2 3 2 2 5 2 2 2" xfId="12435"/>
    <cellStyle name="20 % - Accent2 3 2 2 5 2 2 2 2" xfId="31908"/>
    <cellStyle name="20 % - Accent2 3 2 2 5 2 2 2 3" xfId="44888"/>
    <cellStyle name="20 % - Accent2 3 2 2 5 2 2 2 4" xfId="61117"/>
    <cellStyle name="20 % - Accent2 3 2 2 5 2 2 3" xfId="18928"/>
    <cellStyle name="20 % - Accent2 3 2 2 5 2 2 4" xfId="25418"/>
    <cellStyle name="20 % - Accent2 3 2 2 5 2 2 5" xfId="38398"/>
    <cellStyle name="20 % - Accent2 3 2 2 5 2 2 6" xfId="54627"/>
    <cellStyle name="20 % - Accent2 3 2 2 5 2 3" xfId="9190"/>
    <cellStyle name="20 % - Accent2 3 2 2 5 2 3 2" xfId="28663"/>
    <cellStyle name="20 % - Accent2 3 2 2 5 2 3 3" xfId="41643"/>
    <cellStyle name="20 % - Accent2 3 2 2 5 2 3 4" xfId="57872"/>
    <cellStyle name="20 % - Accent2 3 2 2 5 2 4" xfId="15683"/>
    <cellStyle name="20 % - Accent2 3 2 2 5 2 4 2" xfId="51382"/>
    <cellStyle name="20 % - Accent2 3 2 2 5 2 5" xfId="22173"/>
    <cellStyle name="20 % - Accent2 3 2 2 5 2 6" xfId="35153"/>
    <cellStyle name="20 % - Accent2 3 2 2 5 2 7" xfId="48136"/>
    <cellStyle name="20 % - Accent2 3 2 2 5 3" xfId="4280"/>
    <cellStyle name="20 % - Accent2 3 2 2 5 3 2" xfId="10812"/>
    <cellStyle name="20 % - Accent2 3 2 2 5 3 2 2" xfId="30285"/>
    <cellStyle name="20 % - Accent2 3 2 2 5 3 2 3" xfId="43265"/>
    <cellStyle name="20 % - Accent2 3 2 2 5 3 2 4" xfId="59494"/>
    <cellStyle name="20 % - Accent2 3 2 2 5 3 3" xfId="17305"/>
    <cellStyle name="20 % - Accent2 3 2 2 5 3 4" xfId="23795"/>
    <cellStyle name="20 % - Accent2 3 2 2 5 3 5" xfId="36775"/>
    <cellStyle name="20 % - Accent2 3 2 2 5 3 6" xfId="53004"/>
    <cellStyle name="20 % - Accent2 3 2 2 5 4" xfId="7567"/>
    <cellStyle name="20 % - Accent2 3 2 2 5 4 2" xfId="27040"/>
    <cellStyle name="20 % - Accent2 3 2 2 5 4 3" xfId="40020"/>
    <cellStyle name="20 % - Accent2 3 2 2 5 4 4" xfId="56249"/>
    <cellStyle name="20 % - Accent2 3 2 2 5 5" xfId="14060"/>
    <cellStyle name="20 % - Accent2 3 2 2 5 5 2" xfId="49759"/>
    <cellStyle name="20 % - Accent2 3 2 2 5 6" xfId="20550"/>
    <cellStyle name="20 % - Accent2 3 2 2 5 7" xfId="33530"/>
    <cellStyle name="20 % - Accent2 3 2 2 5 8" xfId="46513"/>
    <cellStyle name="20 % - Accent2 3 2 2 6" xfId="1944"/>
    <cellStyle name="20 % - Accent2 3 2 2 6 2" xfId="5189"/>
    <cellStyle name="20 % - Accent2 3 2 2 6 2 2" xfId="11721"/>
    <cellStyle name="20 % - Accent2 3 2 2 6 2 2 2" xfId="31194"/>
    <cellStyle name="20 % - Accent2 3 2 2 6 2 2 3" xfId="44174"/>
    <cellStyle name="20 % - Accent2 3 2 2 6 2 2 4" xfId="60403"/>
    <cellStyle name="20 % - Accent2 3 2 2 6 2 3" xfId="18214"/>
    <cellStyle name="20 % - Accent2 3 2 2 6 2 4" xfId="24704"/>
    <cellStyle name="20 % - Accent2 3 2 2 6 2 5" xfId="37684"/>
    <cellStyle name="20 % - Accent2 3 2 2 6 2 6" xfId="53913"/>
    <cellStyle name="20 % - Accent2 3 2 2 6 3" xfId="8476"/>
    <cellStyle name="20 % - Accent2 3 2 2 6 3 2" xfId="27949"/>
    <cellStyle name="20 % - Accent2 3 2 2 6 3 3" xfId="40929"/>
    <cellStyle name="20 % - Accent2 3 2 2 6 3 4" xfId="57158"/>
    <cellStyle name="20 % - Accent2 3 2 2 6 4" xfId="14969"/>
    <cellStyle name="20 % - Accent2 3 2 2 6 4 2" xfId="50668"/>
    <cellStyle name="20 % - Accent2 3 2 2 6 5" xfId="21459"/>
    <cellStyle name="20 % - Accent2 3 2 2 6 6" xfId="34439"/>
    <cellStyle name="20 % - Accent2 3 2 2 6 7" xfId="47422"/>
    <cellStyle name="20 % - Accent2 3 2 2 7" xfId="3565"/>
    <cellStyle name="20 % - Accent2 3 2 2 7 2" xfId="10097"/>
    <cellStyle name="20 % - Accent2 3 2 2 7 2 2" xfId="29570"/>
    <cellStyle name="20 % - Accent2 3 2 2 7 2 3" xfId="42550"/>
    <cellStyle name="20 % - Accent2 3 2 2 7 2 4" xfId="58779"/>
    <cellStyle name="20 % - Accent2 3 2 2 7 3" xfId="16590"/>
    <cellStyle name="20 % - Accent2 3 2 2 7 4" xfId="23080"/>
    <cellStyle name="20 % - Accent2 3 2 2 7 5" xfId="36060"/>
    <cellStyle name="20 % - Accent2 3 2 2 7 6" xfId="52289"/>
    <cellStyle name="20 % - Accent2 3 2 2 8" xfId="6852"/>
    <cellStyle name="20 % - Accent2 3 2 2 8 2" xfId="26325"/>
    <cellStyle name="20 % - Accent2 3 2 2 8 3" xfId="39305"/>
    <cellStyle name="20 % - Accent2 3 2 2 8 4" xfId="55534"/>
    <cellStyle name="20 % - Accent2 3 2 2 9" xfId="13345"/>
    <cellStyle name="20 % - Accent2 3 2 2 9 2" xfId="49044"/>
    <cellStyle name="20 % - Accent2 3 2 3" xfId="227"/>
    <cellStyle name="20 % - Accent2 3 2 3 10" xfId="32771"/>
    <cellStyle name="20 % - Accent2 3 2 3 11" xfId="45754"/>
    <cellStyle name="20 % - Accent2 3 2 3 2" xfId="691"/>
    <cellStyle name="20 % - Accent2 3 2 3 2 10" xfId="46214"/>
    <cellStyle name="20 % - Accent2 3 2 3 2 2" xfId="1630"/>
    <cellStyle name="20 % - Accent2 3 2 3 2 2 2" xfId="3297"/>
    <cellStyle name="20 % - Accent2 3 2 3 2 2 2 2" xfId="6542"/>
    <cellStyle name="20 % - Accent2 3 2 3 2 2 2 2 2" xfId="13074"/>
    <cellStyle name="20 % - Accent2 3 2 3 2 2 2 2 2 2" xfId="32547"/>
    <cellStyle name="20 % - Accent2 3 2 3 2 2 2 2 2 3" xfId="45527"/>
    <cellStyle name="20 % - Accent2 3 2 3 2 2 2 2 2 4" xfId="61756"/>
    <cellStyle name="20 % - Accent2 3 2 3 2 2 2 2 3" xfId="19567"/>
    <cellStyle name="20 % - Accent2 3 2 3 2 2 2 2 4" xfId="26057"/>
    <cellStyle name="20 % - Accent2 3 2 3 2 2 2 2 5" xfId="39037"/>
    <cellStyle name="20 % - Accent2 3 2 3 2 2 2 2 6" xfId="55266"/>
    <cellStyle name="20 % - Accent2 3 2 3 2 2 2 3" xfId="9829"/>
    <cellStyle name="20 % - Accent2 3 2 3 2 2 2 3 2" xfId="29302"/>
    <cellStyle name="20 % - Accent2 3 2 3 2 2 2 3 3" xfId="42282"/>
    <cellStyle name="20 % - Accent2 3 2 3 2 2 2 3 4" xfId="58511"/>
    <cellStyle name="20 % - Accent2 3 2 3 2 2 2 4" xfId="16322"/>
    <cellStyle name="20 % - Accent2 3 2 3 2 2 2 4 2" xfId="52021"/>
    <cellStyle name="20 % - Accent2 3 2 3 2 2 2 5" xfId="22812"/>
    <cellStyle name="20 % - Accent2 3 2 3 2 2 2 6" xfId="35792"/>
    <cellStyle name="20 % - Accent2 3 2 3 2 2 2 7" xfId="48775"/>
    <cellStyle name="20 % - Accent2 3 2 3 2 2 3" xfId="4919"/>
    <cellStyle name="20 % - Accent2 3 2 3 2 2 3 2" xfId="11451"/>
    <cellStyle name="20 % - Accent2 3 2 3 2 2 3 2 2" xfId="30924"/>
    <cellStyle name="20 % - Accent2 3 2 3 2 2 3 2 3" xfId="43904"/>
    <cellStyle name="20 % - Accent2 3 2 3 2 2 3 2 4" xfId="60133"/>
    <cellStyle name="20 % - Accent2 3 2 3 2 2 3 3" xfId="17944"/>
    <cellStyle name="20 % - Accent2 3 2 3 2 2 3 4" xfId="24434"/>
    <cellStyle name="20 % - Accent2 3 2 3 2 2 3 5" xfId="37414"/>
    <cellStyle name="20 % - Accent2 3 2 3 2 2 3 6" xfId="53643"/>
    <cellStyle name="20 % - Accent2 3 2 3 2 2 4" xfId="8206"/>
    <cellStyle name="20 % - Accent2 3 2 3 2 2 4 2" xfId="27679"/>
    <cellStyle name="20 % - Accent2 3 2 3 2 2 4 3" xfId="40659"/>
    <cellStyle name="20 % - Accent2 3 2 3 2 2 4 4" xfId="56888"/>
    <cellStyle name="20 % - Accent2 3 2 3 2 2 5" xfId="14699"/>
    <cellStyle name="20 % - Accent2 3 2 3 2 2 5 2" xfId="50398"/>
    <cellStyle name="20 % - Accent2 3 2 3 2 2 6" xfId="21189"/>
    <cellStyle name="20 % - Accent2 3 2 3 2 2 7" xfId="34169"/>
    <cellStyle name="20 % - Accent2 3 2 3 2 2 8" xfId="47152"/>
    <cellStyle name="20 % - Accent2 3 2 3 2 3" xfId="1167"/>
    <cellStyle name="20 % - Accent2 3 2 3 2 3 2" xfId="2834"/>
    <cellStyle name="20 % - Accent2 3 2 3 2 3 2 2" xfId="6079"/>
    <cellStyle name="20 % - Accent2 3 2 3 2 3 2 2 2" xfId="12611"/>
    <cellStyle name="20 % - Accent2 3 2 3 2 3 2 2 2 2" xfId="32084"/>
    <cellStyle name="20 % - Accent2 3 2 3 2 3 2 2 2 3" xfId="45064"/>
    <cellStyle name="20 % - Accent2 3 2 3 2 3 2 2 2 4" xfId="61293"/>
    <cellStyle name="20 % - Accent2 3 2 3 2 3 2 2 3" xfId="19104"/>
    <cellStyle name="20 % - Accent2 3 2 3 2 3 2 2 4" xfId="25594"/>
    <cellStyle name="20 % - Accent2 3 2 3 2 3 2 2 5" xfId="38574"/>
    <cellStyle name="20 % - Accent2 3 2 3 2 3 2 2 6" xfId="54803"/>
    <cellStyle name="20 % - Accent2 3 2 3 2 3 2 3" xfId="9366"/>
    <cellStyle name="20 % - Accent2 3 2 3 2 3 2 3 2" xfId="28839"/>
    <cellStyle name="20 % - Accent2 3 2 3 2 3 2 3 3" xfId="41819"/>
    <cellStyle name="20 % - Accent2 3 2 3 2 3 2 3 4" xfId="58048"/>
    <cellStyle name="20 % - Accent2 3 2 3 2 3 2 4" xfId="15859"/>
    <cellStyle name="20 % - Accent2 3 2 3 2 3 2 4 2" xfId="51558"/>
    <cellStyle name="20 % - Accent2 3 2 3 2 3 2 5" xfId="22349"/>
    <cellStyle name="20 % - Accent2 3 2 3 2 3 2 6" xfId="35329"/>
    <cellStyle name="20 % - Accent2 3 2 3 2 3 2 7" xfId="48312"/>
    <cellStyle name="20 % - Accent2 3 2 3 2 3 3" xfId="4456"/>
    <cellStyle name="20 % - Accent2 3 2 3 2 3 3 2" xfId="10988"/>
    <cellStyle name="20 % - Accent2 3 2 3 2 3 3 2 2" xfId="30461"/>
    <cellStyle name="20 % - Accent2 3 2 3 2 3 3 2 3" xfId="43441"/>
    <cellStyle name="20 % - Accent2 3 2 3 2 3 3 2 4" xfId="59670"/>
    <cellStyle name="20 % - Accent2 3 2 3 2 3 3 3" xfId="17481"/>
    <cellStyle name="20 % - Accent2 3 2 3 2 3 3 4" xfId="23971"/>
    <cellStyle name="20 % - Accent2 3 2 3 2 3 3 5" xfId="36951"/>
    <cellStyle name="20 % - Accent2 3 2 3 2 3 3 6" xfId="53180"/>
    <cellStyle name="20 % - Accent2 3 2 3 2 3 4" xfId="7743"/>
    <cellStyle name="20 % - Accent2 3 2 3 2 3 4 2" xfId="27216"/>
    <cellStyle name="20 % - Accent2 3 2 3 2 3 4 3" xfId="40196"/>
    <cellStyle name="20 % - Accent2 3 2 3 2 3 4 4" xfId="56425"/>
    <cellStyle name="20 % - Accent2 3 2 3 2 3 5" xfId="14236"/>
    <cellStyle name="20 % - Accent2 3 2 3 2 3 5 2" xfId="49935"/>
    <cellStyle name="20 % - Accent2 3 2 3 2 3 6" xfId="20726"/>
    <cellStyle name="20 % - Accent2 3 2 3 2 3 7" xfId="33706"/>
    <cellStyle name="20 % - Accent2 3 2 3 2 3 8" xfId="46689"/>
    <cellStyle name="20 % - Accent2 3 2 3 2 4" xfId="2359"/>
    <cellStyle name="20 % - Accent2 3 2 3 2 4 2" xfId="5604"/>
    <cellStyle name="20 % - Accent2 3 2 3 2 4 2 2" xfId="12136"/>
    <cellStyle name="20 % - Accent2 3 2 3 2 4 2 2 2" xfId="31609"/>
    <cellStyle name="20 % - Accent2 3 2 3 2 4 2 2 3" xfId="44589"/>
    <cellStyle name="20 % - Accent2 3 2 3 2 4 2 2 4" xfId="60818"/>
    <cellStyle name="20 % - Accent2 3 2 3 2 4 2 3" xfId="18629"/>
    <cellStyle name="20 % - Accent2 3 2 3 2 4 2 4" xfId="25119"/>
    <cellStyle name="20 % - Accent2 3 2 3 2 4 2 5" xfId="38099"/>
    <cellStyle name="20 % - Accent2 3 2 3 2 4 2 6" xfId="54328"/>
    <cellStyle name="20 % - Accent2 3 2 3 2 4 3" xfId="8891"/>
    <cellStyle name="20 % - Accent2 3 2 3 2 4 3 2" xfId="28364"/>
    <cellStyle name="20 % - Accent2 3 2 3 2 4 3 3" xfId="41344"/>
    <cellStyle name="20 % - Accent2 3 2 3 2 4 3 4" xfId="57573"/>
    <cellStyle name="20 % - Accent2 3 2 3 2 4 4" xfId="15384"/>
    <cellStyle name="20 % - Accent2 3 2 3 2 4 4 2" xfId="51083"/>
    <cellStyle name="20 % - Accent2 3 2 3 2 4 5" xfId="21874"/>
    <cellStyle name="20 % - Accent2 3 2 3 2 4 6" xfId="34854"/>
    <cellStyle name="20 % - Accent2 3 2 3 2 4 7" xfId="47837"/>
    <cellStyle name="20 % - Accent2 3 2 3 2 5" xfId="3981"/>
    <cellStyle name="20 % - Accent2 3 2 3 2 5 2" xfId="10513"/>
    <cellStyle name="20 % - Accent2 3 2 3 2 5 2 2" xfId="29986"/>
    <cellStyle name="20 % - Accent2 3 2 3 2 5 2 3" xfId="42966"/>
    <cellStyle name="20 % - Accent2 3 2 3 2 5 2 4" xfId="59195"/>
    <cellStyle name="20 % - Accent2 3 2 3 2 5 3" xfId="17006"/>
    <cellStyle name="20 % - Accent2 3 2 3 2 5 4" xfId="23496"/>
    <cellStyle name="20 % - Accent2 3 2 3 2 5 5" xfId="36476"/>
    <cellStyle name="20 % - Accent2 3 2 3 2 5 6" xfId="52705"/>
    <cellStyle name="20 % - Accent2 3 2 3 2 6" xfId="7268"/>
    <cellStyle name="20 % - Accent2 3 2 3 2 6 2" xfId="26741"/>
    <cellStyle name="20 % - Accent2 3 2 3 2 6 3" xfId="39721"/>
    <cellStyle name="20 % - Accent2 3 2 3 2 6 4" xfId="55950"/>
    <cellStyle name="20 % - Accent2 3 2 3 2 7" xfId="13761"/>
    <cellStyle name="20 % - Accent2 3 2 3 2 7 2" xfId="49460"/>
    <cellStyle name="20 % - Accent2 3 2 3 2 8" xfId="20251"/>
    <cellStyle name="20 % - Accent2 3 2 3 2 9" xfId="33231"/>
    <cellStyle name="20 % - Accent2 3 2 3 3" xfId="461"/>
    <cellStyle name="20 % - Accent2 3 2 3 3 2" xfId="1410"/>
    <cellStyle name="20 % - Accent2 3 2 3 3 2 2" xfId="3077"/>
    <cellStyle name="20 % - Accent2 3 2 3 3 2 2 2" xfId="6322"/>
    <cellStyle name="20 % - Accent2 3 2 3 3 2 2 2 2" xfId="12854"/>
    <cellStyle name="20 % - Accent2 3 2 3 3 2 2 2 2 2" xfId="32327"/>
    <cellStyle name="20 % - Accent2 3 2 3 3 2 2 2 2 3" xfId="45307"/>
    <cellStyle name="20 % - Accent2 3 2 3 3 2 2 2 2 4" xfId="61536"/>
    <cellStyle name="20 % - Accent2 3 2 3 3 2 2 2 3" xfId="19347"/>
    <cellStyle name="20 % - Accent2 3 2 3 3 2 2 2 4" xfId="25837"/>
    <cellStyle name="20 % - Accent2 3 2 3 3 2 2 2 5" xfId="38817"/>
    <cellStyle name="20 % - Accent2 3 2 3 3 2 2 2 6" xfId="55046"/>
    <cellStyle name="20 % - Accent2 3 2 3 3 2 2 3" xfId="9609"/>
    <cellStyle name="20 % - Accent2 3 2 3 3 2 2 3 2" xfId="29082"/>
    <cellStyle name="20 % - Accent2 3 2 3 3 2 2 3 3" xfId="42062"/>
    <cellStyle name="20 % - Accent2 3 2 3 3 2 2 3 4" xfId="58291"/>
    <cellStyle name="20 % - Accent2 3 2 3 3 2 2 4" xfId="16102"/>
    <cellStyle name="20 % - Accent2 3 2 3 3 2 2 4 2" xfId="51801"/>
    <cellStyle name="20 % - Accent2 3 2 3 3 2 2 5" xfId="22592"/>
    <cellStyle name="20 % - Accent2 3 2 3 3 2 2 6" xfId="35572"/>
    <cellStyle name="20 % - Accent2 3 2 3 3 2 2 7" xfId="48555"/>
    <cellStyle name="20 % - Accent2 3 2 3 3 2 3" xfId="4699"/>
    <cellStyle name="20 % - Accent2 3 2 3 3 2 3 2" xfId="11231"/>
    <cellStyle name="20 % - Accent2 3 2 3 3 2 3 2 2" xfId="30704"/>
    <cellStyle name="20 % - Accent2 3 2 3 3 2 3 2 3" xfId="43684"/>
    <cellStyle name="20 % - Accent2 3 2 3 3 2 3 2 4" xfId="59913"/>
    <cellStyle name="20 % - Accent2 3 2 3 3 2 3 3" xfId="17724"/>
    <cellStyle name="20 % - Accent2 3 2 3 3 2 3 4" xfId="24214"/>
    <cellStyle name="20 % - Accent2 3 2 3 3 2 3 5" xfId="37194"/>
    <cellStyle name="20 % - Accent2 3 2 3 3 2 3 6" xfId="53423"/>
    <cellStyle name="20 % - Accent2 3 2 3 3 2 4" xfId="7986"/>
    <cellStyle name="20 % - Accent2 3 2 3 3 2 4 2" xfId="27459"/>
    <cellStyle name="20 % - Accent2 3 2 3 3 2 4 3" xfId="40439"/>
    <cellStyle name="20 % - Accent2 3 2 3 3 2 4 4" xfId="56668"/>
    <cellStyle name="20 % - Accent2 3 2 3 3 2 5" xfId="14479"/>
    <cellStyle name="20 % - Accent2 3 2 3 3 2 5 2" xfId="50178"/>
    <cellStyle name="20 % - Accent2 3 2 3 3 2 6" xfId="20969"/>
    <cellStyle name="20 % - Accent2 3 2 3 3 2 7" xfId="33949"/>
    <cellStyle name="20 % - Accent2 3 2 3 3 2 8" xfId="46932"/>
    <cellStyle name="20 % - Accent2 3 2 3 3 3" xfId="2129"/>
    <cellStyle name="20 % - Accent2 3 2 3 3 3 2" xfId="5374"/>
    <cellStyle name="20 % - Accent2 3 2 3 3 3 2 2" xfId="11906"/>
    <cellStyle name="20 % - Accent2 3 2 3 3 3 2 2 2" xfId="31379"/>
    <cellStyle name="20 % - Accent2 3 2 3 3 3 2 2 3" xfId="44359"/>
    <cellStyle name="20 % - Accent2 3 2 3 3 3 2 2 4" xfId="60588"/>
    <cellStyle name="20 % - Accent2 3 2 3 3 3 2 3" xfId="18399"/>
    <cellStyle name="20 % - Accent2 3 2 3 3 3 2 4" xfId="24889"/>
    <cellStyle name="20 % - Accent2 3 2 3 3 3 2 5" xfId="37869"/>
    <cellStyle name="20 % - Accent2 3 2 3 3 3 2 6" xfId="54098"/>
    <cellStyle name="20 % - Accent2 3 2 3 3 3 3" xfId="8661"/>
    <cellStyle name="20 % - Accent2 3 2 3 3 3 3 2" xfId="28134"/>
    <cellStyle name="20 % - Accent2 3 2 3 3 3 3 3" xfId="41114"/>
    <cellStyle name="20 % - Accent2 3 2 3 3 3 3 4" xfId="57343"/>
    <cellStyle name="20 % - Accent2 3 2 3 3 3 4" xfId="15154"/>
    <cellStyle name="20 % - Accent2 3 2 3 3 3 4 2" xfId="50853"/>
    <cellStyle name="20 % - Accent2 3 2 3 3 3 5" xfId="21644"/>
    <cellStyle name="20 % - Accent2 3 2 3 3 3 6" xfId="34624"/>
    <cellStyle name="20 % - Accent2 3 2 3 3 3 7" xfId="47607"/>
    <cellStyle name="20 % - Accent2 3 2 3 3 4" xfId="3751"/>
    <cellStyle name="20 % - Accent2 3 2 3 3 4 2" xfId="10283"/>
    <cellStyle name="20 % - Accent2 3 2 3 3 4 2 2" xfId="29756"/>
    <cellStyle name="20 % - Accent2 3 2 3 3 4 2 3" xfId="42736"/>
    <cellStyle name="20 % - Accent2 3 2 3 3 4 2 4" xfId="58965"/>
    <cellStyle name="20 % - Accent2 3 2 3 3 4 3" xfId="16776"/>
    <cellStyle name="20 % - Accent2 3 2 3 3 4 4" xfId="23266"/>
    <cellStyle name="20 % - Accent2 3 2 3 3 4 5" xfId="36246"/>
    <cellStyle name="20 % - Accent2 3 2 3 3 4 6" xfId="52475"/>
    <cellStyle name="20 % - Accent2 3 2 3 3 5" xfId="7038"/>
    <cellStyle name="20 % - Accent2 3 2 3 3 5 2" xfId="26511"/>
    <cellStyle name="20 % - Accent2 3 2 3 3 5 3" xfId="39491"/>
    <cellStyle name="20 % - Accent2 3 2 3 3 5 4" xfId="55720"/>
    <cellStyle name="20 % - Accent2 3 2 3 3 6" xfId="13531"/>
    <cellStyle name="20 % - Accent2 3 2 3 3 6 2" xfId="49230"/>
    <cellStyle name="20 % - Accent2 3 2 3 3 7" xfId="20021"/>
    <cellStyle name="20 % - Accent2 3 2 3 3 8" xfId="33001"/>
    <cellStyle name="20 % - Accent2 3 2 3 3 9" xfId="45984"/>
    <cellStyle name="20 % - Accent2 3 2 3 4" xfId="947"/>
    <cellStyle name="20 % - Accent2 3 2 3 4 2" xfId="2614"/>
    <cellStyle name="20 % - Accent2 3 2 3 4 2 2" xfId="5859"/>
    <cellStyle name="20 % - Accent2 3 2 3 4 2 2 2" xfId="12391"/>
    <cellStyle name="20 % - Accent2 3 2 3 4 2 2 2 2" xfId="31864"/>
    <cellStyle name="20 % - Accent2 3 2 3 4 2 2 2 3" xfId="44844"/>
    <cellStyle name="20 % - Accent2 3 2 3 4 2 2 2 4" xfId="61073"/>
    <cellStyle name="20 % - Accent2 3 2 3 4 2 2 3" xfId="18884"/>
    <cellStyle name="20 % - Accent2 3 2 3 4 2 2 4" xfId="25374"/>
    <cellStyle name="20 % - Accent2 3 2 3 4 2 2 5" xfId="38354"/>
    <cellStyle name="20 % - Accent2 3 2 3 4 2 2 6" xfId="54583"/>
    <cellStyle name="20 % - Accent2 3 2 3 4 2 3" xfId="9146"/>
    <cellStyle name="20 % - Accent2 3 2 3 4 2 3 2" xfId="28619"/>
    <cellStyle name="20 % - Accent2 3 2 3 4 2 3 3" xfId="41599"/>
    <cellStyle name="20 % - Accent2 3 2 3 4 2 3 4" xfId="57828"/>
    <cellStyle name="20 % - Accent2 3 2 3 4 2 4" xfId="15639"/>
    <cellStyle name="20 % - Accent2 3 2 3 4 2 4 2" xfId="51338"/>
    <cellStyle name="20 % - Accent2 3 2 3 4 2 5" xfId="22129"/>
    <cellStyle name="20 % - Accent2 3 2 3 4 2 6" xfId="35109"/>
    <cellStyle name="20 % - Accent2 3 2 3 4 2 7" xfId="48092"/>
    <cellStyle name="20 % - Accent2 3 2 3 4 3" xfId="4236"/>
    <cellStyle name="20 % - Accent2 3 2 3 4 3 2" xfId="10768"/>
    <cellStyle name="20 % - Accent2 3 2 3 4 3 2 2" xfId="30241"/>
    <cellStyle name="20 % - Accent2 3 2 3 4 3 2 3" xfId="43221"/>
    <cellStyle name="20 % - Accent2 3 2 3 4 3 2 4" xfId="59450"/>
    <cellStyle name="20 % - Accent2 3 2 3 4 3 3" xfId="17261"/>
    <cellStyle name="20 % - Accent2 3 2 3 4 3 4" xfId="23751"/>
    <cellStyle name="20 % - Accent2 3 2 3 4 3 5" xfId="36731"/>
    <cellStyle name="20 % - Accent2 3 2 3 4 3 6" xfId="52960"/>
    <cellStyle name="20 % - Accent2 3 2 3 4 4" xfId="7523"/>
    <cellStyle name="20 % - Accent2 3 2 3 4 4 2" xfId="26996"/>
    <cellStyle name="20 % - Accent2 3 2 3 4 4 3" xfId="39976"/>
    <cellStyle name="20 % - Accent2 3 2 3 4 4 4" xfId="56205"/>
    <cellStyle name="20 % - Accent2 3 2 3 4 5" xfId="14016"/>
    <cellStyle name="20 % - Accent2 3 2 3 4 5 2" xfId="49715"/>
    <cellStyle name="20 % - Accent2 3 2 3 4 6" xfId="20506"/>
    <cellStyle name="20 % - Accent2 3 2 3 4 7" xfId="33486"/>
    <cellStyle name="20 % - Accent2 3 2 3 4 8" xfId="46469"/>
    <cellStyle name="20 % - Accent2 3 2 3 5" xfId="1900"/>
    <cellStyle name="20 % - Accent2 3 2 3 5 2" xfId="5145"/>
    <cellStyle name="20 % - Accent2 3 2 3 5 2 2" xfId="11677"/>
    <cellStyle name="20 % - Accent2 3 2 3 5 2 2 2" xfId="31150"/>
    <cellStyle name="20 % - Accent2 3 2 3 5 2 2 3" xfId="44130"/>
    <cellStyle name="20 % - Accent2 3 2 3 5 2 2 4" xfId="60359"/>
    <cellStyle name="20 % - Accent2 3 2 3 5 2 3" xfId="18170"/>
    <cellStyle name="20 % - Accent2 3 2 3 5 2 4" xfId="24660"/>
    <cellStyle name="20 % - Accent2 3 2 3 5 2 5" xfId="37640"/>
    <cellStyle name="20 % - Accent2 3 2 3 5 2 6" xfId="53869"/>
    <cellStyle name="20 % - Accent2 3 2 3 5 3" xfId="8432"/>
    <cellStyle name="20 % - Accent2 3 2 3 5 3 2" xfId="27905"/>
    <cellStyle name="20 % - Accent2 3 2 3 5 3 3" xfId="40885"/>
    <cellStyle name="20 % - Accent2 3 2 3 5 3 4" xfId="57114"/>
    <cellStyle name="20 % - Accent2 3 2 3 5 4" xfId="14925"/>
    <cellStyle name="20 % - Accent2 3 2 3 5 4 2" xfId="50624"/>
    <cellStyle name="20 % - Accent2 3 2 3 5 5" xfId="21415"/>
    <cellStyle name="20 % - Accent2 3 2 3 5 6" xfId="34395"/>
    <cellStyle name="20 % - Accent2 3 2 3 5 7" xfId="47378"/>
    <cellStyle name="20 % - Accent2 3 2 3 6" xfId="3521"/>
    <cellStyle name="20 % - Accent2 3 2 3 6 2" xfId="10053"/>
    <cellStyle name="20 % - Accent2 3 2 3 6 2 2" xfId="29526"/>
    <cellStyle name="20 % - Accent2 3 2 3 6 2 3" xfId="42506"/>
    <cellStyle name="20 % - Accent2 3 2 3 6 2 4" xfId="58735"/>
    <cellStyle name="20 % - Accent2 3 2 3 6 3" xfId="16546"/>
    <cellStyle name="20 % - Accent2 3 2 3 6 4" xfId="23036"/>
    <cellStyle name="20 % - Accent2 3 2 3 6 5" xfId="36016"/>
    <cellStyle name="20 % - Accent2 3 2 3 6 6" xfId="52245"/>
    <cellStyle name="20 % - Accent2 3 2 3 7" xfId="6808"/>
    <cellStyle name="20 % - Accent2 3 2 3 7 2" xfId="26281"/>
    <cellStyle name="20 % - Accent2 3 2 3 7 3" xfId="39261"/>
    <cellStyle name="20 % - Accent2 3 2 3 7 4" xfId="55490"/>
    <cellStyle name="20 % - Accent2 3 2 3 8" xfId="13301"/>
    <cellStyle name="20 % - Accent2 3 2 3 8 2" xfId="49000"/>
    <cellStyle name="20 % - Accent2 3 2 3 9" xfId="19791"/>
    <cellStyle name="20 % - Accent2 3 2 4" xfId="315"/>
    <cellStyle name="20 % - Accent2 3 2 4 10" xfId="32859"/>
    <cellStyle name="20 % - Accent2 3 2 4 11" xfId="45842"/>
    <cellStyle name="20 % - Accent2 3 2 4 2" xfId="779"/>
    <cellStyle name="20 % - Accent2 3 2 4 2 10" xfId="46302"/>
    <cellStyle name="20 % - Accent2 3 2 4 2 2" xfId="1718"/>
    <cellStyle name="20 % - Accent2 3 2 4 2 2 2" xfId="3385"/>
    <cellStyle name="20 % - Accent2 3 2 4 2 2 2 2" xfId="6630"/>
    <cellStyle name="20 % - Accent2 3 2 4 2 2 2 2 2" xfId="13162"/>
    <cellStyle name="20 % - Accent2 3 2 4 2 2 2 2 2 2" xfId="32635"/>
    <cellStyle name="20 % - Accent2 3 2 4 2 2 2 2 2 3" xfId="45615"/>
    <cellStyle name="20 % - Accent2 3 2 4 2 2 2 2 2 4" xfId="61844"/>
    <cellStyle name="20 % - Accent2 3 2 4 2 2 2 2 3" xfId="19655"/>
    <cellStyle name="20 % - Accent2 3 2 4 2 2 2 2 4" xfId="26145"/>
    <cellStyle name="20 % - Accent2 3 2 4 2 2 2 2 5" xfId="39125"/>
    <cellStyle name="20 % - Accent2 3 2 4 2 2 2 2 6" xfId="55354"/>
    <cellStyle name="20 % - Accent2 3 2 4 2 2 2 3" xfId="9917"/>
    <cellStyle name="20 % - Accent2 3 2 4 2 2 2 3 2" xfId="29390"/>
    <cellStyle name="20 % - Accent2 3 2 4 2 2 2 3 3" xfId="42370"/>
    <cellStyle name="20 % - Accent2 3 2 4 2 2 2 3 4" xfId="58599"/>
    <cellStyle name="20 % - Accent2 3 2 4 2 2 2 4" xfId="16410"/>
    <cellStyle name="20 % - Accent2 3 2 4 2 2 2 4 2" xfId="52109"/>
    <cellStyle name="20 % - Accent2 3 2 4 2 2 2 5" xfId="22900"/>
    <cellStyle name="20 % - Accent2 3 2 4 2 2 2 6" xfId="35880"/>
    <cellStyle name="20 % - Accent2 3 2 4 2 2 2 7" xfId="48863"/>
    <cellStyle name="20 % - Accent2 3 2 4 2 2 3" xfId="5007"/>
    <cellStyle name="20 % - Accent2 3 2 4 2 2 3 2" xfId="11539"/>
    <cellStyle name="20 % - Accent2 3 2 4 2 2 3 2 2" xfId="31012"/>
    <cellStyle name="20 % - Accent2 3 2 4 2 2 3 2 3" xfId="43992"/>
    <cellStyle name="20 % - Accent2 3 2 4 2 2 3 2 4" xfId="60221"/>
    <cellStyle name="20 % - Accent2 3 2 4 2 2 3 3" xfId="18032"/>
    <cellStyle name="20 % - Accent2 3 2 4 2 2 3 4" xfId="24522"/>
    <cellStyle name="20 % - Accent2 3 2 4 2 2 3 5" xfId="37502"/>
    <cellStyle name="20 % - Accent2 3 2 4 2 2 3 6" xfId="53731"/>
    <cellStyle name="20 % - Accent2 3 2 4 2 2 4" xfId="8294"/>
    <cellStyle name="20 % - Accent2 3 2 4 2 2 4 2" xfId="27767"/>
    <cellStyle name="20 % - Accent2 3 2 4 2 2 4 3" xfId="40747"/>
    <cellStyle name="20 % - Accent2 3 2 4 2 2 4 4" xfId="56976"/>
    <cellStyle name="20 % - Accent2 3 2 4 2 2 5" xfId="14787"/>
    <cellStyle name="20 % - Accent2 3 2 4 2 2 5 2" xfId="50486"/>
    <cellStyle name="20 % - Accent2 3 2 4 2 2 6" xfId="21277"/>
    <cellStyle name="20 % - Accent2 3 2 4 2 2 7" xfId="34257"/>
    <cellStyle name="20 % - Accent2 3 2 4 2 2 8" xfId="47240"/>
    <cellStyle name="20 % - Accent2 3 2 4 2 3" xfId="1255"/>
    <cellStyle name="20 % - Accent2 3 2 4 2 3 2" xfId="2922"/>
    <cellStyle name="20 % - Accent2 3 2 4 2 3 2 2" xfId="6167"/>
    <cellStyle name="20 % - Accent2 3 2 4 2 3 2 2 2" xfId="12699"/>
    <cellStyle name="20 % - Accent2 3 2 4 2 3 2 2 2 2" xfId="32172"/>
    <cellStyle name="20 % - Accent2 3 2 4 2 3 2 2 2 3" xfId="45152"/>
    <cellStyle name="20 % - Accent2 3 2 4 2 3 2 2 2 4" xfId="61381"/>
    <cellStyle name="20 % - Accent2 3 2 4 2 3 2 2 3" xfId="19192"/>
    <cellStyle name="20 % - Accent2 3 2 4 2 3 2 2 4" xfId="25682"/>
    <cellStyle name="20 % - Accent2 3 2 4 2 3 2 2 5" xfId="38662"/>
    <cellStyle name="20 % - Accent2 3 2 4 2 3 2 2 6" xfId="54891"/>
    <cellStyle name="20 % - Accent2 3 2 4 2 3 2 3" xfId="9454"/>
    <cellStyle name="20 % - Accent2 3 2 4 2 3 2 3 2" xfId="28927"/>
    <cellStyle name="20 % - Accent2 3 2 4 2 3 2 3 3" xfId="41907"/>
    <cellStyle name="20 % - Accent2 3 2 4 2 3 2 3 4" xfId="58136"/>
    <cellStyle name="20 % - Accent2 3 2 4 2 3 2 4" xfId="15947"/>
    <cellStyle name="20 % - Accent2 3 2 4 2 3 2 4 2" xfId="51646"/>
    <cellStyle name="20 % - Accent2 3 2 4 2 3 2 5" xfId="22437"/>
    <cellStyle name="20 % - Accent2 3 2 4 2 3 2 6" xfId="35417"/>
    <cellStyle name="20 % - Accent2 3 2 4 2 3 2 7" xfId="48400"/>
    <cellStyle name="20 % - Accent2 3 2 4 2 3 3" xfId="4544"/>
    <cellStyle name="20 % - Accent2 3 2 4 2 3 3 2" xfId="11076"/>
    <cellStyle name="20 % - Accent2 3 2 4 2 3 3 2 2" xfId="30549"/>
    <cellStyle name="20 % - Accent2 3 2 4 2 3 3 2 3" xfId="43529"/>
    <cellStyle name="20 % - Accent2 3 2 4 2 3 3 2 4" xfId="59758"/>
    <cellStyle name="20 % - Accent2 3 2 4 2 3 3 3" xfId="17569"/>
    <cellStyle name="20 % - Accent2 3 2 4 2 3 3 4" xfId="24059"/>
    <cellStyle name="20 % - Accent2 3 2 4 2 3 3 5" xfId="37039"/>
    <cellStyle name="20 % - Accent2 3 2 4 2 3 3 6" xfId="53268"/>
    <cellStyle name="20 % - Accent2 3 2 4 2 3 4" xfId="7831"/>
    <cellStyle name="20 % - Accent2 3 2 4 2 3 4 2" xfId="27304"/>
    <cellStyle name="20 % - Accent2 3 2 4 2 3 4 3" xfId="40284"/>
    <cellStyle name="20 % - Accent2 3 2 4 2 3 4 4" xfId="56513"/>
    <cellStyle name="20 % - Accent2 3 2 4 2 3 5" xfId="14324"/>
    <cellStyle name="20 % - Accent2 3 2 4 2 3 5 2" xfId="50023"/>
    <cellStyle name="20 % - Accent2 3 2 4 2 3 6" xfId="20814"/>
    <cellStyle name="20 % - Accent2 3 2 4 2 3 7" xfId="33794"/>
    <cellStyle name="20 % - Accent2 3 2 4 2 3 8" xfId="46777"/>
    <cellStyle name="20 % - Accent2 3 2 4 2 4" xfId="2447"/>
    <cellStyle name="20 % - Accent2 3 2 4 2 4 2" xfId="5692"/>
    <cellStyle name="20 % - Accent2 3 2 4 2 4 2 2" xfId="12224"/>
    <cellStyle name="20 % - Accent2 3 2 4 2 4 2 2 2" xfId="31697"/>
    <cellStyle name="20 % - Accent2 3 2 4 2 4 2 2 3" xfId="44677"/>
    <cellStyle name="20 % - Accent2 3 2 4 2 4 2 2 4" xfId="60906"/>
    <cellStyle name="20 % - Accent2 3 2 4 2 4 2 3" xfId="18717"/>
    <cellStyle name="20 % - Accent2 3 2 4 2 4 2 4" xfId="25207"/>
    <cellStyle name="20 % - Accent2 3 2 4 2 4 2 5" xfId="38187"/>
    <cellStyle name="20 % - Accent2 3 2 4 2 4 2 6" xfId="54416"/>
    <cellStyle name="20 % - Accent2 3 2 4 2 4 3" xfId="8979"/>
    <cellStyle name="20 % - Accent2 3 2 4 2 4 3 2" xfId="28452"/>
    <cellStyle name="20 % - Accent2 3 2 4 2 4 3 3" xfId="41432"/>
    <cellStyle name="20 % - Accent2 3 2 4 2 4 3 4" xfId="57661"/>
    <cellStyle name="20 % - Accent2 3 2 4 2 4 4" xfId="15472"/>
    <cellStyle name="20 % - Accent2 3 2 4 2 4 4 2" xfId="51171"/>
    <cellStyle name="20 % - Accent2 3 2 4 2 4 5" xfId="21962"/>
    <cellStyle name="20 % - Accent2 3 2 4 2 4 6" xfId="34942"/>
    <cellStyle name="20 % - Accent2 3 2 4 2 4 7" xfId="47925"/>
    <cellStyle name="20 % - Accent2 3 2 4 2 5" xfId="4069"/>
    <cellStyle name="20 % - Accent2 3 2 4 2 5 2" xfId="10601"/>
    <cellStyle name="20 % - Accent2 3 2 4 2 5 2 2" xfId="30074"/>
    <cellStyle name="20 % - Accent2 3 2 4 2 5 2 3" xfId="43054"/>
    <cellStyle name="20 % - Accent2 3 2 4 2 5 2 4" xfId="59283"/>
    <cellStyle name="20 % - Accent2 3 2 4 2 5 3" xfId="17094"/>
    <cellStyle name="20 % - Accent2 3 2 4 2 5 4" xfId="23584"/>
    <cellStyle name="20 % - Accent2 3 2 4 2 5 5" xfId="36564"/>
    <cellStyle name="20 % - Accent2 3 2 4 2 5 6" xfId="52793"/>
    <cellStyle name="20 % - Accent2 3 2 4 2 6" xfId="7356"/>
    <cellStyle name="20 % - Accent2 3 2 4 2 6 2" xfId="26829"/>
    <cellStyle name="20 % - Accent2 3 2 4 2 6 3" xfId="39809"/>
    <cellStyle name="20 % - Accent2 3 2 4 2 6 4" xfId="56038"/>
    <cellStyle name="20 % - Accent2 3 2 4 2 7" xfId="13849"/>
    <cellStyle name="20 % - Accent2 3 2 4 2 7 2" xfId="49548"/>
    <cellStyle name="20 % - Accent2 3 2 4 2 8" xfId="20339"/>
    <cellStyle name="20 % - Accent2 3 2 4 2 9" xfId="33319"/>
    <cellStyle name="20 % - Accent2 3 2 4 3" xfId="549"/>
    <cellStyle name="20 % - Accent2 3 2 4 3 2" xfId="1498"/>
    <cellStyle name="20 % - Accent2 3 2 4 3 2 2" xfId="3165"/>
    <cellStyle name="20 % - Accent2 3 2 4 3 2 2 2" xfId="6410"/>
    <cellStyle name="20 % - Accent2 3 2 4 3 2 2 2 2" xfId="12942"/>
    <cellStyle name="20 % - Accent2 3 2 4 3 2 2 2 2 2" xfId="32415"/>
    <cellStyle name="20 % - Accent2 3 2 4 3 2 2 2 2 3" xfId="45395"/>
    <cellStyle name="20 % - Accent2 3 2 4 3 2 2 2 2 4" xfId="61624"/>
    <cellStyle name="20 % - Accent2 3 2 4 3 2 2 2 3" xfId="19435"/>
    <cellStyle name="20 % - Accent2 3 2 4 3 2 2 2 4" xfId="25925"/>
    <cellStyle name="20 % - Accent2 3 2 4 3 2 2 2 5" xfId="38905"/>
    <cellStyle name="20 % - Accent2 3 2 4 3 2 2 2 6" xfId="55134"/>
    <cellStyle name="20 % - Accent2 3 2 4 3 2 2 3" xfId="9697"/>
    <cellStyle name="20 % - Accent2 3 2 4 3 2 2 3 2" xfId="29170"/>
    <cellStyle name="20 % - Accent2 3 2 4 3 2 2 3 3" xfId="42150"/>
    <cellStyle name="20 % - Accent2 3 2 4 3 2 2 3 4" xfId="58379"/>
    <cellStyle name="20 % - Accent2 3 2 4 3 2 2 4" xfId="16190"/>
    <cellStyle name="20 % - Accent2 3 2 4 3 2 2 4 2" xfId="51889"/>
    <cellStyle name="20 % - Accent2 3 2 4 3 2 2 5" xfId="22680"/>
    <cellStyle name="20 % - Accent2 3 2 4 3 2 2 6" xfId="35660"/>
    <cellStyle name="20 % - Accent2 3 2 4 3 2 2 7" xfId="48643"/>
    <cellStyle name="20 % - Accent2 3 2 4 3 2 3" xfId="4787"/>
    <cellStyle name="20 % - Accent2 3 2 4 3 2 3 2" xfId="11319"/>
    <cellStyle name="20 % - Accent2 3 2 4 3 2 3 2 2" xfId="30792"/>
    <cellStyle name="20 % - Accent2 3 2 4 3 2 3 2 3" xfId="43772"/>
    <cellStyle name="20 % - Accent2 3 2 4 3 2 3 2 4" xfId="60001"/>
    <cellStyle name="20 % - Accent2 3 2 4 3 2 3 3" xfId="17812"/>
    <cellStyle name="20 % - Accent2 3 2 4 3 2 3 4" xfId="24302"/>
    <cellStyle name="20 % - Accent2 3 2 4 3 2 3 5" xfId="37282"/>
    <cellStyle name="20 % - Accent2 3 2 4 3 2 3 6" xfId="53511"/>
    <cellStyle name="20 % - Accent2 3 2 4 3 2 4" xfId="8074"/>
    <cellStyle name="20 % - Accent2 3 2 4 3 2 4 2" xfId="27547"/>
    <cellStyle name="20 % - Accent2 3 2 4 3 2 4 3" xfId="40527"/>
    <cellStyle name="20 % - Accent2 3 2 4 3 2 4 4" xfId="56756"/>
    <cellStyle name="20 % - Accent2 3 2 4 3 2 5" xfId="14567"/>
    <cellStyle name="20 % - Accent2 3 2 4 3 2 5 2" xfId="50266"/>
    <cellStyle name="20 % - Accent2 3 2 4 3 2 6" xfId="21057"/>
    <cellStyle name="20 % - Accent2 3 2 4 3 2 7" xfId="34037"/>
    <cellStyle name="20 % - Accent2 3 2 4 3 2 8" xfId="47020"/>
    <cellStyle name="20 % - Accent2 3 2 4 3 3" xfId="2217"/>
    <cellStyle name="20 % - Accent2 3 2 4 3 3 2" xfId="5462"/>
    <cellStyle name="20 % - Accent2 3 2 4 3 3 2 2" xfId="11994"/>
    <cellStyle name="20 % - Accent2 3 2 4 3 3 2 2 2" xfId="31467"/>
    <cellStyle name="20 % - Accent2 3 2 4 3 3 2 2 3" xfId="44447"/>
    <cellStyle name="20 % - Accent2 3 2 4 3 3 2 2 4" xfId="60676"/>
    <cellStyle name="20 % - Accent2 3 2 4 3 3 2 3" xfId="18487"/>
    <cellStyle name="20 % - Accent2 3 2 4 3 3 2 4" xfId="24977"/>
    <cellStyle name="20 % - Accent2 3 2 4 3 3 2 5" xfId="37957"/>
    <cellStyle name="20 % - Accent2 3 2 4 3 3 2 6" xfId="54186"/>
    <cellStyle name="20 % - Accent2 3 2 4 3 3 3" xfId="8749"/>
    <cellStyle name="20 % - Accent2 3 2 4 3 3 3 2" xfId="28222"/>
    <cellStyle name="20 % - Accent2 3 2 4 3 3 3 3" xfId="41202"/>
    <cellStyle name="20 % - Accent2 3 2 4 3 3 3 4" xfId="57431"/>
    <cellStyle name="20 % - Accent2 3 2 4 3 3 4" xfId="15242"/>
    <cellStyle name="20 % - Accent2 3 2 4 3 3 4 2" xfId="50941"/>
    <cellStyle name="20 % - Accent2 3 2 4 3 3 5" xfId="21732"/>
    <cellStyle name="20 % - Accent2 3 2 4 3 3 6" xfId="34712"/>
    <cellStyle name="20 % - Accent2 3 2 4 3 3 7" xfId="47695"/>
    <cellStyle name="20 % - Accent2 3 2 4 3 4" xfId="3839"/>
    <cellStyle name="20 % - Accent2 3 2 4 3 4 2" xfId="10371"/>
    <cellStyle name="20 % - Accent2 3 2 4 3 4 2 2" xfId="29844"/>
    <cellStyle name="20 % - Accent2 3 2 4 3 4 2 3" xfId="42824"/>
    <cellStyle name="20 % - Accent2 3 2 4 3 4 2 4" xfId="59053"/>
    <cellStyle name="20 % - Accent2 3 2 4 3 4 3" xfId="16864"/>
    <cellStyle name="20 % - Accent2 3 2 4 3 4 4" xfId="23354"/>
    <cellStyle name="20 % - Accent2 3 2 4 3 4 5" xfId="36334"/>
    <cellStyle name="20 % - Accent2 3 2 4 3 4 6" xfId="52563"/>
    <cellStyle name="20 % - Accent2 3 2 4 3 5" xfId="7126"/>
    <cellStyle name="20 % - Accent2 3 2 4 3 5 2" xfId="26599"/>
    <cellStyle name="20 % - Accent2 3 2 4 3 5 3" xfId="39579"/>
    <cellStyle name="20 % - Accent2 3 2 4 3 5 4" xfId="55808"/>
    <cellStyle name="20 % - Accent2 3 2 4 3 6" xfId="13619"/>
    <cellStyle name="20 % - Accent2 3 2 4 3 6 2" xfId="49318"/>
    <cellStyle name="20 % - Accent2 3 2 4 3 7" xfId="20109"/>
    <cellStyle name="20 % - Accent2 3 2 4 3 8" xfId="33089"/>
    <cellStyle name="20 % - Accent2 3 2 4 3 9" xfId="46072"/>
    <cellStyle name="20 % - Accent2 3 2 4 4" xfId="1035"/>
    <cellStyle name="20 % - Accent2 3 2 4 4 2" xfId="2702"/>
    <cellStyle name="20 % - Accent2 3 2 4 4 2 2" xfId="5947"/>
    <cellStyle name="20 % - Accent2 3 2 4 4 2 2 2" xfId="12479"/>
    <cellStyle name="20 % - Accent2 3 2 4 4 2 2 2 2" xfId="31952"/>
    <cellStyle name="20 % - Accent2 3 2 4 4 2 2 2 3" xfId="44932"/>
    <cellStyle name="20 % - Accent2 3 2 4 4 2 2 2 4" xfId="61161"/>
    <cellStyle name="20 % - Accent2 3 2 4 4 2 2 3" xfId="18972"/>
    <cellStyle name="20 % - Accent2 3 2 4 4 2 2 4" xfId="25462"/>
    <cellStyle name="20 % - Accent2 3 2 4 4 2 2 5" xfId="38442"/>
    <cellStyle name="20 % - Accent2 3 2 4 4 2 2 6" xfId="54671"/>
    <cellStyle name="20 % - Accent2 3 2 4 4 2 3" xfId="9234"/>
    <cellStyle name="20 % - Accent2 3 2 4 4 2 3 2" xfId="28707"/>
    <cellStyle name="20 % - Accent2 3 2 4 4 2 3 3" xfId="41687"/>
    <cellStyle name="20 % - Accent2 3 2 4 4 2 3 4" xfId="57916"/>
    <cellStyle name="20 % - Accent2 3 2 4 4 2 4" xfId="15727"/>
    <cellStyle name="20 % - Accent2 3 2 4 4 2 4 2" xfId="51426"/>
    <cellStyle name="20 % - Accent2 3 2 4 4 2 5" xfId="22217"/>
    <cellStyle name="20 % - Accent2 3 2 4 4 2 6" xfId="35197"/>
    <cellStyle name="20 % - Accent2 3 2 4 4 2 7" xfId="48180"/>
    <cellStyle name="20 % - Accent2 3 2 4 4 3" xfId="4324"/>
    <cellStyle name="20 % - Accent2 3 2 4 4 3 2" xfId="10856"/>
    <cellStyle name="20 % - Accent2 3 2 4 4 3 2 2" xfId="30329"/>
    <cellStyle name="20 % - Accent2 3 2 4 4 3 2 3" xfId="43309"/>
    <cellStyle name="20 % - Accent2 3 2 4 4 3 2 4" xfId="59538"/>
    <cellStyle name="20 % - Accent2 3 2 4 4 3 3" xfId="17349"/>
    <cellStyle name="20 % - Accent2 3 2 4 4 3 4" xfId="23839"/>
    <cellStyle name="20 % - Accent2 3 2 4 4 3 5" xfId="36819"/>
    <cellStyle name="20 % - Accent2 3 2 4 4 3 6" xfId="53048"/>
    <cellStyle name="20 % - Accent2 3 2 4 4 4" xfId="7611"/>
    <cellStyle name="20 % - Accent2 3 2 4 4 4 2" xfId="27084"/>
    <cellStyle name="20 % - Accent2 3 2 4 4 4 3" xfId="40064"/>
    <cellStyle name="20 % - Accent2 3 2 4 4 4 4" xfId="56293"/>
    <cellStyle name="20 % - Accent2 3 2 4 4 5" xfId="14104"/>
    <cellStyle name="20 % - Accent2 3 2 4 4 5 2" xfId="49803"/>
    <cellStyle name="20 % - Accent2 3 2 4 4 6" xfId="20594"/>
    <cellStyle name="20 % - Accent2 3 2 4 4 7" xfId="33574"/>
    <cellStyle name="20 % - Accent2 3 2 4 4 8" xfId="46557"/>
    <cellStyle name="20 % - Accent2 3 2 4 5" xfId="1988"/>
    <cellStyle name="20 % - Accent2 3 2 4 5 2" xfId="5233"/>
    <cellStyle name="20 % - Accent2 3 2 4 5 2 2" xfId="11765"/>
    <cellStyle name="20 % - Accent2 3 2 4 5 2 2 2" xfId="31238"/>
    <cellStyle name="20 % - Accent2 3 2 4 5 2 2 3" xfId="44218"/>
    <cellStyle name="20 % - Accent2 3 2 4 5 2 2 4" xfId="60447"/>
    <cellStyle name="20 % - Accent2 3 2 4 5 2 3" xfId="18258"/>
    <cellStyle name="20 % - Accent2 3 2 4 5 2 4" xfId="24748"/>
    <cellStyle name="20 % - Accent2 3 2 4 5 2 5" xfId="37728"/>
    <cellStyle name="20 % - Accent2 3 2 4 5 2 6" xfId="53957"/>
    <cellStyle name="20 % - Accent2 3 2 4 5 3" xfId="8520"/>
    <cellStyle name="20 % - Accent2 3 2 4 5 3 2" xfId="27993"/>
    <cellStyle name="20 % - Accent2 3 2 4 5 3 3" xfId="40973"/>
    <cellStyle name="20 % - Accent2 3 2 4 5 3 4" xfId="57202"/>
    <cellStyle name="20 % - Accent2 3 2 4 5 4" xfId="15013"/>
    <cellStyle name="20 % - Accent2 3 2 4 5 4 2" xfId="50712"/>
    <cellStyle name="20 % - Accent2 3 2 4 5 5" xfId="21503"/>
    <cellStyle name="20 % - Accent2 3 2 4 5 6" xfId="34483"/>
    <cellStyle name="20 % - Accent2 3 2 4 5 7" xfId="47466"/>
    <cellStyle name="20 % - Accent2 3 2 4 6" xfId="3609"/>
    <cellStyle name="20 % - Accent2 3 2 4 6 2" xfId="10141"/>
    <cellStyle name="20 % - Accent2 3 2 4 6 2 2" xfId="29614"/>
    <cellStyle name="20 % - Accent2 3 2 4 6 2 3" xfId="42594"/>
    <cellStyle name="20 % - Accent2 3 2 4 6 2 4" xfId="58823"/>
    <cellStyle name="20 % - Accent2 3 2 4 6 3" xfId="16634"/>
    <cellStyle name="20 % - Accent2 3 2 4 6 4" xfId="23124"/>
    <cellStyle name="20 % - Accent2 3 2 4 6 5" xfId="36104"/>
    <cellStyle name="20 % - Accent2 3 2 4 6 6" xfId="52333"/>
    <cellStyle name="20 % - Accent2 3 2 4 7" xfId="6896"/>
    <cellStyle name="20 % - Accent2 3 2 4 7 2" xfId="26369"/>
    <cellStyle name="20 % - Accent2 3 2 4 7 3" xfId="39349"/>
    <cellStyle name="20 % - Accent2 3 2 4 7 4" xfId="55578"/>
    <cellStyle name="20 % - Accent2 3 2 4 8" xfId="13389"/>
    <cellStyle name="20 % - Accent2 3 2 4 8 2" xfId="49088"/>
    <cellStyle name="20 % - Accent2 3 2 4 9" xfId="19879"/>
    <cellStyle name="20 % - Accent2 3 2 5" xfId="647"/>
    <cellStyle name="20 % - Accent2 3 2 5 10" xfId="46170"/>
    <cellStyle name="20 % - Accent2 3 2 5 2" xfId="1586"/>
    <cellStyle name="20 % - Accent2 3 2 5 2 2" xfId="3253"/>
    <cellStyle name="20 % - Accent2 3 2 5 2 2 2" xfId="6498"/>
    <cellStyle name="20 % - Accent2 3 2 5 2 2 2 2" xfId="13030"/>
    <cellStyle name="20 % - Accent2 3 2 5 2 2 2 2 2" xfId="32503"/>
    <cellStyle name="20 % - Accent2 3 2 5 2 2 2 2 3" xfId="45483"/>
    <cellStyle name="20 % - Accent2 3 2 5 2 2 2 2 4" xfId="61712"/>
    <cellStyle name="20 % - Accent2 3 2 5 2 2 2 3" xfId="19523"/>
    <cellStyle name="20 % - Accent2 3 2 5 2 2 2 4" xfId="26013"/>
    <cellStyle name="20 % - Accent2 3 2 5 2 2 2 5" xfId="38993"/>
    <cellStyle name="20 % - Accent2 3 2 5 2 2 2 6" xfId="55222"/>
    <cellStyle name="20 % - Accent2 3 2 5 2 2 3" xfId="9785"/>
    <cellStyle name="20 % - Accent2 3 2 5 2 2 3 2" xfId="29258"/>
    <cellStyle name="20 % - Accent2 3 2 5 2 2 3 3" xfId="42238"/>
    <cellStyle name="20 % - Accent2 3 2 5 2 2 3 4" xfId="58467"/>
    <cellStyle name="20 % - Accent2 3 2 5 2 2 4" xfId="16278"/>
    <cellStyle name="20 % - Accent2 3 2 5 2 2 4 2" xfId="51977"/>
    <cellStyle name="20 % - Accent2 3 2 5 2 2 5" xfId="22768"/>
    <cellStyle name="20 % - Accent2 3 2 5 2 2 6" xfId="35748"/>
    <cellStyle name="20 % - Accent2 3 2 5 2 2 7" xfId="48731"/>
    <cellStyle name="20 % - Accent2 3 2 5 2 3" xfId="4875"/>
    <cellStyle name="20 % - Accent2 3 2 5 2 3 2" xfId="11407"/>
    <cellStyle name="20 % - Accent2 3 2 5 2 3 2 2" xfId="30880"/>
    <cellStyle name="20 % - Accent2 3 2 5 2 3 2 3" xfId="43860"/>
    <cellStyle name="20 % - Accent2 3 2 5 2 3 2 4" xfId="60089"/>
    <cellStyle name="20 % - Accent2 3 2 5 2 3 3" xfId="17900"/>
    <cellStyle name="20 % - Accent2 3 2 5 2 3 4" xfId="24390"/>
    <cellStyle name="20 % - Accent2 3 2 5 2 3 5" xfId="37370"/>
    <cellStyle name="20 % - Accent2 3 2 5 2 3 6" xfId="53599"/>
    <cellStyle name="20 % - Accent2 3 2 5 2 4" xfId="8162"/>
    <cellStyle name="20 % - Accent2 3 2 5 2 4 2" xfId="27635"/>
    <cellStyle name="20 % - Accent2 3 2 5 2 4 3" xfId="40615"/>
    <cellStyle name="20 % - Accent2 3 2 5 2 4 4" xfId="56844"/>
    <cellStyle name="20 % - Accent2 3 2 5 2 5" xfId="14655"/>
    <cellStyle name="20 % - Accent2 3 2 5 2 5 2" xfId="50354"/>
    <cellStyle name="20 % - Accent2 3 2 5 2 6" xfId="21145"/>
    <cellStyle name="20 % - Accent2 3 2 5 2 7" xfId="34125"/>
    <cellStyle name="20 % - Accent2 3 2 5 2 8" xfId="47108"/>
    <cellStyle name="20 % - Accent2 3 2 5 3" xfId="1123"/>
    <cellStyle name="20 % - Accent2 3 2 5 3 2" xfId="2790"/>
    <cellStyle name="20 % - Accent2 3 2 5 3 2 2" xfId="6035"/>
    <cellStyle name="20 % - Accent2 3 2 5 3 2 2 2" xfId="12567"/>
    <cellStyle name="20 % - Accent2 3 2 5 3 2 2 2 2" xfId="32040"/>
    <cellStyle name="20 % - Accent2 3 2 5 3 2 2 2 3" xfId="45020"/>
    <cellStyle name="20 % - Accent2 3 2 5 3 2 2 2 4" xfId="61249"/>
    <cellStyle name="20 % - Accent2 3 2 5 3 2 2 3" xfId="19060"/>
    <cellStyle name="20 % - Accent2 3 2 5 3 2 2 4" xfId="25550"/>
    <cellStyle name="20 % - Accent2 3 2 5 3 2 2 5" xfId="38530"/>
    <cellStyle name="20 % - Accent2 3 2 5 3 2 2 6" xfId="54759"/>
    <cellStyle name="20 % - Accent2 3 2 5 3 2 3" xfId="9322"/>
    <cellStyle name="20 % - Accent2 3 2 5 3 2 3 2" xfId="28795"/>
    <cellStyle name="20 % - Accent2 3 2 5 3 2 3 3" xfId="41775"/>
    <cellStyle name="20 % - Accent2 3 2 5 3 2 3 4" xfId="58004"/>
    <cellStyle name="20 % - Accent2 3 2 5 3 2 4" xfId="15815"/>
    <cellStyle name="20 % - Accent2 3 2 5 3 2 4 2" xfId="51514"/>
    <cellStyle name="20 % - Accent2 3 2 5 3 2 5" xfId="22305"/>
    <cellStyle name="20 % - Accent2 3 2 5 3 2 6" xfId="35285"/>
    <cellStyle name="20 % - Accent2 3 2 5 3 2 7" xfId="48268"/>
    <cellStyle name="20 % - Accent2 3 2 5 3 3" xfId="4412"/>
    <cellStyle name="20 % - Accent2 3 2 5 3 3 2" xfId="10944"/>
    <cellStyle name="20 % - Accent2 3 2 5 3 3 2 2" xfId="30417"/>
    <cellStyle name="20 % - Accent2 3 2 5 3 3 2 3" xfId="43397"/>
    <cellStyle name="20 % - Accent2 3 2 5 3 3 2 4" xfId="59626"/>
    <cellStyle name="20 % - Accent2 3 2 5 3 3 3" xfId="17437"/>
    <cellStyle name="20 % - Accent2 3 2 5 3 3 4" xfId="23927"/>
    <cellStyle name="20 % - Accent2 3 2 5 3 3 5" xfId="36907"/>
    <cellStyle name="20 % - Accent2 3 2 5 3 3 6" xfId="53136"/>
    <cellStyle name="20 % - Accent2 3 2 5 3 4" xfId="7699"/>
    <cellStyle name="20 % - Accent2 3 2 5 3 4 2" xfId="27172"/>
    <cellStyle name="20 % - Accent2 3 2 5 3 4 3" xfId="40152"/>
    <cellStyle name="20 % - Accent2 3 2 5 3 4 4" xfId="56381"/>
    <cellStyle name="20 % - Accent2 3 2 5 3 5" xfId="14192"/>
    <cellStyle name="20 % - Accent2 3 2 5 3 5 2" xfId="49891"/>
    <cellStyle name="20 % - Accent2 3 2 5 3 6" xfId="20682"/>
    <cellStyle name="20 % - Accent2 3 2 5 3 7" xfId="33662"/>
    <cellStyle name="20 % - Accent2 3 2 5 3 8" xfId="46645"/>
    <cellStyle name="20 % - Accent2 3 2 5 4" xfId="2315"/>
    <cellStyle name="20 % - Accent2 3 2 5 4 2" xfId="5560"/>
    <cellStyle name="20 % - Accent2 3 2 5 4 2 2" xfId="12092"/>
    <cellStyle name="20 % - Accent2 3 2 5 4 2 2 2" xfId="31565"/>
    <cellStyle name="20 % - Accent2 3 2 5 4 2 2 3" xfId="44545"/>
    <cellStyle name="20 % - Accent2 3 2 5 4 2 2 4" xfId="60774"/>
    <cellStyle name="20 % - Accent2 3 2 5 4 2 3" xfId="18585"/>
    <cellStyle name="20 % - Accent2 3 2 5 4 2 4" xfId="25075"/>
    <cellStyle name="20 % - Accent2 3 2 5 4 2 5" xfId="38055"/>
    <cellStyle name="20 % - Accent2 3 2 5 4 2 6" xfId="54284"/>
    <cellStyle name="20 % - Accent2 3 2 5 4 3" xfId="8847"/>
    <cellStyle name="20 % - Accent2 3 2 5 4 3 2" xfId="28320"/>
    <cellStyle name="20 % - Accent2 3 2 5 4 3 3" xfId="41300"/>
    <cellStyle name="20 % - Accent2 3 2 5 4 3 4" xfId="57529"/>
    <cellStyle name="20 % - Accent2 3 2 5 4 4" xfId="15340"/>
    <cellStyle name="20 % - Accent2 3 2 5 4 4 2" xfId="51039"/>
    <cellStyle name="20 % - Accent2 3 2 5 4 5" xfId="21830"/>
    <cellStyle name="20 % - Accent2 3 2 5 4 6" xfId="34810"/>
    <cellStyle name="20 % - Accent2 3 2 5 4 7" xfId="47793"/>
    <cellStyle name="20 % - Accent2 3 2 5 5" xfId="3937"/>
    <cellStyle name="20 % - Accent2 3 2 5 5 2" xfId="10469"/>
    <cellStyle name="20 % - Accent2 3 2 5 5 2 2" xfId="29942"/>
    <cellStyle name="20 % - Accent2 3 2 5 5 2 3" xfId="42922"/>
    <cellStyle name="20 % - Accent2 3 2 5 5 2 4" xfId="59151"/>
    <cellStyle name="20 % - Accent2 3 2 5 5 3" xfId="16962"/>
    <cellStyle name="20 % - Accent2 3 2 5 5 4" xfId="23452"/>
    <cellStyle name="20 % - Accent2 3 2 5 5 5" xfId="36432"/>
    <cellStyle name="20 % - Accent2 3 2 5 5 6" xfId="52661"/>
    <cellStyle name="20 % - Accent2 3 2 5 6" xfId="7224"/>
    <cellStyle name="20 % - Accent2 3 2 5 6 2" xfId="26697"/>
    <cellStyle name="20 % - Accent2 3 2 5 6 3" xfId="39677"/>
    <cellStyle name="20 % - Accent2 3 2 5 6 4" xfId="55906"/>
    <cellStyle name="20 % - Accent2 3 2 5 7" xfId="13717"/>
    <cellStyle name="20 % - Accent2 3 2 5 7 2" xfId="49416"/>
    <cellStyle name="20 % - Accent2 3 2 5 8" xfId="20207"/>
    <cellStyle name="20 % - Accent2 3 2 5 9" xfId="33187"/>
    <cellStyle name="20 % - Accent2 3 2 6" xfId="417"/>
    <cellStyle name="20 % - Accent2 3 2 6 2" xfId="1366"/>
    <cellStyle name="20 % - Accent2 3 2 6 2 2" xfId="3033"/>
    <cellStyle name="20 % - Accent2 3 2 6 2 2 2" xfId="6278"/>
    <cellStyle name="20 % - Accent2 3 2 6 2 2 2 2" xfId="12810"/>
    <cellStyle name="20 % - Accent2 3 2 6 2 2 2 2 2" xfId="32283"/>
    <cellStyle name="20 % - Accent2 3 2 6 2 2 2 2 3" xfId="45263"/>
    <cellStyle name="20 % - Accent2 3 2 6 2 2 2 2 4" xfId="61492"/>
    <cellStyle name="20 % - Accent2 3 2 6 2 2 2 3" xfId="19303"/>
    <cellStyle name="20 % - Accent2 3 2 6 2 2 2 4" xfId="25793"/>
    <cellStyle name="20 % - Accent2 3 2 6 2 2 2 5" xfId="38773"/>
    <cellStyle name="20 % - Accent2 3 2 6 2 2 2 6" xfId="55002"/>
    <cellStyle name="20 % - Accent2 3 2 6 2 2 3" xfId="9565"/>
    <cellStyle name="20 % - Accent2 3 2 6 2 2 3 2" xfId="29038"/>
    <cellStyle name="20 % - Accent2 3 2 6 2 2 3 3" xfId="42018"/>
    <cellStyle name="20 % - Accent2 3 2 6 2 2 3 4" xfId="58247"/>
    <cellStyle name="20 % - Accent2 3 2 6 2 2 4" xfId="16058"/>
    <cellStyle name="20 % - Accent2 3 2 6 2 2 4 2" xfId="51757"/>
    <cellStyle name="20 % - Accent2 3 2 6 2 2 5" xfId="22548"/>
    <cellStyle name="20 % - Accent2 3 2 6 2 2 6" xfId="35528"/>
    <cellStyle name="20 % - Accent2 3 2 6 2 2 7" xfId="48511"/>
    <cellStyle name="20 % - Accent2 3 2 6 2 3" xfId="4655"/>
    <cellStyle name="20 % - Accent2 3 2 6 2 3 2" xfId="11187"/>
    <cellStyle name="20 % - Accent2 3 2 6 2 3 2 2" xfId="30660"/>
    <cellStyle name="20 % - Accent2 3 2 6 2 3 2 3" xfId="43640"/>
    <cellStyle name="20 % - Accent2 3 2 6 2 3 2 4" xfId="59869"/>
    <cellStyle name="20 % - Accent2 3 2 6 2 3 3" xfId="17680"/>
    <cellStyle name="20 % - Accent2 3 2 6 2 3 4" xfId="24170"/>
    <cellStyle name="20 % - Accent2 3 2 6 2 3 5" xfId="37150"/>
    <cellStyle name="20 % - Accent2 3 2 6 2 3 6" xfId="53379"/>
    <cellStyle name="20 % - Accent2 3 2 6 2 4" xfId="7942"/>
    <cellStyle name="20 % - Accent2 3 2 6 2 4 2" xfId="27415"/>
    <cellStyle name="20 % - Accent2 3 2 6 2 4 3" xfId="40395"/>
    <cellStyle name="20 % - Accent2 3 2 6 2 4 4" xfId="56624"/>
    <cellStyle name="20 % - Accent2 3 2 6 2 5" xfId="14435"/>
    <cellStyle name="20 % - Accent2 3 2 6 2 5 2" xfId="50134"/>
    <cellStyle name="20 % - Accent2 3 2 6 2 6" xfId="20925"/>
    <cellStyle name="20 % - Accent2 3 2 6 2 7" xfId="33905"/>
    <cellStyle name="20 % - Accent2 3 2 6 2 8" xfId="46888"/>
    <cellStyle name="20 % - Accent2 3 2 6 3" xfId="2085"/>
    <cellStyle name="20 % - Accent2 3 2 6 3 2" xfId="5330"/>
    <cellStyle name="20 % - Accent2 3 2 6 3 2 2" xfId="11862"/>
    <cellStyle name="20 % - Accent2 3 2 6 3 2 2 2" xfId="31335"/>
    <cellStyle name="20 % - Accent2 3 2 6 3 2 2 3" xfId="44315"/>
    <cellStyle name="20 % - Accent2 3 2 6 3 2 2 4" xfId="60544"/>
    <cellStyle name="20 % - Accent2 3 2 6 3 2 3" xfId="18355"/>
    <cellStyle name="20 % - Accent2 3 2 6 3 2 4" xfId="24845"/>
    <cellStyle name="20 % - Accent2 3 2 6 3 2 5" xfId="37825"/>
    <cellStyle name="20 % - Accent2 3 2 6 3 2 6" xfId="54054"/>
    <cellStyle name="20 % - Accent2 3 2 6 3 3" xfId="8617"/>
    <cellStyle name="20 % - Accent2 3 2 6 3 3 2" xfId="28090"/>
    <cellStyle name="20 % - Accent2 3 2 6 3 3 3" xfId="41070"/>
    <cellStyle name="20 % - Accent2 3 2 6 3 3 4" xfId="57299"/>
    <cellStyle name="20 % - Accent2 3 2 6 3 4" xfId="15110"/>
    <cellStyle name="20 % - Accent2 3 2 6 3 4 2" xfId="50809"/>
    <cellStyle name="20 % - Accent2 3 2 6 3 5" xfId="21600"/>
    <cellStyle name="20 % - Accent2 3 2 6 3 6" xfId="34580"/>
    <cellStyle name="20 % - Accent2 3 2 6 3 7" xfId="47563"/>
    <cellStyle name="20 % - Accent2 3 2 6 4" xfId="3707"/>
    <cellStyle name="20 % - Accent2 3 2 6 4 2" xfId="10239"/>
    <cellStyle name="20 % - Accent2 3 2 6 4 2 2" xfId="29712"/>
    <cellStyle name="20 % - Accent2 3 2 6 4 2 3" xfId="42692"/>
    <cellStyle name="20 % - Accent2 3 2 6 4 2 4" xfId="58921"/>
    <cellStyle name="20 % - Accent2 3 2 6 4 3" xfId="16732"/>
    <cellStyle name="20 % - Accent2 3 2 6 4 4" xfId="23222"/>
    <cellStyle name="20 % - Accent2 3 2 6 4 5" xfId="36202"/>
    <cellStyle name="20 % - Accent2 3 2 6 4 6" xfId="52431"/>
    <cellStyle name="20 % - Accent2 3 2 6 5" xfId="6994"/>
    <cellStyle name="20 % - Accent2 3 2 6 5 2" xfId="26467"/>
    <cellStyle name="20 % - Accent2 3 2 6 5 3" xfId="39447"/>
    <cellStyle name="20 % - Accent2 3 2 6 5 4" xfId="55676"/>
    <cellStyle name="20 % - Accent2 3 2 6 6" xfId="13487"/>
    <cellStyle name="20 % - Accent2 3 2 6 6 2" xfId="49186"/>
    <cellStyle name="20 % - Accent2 3 2 6 7" xfId="19977"/>
    <cellStyle name="20 % - Accent2 3 2 6 8" xfId="32957"/>
    <cellStyle name="20 % - Accent2 3 2 6 9" xfId="45940"/>
    <cellStyle name="20 % - Accent2 3 2 7" xfId="903"/>
    <cellStyle name="20 % - Accent2 3 2 7 2" xfId="2570"/>
    <cellStyle name="20 % - Accent2 3 2 7 2 2" xfId="5815"/>
    <cellStyle name="20 % - Accent2 3 2 7 2 2 2" xfId="12347"/>
    <cellStyle name="20 % - Accent2 3 2 7 2 2 2 2" xfId="31820"/>
    <cellStyle name="20 % - Accent2 3 2 7 2 2 2 3" xfId="44800"/>
    <cellStyle name="20 % - Accent2 3 2 7 2 2 2 4" xfId="61029"/>
    <cellStyle name="20 % - Accent2 3 2 7 2 2 3" xfId="18840"/>
    <cellStyle name="20 % - Accent2 3 2 7 2 2 4" xfId="25330"/>
    <cellStyle name="20 % - Accent2 3 2 7 2 2 5" xfId="38310"/>
    <cellStyle name="20 % - Accent2 3 2 7 2 2 6" xfId="54539"/>
    <cellStyle name="20 % - Accent2 3 2 7 2 3" xfId="9102"/>
    <cellStyle name="20 % - Accent2 3 2 7 2 3 2" xfId="28575"/>
    <cellStyle name="20 % - Accent2 3 2 7 2 3 3" xfId="41555"/>
    <cellStyle name="20 % - Accent2 3 2 7 2 3 4" xfId="57784"/>
    <cellStyle name="20 % - Accent2 3 2 7 2 4" xfId="15595"/>
    <cellStyle name="20 % - Accent2 3 2 7 2 4 2" xfId="51294"/>
    <cellStyle name="20 % - Accent2 3 2 7 2 5" xfId="22085"/>
    <cellStyle name="20 % - Accent2 3 2 7 2 6" xfId="35065"/>
    <cellStyle name="20 % - Accent2 3 2 7 2 7" xfId="48048"/>
    <cellStyle name="20 % - Accent2 3 2 7 3" xfId="4192"/>
    <cellStyle name="20 % - Accent2 3 2 7 3 2" xfId="10724"/>
    <cellStyle name="20 % - Accent2 3 2 7 3 2 2" xfId="30197"/>
    <cellStyle name="20 % - Accent2 3 2 7 3 2 3" xfId="43177"/>
    <cellStyle name="20 % - Accent2 3 2 7 3 2 4" xfId="59406"/>
    <cellStyle name="20 % - Accent2 3 2 7 3 3" xfId="17217"/>
    <cellStyle name="20 % - Accent2 3 2 7 3 4" xfId="23707"/>
    <cellStyle name="20 % - Accent2 3 2 7 3 5" xfId="36687"/>
    <cellStyle name="20 % - Accent2 3 2 7 3 6" xfId="52916"/>
    <cellStyle name="20 % - Accent2 3 2 7 4" xfId="7479"/>
    <cellStyle name="20 % - Accent2 3 2 7 4 2" xfId="26952"/>
    <cellStyle name="20 % - Accent2 3 2 7 4 3" xfId="39932"/>
    <cellStyle name="20 % - Accent2 3 2 7 4 4" xfId="56161"/>
    <cellStyle name="20 % - Accent2 3 2 7 5" xfId="13972"/>
    <cellStyle name="20 % - Accent2 3 2 7 5 2" xfId="49671"/>
    <cellStyle name="20 % - Accent2 3 2 7 6" xfId="20462"/>
    <cellStyle name="20 % - Accent2 3 2 7 7" xfId="33442"/>
    <cellStyle name="20 % - Accent2 3 2 7 8" xfId="46425"/>
    <cellStyle name="20 % - Accent2 3 2 8" xfId="1856"/>
    <cellStyle name="20 % - Accent2 3 2 8 2" xfId="5101"/>
    <cellStyle name="20 % - Accent2 3 2 8 2 2" xfId="11633"/>
    <cellStyle name="20 % - Accent2 3 2 8 2 2 2" xfId="31106"/>
    <cellStyle name="20 % - Accent2 3 2 8 2 2 3" xfId="44086"/>
    <cellStyle name="20 % - Accent2 3 2 8 2 2 4" xfId="60315"/>
    <cellStyle name="20 % - Accent2 3 2 8 2 3" xfId="18126"/>
    <cellStyle name="20 % - Accent2 3 2 8 2 4" xfId="24616"/>
    <cellStyle name="20 % - Accent2 3 2 8 2 5" xfId="37596"/>
    <cellStyle name="20 % - Accent2 3 2 8 2 6" xfId="53825"/>
    <cellStyle name="20 % - Accent2 3 2 8 3" xfId="8388"/>
    <cellStyle name="20 % - Accent2 3 2 8 3 2" xfId="27861"/>
    <cellStyle name="20 % - Accent2 3 2 8 3 3" xfId="40841"/>
    <cellStyle name="20 % - Accent2 3 2 8 3 4" xfId="57070"/>
    <cellStyle name="20 % - Accent2 3 2 8 4" xfId="14881"/>
    <cellStyle name="20 % - Accent2 3 2 8 4 2" xfId="50580"/>
    <cellStyle name="20 % - Accent2 3 2 8 5" xfId="21371"/>
    <cellStyle name="20 % - Accent2 3 2 8 6" xfId="34351"/>
    <cellStyle name="20 % - Accent2 3 2 8 7" xfId="47334"/>
    <cellStyle name="20 % - Accent2 3 2 9" xfId="3477"/>
    <cellStyle name="20 % - Accent2 3 2 9 2" xfId="10009"/>
    <cellStyle name="20 % - Accent2 3 2 9 2 2" xfId="29482"/>
    <cellStyle name="20 % - Accent2 3 2 9 2 3" xfId="42462"/>
    <cellStyle name="20 % - Accent2 3 2 9 2 4" xfId="58691"/>
    <cellStyle name="20 % - Accent2 3 2 9 3" xfId="16502"/>
    <cellStyle name="20 % - Accent2 3 2 9 4" xfId="22992"/>
    <cellStyle name="20 % - Accent2 3 2 9 5" xfId="35972"/>
    <cellStyle name="20 % - Accent2 3 2 9 6" xfId="52201"/>
    <cellStyle name="20 % - Accent2 3 3" xfId="249"/>
    <cellStyle name="20 % - Accent2 3 3 10" xfId="19813"/>
    <cellStyle name="20 % - Accent2 3 3 11" xfId="32793"/>
    <cellStyle name="20 % - Accent2 3 3 12" xfId="45776"/>
    <cellStyle name="20 % - Accent2 3 3 2" xfId="337"/>
    <cellStyle name="20 % - Accent2 3 3 2 10" xfId="32881"/>
    <cellStyle name="20 % - Accent2 3 3 2 11" xfId="45864"/>
    <cellStyle name="20 % - Accent2 3 3 2 2" xfId="801"/>
    <cellStyle name="20 % - Accent2 3 3 2 2 10" xfId="46324"/>
    <cellStyle name="20 % - Accent2 3 3 2 2 2" xfId="1740"/>
    <cellStyle name="20 % - Accent2 3 3 2 2 2 2" xfId="3407"/>
    <cellStyle name="20 % - Accent2 3 3 2 2 2 2 2" xfId="6652"/>
    <cellStyle name="20 % - Accent2 3 3 2 2 2 2 2 2" xfId="13184"/>
    <cellStyle name="20 % - Accent2 3 3 2 2 2 2 2 2 2" xfId="32657"/>
    <cellStyle name="20 % - Accent2 3 3 2 2 2 2 2 2 3" xfId="45637"/>
    <cellStyle name="20 % - Accent2 3 3 2 2 2 2 2 2 4" xfId="61866"/>
    <cellStyle name="20 % - Accent2 3 3 2 2 2 2 2 3" xfId="19677"/>
    <cellStyle name="20 % - Accent2 3 3 2 2 2 2 2 4" xfId="26167"/>
    <cellStyle name="20 % - Accent2 3 3 2 2 2 2 2 5" xfId="39147"/>
    <cellStyle name="20 % - Accent2 3 3 2 2 2 2 2 6" xfId="55376"/>
    <cellStyle name="20 % - Accent2 3 3 2 2 2 2 3" xfId="9939"/>
    <cellStyle name="20 % - Accent2 3 3 2 2 2 2 3 2" xfId="29412"/>
    <cellStyle name="20 % - Accent2 3 3 2 2 2 2 3 3" xfId="42392"/>
    <cellStyle name="20 % - Accent2 3 3 2 2 2 2 3 4" xfId="58621"/>
    <cellStyle name="20 % - Accent2 3 3 2 2 2 2 4" xfId="16432"/>
    <cellStyle name="20 % - Accent2 3 3 2 2 2 2 4 2" xfId="52131"/>
    <cellStyle name="20 % - Accent2 3 3 2 2 2 2 5" xfId="22922"/>
    <cellStyle name="20 % - Accent2 3 3 2 2 2 2 6" xfId="35902"/>
    <cellStyle name="20 % - Accent2 3 3 2 2 2 2 7" xfId="48885"/>
    <cellStyle name="20 % - Accent2 3 3 2 2 2 3" xfId="5029"/>
    <cellStyle name="20 % - Accent2 3 3 2 2 2 3 2" xfId="11561"/>
    <cellStyle name="20 % - Accent2 3 3 2 2 2 3 2 2" xfId="31034"/>
    <cellStyle name="20 % - Accent2 3 3 2 2 2 3 2 3" xfId="44014"/>
    <cellStyle name="20 % - Accent2 3 3 2 2 2 3 2 4" xfId="60243"/>
    <cellStyle name="20 % - Accent2 3 3 2 2 2 3 3" xfId="18054"/>
    <cellStyle name="20 % - Accent2 3 3 2 2 2 3 4" xfId="24544"/>
    <cellStyle name="20 % - Accent2 3 3 2 2 2 3 5" xfId="37524"/>
    <cellStyle name="20 % - Accent2 3 3 2 2 2 3 6" xfId="53753"/>
    <cellStyle name="20 % - Accent2 3 3 2 2 2 4" xfId="8316"/>
    <cellStyle name="20 % - Accent2 3 3 2 2 2 4 2" xfId="27789"/>
    <cellStyle name="20 % - Accent2 3 3 2 2 2 4 3" xfId="40769"/>
    <cellStyle name="20 % - Accent2 3 3 2 2 2 4 4" xfId="56998"/>
    <cellStyle name="20 % - Accent2 3 3 2 2 2 5" xfId="14809"/>
    <cellStyle name="20 % - Accent2 3 3 2 2 2 5 2" xfId="50508"/>
    <cellStyle name="20 % - Accent2 3 3 2 2 2 6" xfId="21299"/>
    <cellStyle name="20 % - Accent2 3 3 2 2 2 7" xfId="34279"/>
    <cellStyle name="20 % - Accent2 3 3 2 2 2 8" xfId="47262"/>
    <cellStyle name="20 % - Accent2 3 3 2 2 3" xfId="1277"/>
    <cellStyle name="20 % - Accent2 3 3 2 2 3 2" xfId="2944"/>
    <cellStyle name="20 % - Accent2 3 3 2 2 3 2 2" xfId="6189"/>
    <cellStyle name="20 % - Accent2 3 3 2 2 3 2 2 2" xfId="12721"/>
    <cellStyle name="20 % - Accent2 3 3 2 2 3 2 2 2 2" xfId="32194"/>
    <cellStyle name="20 % - Accent2 3 3 2 2 3 2 2 2 3" xfId="45174"/>
    <cellStyle name="20 % - Accent2 3 3 2 2 3 2 2 2 4" xfId="61403"/>
    <cellStyle name="20 % - Accent2 3 3 2 2 3 2 2 3" xfId="19214"/>
    <cellStyle name="20 % - Accent2 3 3 2 2 3 2 2 4" xfId="25704"/>
    <cellStyle name="20 % - Accent2 3 3 2 2 3 2 2 5" xfId="38684"/>
    <cellStyle name="20 % - Accent2 3 3 2 2 3 2 2 6" xfId="54913"/>
    <cellStyle name="20 % - Accent2 3 3 2 2 3 2 3" xfId="9476"/>
    <cellStyle name="20 % - Accent2 3 3 2 2 3 2 3 2" xfId="28949"/>
    <cellStyle name="20 % - Accent2 3 3 2 2 3 2 3 3" xfId="41929"/>
    <cellStyle name="20 % - Accent2 3 3 2 2 3 2 3 4" xfId="58158"/>
    <cellStyle name="20 % - Accent2 3 3 2 2 3 2 4" xfId="15969"/>
    <cellStyle name="20 % - Accent2 3 3 2 2 3 2 4 2" xfId="51668"/>
    <cellStyle name="20 % - Accent2 3 3 2 2 3 2 5" xfId="22459"/>
    <cellStyle name="20 % - Accent2 3 3 2 2 3 2 6" xfId="35439"/>
    <cellStyle name="20 % - Accent2 3 3 2 2 3 2 7" xfId="48422"/>
    <cellStyle name="20 % - Accent2 3 3 2 2 3 3" xfId="4566"/>
    <cellStyle name="20 % - Accent2 3 3 2 2 3 3 2" xfId="11098"/>
    <cellStyle name="20 % - Accent2 3 3 2 2 3 3 2 2" xfId="30571"/>
    <cellStyle name="20 % - Accent2 3 3 2 2 3 3 2 3" xfId="43551"/>
    <cellStyle name="20 % - Accent2 3 3 2 2 3 3 2 4" xfId="59780"/>
    <cellStyle name="20 % - Accent2 3 3 2 2 3 3 3" xfId="17591"/>
    <cellStyle name="20 % - Accent2 3 3 2 2 3 3 4" xfId="24081"/>
    <cellStyle name="20 % - Accent2 3 3 2 2 3 3 5" xfId="37061"/>
    <cellStyle name="20 % - Accent2 3 3 2 2 3 3 6" xfId="53290"/>
    <cellStyle name="20 % - Accent2 3 3 2 2 3 4" xfId="7853"/>
    <cellStyle name="20 % - Accent2 3 3 2 2 3 4 2" xfId="27326"/>
    <cellStyle name="20 % - Accent2 3 3 2 2 3 4 3" xfId="40306"/>
    <cellStyle name="20 % - Accent2 3 3 2 2 3 4 4" xfId="56535"/>
    <cellStyle name="20 % - Accent2 3 3 2 2 3 5" xfId="14346"/>
    <cellStyle name="20 % - Accent2 3 3 2 2 3 5 2" xfId="50045"/>
    <cellStyle name="20 % - Accent2 3 3 2 2 3 6" xfId="20836"/>
    <cellStyle name="20 % - Accent2 3 3 2 2 3 7" xfId="33816"/>
    <cellStyle name="20 % - Accent2 3 3 2 2 3 8" xfId="46799"/>
    <cellStyle name="20 % - Accent2 3 3 2 2 4" xfId="2469"/>
    <cellStyle name="20 % - Accent2 3 3 2 2 4 2" xfId="5714"/>
    <cellStyle name="20 % - Accent2 3 3 2 2 4 2 2" xfId="12246"/>
    <cellStyle name="20 % - Accent2 3 3 2 2 4 2 2 2" xfId="31719"/>
    <cellStyle name="20 % - Accent2 3 3 2 2 4 2 2 3" xfId="44699"/>
    <cellStyle name="20 % - Accent2 3 3 2 2 4 2 2 4" xfId="60928"/>
    <cellStyle name="20 % - Accent2 3 3 2 2 4 2 3" xfId="18739"/>
    <cellStyle name="20 % - Accent2 3 3 2 2 4 2 4" xfId="25229"/>
    <cellStyle name="20 % - Accent2 3 3 2 2 4 2 5" xfId="38209"/>
    <cellStyle name="20 % - Accent2 3 3 2 2 4 2 6" xfId="54438"/>
    <cellStyle name="20 % - Accent2 3 3 2 2 4 3" xfId="9001"/>
    <cellStyle name="20 % - Accent2 3 3 2 2 4 3 2" xfId="28474"/>
    <cellStyle name="20 % - Accent2 3 3 2 2 4 3 3" xfId="41454"/>
    <cellStyle name="20 % - Accent2 3 3 2 2 4 3 4" xfId="57683"/>
    <cellStyle name="20 % - Accent2 3 3 2 2 4 4" xfId="15494"/>
    <cellStyle name="20 % - Accent2 3 3 2 2 4 4 2" xfId="51193"/>
    <cellStyle name="20 % - Accent2 3 3 2 2 4 5" xfId="21984"/>
    <cellStyle name="20 % - Accent2 3 3 2 2 4 6" xfId="34964"/>
    <cellStyle name="20 % - Accent2 3 3 2 2 4 7" xfId="47947"/>
    <cellStyle name="20 % - Accent2 3 3 2 2 5" xfId="4091"/>
    <cellStyle name="20 % - Accent2 3 3 2 2 5 2" xfId="10623"/>
    <cellStyle name="20 % - Accent2 3 3 2 2 5 2 2" xfId="30096"/>
    <cellStyle name="20 % - Accent2 3 3 2 2 5 2 3" xfId="43076"/>
    <cellStyle name="20 % - Accent2 3 3 2 2 5 2 4" xfId="59305"/>
    <cellStyle name="20 % - Accent2 3 3 2 2 5 3" xfId="17116"/>
    <cellStyle name="20 % - Accent2 3 3 2 2 5 4" xfId="23606"/>
    <cellStyle name="20 % - Accent2 3 3 2 2 5 5" xfId="36586"/>
    <cellStyle name="20 % - Accent2 3 3 2 2 5 6" xfId="52815"/>
    <cellStyle name="20 % - Accent2 3 3 2 2 6" xfId="7378"/>
    <cellStyle name="20 % - Accent2 3 3 2 2 6 2" xfId="26851"/>
    <cellStyle name="20 % - Accent2 3 3 2 2 6 3" xfId="39831"/>
    <cellStyle name="20 % - Accent2 3 3 2 2 6 4" xfId="56060"/>
    <cellStyle name="20 % - Accent2 3 3 2 2 7" xfId="13871"/>
    <cellStyle name="20 % - Accent2 3 3 2 2 7 2" xfId="49570"/>
    <cellStyle name="20 % - Accent2 3 3 2 2 8" xfId="20361"/>
    <cellStyle name="20 % - Accent2 3 3 2 2 9" xfId="33341"/>
    <cellStyle name="20 % - Accent2 3 3 2 3" xfId="571"/>
    <cellStyle name="20 % - Accent2 3 3 2 3 2" xfId="1520"/>
    <cellStyle name="20 % - Accent2 3 3 2 3 2 2" xfId="3187"/>
    <cellStyle name="20 % - Accent2 3 3 2 3 2 2 2" xfId="6432"/>
    <cellStyle name="20 % - Accent2 3 3 2 3 2 2 2 2" xfId="12964"/>
    <cellStyle name="20 % - Accent2 3 3 2 3 2 2 2 2 2" xfId="32437"/>
    <cellStyle name="20 % - Accent2 3 3 2 3 2 2 2 2 3" xfId="45417"/>
    <cellStyle name="20 % - Accent2 3 3 2 3 2 2 2 2 4" xfId="61646"/>
    <cellStyle name="20 % - Accent2 3 3 2 3 2 2 2 3" xfId="19457"/>
    <cellStyle name="20 % - Accent2 3 3 2 3 2 2 2 4" xfId="25947"/>
    <cellStyle name="20 % - Accent2 3 3 2 3 2 2 2 5" xfId="38927"/>
    <cellStyle name="20 % - Accent2 3 3 2 3 2 2 2 6" xfId="55156"/>
    <cellStyle name="20 % - Accent2 3 3 2 3 2 2 3" xfId="9719"/>
    <cellStyle name="20 % - Accent2 3 3 2 3 2 2 3 2" xfId="29192"/>
    <cellStyle name="20 % - Accent2 3 3 2 3 2 2 3 3" xfId="42172"/>
    <cellStyle name="20 % - Accent2 3 3 2 3 2 2 3 4" xfId="58401"/>
    <cellStyle name="20 % - Accent2 3 3 2 3 2 2 4" xfId="16212"/>
    <cellStyle name="20 % - Accent2 3 3 2 3 2 2 4 2" xfId="51911"/>
    <cellStyle name="20 % - Accent2 3 3 2 3 2 2 5" xfId="22702"/>
    <cellStyle name="20 % - Accent2 3 3 2 3 2 2 6" xfId="35682"/>
    <cellStyle name="20 % - Accent2 3 3 2 3 2 2 7" xfId="48665"/>
    <cellStyle name="20 % - Accent2 3 3 2 3 2 3" xfId="4809"/>
    <cellStyle name="20 % - Accent2 3 3 2 3 2 3 2" xfId="11341"/>
    <cellStyle name="20 % - Accent2 3 3 2 3 2 3 2 2" xfId="30814"/>
    <cellStyle name="20 % - Accent2 3 3 2 3 2 3 2 3" xfId="43794"/>
    <cellStyle name="20 % - Accent2 3 3 2 3 2 3 2 4" xfId="60023"/>
    <cellStyle name="20 % - Accent2 3 3 2 3 2 3 3" xfId="17834"/>
    <cellStyle name="20 % - Accent2 3 3 2 3 2 3 4" xfId="24324"/>
    <cellStyle name="20 % - Accent2 3 3 2 3 2 3 5" xfId="37304"/>
    <cellStyle name="20 % - Accent2 3 3 2 3 2 3 6" xfId="53533"/>
    <cellStyle name="20 % - Accent2 3 3 2 3 2 4" xfId="8096"/>
    <cellStyle name="20 % - Accent2 3 3 2 3 2 4 2" xfId="27569"/>
    <cellStyle name="20 % - Accent2 3 3 2 3 2 4 3" xfId="40549"/>
    <cellStyle name="20 % - Accent2 3 3 2 3 2 4 4" xfId="56778"/>
    <cellStyle name="20 % - Accent2 3 3 2 3 2 5" xfId="14589"/>
    <cellStyle name="20 % - Accent2 3 3 2 3 2 5 2" xfId="50288"/>
    <cellStyle name="20 % - Accent2 3 3 2 3 2 6" xfId="21079"/>
    <cellStyle name="20 % - Accent2 3 3 2 3 2 7" xfId="34059"/>
    <cellStyle name="20 % - Accent2 3 3 2 3 2 8" xfId="47042"/>
    <cellStyle name="20 % - Accent2 3 3 2 3 3" xfId="2239"/>
    <cellStyle name="20 % - Accent2 3 3 2 3 3 2" xfId="5484"/>
    <cellStyle name="20 % - Accent2 3 3 2 3 3 2 2" xfId="12016"/>
    <cellStyle name="20 % - Accent2 3 3 2 3 3 2 2 2" xfId="31489"/>
    <cellStyle name="20 % - Accent2 3 3 2 3 3 2 2 3" xfId="44469"/>
    <cellStyle name="20 % - Accent2 3 3 2 3 3 2 2 4" xfId="60698"/>
    <cellStyle name="20 % - Accent2 3 3 2 3 3 2 3" xfId="18509"/>
    <cellStyle name="20 % - Accent2 3 3 2 3 3 2 4" xfId="24999"/>
    <cellStyle name="20 % - Accent2 3 3 2 3 3 2 5" xfId="37979"/>
    <cellStyle name="20 % - Accent2 3 3 2 3 3 2 6" xfId="54208"/>
    <cellStyle name="20 % - Accent2 3 3 2 3 3 3" xfId="8771"/>
    <cellStyle name="20 % - Accent2 3 3 2 3 3 3 2" xfId="28244"/>
    <cellStyle name="20 % - Accent2 3 3 2 3 3 3 3" xfId="41224"/>
    <cellStyle name="20 % - Accent2 3 3 2 3 3 3 4" xfId="57453"/>
    <cellStyle name="20 % - Accent2 3 3 2 3 3 4" xfId="15264"/>
    <cellStyle name="20 % - Accent2 3 3 2 3 3 4 2" xfId="50963"/>
    <cellStyle name="20 % - Accent2 3 3 2 3 3 5" xfId="21754"/>
    <cellStyle name="20 % - Accent2 3 3 2 3 3 6" xfId="34734"/>
    <cellStyle name="20 % - Accent2 3 3 2 3 3 7" xfId="47717"/>
    <cellStyle name="20 % - Accent2 3 3 2 3 4" xfId="3861"/>
    <cellStyle name="20 % - Accent2 3 3 2 3 4 2" xfId="10393"/>
    <cellStyle name="20 % - Accent2 3 3 2 3 4 2 2" xfId="29866"/>
    <cellStyle name="20 % - Accent2 3 3 2 3 4 2 3" xfId="42846"/>
    <cellStyle name="20 % - Accent2 3 3 2 3 4 2 4" xfId="59075"/>
    <cellStyle name="20 % - Accent2 3 3 2 3 4 3" xfId="16886"/>
    <cellStyle name="20 % - Accent2 3 3 2 3 4 4" xfId="23376"/>
    <cellStyle name="20 % - Accent2 3 3 2 3 4 5" xfId="36356"/>
    <cellStyle name="20 % - Accent2 3 3 2 3 4 6" xfId="52585"/>
    <cellStyle name="20 % - Accent2 3 3 2 3 5" xfId="7148"/>
    <cellStyle name="20 % - Accent2 3 3 2 3 5 2" xfId="26621"/>
    <cellStyle name="20 % - Accent2 3 3 2 3 5 3" xfId="39601"/>
    <cellStyle name="20 % - Accent2 3 3 2 3 5 4" xfId="55830"/>
    <cellStyle name="20 % - Accent2 3 3 2 3 6" xfId="13641"/>
    <cellStyle name="20 % - Accent2 3 3 2 3 6 2" xfId="49340"/>
    <cellStyle name="20 % - Accent2 3 3 2 3 7" xfId="20131"/>
    <cellStyle name="20 % - Accent2 3 3 2 3 8" xfId="33111"/>
    <cellStyle name="20 % - Accent2 3 3 2 3 9" xfId="46094"/>
    <cellStyle name="20 % - Accent2 3 3 2 4" xfId="1057"/>
    <cellStyle name="20 % - Accent2 3 3 2 4 2" xfId="2724"/>
    <cellStyle name="20 % - Accent2 3 3 2 4 2 2" xfId="5969"/>
    <cellStyle name="20 % - Accent2 3 3 2 4 2 2 2" xfId="12501"/>
    <cellStyle name="20 % - Accent2 3 3 2 4 2 2 2 2" xfId="31974"/>
    <cellStyle name="20 % - Accent2 3 3 2 4 2 2 2 3" xfId="44954"/>
    <cellStyle name="20 % - Accent2 3 3 2 4 2 2 2 4" xfId="61183"/>
    <cellStyle name="20 % - Accent2 3 3 2 4 2 2 3" xfId="18994"/>
    <cellStyle name="20 % - Accent2 3 3 2 4 2 2 4" xfId="25484"/>
    <cellStyle name="20 % - Accent2 3 3 2 4 2 2 5" xfId="38464"/>
    <cellStyle name="20 % - Accent2 3 3 2 4 2 2 6" xfId="54693"/>
    <cellStyle name="20 % - Accent2 3 3 2 4 2 3" xfId="9256"/>
    <cellStyle name="20 % - Accent2 3 3 2 4 2 3 2" xfId="28729"/>
    <cellStyle name="20 % - Accent2 3 3 2 4 2 3 3" xfId="41709"/>
    <cellStyle name="20 % - Accent2 3 3 2 4 2 3 4" xfId="57938"/>
    <cellStyle name="20 % - Accent2 3 3 2 4 2 4" xfId="15749"/>
    <cellStyle name="20 % - Accent2 3 3 2 4 2 4 2" xfId="51448"/>
    <cellStyle name="20 % - Accent2 3 3 2 4 2 5" xfId="22239"/>
    <cellStyle name="20 % - Accent2 3 3 2 4 2 6" xfId="35219"/>
    <cellStyle name="20 % - Accent2 3 3 2 4 2 7" xfId="48202"/>
    <cellStyle name="20 % - Accent2 3 3 2 4 3" xfId="4346"/>
    <cellStyle name="20 % - Accent2 3 3 2 4 3 2" xfId="10878"/>
    <cellStyle name="20 % - Accent2 3 3 2 4 3 2 2" xfId="30351"/>
    <cellStyle name="20 % - Accent2 3 3 2 4 3 2 3" xfId="43331"/>
    <cellStyle name="20 % - Accent2 3 3 2 4 3 2 4" xfId="59560"/>
    <cellStyle name="20 % - Accent2 3 3 2 4 3 3" xfId="17371"/>
    <cellStyle name="20 % - Accent2 3 3 2 4 3 4" xfId="23861"/>
    <cellStyle name="20 % - Accent2 3 3 2 4 3 5" xfId="36841"/>
    <cellStyle name="20 % - Accent2 3 3 2 4 3 6" xfId="53070"/>
    <cellStyle name="20 % - Accent2 3 3 2 4 4" xfId="7633"/>
    <cellStyle name="20 % - Accent2 3 3 2 4 4 2" xfId="27106"/>
    <cellStyle name="20 % - Accent2 3 3 2 4 4 3" xfId="40086"/>
    <cellStyle name="20 % - Accent2 3 3 2 4 4 4" xfId="56315"/>
    <cellStyle name="20 % - Accent2 3 3 2 4 5" xfId="14126"/>
    <cellStyle name="20 % - Accent2 3 3 2 4 5 2" xfId="49825"/>
    <cellStyle name="20 % - Accent2 3 3 2 4 6" xfId="20616"/>
    <cellStyle name="20 % - Accent2 3 3 2 4 7" xfId="33596"/>
    <cellStyle name="20 % - Accent2 3 3 2 4 8" xfId="46579"/>
    <cellStyle name="20 % - Accent2 3 3 2 5" xfId="2010"/>
    <cellStyle name="20 % - Accent2 3 3 2 5 2" xfId="5255"/>
    <cellStyle name="20 % - Accent2 3 3 2 5 2 2" xfId="11787"/>
    <cellStyle name="20 % - Accent2 3 3 2 5 2 2 2" xfId="31260"/>
    <cellStyle name="20 % - Accent2 3 3 2 5 2 2 3" xfId="44240"/>
    <cellStyle name="20 % - Accent2 3 3 2 5 2 2 4" xfId="60469"/>
    <cellStyle name="20 % - Accent2 3 3 2 5 2 3" xfId="18280"/>
    <cellStyle name="20 % - Accent2 3 3 2 5 2 4" xfId="24770"/>
    <cellStyle name="20 % - Accent2 3 3 2 5 2 5" xfId="37750"/>
    <cellStyle name="20 % - Accent2 3 3 2 5 2 6" xfId="53979"/>
    <cellStyle name="20 % - Accent2 3 3 2 5 3" xfId="8542"/>
    <cellStyle name="20 % - Accent2 3 3 2 5 3 2" xfId="28015"/>
    <cellStyle name="20 % - Accent2 3 3 2 5 3 3" xfId="40995"/>
    <cellStyle name="20 % - Accent2 3 3 2 5 3 4" xfId="57224"/>
    <cellStyle name="20 % - Accent2 3 3 2 5 4" xfId="15035"/>
    <cellStyle name="20 % - Accent2 3 3 2 5 4 2" xfId="50734"/>
    <cellStyle name="20 % - Accent2 3 3 2 5 5" xfId="21525"/>
    <cellStyle name="20 % - Accent2 3 3 2 5 6" xfId="34505"/>
    <cellStyle name="20 % - Accent2 3 3 2 5 7" xfId="47488"/>
    <cellStyle name="20 % - Accent2 3 3 2 6" xfId="3631"/>
    <cellStyle name="20 % - Accent2 3 3 2 6 2" xfId="10163"/>
    <cellStyle name="20 % - Accent2 3 3 2 6 2 2" xfId="29636"/>
    <cellStyle name="20 % - Accent2 3 3 2 6 2 3" xfId="42616"/>
    <cellStyle name="20 % - Accent2 3 3 2 6 2 4" xfId="58845"/>
    <cellStyle name="20 % - Accent2 3 3 2 6 3" xfId="16656"/>
    <cellStyle name="20 % - Accent2 3 3 2 6 4" xfId="23146"/>
    <cellStyle name="20 % - Accent2 3 3 2 6 5" xfId="36126"/>
    <cellStyle name="20 % - Accent2 3 3 2 6 6" xfId="52355"/>
    <cellStyle name="20 % - Accent2 3 3 2 7" xfId="6918"/>
    <cellStyle name="20 % - Accent2 3 3 2 7 2" xfId="26391"/>
    <cellStyle name="20 % - Accent2 3 3 2 7 3" xfId="39371"/>
    <cellStyle name="20 % - Accent2 3 3 2 7 4" xfId="55600"/>
    <cellStyle name="20 % - Accent2 3 3 2 8" xfId="13411"/>
    <cellStyle name="20 % - Accent2 3 3 2 8 2" xfId="49110"/>
    <cellStyle name="20 % - Accent2 3 3 2 9" xfId="19901"/>
    <cellStyle name="20 % - Accent2 3 3 3" xfId="713"/>
    <cellStyle name="20 % - Accent2 3 3 3 10" xfId="46236"/>
    <cellStyle name="20 % - Accent2 3 3 3 2" xfId="1652"/>
    <cellStyle name="20 % - Accent2 3 3 3 2 2" xfId="3319"/>
    <cellStyle name="20 % - Accent2 3 3 3 2 2 2" xfId="6564"/>
    <cellStyle name="20 % - Accent2 3 3 3 2 2 2 2" xfId="13096"/>
    <cellStyle name="20 % - Accent2 3 3 3 2 2 2 2 2" xfId="32569"/>
    <cellStyle name="20 % - Accent2 3 3 3 2 2 2 2 3" xfId="45549"/>
    <cellStyle name="20 % - Accent2 3 3 3 2 2 2 2 4" xfId="61778"/>
    <cellStyle name="20 % - Accent2 3 3 3 2 2 2 3" xfId="19589"/>
    <cellStyle name="20 % - Accent2 3 3 3 2 2 2 4" xfId="26079"/>
    <cellStyle name="20 % - Accent2 3 3 3 2 2 2 5" xfId="39059"/>
    <cellStyle name="20 % - Accent2 3 3 3 2 2 2 6" xfId="55288"/>
    <cellStyle name="20 % - Accent2 3 3 3 2 2 3" xfId="9851"/>
    <cellStyle name="20 % - Accent2 3 3 3 2 2 3 2" xfId="29324"/>
    <cellStyle name="20 % - Accent2 3 3 3 2 2 3 3" xfId="42304"/>
    <cellStyle name="20 % - Accent2 3 3 3 2 2 3 4" xfId="58533"/>
    <cellStyle name="20 % - Accent2 3 3 3 2 2 4" xfId="16344"/>
    <cellStyle name="20 % - Accent2 3 3 3 2 2 4 2" xfId="52043"/>
    <cellStyle name="20 % - Accent2 3 3 3 2 2 5" xfId="22834"/>
    <cellStyle name="20 % - Accent2 3 3 3 2 2 6" xfId="35814"/>
    <cellStyle name="20 % - Accent2 3 3 3 2 2 7" xfId="48797"/>
    <cellStyle name="20 % - Accent2 3 3 3 2 3" xfId="4941"/>
    <cellStyle name="20 % - Accent2 3 3 3 2 3 2" xfId="11473"/>
    <cellStyle name="20 % - Accent2 3 3 3 2 3 2 2" xfId="30946"/>
    <cellStyle name="20 % - Accent2 3 3 3 2 3 2 3" xfId="43926"/>
    <cellStyle name="20 % - Accent2 3 3 3 2 3 2 4" xfId="60155"/>
    <cellStyle name="20 % - Accent2 3 3 3 2 3 3" xfId="17966"/>
    <cellStyle name="20 % - Accent2 3 3 3 2 3 4" xfId="24456"/>
    <cellStyle name="20 % - Accent2 3 3 3 2 3 5" xfId="37436"/>
    <cellStyle name="20 % - Accent2 3 3 3 2 3 6" xfId="53665"/>
    <cellStyle name="20 % - Accent2 3 3 3 2 4" xfId="8228"/>
    <cellStyle name="20 % - Accent2 3 3 3 2 4 2" xfId="27701"/>
    <cellStyle name="20 % - Accent2 3 3 3 2 4 3" xfId="40681"/>
    <cellStyle name="20 % - Accent2 3 3 3 2 4 4" xfId="56910"/>
    <cellStyle name="20 % - Accent2 3 3 3 2 5" xfId="14721"/>
    <cellStyle name="20 % - Accent2 3 3 3 2 5 2" xfId="50420"/>
    <cellStyle name="20 % - Accent2 3 3 3 2 6" xfId="21211"/>
    <cellStyle name="20 % - Accent2 3 3 3 2 7" xfId="34191"/>
    <cellStyle name="20 % - Accent2 3 3 3 2 8" xfId="47174"/>
    <cellStyle name="20 % - Accent2 3 3 3 3" xfId="1189"/>
    <cellStyle name="20 % - Accent2 3 3 3 3 2" xfId="2856"/>
    <cellStyle name="20 % - Accent2 3 3 3 3 2 2" xfId="6101"/>
    <cellStyle name="20 % - Accent2 3 3 3 3 2 2 2" xfId="12633"/>
    <cellStyle name="20 % - Accent2 3 3 3 3 2 2 2 2" xfId="32106"/>
    <cellStyle name="20 % - Accent2 3 3 3 3 2 2 2 3" xfId="45086"/>
    <cellStyle name="20 % - Accent2 3 3 3 3 2 2 2 4" xfId="61315"/>
    <cellStyle name="20 % - Accent2 3 3 3 3 2 2 3" xfId="19126"/>
    <cellStyle name="20 % - Accent2 3 3 3 3 2 2 4" xfId="25616"/>
    <cellStyle name="20 % - Accent2 3 3 3 3 2 2 5" xfId="38596"/>
    <cellStyle name="20 % - Accent2 3 3 3 3 2 2 6" xfId="54825"/>
    <cellStyle name="20 % - Accent2 3 3 3 3 2 3" xfId="9388"/>
    <cellStyle name="20 % - Accent2 3 3 3 3 2 3 2" xfId="28861"/>
    <cellStyle name="20 % - Accent2 3 3 3 3 2 3 3" xfId="41841"/>
    <cellStyle name="20 % - Accent2 3 3 3 3 2 3 4" xfId="58070"/>
    <cellStyle name="20 % - Accent2 3 3 3 3 2 4" xfId="15881"/>
    <cellStyle name="20 % - Accent2 3 3 3 3 2 4 2" xfId="51580"/>
    <cellStyle name="20 % - Accent2 3 3 3 3 2 5" xfId="22371"/>
    <cellStyle name="20 % - Accent2 3 3 3 3 2 6" xfId="35351"/>
    <cellStyle name="20 % - Accent2 3 3 3 3 2 7" xfId="48334"/>
    <cellStyle name="20 % - Accent2 3 3 3 3 3" xfId="4478"/>
    <cellStyle name="20 % - Accent2 3 3 3 3 3 2" xfId="11010"/>
    <cellStyle name="20 % - Accent2 3 3 3 3 3 2 2" xfId="30483"/>
    <cellStyle name="20 % - Accent2 3 3 3 3 3 2 3" xfId="43463"/>
    <cellStyle name="20 % - Accent2 3 3 3 3 3 2 4" xfId="59692"/>
    <cellStyle name="20 % - Accent2 3 3 3 3 3 3" xfId="17503"/>
    <cellStyle name="20 % - Accent2 3 3 3 3 3 4" xfId="23993"/>
    <cellStyle name="20 % - Accent2 3 3 3 3 3 5" xfId="36973"/>
    <cellStyle name="20 % - Accent2 3 3 3 3 3 6" xfId="53202"/>
    <cellStyle name="20 % - Accent2 3 3 3 3 4" xfId="7765"/>
    <cellStyle name="20 % - Accent2 3 3 3 3 4 2" xfId="27238"/>
    <cellStyle name="20 % - Accent2 3 3 3 3 4 3" xfId="40218"/>
    <cellStyle name="20 % - Accent2 3 3 3 3 4 4" xfId="56447"/>
    <cellStyle name="20 % - Accent2 3 3 3 3 5" xfId="14258"/>
    <cellStyle name="20 % - Accent2 3 3 3 3 5 2" xfId="49957"/>
    <cellStyle name="20 % - Accent2 3 3 3 3 6" xfId="20748"/>
    <cellStyle name="20 % - Accent2 3 3 3 3 7" xfId="33728"/>
    <cellStyle name="20 % - Accent2 3 3 3 3 8" xfId="46711"/>
    <cellStyle name="20 % - Accent2 3 3 3 4" xfId="2381"/>
    <cellStyle name="20 % - Accent2 3 3 3 4 2" xfId="5626"/>
    <cellStyle name="20 % - Accent2 3 3 3 4 2 2" xfId="12158"/>
    <cellStyle name="20 % - Accent2 3 3 3 4 2 2 2" xfId="31631"/>
    <cellStyle name="20 % - Accent2 3 3 3 4 2 2 3" xfId="44611"/>
    <cellStyle name="20 % - Accent2 3 3 3 4 2 2 4" xfId="60840"/>
    <cellStyle name="20 % - Accent2 3 3 3 4 2 3" xfId="18651"/>
    <cellStyle name="20 % - Accent2 3 3 3 4 2 4" xfId="25141"/>
    <cellStyle name="20 % - Accent2 3 3 3 4 2 5" xfId="38121"/>
    <cellStyle name="20 % - Accent2 3 3 3 4 2 6" xfId="54350"/>
    <cellStyle name="20 % - Accent2 3 3 3 4 3" xfId="8913"/>
    <cellStyle name="20 % - Accent2 3 3 3 4 3 2" xfId="28386"/>
    <cellStyle name="20 % - Accent2 3 3 3 4 3 3" xfId="41366"/>
    <cellStyle name="20 % - Accent2 3 3 3 4 3 4" xfId="57595"/>
    <cellStyle name="20 % - Accent2 3 3 3 4 4" xfId="15406"/>
    <cellStyle name="20 % - Accent2 3 3 3 4 4 2" xfId="51105"/>
    <cellStyle name="20 % - Accent2 3 3 3 4 5" xfId="21896"/>
    <cellStyle name="20 % - Accent2 3 3 3 4 6" xfId="34876"/>
    <cellStyle name="20 % - Accent2 3 3 3 4 7" xfId="47859"/>
    <cellStyle name="20 % - Accent2 3 3 3 5" xfId="4003"/>
    <cellStyle name="20 % - Accent2 3 3 3 5 2" xfId="10535"/>
    <cellStyle name="20 % - Accent2 3 3 3 5 2 2" xfId="30008"/>
    <cellStyle name="20 % - Accent2 3 3 3 5 2 3" xfId="42988"/>
    <cellStyle name="20 % - Accent2 3 3 3 5 2 4" xfId="59217"/>
    <cellStyle name="20 % - Accent2 3 3 3 5 3" xfId="17028"/>
    <cellStyle name="20 % - Accent2 3 3 3 5 4" xfId="23518"/>
    <cellStyle name="20 % - Accent2 3 3 3 5 5" xfId="36498"/>
    <cellStyle name="20 % - Accent2 3 3 3 5 6" xfId="52727"/>
    <cellStyle name="20 % - Accent2 3 3 3 6" xfId="7290"/>
    <cellStyle name="20 % - Accent2 3 3 3 6 2" xfId="26763"/>
    <cellStyle name="20 % - Accent2 3 3 3 6 3" xfId="39743"/>
    <cellStyle name="20 % - Accent2 3 3 3 6 4" xfId="55972"/>
    <cellStyle name="20 % - Accent2 3 3 3 7" xfId="13783"/>
    <cellStyle name="20 % - Accent2 3 3 3 7 2" xfId="49482"/>
    <cellStyle name="20 % - Accent2 3 3 3 8" xfId="20273"/>
    <cellStyle name="20 % - Accent2 3 3 3 9" xfId="33253"/>
    <cellStyle name="20 % - Accent2 3 3 4" xfId="483"/>
    <cellStyle name="20 % - Accent2 3 3 4 2" xfId="1432"/>
    <cellStyle name="20 % - Accent2 3 3 4 2 2" xfId="3099"/>
    <cellStyle name="20 % - Accent2 3 3 4 2 2 2" xfId="6344"/>
    <cellStyle name="20 % - Accent2 3 3 4 2 2 2 2" xfId="12876"/>
    <cellStyle name="20 % - Accent2 3 3 4 2 2 2 2 2" xfId="32349"/>
    <cellStyle name="20 % - Accent2 3 3 4 2 2 2 2 3" xfId="45329"/>
    <cellStyle name="20 % - Accent2 3 3 4 2 2 2 2 4" xfId="61558"/>
    <cellStyle name="20 % - Accent2 3 3 4 2 2 2 3" xfId="19369"/>
    <cellStyle name="20 % - Accent2 3 3 4 2 2 2 4" xfId="25859"/>
    <cellStyle name="20 % - Accent2 3 3 4 2 2 2 5" xfId="38839"/>
    <cellStyle name="20 % - Accent2 3 3 4 2 2 2 6" xfId="55068"/>
    <cellStyle name="20 % - Accent2 3 3 4 2 2 3" xfId="9631"/>
    <cellStyle name="20 % - Accent2 3 3 4 2 2 3 2" xfId="29104"/>
    <cellStyle name="20 % - Accent2 3 3 4 2 2 3 3" xfId="42084"/>
    <cellStyle name="20 % - Accent2 3 3 4 2 2 3 4" xfId="58313"/>
    <cellStyle name="20 % - Accent2 3 3 4 2 2 4" xfId="16124"/>
    <cellStyle name="20 % - Accent2 3 3 4 2 2 4 2" xfId="51823"/>
    <cellStyle name="20 % - Accent2 3 3 4 2 2 5" xfId="22614"/>
    <cellStyle name="20 % - Accent2 3 3 4 2 2 6" xfId="35594"/>
    <cellStyle name="20 % - Accent2 3 3 4 2 2 7" xfId="48577"/>
    <cellStyle name="20 % - Accent2 3 3 4 2 3" xfId="4721"/>
    <cellStyle name="20 % - Accent2 3 3 4 2 3 2" xfId="11253"/>
    <cellStyle name="20 % - Accent2 3 3 4 2 3 2 2" xfId="30726"/>
    <cellStyle name="20 % - Accent2 3 3 4 2 3 2 3" xfId="43706"/>
    <cellStyle name="20 % - Accent2 3 3 4 2 3 2 4" xfId="59935"/>
    <cellStyle name="20 % - Accent2 3 3 4 2 3 3" xfId="17746"/>
    <cellStyle name="20 % - Accent2 3 3 4 2 3 4" xfId="24236"/>
    <cellStyle name="20 % - Accent2 3 3 4 2 3 5" xfId="37216"/>
    <cellStyle name="20 % - Accent2 3 3 4 2 3 6" xfId="53445"/>
    <cellStyle name="20 % - Accent2 3 3 4 2 4" xfId="8008"/>
    <cellStyle name="20 % - Accent2 3 3 4 2 4 2" xfId="27481"/>
    <cellStyle name="20 % - Accent2 3 3 4 2 4 3" xfId="40461"/>
    <cellStyle name="20 % - Accent2 3 3 4 2 4 4" xfId="56690"/>
    <cellStyle name="20 % - Accent2 3 3 4 2 5" xfId="14501"/>
    <cellStyle name="20 % - Accent2 3 3 4 2 5 2" xfId="50200"/>
    <cellStyle name="20 % - Accent2 3 3 4 2 6" xfId="20991"/>
    <cellStyle name="20 % - Accent2 3 3 4 2 7" xfId="33971"/>
    <cellStyle name="20 % - Accent2 3 3 4 2 8" xfId="46954"/>
    <cellStyle name="20 % - Accent2 3 3 4 3" xfId="2151"/>
    <cellStyle name="20 % - Accent2 3 3 4 3 2" xfId="5396"/>
    <cellStyle name="20 % - Accent2 3 3 4 3 2 2" xfId="11928"/>
    <cellStyle name="20 % - Accent2 3 3 4 3 2 2 2" xfId="31401"/>
    <cellStyle name="20 % - Accent2 3 3 4 3 2 2 3" xfId="44381"/>
    <cellStyle name="20 % - Accent2 3 3 4 3 2 2 4" xfId="60610"/>
    <cellStyle name="20 % - Accent2 3 3 4 3 2 3" xfId="18421"/>
    <cellStyle name="20 % - Accent2 3 3 4 3 2 4" xfId="24911"/>
    <cellStyle name="20 % - Accent2 3 3 4 3 2 5" xfId="37891"/>
    <cellStyle name="20 % - Accent2 3 3 4 3 2 6" xfId="54120"/>
    <cellStyle name="20 % - Accent2 3 3 4 3 3" xfId="8683"/>
    <cellStyle name="20 % - Accent2 3 3 4 3 3 2" xfId="28156"/>
    <cellStyle name="20 % - Accent2 3 3 4 3 3 3" xfId="41136"/>
    <cellStyle name="20 % - Accent2 3 3 4 3 3 4" xfId="57365"/>
    <cellStyle name="20 % - Accent2 3 3 4 3 4" xfId="15176"/>
    <cellStyle name="20 % - Accent2 3 3 4 3 4 2" xfId="50875"/>
    <cellStyle name="20 % - Accent2 3 3 4 3 5" xfId="21666"/>
    <cellStyle name="20 % - Accent2 3 3 4 3 6" xfId="34646"/>
    <cellStyle name="20 % - Accent2 3 3 4 3 7" xfId="47629"/>
    <cellStyle name="20 % - Accent2 3 3 4 4" xfId="3773"/>
    <cellStyle name="20 % - Accent2 3 3 4 4 2" xfId="10305"/>
    <cellStyle name="20 % - Accent2 3 3 4 4 2 2" xfId="29778"/>
    <cellStyle name="20 % - Accent2 3 3 4 4 2 3" xfId="42758"/>
    <cellStyle name="20 % - Accent2 3 3 4 4 2 4" xfId="58987"/>
    <cellStyle name="20 % - Accent2 3 3 4 4 3" xfId="16798"/>
    <cellStyle name="20 % - Accent2 3 3 4 4 4" xfId="23288"/>
    <cellStyle name="20 % - Accent2 3 3 4 4 5" xfId="36268"/>
    <cellStyle name="20 % - Accent2 3 3 4 4 6" xfId="52497"/>
    <cellStyle name="20 % - Accent2 3 3 4 5" xfId="7060"/>
    <cellStyle name="20 % - Accent2 3 3 4 5 2" xfId="26533"/>
    <cellStyle name="20 % - Accent2 3 3 4 5 3" xfId="39513"/>
    <cellStyle name="20 % - Accent2 3 3 4 5 4" xfId="55742"/>
    <cellStyle name="20 % - Accent2 3 3 4 6" xfId="13553"/>
    <cellStyle name="20 % - Accent2 3 3 4 6 2" xfId="49252"/>
    <cellStyle name="20 % - Accent2 3 3 4 7" xfId="20043"/>
    <cellStyle name="20 % - Accent2 3 3 4 8" xfId="33023"/>
    <cellStyle name="20 % - Accent2 3 3 4 9" xfId="46006"/>
    <cellStyle name="20 % - Accent2 3 3 5" xfId="969"/>
    <cellStyle name="20 % - Accent2 3 3 5 2" xfId="2636"/>
    <cellStyle name="20 % - Accent2 3 3 5 2 2" xfId="5881"/>
    <cellStyle name="20 % - Accent2 3 3 5 2 2 2" xfId="12413"/>
    <cellStyle name="20 % - Accent2 3 3 5 2 2 2 2" xfId="31886"/>
    <cellStyle name="20 % - Accent2 3 3 5 2 2 2 3" xfId="44866"/>
    <cellStyle name="20 % - Accent2 3 3 5 2 2 2 4" xfId="61095"/>
    <cellStyle name="20 % - Accent2 3 3 5 2 2 3" xfId="18906"/>
    <cellStyle name="20 % - Accent2 3 3 5 2 2 4" xfId="25396"/>
    <cellStyle name="20 % - Accent2 3 3 5 2 2 5" xfId="38376"/>
    <cellStyle name="20 % - Accent2 3 3 5 2 2 6" xfId="54605"/>
    <cellStyle name="20 % - Accent2 3 3 5 2 3" xfId="9168"/>
    <cellStyle name="20 % - Accent2 3 3 5 2 3 2" xfId="28641"/>
    <cellStyle name="20 % - Accent2 3 3 5 2 3 3" xfId="41621"/>
    <cellStyle name="20 % - Accent2 3 3 5 2 3 4" xfId="57850"/>
    <cellStyle name="20 % - Accent2 3 3 5 2 4" xfId="15661"/>
    <cellStyle name="20 % - Accent2 3 3 5 2 4 2" xfId="51360"/>
    <cellStyle name="20 % - Accent2 3 3 5 2 5" xfId="22151"/>
    <cellStyle name="20 % - Accent2 3 3 5 2 6" xfId="35131"/>
    <cellStyle name="20 % - Accent2 3 3 5 2 7" xfId="48114"/>
    <cellStyle name="20 % - Accent2 3 3 5 3" xfId="4258"/>
    <cellStyle name="20 % - Accent2 3 3 5 3 2" xfId="10790"/>
    <cellStyle name="20 % - Accent2 3 3 5 3 2 2" xfId="30263"/>
    <cellStyle name="20 % - Accent2 3 3 5 3 2 3" xfId="43243"/>
    <cellStyle name="20 % - Accent2 3 3 5 3 2 4" xfId="59472"/>
    <cellStyle name="20 % - Accent2 3 3 5 3 3" xfId="17283"/>
    <cellStyle name="20 % - Accent2 3 3 5 3 4" xfId="23773"/>
    <cellStyle name="20 % - Accent2 3 3 5 3 5" xfId="36753"/>
    <cellStyle name="20 % - Accent2 3 3 5 3 6" xfId="52982"/>
    <cellStyle name="20 % - Accent2 3 3 5 4" xfId="7545"/>
    <cellStyle name="20 % - Accent2 3 3 5 4 2" xfId="27018"/>
    <cellStyle name="20 % - Accent2 3 3 5 4 3" xfId="39998"/>
    <cellStyle name="20 % - Accent2 3 3 5 4 4" xfId="56227"/>
    <cellStyle name="20 % - Accent2 3 3 5 5" xfId="14038"/>
    <cellStyle name="20 % - Accent2 3 3 5 5 2" xfId="49737"/>
    <cellStyle name="20 % - Accent2 3 3 5 6" xfId="20528"/>
    <cellStyle name="20 % - Accent2 3 3 5 7" xfId="33508"/>
    <cellStyle name="20 % - Accent2 3 3 5 8" xfId="46491"/>
    <cellStyle name="20 % - Accent2 3 3 6" xfId="1922"/>
    <cellStyle name="20 % - Accent2 3 3 6 2" xfId="5167"/>
    <cellStyle name="20 % - Accent2 3 3 6 2 2" xfId="11699"/>
    <cellStyle name="20 % - Accent2 3 3 6 2 2 2" xfId="31172"/>
    <cellStyle name="20 % - Accent2 3 3 6 2 2 3" xfId="44152"/>
    <cellStyle name="20 % - Accent2 3 3 6 2 2 4" xfId="60381"/>
    <cellStyle name="20 % - Accent2 3 3 6 2 3" xfId="18192"/>
    <cellStyle name="20 % - Accent2 3 3 6 2 4" xfId="24682"/>
    <cellStyle name="20 % - Accent2 3 3 6 2 5" xfId="37662"/>
    <cellStyle name="20 % - Accent2 3 3 6 2 6" xfId="53891"/>
    <cellStyle name="20 % - Accent2 3 3 6 3" xfId="8454"/>
    <cellStyle name="20 % - Accent2 3 3 6 3 2" xfId="27927"/>
    <cellStyle name="20 % - Accent2 3 3 6 3 3" xfId="40907"/>
    <cellStyle name="20 % - Accent2 3 3 6 3 4" xfId="57136"/>
    <cellStyle name="20 % - Accent2 3 3 6 4" xfId="14947"/>
    <cellStyle name="20 % - Accent2 3 3 6 4 2" xfId="50646"/>
    <cellStyle name="20 % - Accent2 3 3 6 5" xfId="21437"/>
    <cellStyle name="20 % - Accent2 3 3 6 6" xfId="34417"/>
    <cellStyle name="20 % - Accent2 3 3 6 7" xfId="47400"/>
    <cellStyle name="20 % - Accent2 3 3 7" xfId="3543"/>
    <cellStyle name="20 % - Accent2 3 3 7 2" xfId="10075"/>
    <cellStyle name="20 % - Accent2 3 3 7 2 2" xfId="29548"/>
    <cellStyle name="20 % - Accent2 3 3 7 2 3" xfId="42528"/>
    <cellStyle name="20 % - Accent2 3 3 7 2 4" xfId="58757"/>
    <cellStyle name="20 % - Accent2 3 3 7 3" xfId="16568"/>
    <cellStyle name="20 % - Accent2 3 3 7 4" xfId="23058"/>
    <cellStyle name="20 % - Accent2 3 3 7 5" xfId="36038"/>
    <cellStyle name="20 % - Accent2 3 3 7 6" xfId="52267"/>
    <cellStyle name="20 % - Accent2 3 3 8" xfId="6830"/>
    <cellStyle name="20 % - Accent2 3 3 8 2" xfId="26303"/>
    <cellStyle name="20 % - Accent2 3 3 8 3" xfId="39283"/>
    <cellStyle name="20 % - Accent2 3 3 8 4" xfId="55512"/>
    <cellStyle name="20 % - Accent2 3 3 9" xfId="13323"/>
    <cellStyle name="20 % - Accent2 3 3 9 2" xfId="49022"/>
    <cellStyle name="20 % - Accent2 3 4" xfId="205"/>
    <cellStyle name="20 % - Accent2 3 4 10" xfId="32749"/>
    <cellStyle name="20 % - Accent2 3 4 11" xfId="45732"/>
    <cellStyle name="20 % - Accent2 3 4 2" xfId="669"/>
    <cellStyle name="20 % - Accent2 3 4 2 10" xfId="46192"/>
    <cellStyle name="20 % - Accent2 3 4 2 2" xfId="1608"/>
    <cellStyle name="20 % - Accent2 3 4 2 2 2" xfId="3275"/>
    <cellStyle name="20 % - Accent2 3 4 2 2 2 2" xfId="6520"/>
    <cellStyle name="20 % - Accent2 3 4 2 2 2 2 2" xfId="13052"/>
    <cellStyle name="20 % - Accent2 3 4 2 2 2 2 2 2" xfId="32525"/>
    <cellStyle name="20 % - Accent2 3 4 2 2 2 2 2 3" xfId="45505"/>
    <cellStyle name="20 % - Accent2 3 4 2 2 2 2 2 4" xfId="61734"/>
    <cellStyle name="20 % - Accent2 3 4 2 2 2 2 3" xfId="19545"/>
    <cellStyle name="20 % - Accent2 3 4 2 2 2 2 4" xfId="26035"/>
    <cellStyle name="20 % - Accent2 3 4 2 2 2 2 5" xfId="39015"/>
    <cellStyle name="20 % - Accent2 3 4 2 2 2 2 6" xfId="55244"/>
    <cellStyle name="20 % - Accent2 3 4 2 2 2 3" xfId="9807"/>
    <cellStyle name="20 % - Accent2 3 4 2 2 2 3 2" xfId="29280"/>
    <cellStyle name="20 % - Accent2 3 4 2 2 2 3 3" xfId="42260"/>
    <cellStyle name="20 % - Accent2 3 4 2 2 2 3 4" xfId="58489"/>
    <cellStyle name="20 % - Accent2 3 4 2 2 2 4" xfId="16300"/>
    <cellStyle name="20 % - Accent2 3 4 2 2 2 4 2" xfId="51999"/>
    <cellStyle name="20 % - Accent2 3 4 2 2 2 5" xfId="22790"/>
    <cellStyle name="20 % - Accent2 3 4 2 2 2 6" xfId="35770"/>
    <cellStyle name="20 % - Accent2 3 4 2 2 2 7" xfId="48753"/>
    <cellStyle name="20 % - Accent2 3 4 2 2 3" xfId="4897"/>
    <cellStyle name="20 % - Accent2 3 4 2 2 3 2" xfId="11429"/>
    <cellStyle name="20 % - Accent2 3 4 2 2 3 2 2" xfId="30902"/>
    <cellStyle name="20 % - Accent2 3 4 2 2 3 2 3" xfId="43882"/>
    <cellStyle name="20 % - Accent2 3 4 2 2 3 2 4" xfId="60111"/>
    <cellStyle name="20 % - Accent2 3 4 2 2 3 3" xfId="17922"/>
    <cellStyle name="20 % - Accent2 3 4 2 2 3 4" xfId="24412"/>
    <cellStyle name="20 % - Accent2 3 4 2 2 3 5" xfId="37392"/>
    <cellStyle name="20 % - Accent2 3 4 2 2 3 6" xfId="53621"/>
    <cellStyle name="20 % - Accent2 3 4 2 2 4" xfId="8184"/>
    <cellStyle name="20 % - Accent2 3 4 2 2 4 2" xfId="27657"/>
    <cellStyle name="20 % - Accent2 3 4 2 2 4 3" xfId="40637"/>
    <cellStyle name="20 % - Accent2 3 4 2 2 4 4" xfId="56866"/>
    <cellStyle name="20 % - Accent2 3 4 2 2 5" xfId="14677"/>
    <cellStyle name="20 % - Accent2 3 4 2 2 5 2" xfId="50376"/>
    <cellStyle name="20 % - Accent2 3 4 2 2 6" xfId="21167"/>
    <cellStyle name="20 % - Accent2 3 4 2 2 7" xfId="34147"/>
    <cellStyle name="20 % - Accent2 3 4 2 2 8" xfId="47130"/>
    <cellStyle name="20 % - Accent2 3 4 2 3" xfId="1145"/>
    <cellStyle name="20 % - Accent2 3 4 2 3 2" xfId="2812"/>
    <cellStyle name="20 % - Accent2 3 4 2 3 2 2" xfId="6057"/>
    <cellStyle name="20 % - Accent2 3 4 2 3 2 2 2" xfId="12589"/>
    <cellStyle name="20 % - Accent2 3 4 2 3 2 2 2 2" xfId="32062"/>
    <cellStyle name="20 % - Accent2 3 4 2 3 2 2 2 3" xfId="45042"/>
    <cellStyle name="20 % - Accent2 3 4 2 3 2 2 2 4" xfId="61271"/>
    <cellStyle name="20 % - Accent2 3 4 2 3 2 2 3" xfId="19082"/>
    <cellStyle name="20 % - Accent2 3 4 2 3 2 2 4" xfId="25572"/>
    <cellStyle name="20 % - Accent2 3 4 2 3 2 2 5" xfId="38552"/>
    <cellStyle name="20 % - Accent2 3 4 2 3 2 2 6" xfId="54781"/>
    <cellStyle name="20 % - Accent2 3 4 2 3 2 3" xfId="9344"/>
    <cellStyle name="20 % - Accent2 3 4 2 3 2 3 2" xfId="28817"/>
    <cellStyle name="20 % - Accent2 3 4 2 3 2 3 3" xfId="41797"/>
    <cellStyle name="20 % - Accent2 3 4 2 3 2 3 4" xfId="58026"/>
    <cellStyle name="20 % - Accent2 3 4 2 3 2 4" xfId="15837"/>
    <cellStyle name="20 % - Accent2 3 4 2 3 2 4 2" xfId="51536"/>
    <cellStyle name="20 % - Accent2 3 4 2 3 2 5" xfId="22327"/>
    <cellStyle name="20 % - Accent2 3 4 2 3 2 6" xfId="35307"/>
    <cellStyle name="20 % - Accent2 3 4 2 3 2 7" xfId="48290"/>
    <cellStyle name="20 % - Accent2 3 4 2 3 3" xfId="4434"/>
    <cellStyle name="20 % - Accent2 3 4 2 3 3 2" xfId="10966"/>
    <cellStyle name="20 % - Accent2 3 4 2 3 3 2 2" xfId="30439"/>
    <cellStyle name="20 % - Accent2 3 4 2 3 3 2 3" xfId="43419"/>
    <cellStyle name="20 % - Accent2 3 4 2 3 3 2 4" xfId="59648"/>
    <cellStyle name="20 % - Accent2 3 4 2 3 3 3" xfId="17459"/>
    <cellStyle name="20 % - Accent2 3 4 2 3 3 4" xfId="23949"/>
    <cellStyle name="20 % - Accent2 3 4 2 3 3 5" xfId="36929"/>
    <cellStyle name="20 % - Accent2 3 4 2 3 3 6" xfId="53158"/>
    <cellStyle name="20 % - Accent2 3 4 2 3 4" xfId="7721"/>
    <cellStyle name="20 % - Accent2 3 4 2 3 4 2" xfId="27194"/>
    <cellStyle name="20 % - Accent2 3 4 2 3 4 3" xfId="40174"/>
    <cellStyle name="20 % - Accent2 3 4 2 3 4 4" xfId="56403"/>
    <cellStyle name="20 % - Accent2 3 4 2 3 5" xfId="14214"/>
    <cellStyle name="20 % - Accent2 3 4 2 3 5 2" xfId="49913"/>
    <cellStyle name="20 % - Accent2 3 4 2 3 6" xfId="20704"/>
    <cellStyle name="20 % - Accent2 3 4 2 3 7" xfId="33684"/>
    <cellStyle name="20 % - Accent2 3 4 2 3 8" xfId="46667"/>
    <cellStyle name="20 % - Accent2 3 4 2 4" xfId="2337"/>
    <cellStyle name="20 % - Accent2 3 4 2 4 2" xfId="5582"/>
    <cellStyle name="20 % - Accent2 3 4 2 4 2 2" xfId="12114"/>
    <cellStyle name="20 % - Accent2 3 4 2 4 2 2 2" xfId="31587"/>
    <cellStyle name="20 % - Accent2 3 4 2 4 2 2 3" xfId="44567"/>
    <cellStyle name="20 % - Accent2 3 4 2 4 2 2 4" xfId="60796"/>
    <cellStyle name="20 % - Accent2 3 4 2 4 2 3" xfId="18607"/>
    <cellStyle name="20 % - Accent2 3 4 2 4 2 4" xfId="25097"/>
    <cellStyle name="20 % - Accent2 3 4 2 4 2 5" xfId="38077"/>
    <cellStyle name="20 % - Accent2 3 4 2 4 2 6" xfId="54306"/>
    <cellStyle name="20 % - Accent2 3 4 2 4 3" xfId="8869"/>
    <cellStyle name="20 % - Accent2 3 4 2 4 3 2" xfId="28342"/>
    <cellStyle name="20 % - Accent2 3 4 2 4 3 3" xfId="41322"/>
    <cellStyle name="20 % - Accent2 3 4 2 4 3 4" xfId="57551"/>
    <cellStyle name="20 % - Accent2 3 4 2 4 4" xfId="15362"/>
    <cellStyle name="20 % - Accent2 3 4 2 4 4 2" xfId="51061"/>
    <cellStyle name="20 % - Accent2 3 4 2 4 5" xfId="21852"/>
    <cellStyle name="20 % - Accent2 3 4 2 4 6" xfId="34832"/>
    <cellStyle name="20 % - Accent2 3 4 2 4 7" xfId="47815"/>
    <cellStyle name="20 % - Accent2 3 4 2 5" xfId="3959"/>
    <cellStyle name="20 % - Accent2 3 4 2 5 2" xfId="10491"/>
    <cellStyle name="20 % - Accent2 3 4 2 5 2 2" xfId="29964"/>
    <cellStyle name="20 % - Accent2 3 4 2 5 2 3" xfId="42944"/>
    <cellStyle name="20 % - Accent2 3 4 2 5 2 4" xfId="59173"/>
    <cellStyle name="20 % - Accent2 3 4 2 5 3" xfId="16984"/>
    <cellStyle name="20 % - Accent2 3 4 2 5 4" xfId="23474"/>
    <cellStyle name="20 % - Accent2 3 4 2 5 5" xfId="36454"/>
    <cellStyle name="20 % - Accent2 3 4 2 5 6" xfId="52683"/>
    <cellStyle name="20 % - Accent2 3 4 2 6" xfId="7246"/>
    <cellStyle name="20 % - Accent2 3 4 2 6 2" xfId="26719"/>
    <cellStyle name="20 % - Accent2 3 4 2 6 3" xfId="39699"/>
    <cellStyle name="20 % - Accent2 3 4 2 6 4" xfId="55928"/>
    <cellStyle name="20 % - Accent2 3 4 2 7" xfId="13739"/>
    <cellStyle name="20 % - Accent2 3 4 2 7 2" xfId="49438"/>
    <cellStyle name="20 % - Accent2 3 4 2 8" xfId="20229"/>
    <cellStyle name="20 % - Accent2 3 4 2 9" xfId="33209"/>
    <cellStyle name="20 % - Accent2 3 4 3" xfId="439"/>
    <cellStyle name="20 % - Accent2 3 4 3 2" xfId="1388"/>
    <cellStyle name="20 % - Accent2 3 4 3 2 2" xfId="3055"/>
    <cellStyle name="20 % - Accent2 3 4 3 2 2 2" xfId="6300"/>
    <cellStyle name="20 % - Accent2 3 4 3 2 2 2 2" xfId="12832"/>
    <cellStyle name="20 % - Accent2 3 4 3 2 2 2 2 2" xfId="32305"/>
    <cellStyle name="20 % - Accent2 3 4 3 2 2 2 2 3" xfId="45285"/>
    <cellStyle name="20 % - Accent2 3 4 3 2 2 2 2 4" xfId="61514"/>
    <cellStyle name="20 % - Accent2 3 4 3 2 2 2 3" xfId="19325"/>
    <cellStyle name="20 % - Accent2 3 4 3 2 2 2 4" xfId="25815"/>
    <cellStyle name="20 % - Accent2 3 4 3 2 2 2 5" xfId="38795"/>
    <cellStyle name="20 % - Accent2 3 4 3 2 2 2 6" xfId="55024"/>
    <cellStyle name="20 % - Accent2 3 4 3 2 2 3" xfId="9587"/>
    <cellStyle name="20 % - Accent2 3 4 3 2 2 3 2" xfId="29060"/>
    <cellStyle name="20 % - Accent2 3 4 3 2 2 3 3" xfId="42040"/>
    <cellStyle name="20 % - Accent2 3 4 3 2 2 3 4" xfId="58269"/>
    <cellStyle name="20 % - Accent2 3 4 3 2 2 4" xfId="16080"/>
    <cellStyle name="20 % - Accent2 3 4 3 2 2 4 2" xfId="51779"/>
    <cellStyle name="20 % - Accent2 3 4 3 2 2 5" xfId="22570"/>
    <cellStyle name="20 % - Accent2 3 4 3 2 2 6" xfId="35550"/>
    <cellStyle name="20 % - Accent2 3 4 3 2 2 7" xfId="48533"/>
    <cellStyle name="20 % - Accent2 3 4 3 2 3" xfId="4677"/>
    <cellStyle name="20 % - Accent2 3 4 3 2 3 2" xfId="11209"/>
    <cellStyle name="20 % - Accent2 3 4 3 2 3 2 2" xfId="30682"/>
    <cellStyle name="20 % - Accent2 3 4 3 2 3 2 3" xfId="43662"/>
    <cellStyle name="20 % - Accent2 3 4 3 2 3 2 4" xfId="59891"/>
    <cellStyle name="20 % - Accent2 3 4 3 2 3 3" xfId="17702"/>
    <cellStyle name="20 % - Accent2 3 4 3 2 3 4" xfId="24192"/>
    <cellStyle name="20 % - Accent2 3 4 3 2 3 5" xfId="37172"/>
    <cellStyle name="20 % - Accent2 3 4 3 2 3 6" xfId="53401"/>
    <cellStyle name="20 % - Accent2 3 4 3 2 4" xfId="7964"/>
    <cellStyle name="20 % - Accent2 3 4 3 2 4 2" xfId="27437"/>
    <cellStyle name="20 % - Accent2 3 4 3 2 4 3" xfId="40417"/>
    <cellStyle name="20 % - Accent2 3 4 3 2 4 4" xfId="56646"/>
    <cellStyle name="20 % - Accent2 3 4 3 2 5" xfId="14457"/>
    <cellStyle name="20 % - Accent2 3 4 3 2 5 2" xfId="50156"/>
    <cellStyle name="20 % - Accent2 3 4 3 2 6" xfId="20947"/>
    <cellStyle name="20 % - Accent2 3 4 3 2 7" xfId="33927"/>
    <cellStyle name="20 % - Accent2 3 4 3 2 8" xfId="46910"/>
    <cellStyle name="20 % - Accent2 3 4 3 3" xfId="2107"/>
    <cellStyle name="20 % - Accent2 3 4 3 3 2" xfId="5352"/>
    <cellStyle name="20 % - Accent2 3 4 3 3 2 2" xfId="11884"/>
    <cellStyle name="20 % - Accent2 3 4 3 3 2 2 2" xfId="31357"/>
    <cellStyle name="20 % - Accent2 3 4 3 3 2 2 3" xfId="44337"/>
    <cellStyle name="20 % - Accent2 3 4 3 3 2 2 4" xfId="60566"/>
    <cellStyle name="20 % - Accent2 3 4 3 3 2 3" xfId="18377"/>
    <cellStyle name="20 % - Accent2 3 4 3 3 2 4" xfId="24867"/>
    <cellStyle name="20 % - Accent2 3 4 3 3 2 5" xfId="37847"/>
    <cellStyle name="20 % - Accent2 3 4 3 3 2 6" xfId="54076"/>
    <cellStyle name="20 % - Accent2 3 4 3 3 3" xfId="8639"/>
    <cellStyle name="20 % - Accent2 3 4 3 3 3 2" xfId="28112"/>
    <cellStyle name="20 % - Accent2 3 4 3 3 3 3" xfId="41092"/>
    <cellStyle name="20 % - Accent2 3 4 3 3 3 4" xfId="57321"/>
    <cellStyle name="20 % - Accent2 3 4 3 3 4" xfId="15132"/>
    <cellStyle name="20 % - Accent2 3 4 3 3 4 2" xfId="50831"/>
    <cellStyle name="20 % - Accent2 3 4 3 3 5" xfId="21622"/>
    <cellStyle name="20 % - Accent2 3 4 3 3 6" xfId="34602"/>
    <cellStyle name="20 % - Accent2 3 4 3 3 7" xfId="47585"/>
    <cellStyle name="20 % - Accent2 3 4 3 4" xfId="3729"/>
    <cellStyle name="20 % - Accent2 3 4 3 4 2" xfId="10261"/>
    <cellStyle name="20 % - Accent2 3 4 3 4 2 2" xfId="29734"/>
    <cellStyle name="20 % - Accent2 3 4 3 4 2 3" xfId="42714"/>
    <cellStyle name="20 % - Accent2 3 4 3 4 2 4" xfId="58943"/>
    <cellStyle name="20 % - Accent2 3 4 3 4 3" xfId="16754"/>
    <cellStyle name="20 % - Accent2 3 4 3 4 4" xfId="23244"/>
    <cellStyle name="20 % - Accent2 3 4 3 4 5" xfId="36224"/>
    <cellStyle name="20 % - Accent2 3 4 3 4 6" xfId="52453"/>
    <cellStyle name="20 % - Accent2 3 4 3 5" xfId="7016"/>
    <cellStyle name="20 % - Accent2 3 4 3 5 2" xfId="26489"/>
    <cellStyle name="20 % - Accent2 3 4 3 5 3" xfId="39469"/>
    <cellStyle name="20 % - Accent2 3 4 3 5 4" xfId="55698"/>
    <cellStyle name="20 % - Accent2 3 4 3 6" xfId="13509"/>
    <cellStyle name="20 % - Accent2 3 4 3 6 2" xfId="49208"/>
    <cellStyle name="20 % - Accent2 3 4 3 7" xfId="19999"/>
    <cellStyle name="20 % - Accent2 3 4 3 8" xfId="32979"/>
    <cellStyle name="20 % - Accent2 3 4 3 9" xfId="45962"/>
    <cellStyle name="20 % - Accent2 3 4 4" xfId="925"/>
    <cellStyle name="20 % - Accent2 3 4 4 2" xfId="2592"/>
    <cellStyle name="20 % - Accent2 3 4 4 2 2" xfId="5837"/>
    <cellStyle name="20 % - Accent2 3 4 4 2 2 2" xfId="12369"/>
    <cellStyle name="20 % - Accent2 3 4 4 2 2 2 2" xfId="31842"/>
    <cellStyle name="20 % - Accent2 3 4 4 2 2 2 3" xfId="44822"/>
    <cellStyle name="20 % - Accent2 3 4 4 2 2 2 4" xfId="61051"/>
    <cellStyle name="20 % - Accent2 3 4 4 2 2 3" xfId="18862"/>
    <cellStyle name="20 % - Accent2 3 4 4 2 2 4" xfId="25352"/>
    <cellStyle name="20 % - Accent2 3 4 4 2 2 5" xfId="38332"/>
    <cellStyle name="20 % - Accent2 3 4 4 2 2 6" xfId="54561"/>
    <cellStyle name="20 % - Accent2 3 4 4 2 3" xfId="9124"/>
    <cellStyle name="20 % - Accent2 3 4 4 2 3 2" xfId="28597"/>
    <cellStyle name="20 % - Accent2 3 4 4 2 3 3" xfId="41577"/>
    <cellStyle name="20 % - Accent2 3 4 4 2 3 4" xfId="57806"/>
    <cellStyle name="20 % - Accent2 3 4 4 2 4" xfId="15617"/>
    <cellStyle name="20 % - Accent2 3 4 4 2 4 2" xfId="51316"/>
    <cellStyle name="20 % - Accent2 3 4 4 2 5" xfId="22107"/>
    <cellStyle name="20 % - Accent2 3 4 4 2 6" xfId="35087"/>
    <cellStyle name="20 % - Accent2 3 4 4 2 7" xfId="48070"/>
    <cellStyle name="20 % - Accent2 3 4 4 3" xfId="4214"/>
    <cellStyle name="20 % - Accent2 3 4 4 3 2" xfId="10746"/>
    <cellStyle name="20 % - Accent2 3 4 4 3 2 2" xfId="30219"/>
    <cellStyle name="20 % - Accent2 3 4 4 3 2 3" xfId="43199"/>
    <cellStyle name="20 % - Accent2 3 4 4 3 2 4" xfId="59428"/>
    <cellStyle name="20 % - Accent2 3 4 4 3 3" xfId="17239"/>
    <cellStyle name="20 % - Accent2 3 4 4 3 4" xfId="23729"/>
    <cellStyle name="20 % - Accent2 3 4 4 3 5" xfId="36709"/>
    <cellStyle name="20 % - Accent2 3 4 4 3 6" xfId="52938"/>
    <cellStyle name="20 % - Accent2 3 4 4 4" xfId="7501"/>
    <cellStyle name="20 % - Accent2 3 4 4 4 2" xfId="26974"/>
    <cellStyle name="20 % - Accent2 3 4 4 4 3" xfId="39954"/>
    <cellStyle name="20 % - Accent2 3 4 4 4 4" xfId="56183"/>
    <cellStyle name="20 % - Accent2 3 4 4 5" xfId="13994"/>
    <cellStyle name="20 % - Accent2 3 4 4 5 2" xfId="49693"/>
    <cellStyle name="20 % - Accent2 3 4 4 6" xfId="20484"/>
    <cellStyle name="20 % - Accent2 3 4 4 7" xfId="33464"/>
    <cellStyle name="20 % - Accent2 3 4 4 8" xfId="46447"/>
    <cellStyle name="20 % - Accent2 3 4 5" xfId="1878"/>
    <cellStyle name="20 % - Accent2 3 4 5 2" xfId="5123"/>
    <cellStyle name="20 % - Accent2 3 4 5 2 2" xfId="11655"/>
    <cellStyle name="20 % - Accent2 3 4 5 2 2 2" xfId="31128"/>
    <cellStyle name="20 % - Accent2 3 4 5 2 2 3" xfId="44108"/>
    <cellStyle name="20 % - Accent2 3 4 5 2 2 4" xfId="60337"/>
    <cellStyle name="20 % - Accent2 3 4 5 2 3" xfId="18148"/>
    <cellStyle name="20 % - Accent2 3 4 5 2 4" xfId="24638"/>
    <cellStyle name="20 % - Accent2 3 4 5 2 5" xfId="37618"/>
    <cellStyle name="20 % - Accent2 3 4 5 2 6" xfId="53847"/>
    <cellStyle name="20 % - Accent2 3 4 5 3" xfId="8410"/>
    <cellStyle name="20 % - Accent2 3 4 5 3 2" xfId="27883"/>
    <cellStyle name="20 % - Accent2 3 4 5 3 3" xfId="40863"/>
    <cellStyle name="20 % - Accent2 3 4 5 3 4" xfId="57092"/>
    <cellStyle name="20 % - Accent2 3 4 5 4" xfId="14903"/>
    <cellStyle name="20 % - Accent2 3 4 5 4 2" xfId="50602"/>
    <cellStyle name="20 % - Accent2 3 4 5 5" xfId="21393"/>
    <cellStyle name="20 % - Accent2 3 4 5 6" xfId="34373"/>
    <cellStyle name="20 % - Accent2 3 4 5 7" xfId="47356"/>
    <cellStyle name="20 % - Accent2 3 4 6" xfId="3499"/>
    <cellStyle name="20 % - Accent2 3 4 6 2" xfId="10031"/>
    <cellStyle name="20 % - Accent2 3 4 6 2 2" xfId="29504"/>
    <cellStyle name="20 % - Accent2 3 4 6 2 3" xfId="42484"/>
    <cellStyle name="20 % - Accent2 3 4 6 2 4" xfId="58713"/>
    <cellStyle name="20 % - Accent2 3 4 6 3" xfId="16524"/>
    <cellStyle name="20 % - Accent2 3 4 6 4" xfId="23014"/>
    <cellStyle name="20 % - Accent2 3 4 6 5" xfId="35994"/>
    <cellStyle name="20 % - Accent2 3 4 6 6" xfId="52223"/>
    <cellStyle name="20 % - Accent2 3 4 7" xfId="6786"/>
    <cellStyle name="20 % - Accent2 3 4 7 2" xfId="26259"/>
    <cellStyle name="20 % - Accent2 3 4 7 3" xfId="39239"/>
    <cellStyle name="20 % - Accent2 3 4 7 4" xfId="55468"/>
    <cellStyle name="20 % - Accent2 3 4 8" xfId="13279"/>
    <cellStyle name="20 % - Accent2 3 4 8 2" xfId="48978"/>
    <cellStyle name="20 % - Accent2 3 4 9" xfId="19769"/>
    <cellStyle name="20 % - Accent2 3 5" xfId="293"/>
    <cellStyle name="20 % - Accent2 3 5 10" xfId="32837"/>
    <cellStyle name="20 % - Accent2 3 5 11" xfId="45820"/>
    <cellStyle name="20 % - Accent2 3 5 2" xfId="757"/>
    <cellStyle name="20 % - Accent2 3 5 2 10" xfId="46280"/>
    <cellStyle name="20 % - Accent2 3 5 2 2" xfId="1696"/>
    <cellStyle name="20 % - Accent2 3 5 2 2 2" xfId="3363"/>
    <cellStyle name="20 % - Accent2 3 5 2 2 2 2" xfId="6608"/>
    <cellStyle name="20 % - Accent2 3 5 2 2 2 2 2" xfId="13140"/>
    <cellStyle name="20 % - Accent2 3 5 2 2 2 2 2 2" xfId="32613"/>
    <cellStyle name="20 % - Accent2 3 5 2 2 2 2 2 3" xfId="45593"/>
    <cellStyle name="20 % - Accent2 3 5 2 2 2 2 2 4" xfId="61822"/>
    <cellStyle name="20 % - Accent2 3 5 2 2 2 2 3" xfId="19633"/>
    <cellStyle name="20 % - Accent2 3 5 2 2 2 2 4" xfId="26123"/>
    <cellStyle name="20 % - Accent2 3 5 2 2 2 2 5" xfId="39103"/>
    <cellStyle name="20 % - Accent2 3 5 2 2 2 2 6" xfId="55332"/>
    <cellStyle name="20 % - Accent2 3 5 2 2 2 3" xfId="9895"/>
    <cellStyle name="20 % - Accent2 3 5 2 2 2 3 2" xfId="29368"/>
    <cellStyle name="20 % - Accent2 3 5 2 2 2 3 3" xfId="42348"/>
    <cellStyle name="20 % - Accent2 3 5 2 2 2 3 4" xfId="58577"/>
    <cellStyle name="20 % - Accent2 3 5 2 2 2 4" xfId="16388"/>
    <cellStyle name="20 % - Accent2 3 5 2 2 2 4 2" xfId="52087"/>
    <cellStyle name="20 % - Accent2 3 5 2 2 2 5" xfId="22878"/>
    <cellStyle name="20 % - Accent2 3 5 2 2 2 6" xfId="35858"/>
    <cellStyle name="20 % - Accent2 3 5 2 2 2 7" xfId="48841"/>
    <cellStyle name="20 % - Accent2 3 5 2 2 3" xfId="4985"/>
    <cellStyle name="20 % - Accent2 3 5 2 2 3 2" xfId="11517"/>
    <cellStyle name="20 % - Accent2 3 5 2 2 3 2 2" xfId="30990"/>
    <cellStyle name="20 % - Accent2 3 5 2 2 3 2 3" xfId="43970"/>
    <cellStyle name="20 % - Accent2 3 5 2 2 3 2 4" xfId="60199"/>
    <cellStyle name="20 % - Accent2 3 5 2 2 3 3" xfId="18010"/>
    <cellStyle name="20 % - Accent2 3 5 2 2 3 4" xfId="24500"/>
    <cellStyle name="20 % - Accent2 3 5 2 2 3 5" xfId="37480"/>
    <cellStyle name="20 % - Accent2 3 5 2 2 3 6" xfId="53709"/>
    <cellStyle name="20 % - Accent2 3 5 2 2 4" xfId="8272"/>
    <cellStyle name="20 % - Accent2 3 5 2 2 4 2" xfId="27745"/>
    <cellStyle name="20 % - Accent2 3 5 2 2 4 3" xfId="40725"/>
    <cellStyle name="20 % - Accent2 3 5 2 2 4 4" xfId="56954"/>
    <cellStyle name="20 % - Accent2 3 5 2 2 5" xfId="14765"/>
    <cellStyle name="20 % - Accent2 3 5 2 2 5 2" xfId="50464"/>
    <cellStyle name="20 % - Accent2 3 5 2 2 6" xfId="21255"/>
    <cellStyle name="20 % - Accent2 3 5 2 2 7" xfId="34235"/>
    <cellStyle name="20 % - Accent2 3 5 2 2 8" xfId="47218"/>
    <cellStyle name="20 % - Accent2 3 5 2 3" xfId="1233"/>
    <cellStyle name="20 % - Accent2 3 5 2 3 2" xfId="2900"/>
    <cellStyle name="20 % - Accent2 3 5 2 3 2 2" xfId="6145"/>
    <cellStyle name="20 % - Accent2 3 5 2 3 2 2 2" xfId="12677"/>
    <cellStyle name="20 % - Accent2 3 5 2 3 2 2 2 2" xfId="32150"/>
    <cellStyle name="20 % - Accent2 3 5 2 3 2 2 2 3" xfId="45130"/>
    <cellStyle name="20 % - Accent2 3 5 2 3 2 2 2 4" xfId="61359"/>
    <cellStyle name="20 % - Accent2 3 5 2 3 2 2 3" xfId="19170"/>
    <cellStyle name="20 % - Accent2 3 5 2 3 2 2 4" xfId="25660"/>
    <cellStyle name="20 % - Accent2 3 5 2 3 2 2 5" xfId="38640"/>
    <cellStyle name="20 % - Accent2 3 5 2 3 2 2 6" xfId="54869"/>
    <cellStyle name="20 % - Accent2 3 5 2 3 2 3" xfId="9432"/>
    <cellStyle name="20 % - Accent2 3 5 2 3 2 3 2" xfId="28905"/>
    <cellStyle name="20 % - Accent2 3 5 2 3 2 3 3" xfId="41885"/>
    <cellStyle name="20 % - Accent2 3 5 2 3 2 3 4" xfId="58114"/>
    <cellStyle name="20 % - Accent2 3 5 2 3 2 4" xfId="15925"/>
    <cellStyle name="20 % - Accent2 3 5 2 3 2 4 2" xfId="51624"/>
    <cellStyle name="20 % - Accent2 3 5 2 3 2 5" xfId="22415"/>
    <cellStyle name="20 % - Accent2 3 5 2 3 2 6" xfId="35395"/>
    <cellStyle name="20 % - Accent2 3 5 2 3 2 7" xfId="48378"/>
    <cellStyle name="20 % - Accent2 3 5 2 3 3" xfId="4522"/>
    <cellStyle name="20 % - Accent2 3 5 2 3 3 2" xfId="11054"/>
    <cellStyle name="20 % - Accent2 3 5 2 3 3 2 2" xfId="30527"/>
    <cellStyle name="20 % - Accent2 3 5 2 3 3 2 3" xfId="43507"/>
    <cellStyle name="20 % - Accent2 3 5 2 3 3 2 4" xfId="59736"/>
    <cellStyle name="20 % - Accent2 3 5 2 3 3 3" xfId="17547"/>
    <cellStyle name="20 % - Accent2 3 5 2 3 3 4" xfId="24037"/>
    <cellStyle name="20 % - Accent2 3 5 2 3 3 5" xfId="37017"/>
    <cellStyle name="20 % - Accent2 3 5 2 3 3 6" xfId="53246"/>
    <cellStyle name="20 % - Accent2 3 5 2 3 4" xfId="7809"/>
    <cellStyle name="20 % - Accent2 3 5 2 3 4 2" xfId="27282"/>
    <cellStyle name="20 % - Accent2 3 5 2 3 4 3" xfId="40262"/>
    <cellStyle name="20 % - Accent2 3 5 2 3 4 4" xfId="56491"/>
    <cellStyle name="20 % - Accent2 3 5 2 3 5" xfId="14302"/>
    <cellStyle name="20 % - Accent2 3 5 2 3 5 2" xfId="50001"/>
    <cellStyle name="20 % - Accent2 3 5 2 3 6" xfId="20792"/>
    <cellStyle name="20 % - Accent2 3 5 2 3 7" xfId="33772"/>
    <cellStyle name="20 % - Accent2 3 5 2 3 8" xfId="46755"/>
    <cellStyle name="20 % - Accent2 3 5 2 4" xfId="2425"/>
    <cellStyle name="20 % - Accent2 3 5 2 4 2" xfId="5670"/>
    <cellStyle name="20 % - Accent2 3 5 2 4 2 2" xfId="12202"/>
    <cellStyle name="20 % - Accent2 3 5 2 4 2 2 2" xfId="31675"/>
    <cellStyle name="20 % - Accent2 3 5 2 4 2 2 3" xfId="44655"/>
    <cellStyle name="20 % - Accent2 3 5 2 4 2 2 4" xfId="60884"/>
    <cellStyle name="20 % - Accent2 3 5 2 4 2 3" xfId="18695"/>
    <cellStyle name="20 % - Accent2 3 5 2 4 2 4" xfId="25185"/>
    <cellStyle name="20 % - Accent2 3 5 2 4 2 5" xfId="38165"/>
    <cellStyle name="20 % - Accent2 3 5 2 4 2 6" xfId="54394"/>
    <cellStyle name="20 % - Accent2 3 5 2 4 3" xfId="8957"/>
    <cellStyle name="20 % - Accent2 3 5 2 4 3 2" xfId="28430"/>
    <cellStyle name="20 % - Accent2 3 5 2 4 3 3" xfId="41410"/>
    <cellStyle name="20 % - Accent2 3 5 2 4 3 4" xfId="57639"/>
    <cellStyle name="20 % - Accent2 3 5 2 4 4" xfId="15450"/>
    <cellStyle name="20 % - Accent2 3 5 2 4 4 2" xfId="51149"/>
    <cellStyle name="20 % - Accent2 3 5 2 4 5" xfId="21940"/>
    <cellStyle name="20 % - Accent2 3 5 2 4 6" xfId="34920"/>
    <cellStyle name="20 % - Accent2 3 5 2 4 7" xfId="47903"/>
    <cellStyle name="20 % - Accent2 3 5 2 5" xfId="4047"/>
    <cellStyle name="20 % - Accent2 3 5 2 5 2" xfId="10579"/>
    <cellStyle name="20 % - Accent2 3 5 2 5 2 2" xfId="30052"/>
    <cellStyle name="20 % - Accent2 3 5 2 5 2 3" xfId="43032"/>
    <cellStyle name="20 % - Accent2 3 5 2 5 2 4" xfId="59261"/>
    <cellStyle name="20 % - Accent2 3 5 2 5 3" xfId="17072"/>
    <cellStyle name="20 % - Accent2 3 5 2 5 4" xfId="23562"/>
    <cellStyle name="20 % - Accent2 3 5 2 5 5" xfId="36542"/>
    <cellStyle name="20 % - Accent2 3 5 2 5 6" xfId="52771"/>
    <cellStyle name="20 % - Accent2 3 5 2 6" xfId="7334"/>
    <cellStyle name="20 % - Accent2 3 5 2 6 2" xfId="26807"/>
    <cellStyle name="20 % - Accent2 3 5 2 6 3" xfId="39787"/>
    <cellStyle name="20 % - Accent2 3 5 2 6 4" xfId="56016"/>
    <cellStyle name="20 % - Accent2 3 5 2 7" xfId="13827"/>
    <cellStyle name="20 % - Accent2 3 5 2 7 2" xfId="49526"/>
    <cellStyle name="20 % - Accent2 3 5 2 8" xfId="20317"/>
    <cellStyle name="20 % - Accent2 3 5 2 9" xfId="33297"/>
    <cellStyle name="20 % - Accent2 3 5 3" xfId="527"/>
    <cellStyle name="20 % - Accent2 3 5 3 2" xfId="1476"/>
    <cellStyle name="20 % - Accent2 3 5 3 2 2" xfId="3143"/>
    <cellStyle name="20 % - Accent2 3 5 3 2 2 2" xfId="6388"/>
    <cellStyle name="20 % - Accent2 3 5 3 2 2 2 2" xfId="12920"/>
    <cellStyle name="20 % - Accent2 3 5 3 2 2 2 2 2" xfId="32393"/>
    <cellStyle name="20 % - Accent2 3 5 3 2 2 2 2 3" xfId="45373"/>
    <cellStyle name="20 % - Accent2 3 5 3 2 2 2 2 4" xfId="61602"/>
    <cellStyle name="20 % - Accent2 3 5 3 2 2 2 3" xfId="19413"/>
    <cellStyle name="20 % - Accent2 3 5 3 2 2 2 4" xfId="25903"/>
    <cellStyle name="20 % - Accent2 3 5 3 2 2 2 5" xfId="38883"/>
    <cellStyle name="20 % - Accent2 3 5 3 2 2 2 6" xfId="55112"/>
    <cellStyle name="20 % - Accent2 3 5 3 2 2 3" xfId="9675"/>
    <cellStyle name="20 % - Accent2 3 5 3 2 2 3 2" xfId="29148"/>
    <cellStyle name="20 % - Accent2 3 5 3 2 2 3 3" xfId="42128"/>
    <cellStyle name="20 % - Accent2 3 5 3 2 2 3 4" xfId="58357"/>
    <cellStyle name="20 % - Accent2 3 5 3 2 2 4" xfId="16168"/>
    <cellStyle name="20 % - Accent2 3 5 3 2 2 4 2" xfId="51867"/>
    <cellStyle name="20 % - Accent2 3 5 3 2 2 5" xfId="22658"/>
    <cellStyle name="20 % - Accent2 3 5 3 2 2 6" xfId="35638"/>
    <cellStyle name="20 % - Accent2 3 5 3 2 2 7" xfId="48621"/>
    <cellStyle name="20 % - Accent2 3 5 3 2 3" xfId="4765"/>
    <cellStyle name="20 % - Accent2 3 5 3 2 3 2" xfId="11297"/>
    <cellStyle name="20 % - Accent2 3 5 3 2 3 2 2" xfId="30770"/>
    <cellStyle name="20 % - Accent2 3 5 3 2 3 2 3" xfId="43750"/>
    <cellStyle name="20 % - Accent2 3 5 3 2 3 2 4" xfId="59979"/>
    <cellStyle name="20 % - Accent2 3 5 3 2 3 3" xfId="17790"/>
    <cellStyle name="20 % - Accent2 3 5 3 2 3 4" xfId="24280"/>
    <cellStyle name="20 % - Accent2 3 5 3 2 3 5" xfId="37260"/>
    <cellStyle name="20 % - Accent2 3 5 3 2 3 6" xfId="53489"/>
    <cellStyle name="20 % - Accent2 3 5 3 2 4" xfId="8052"/>
    <cellStyle name="20 % - Accent2 3 5 3 2 4 2" xfId="27525"/>
    <cellStyle name="20 % - Accent2 3 5 3 2 4 3" xfId="40505"/>
    <cellStyle name="20 % - Accent2 3 5 3 2 4 4" xfId="56734"/>
    <cellStyle name="20 % - Accent2 3 5 3 2 5" xfId="14545"/>
    <cellStyle name="20 % - Accent2 3 5 3 2 5 2" xfId="50244"/>
    <cellStyle name="20 % - Accent2 3 5 3 2 6" xfId="21035"/>
    <cellStyle name="20 % - Accent2 3 5 3 2 7" xfId="34015"/>
    <cellStyle name="20 % - Accent2 3 5 3 2 8" xfId="46998"/>
    <cellStyle name="20 % - Accent2 3 5 3 3" xfId="2195"/>
    <cellStyle name="20 % - Accent2 3 5 3 3 2" xfId="5440"/>
    <cellStyle name="20 % - Accent2 3 5 3 3 2 2" xfId="11972"/>
    <cellStyle name="20 % - Accent2 3 5 3 3 2 2 2" xfId="31445"/>
    <cellStyle name="20 % - Accent2 3 5 3 3 2 2 3" xfId="44425"/>
    <cellStyle name="20 % - Accent2 3 5 3 3 2 2 4" xfId="60654"/>
    <cellStyle name="20 % - Accent2 3 5 3 3 2 3" xfId="18465"/>
    <cellStyle name="20 % - Accent2 3 5 3 3 2 4" xfId="24955"/>
    <cellStyle name="20 % - Accent2 3 5 3 3 2 5" xfId="37935"/>
    <cellStyle name="20 % - Accent2 3 5 3 3 2 6" xfId="54164"/>
    <cellStyle name="20 % - Accent2 3 5 3 3 3" xfId="8727"/>
    <cellStyle name="20 % - Accent2 3 5 3 3 3 2" xfId="28200"/>
    <cellStyle name="20 % - Accent2 3 5 3 3 3 3" xfId="41180"/>
    <cellStyle name="20 % - Accent2 3 5 3 3 3 4" xfId="57409"/>
    <cellStyle name="20 % - Accent2 3 5 3 3 4" xfId="15220"/>
    <cellStyle name="20 % - Accent2 3 5 3 3 4 2" xfId="50919"/>
    <cellStyle name="20 % - Accent2 3 5 3 3 5" xfId="21710"/>
    <cellStyle name="20 % - Accent2 3 5 3 3 6" xfId="34690"/>
    <cellStyle name="20 % - Accent2 3 5 3 3 7" xfId="47673"/>
    <cellStyle name="20 % - Accent2 3 5 3 4" xfId="3817"/>
    <cellStyle name="20 % - Accent2 3 5 3 4 2" xfId="10349"/>
    <cellStyle name="20 % - Accent2 3 5 3 4 2 2" xfId="29822"/>
    <cellStyle name="20 % - Accent2 3 5 3 4 2 3" xfId="42802"/>
    <cellStyle name="20 % - Accent2 3 5 3 4 2 4" xfId="59031"/>
    <cellStyle name="20 % - Accent2 3 5 3 4 3" xfId="16842"/>
    <cellStyle name="20 % - Accent2 3 5 3 4 4" xfId="23332"/>
    <cellStyle name="20 % - Accent2 3 5 3 4 5" xfId="36312"/>
    <cellStyle name="20 % - Accent2 3 5 3 4 6" xfId="52541"/>
    <cellStyle name="20 % - Accent2 3 5 3 5" xfId="7104"/>
    <cellStyle name="20 % - Accent2 3 5 3 5 2" xfId="26577"/>
    <cellStyle name="20 % - Accent2 3 5 3 5 3" xfId="39557"/>
    <cellStyle name="20 % - Accent2 3 5 3 5 4" xfId="55786"/>
    <cellStyle name="20 % - Accent2 3 5 3 6" xfId="13597"/>
    <cellStyle name="20 % - Accent2 3 5 3 6 2" xfId="49296"/>
    <cellStyle name="20 % - Accent2 3 5 3 7" xfId="20087"/>
    <cellStyle name="20 % - Accent2 3 5 3 8" xfId="33067"/>
    <cellStyle name="20 % - Accent2 3 5 3 9" xfId="46050"/>
    <cellStyle name="20 % - Accent2 3 5 4" xfId="1013"/>
    <cellStyle name="20 % - Accent2 3 5 4 2" xfId="2680"/>
    <cellStyle name="20 % - Accent2 3 5 4 2 2" xfId="5925"/>
    <cellStyle name="20 % - Accent2 3 5 4 2 2 2" xfId="12457"/>
    <cellStyle name="20 % - Accent2 3 5 4 2 2 2 2" xfId="31930"/>
    <cellStyle name="20 % - Accent2 3 5 4 2 2 2 3" xfId="44910"/>
    <cellStyle name="20 % - Accent2 3 5 4 2 2 2 4" xfId="61139"/>
    <cellStyle name="20 % - Accent2 3 5 4 2 2 3" xfId="18950"/>
    <cellStyle name="20 % - Accent2 3 5 4 2 2 4" xfId="25440"/>
    <cellStyle name="20 % - Accent2 3 5 4 2 2 5" xfId="38420"/>
    <cellStyle name="20 % - Accent2 3 5 4 2 2 6" xfId="54649"/>
    <cellStyle name="20 % - Accent2 3 5 4 2 3" xfId="9212"/>
    <cellStyle name="20 % - Accent2 3 5 4 2 3 2" xfId="28685"/>
    <cellStyle name="20 % - Accent2 3 5 4 2 3 3" xfId="41665"/>
    <cellStyle name="20 % - Accent2 3 5 4 2 3 4" xfId="57894"/>
    <cellStyle name="20 % - Accent2 3 5 4 2 4" xfId="15705"/>
    <cellStyle name="20 % - Accent2 3 5 4 2 4 2" xfId="51404"/>
    <cellStyle name="20 % - Accent2 3 5 4 2 5" xfId="22195"/>
    <cellStyle name="20 % - Accent2 3 5 4 2 6" xfId="35175"/>
    <cellStyle name="20 % - Accent2 3 5 4 2 7" xfId="48158"/>
    <cellStyle name="20 % - Accent2 3 5 4 3" xfId="4302"/>
    <cellStyle name="20 % - Accent2 3 5 4 3 2" xfId="10834"/>
    <cellStyle name="20 % - Accent2 3 5 4 3 2 2" xfId="30307"/>
    <cellStyle name="20 % - Accent2 3 5 4 3 2 3" xfId="43287"/>
    <cellStyle name="20 % - Accent2 3 5 4 3 2 4" xfId="59516"/>
    <cellStyle name="20 % - Accent2 3 5 4 3 3" xfId="17327"/>
    <cellStyle name="20 % - Accent2 3 5 4 3 4" xfId="23817"/>
    <cellStyle name="20 % - Accent2 3 5 4 3 5" xfId="36797"/>
    <cellStyle name="20 % - Accent2 3 5 4 3 6" xfId="53026"/>
    <cellStyle name="20 % - Accent2 3 5 4 4" xfId="7589"/>
    <cellStyle name="20 % - Accent2 3 5 4 4 2" xfId="27062"/>
    <cellStyle name="20 % - Accent2 3 5 4 4 3" xfId="40042"/>
    <cellStyle name="20 % - Accent2 3 5 4 4 4" xfId="56271"/>
    <cellStyle name="20 % - Accent2 3 5 4 5" xfId="14082"/>
    <cellStyle name="20 % - Accent2 3 5 4 5 2" xfId="49781"/>
    <cellStyle name="20 % - Accent2 3 5 4 6" xfId="20572"/>
    <cellStyle name="20 % - Accent2 3 5 4 7" xfId="33552"/>
    <cellStyle name="20 % - Accent2 3 5 4 8" xfId="46535"/>
    <cellStyle name="20 % - Accent2 3 5 5" xfId="1966"/>
    <cellStyle name="20 % - Accent2 3 5 5 2" xfId="5211"/>
    <cellStyle name="20 % - Accent2 3 5 5 2 2" xfId="11743"/>
    <cellStyle name="20 % - Accent2 3 5 5 2 2 2" xfId="31216"/>
    <cellStyle name="20 % - Accent2 3 5 5 2 2 3" xfId="44196"/>
    <cellStyle name="20 % - Accent2 3 5 5 2 2 4" xfId="60425"/>
    <cellStyle name="20 % - Accent2 3 5 5 2 3" xfId="18236"/>
    <cellStyle name="20 % - Accent2 3 5 5 2 4" xfId="24726"/>
    <cellStyle name="20 % - Accent2 3 5 5 2 5" xfId="37706"/>
    <cellStyle name="20 % - Accent2 3 5 5 2 6" xfId="53935"/>
    <cellStyle name="20 % - Accent2 3 5 5 3" xfId="8498"/>
    <cellStyle name="20 % - Accent2 3 5 5 3 2" xfId="27971"/>
    <cellStyle name="20 % - Accent2 3 5 5 3 3" xfId="40951"/>
    <cellStyle name="20 % - Accent2 3 5 5 3 4" xfId="57180"/>
    <cellStyle name="20 % - Accent2 3 5 5 4" xfId="14991"/>
    <cellStyle name="20 % - Accent2 3 5 5 4 2" xfId="50690"/>
    <cellStyle name="20 % - Accent2 3 5 5 5" xfId="21481"/>
    <cellStyle name="20 % - Accent2 3 5 5 6" xfId="34461"/>
    <cellStyle name="20 % - Accent2 3 5 5 7" xfId="47444"/>
    <cellStyle name="20 % - Accent2 3 5 6" xfId="3587"/>
    <cellStyle name="20 % - Accent2 3 5 6 2" xfId="10119"/>
    <cellStyle name="20 % - Accent2 3 5 6 2 2" xfId="29592"/>
    <cellStyle name="20 % - Accent2 3 5 6 2 3" xfId="42572"/>
    <cellStyle name="20 % - Accent2 3 5 6 2 4" xfId="58801"/>
    <cellStyle name="20 % - Accent2 3 5 6 3" xfId="16612"/>
    <cellStyle name="20 % - Accent2 3 5 6 4" xfId="23102"/>
    <cellStyle name="20 % - Accent2 3 5 6 5" xfId="36082"/>
    <cellStyle name="20 % - Accent2 3 5 6 6" xfId="52311"/>
    <cellStyle name="20 % - Accent2 3 5 7" xfId="6874"/>
    <cellStyle name="20 % - Accent2 3 5 7 2" xfId="26347"/>
    <cellStyle name="20 % - Accent2 3 5 7 3" xfId="39327"/>
    <cellStyle name="20 % - Accent2 3 5 7 4" xfId="55556"/>
    <cellStyle name="20 % - Accent2 3 5 8" xfId="13367"/>
    <cellStyle name="20 % - Accent2 3 5 8 2" xfId="49066"/>
    <cellStyle name="20 % - Accent2 3 5 9" xfId="19857"/>
    <cellStyle name="20 % - Accent2 3 6" xfId="625"/>
    <cellStyle name="20 % - Accent2 3 6 10" xfId="46148"/>
    <cellStyle name="20 % - Accent2 3 6 2" xfId="1344"/>
    <cellStyle name="20 % - Accent2 3 6 2 2" xfId="3011"/>
    <cellStyle name="20 % - Accent2 3 6 2 2 2" xfId="6256"/>
    <cellStyle name="20 % - Accent2 3 6 2 2 2 2" xfId="12788"/>
    <cellStyle name="20 % - Accent2 3 6 2 2 2 2 2" xfId="32261"/>
    <cellStyle name="20 % - Accent2 3 6 2 2 2 2 3" xfId="45241"/>
    <cellStyle name="20 % - Accent2 3 6 2 2 2 2 4" xfId="61470"/>
    <cellStyle name="20 % - Accent2 3 6 2 2 2 3" xfId="19281"/>
    <cellStyle name="20 % - Accent2 3 6 2 2 2 4" xfId="25771"/>
    <cellStyle name="20 % - Accent2 3 6 2 2 2 5" xfId="38751"/>
    <cellStyle name="20 % - Accent2 3 6 2 2 2 6" xfId="54980"/>
    <cellStyle name="20 % - Accent2 3 6 2 2 3" xfId="9543"/>
    <cellStyle name="20 % - Accent2 3 6 2 2 3 2" xfId="29016"/>
    <cellStyle name="20 % - Accent2 3 6 2 2 3 3" xfId="41996"/>
    <cellStyle name="20 % - Accent2 3 6 2 2 3 4" xfId="58225"/>
    <cellStyle name="20 % - Accent2 3 6 2 2 4" xfId="16036"/>
    <cellStyle name="20 % - Accent2 3 6 2 2 4 2" xfId="51735"/>
    <cellStyle name="20 % - Accent2 3 6 2 2 5" xfId="22526"/>
    <cellStyle name="20 % - Accent2 3 6 2 2 6" xfId="35506"/>
    <cellStyle name="20 % - Accent2 3 6 2 2 7" xfId="48489"/>
    <cellStyle name="20 % - Accent2 3 6 2 3" xfId="4633"/>
    <cellStyle name="20 % - Accent2 3 6 2 3 2" xfId="11165"/>
    <cellStyle name="20 % - Accent2 3 6 2 3 2 2" xfId="30638"/>
    <cellStyle name="20 % - Accent2 3 6 2 3 2 3" xfId="43618"/>
    <cellStyle name="20 % - Accent2 3 6 2 3 2 4" xfId="59847"/>
    <cellStyle name="20 % - Accent2 3 6 2 3 3" xfId="17658"/>
    <cellStyle name="20 % - Accent2 3 6 2 3 4" xfId="24148"/>
    <cellStyle name="20 % - Accent2 3 6 2 3 5" xfId="37128"/>
    <cellStyle name="20 % - Accent2 3 6 2 3 6" xfId="53357"/>
    <cellStyle name="20 % - Accent2 3 6 2 4" xfId="7920"/>
    <cellStyle name="20 % - Accent2 3 6 2 4 2" xfId="27393"/>
    <cellStyle name="20 % - Accent2 3 6 2 4 3" xfId="40373"/>
    <cellStyle name="20 % - Accent2 3 6 2 4 4" xfId="56602"/>
    <cellStyle name="20 % - Accent2 3 6 2 5" xfId="14413"/>
    <cellStyle name="20 % - Accent2 3 6 2 5 2" xfId="50112"/>
    <cellStyle name="20 % - Accent2 3 6 2 6" xfId="20903"/>
    <cellStyle name="20 % - Accent2 3 6 2 7" xfId="33883"/>
    <cellStyle name="20 % - Accent2 3 6 2 8" xfId="46866"/>
    <cellStyle name="20 % - Accent2 3 6 3" xfId="880"/>
    <cellStyle name="20 % - Accent2 3 6 3 2" xfId="2548"/>
    <cellStyle name="20 % - Accent2 3 6 3 2 2" xfId="5793"/>
    <cellStyle name="20 % - Accent2 3 6 3 2 2 2" xfId="12325"/>
    <cellStyle name="20 % - Accent2 3 6 3 2 2 2 2" xfId="31798"/>
    <cellStyle name="20 % - Accent2 3 6 3 2 2 2 3" xfId="44778"/>
    <cellStyle name="20 % - Accent2 3 6 3 2 2 2 4" xfId="61007"/>
    <cellStyle name="20 % - Accent2 3 6 3 2 2 3" xfId="18818"/>
    <cellStyle name="20 % - Accent2 3 6 3 2 2 4" xfId="25308"/>
    <cellStyle name="20 % - Accent2 3 6 3 2 2 5" xfId="38288"/>
    <cellStyle name="20 % - Accent2 3 6 3 2 2 6" xfId="54517"/>
    <cellStyle name="20 % - Accent2 3 6 3 2 3" xfId="9080"/>
    <cellStyle name="20 % - Accent2 3 6 3 2 3 2" xfId="28553"/>
    <cellStyle name="20 % - Accent2 3 6 3 2 3 3" xfId="41533"/>
    <cellStyle name="20 % - Accent2 3 6 3 2 3 4" xfId="57762"/>
    <cellStyle name="20 % - Accent2 3 6 3 2 4" xfId="15573"/>
    <cellStyle name="20 % - Accent2 3 6 3 2 4 2" xfId="51272"/>
    <cellStyle name="20 % - Accent2 3 6 3 2 5" xfId="22063"/>
    <cellStyle name="20 % - Accent2 3 6 3 2 6" xfId="35043"/>
    <cellStyle name="20 % - Accent2 3 6 3 2 7" xfId="48026"/>
    <cellStyle name="20 % - Accent2 3 6 3 3" xfId="4170"/>
    <cellStyle name="20 % - Accent2 3 6 3 3 2" xfId="10702"/>
    <cellStyle name="20 % - Accent2 3 6 3 3 2 2" xfId="30175"/>
    <cellStyle name="20 % - Accent2 3 6 3 3 2 3" xfId="43155"/>
    <cellStyle name="20 % - Accent2 3 6 3 3 2 4" xfId="59384"/>
    <cellStyle name="20 % - Accent2 3 6 3 3 3" xfId="17195"/>
    <cellStyle name="20 % - Accent2 3 6 3 3 4" xfId="23685"/>
    <cellStyle name="20 % - Accent2 3 6 3 3 5" xfId="36665"/>
    <cellStyle name="20 % - Accent2 3 6 3 3 6" xfId="52894"/>
    <cellStyle name="20 % - Accent2 3 6 3 4" xfId="7457"/>
    <cellStyle name="20 % - Accent2 3 6 3 4 2" xfId="26930"/>
    <cellStyle name="20 % - Accent2 3 6 3 4 3" xfId="39910"/>
    <cellStyle name="20 % - Accent2 3 6 3 4 4" xfId="56139"/>
    <cellStyle name="20 % - Accent2 3 6 3 5" xfId="13950"/>
    <cellStyle name="20 % - Accent2 3 6 3 5 2" xfId="49649"/>
    <cellStyle name="20 % - Accent2 3 6 3 6" xfId="20440"/>
    <cellStyle name="20 % - Accent2 3 6 3 7" xfId="33420"/>
    <cellStyle name="20 % - Accent2 3 6 3 8" xfId="46403"/>
    <cellStyle name="20 % - Accent2 3 6 4" xfId="2293"/>
    <cellStyle name="20 % - Accent2 3 6 4 2" xfId="5538"/>
    <cellStyle name="20 % - Accent2 3 6 4 2 2" xfId="12070"/>
    <cellStyle name="20 % - Accent2 3 6 4 2 2 2" xfId="31543"/>
    <cellStyle name="20 % - Accent2 3 6 4 2 2 3" xfId="44523"/>
    <cellStyle name="20 % - Accent2 3 6 4 2 2 4" xfId="60752"/>
    <cellStyle name="20 % - Accent2 3 6 4 2 3" xfId="18563"/>
    <cellStyle name="20 % - Accent2 3 6 4 2 4" xfId="25053"/>
    <cellStyle name="20 % - Accent2 3 6 4 2 5" xfId="38033"/>
    <cellStyle name="20 % - Accent2 3 6 4 2 6" xfId="54262"/>
    <cellStyle name="20 % - Accent2 3 6 4 3" xfId="8825"/>
    <cellStyle name="20 % - Accent2 3 6 4 3 2" xfId="28298"/>
    <cellStyle name="20 % - Accent2 3 6 4 3 3" xfId="41278"/>
    <cellStyle name="20 % - Accent2 3 6 4 3 4" xfId="57507"/>
    <cellStyle name="20 % - Accent2 3 6 4 4" xfId="15318"/>
    <cellStyle name="20 % - Accent2 3 6 4 4 2" xfId="51017"/>
    <cellStyle name="20 % - Accent2 3 6 4 5" xfId="21808"/>
    <cellStyle name="20 % - Accent2 3 6 4 6" xfId="34788"/>
    <cellStyle name="20 % - Accent2 3 6 4 7" xfId="47771"/>
    <cellStyle name="20 % - Accent2 3 6 5" xfId="3915"/>
    <cellStyle name="20 % - Accent2 3 6 5 2" xfId="10447"/>
    <cellStyle name="20 % - Accent2 3 6 5 2 2" xfId="29920"/>
    <cellStyle name="20 % - Accent2 3 6 5 2 3" xfId="42900"/>
    <cellStyle name="20 % - Accent2 3 6 5 2 4" xfId="59129"/>
    <cellStyle name="20 % - Accent2 3 6 5 3" xfId="16940"/>
    <cellStyle name="20 % - Accent2 3 6 5 4" xfId="23430"/>
    <cellStyle name="20 % - Accent2 3 6 5 5" xfId="36410"/>
    <cellStyle name="20 % - Accent2 3 6 5 6" xfId="52639"/>
    <cellStyle name="20 % - Accent2 3 6 6" xfId="7202"/>
    <cellStyle name="20 % - Accent2 3 6 6 2" xfId="26675"/>
    <cellStyle name="20 % - Accent2 3 6 6 3" xfId="39655"/>
    <cellStyle name="20 % - Accent2 3 6 6 4" xfId="55884"/>
    <cellStyle name="20 % - Accent2 3 6 7" xfId="13695"/>
    <cellStyle name="20 % - Accent2 3 6 7 2" xfId="49394"/>
    <cellStyle name="20 % - Accent2 3 6 8" xfId="20185"/>
    <cellStyle name="20 % - Accent2 3 6 9" xfId="33165"/>
    <cellStyle name="20 % - Accent2 3 7" xfId="395"/>
    <cellStyle name="20 % - Accent2 3 7 10" xfId="45918"/>
    <cellStyle name="20 % - Accent2 3 7 2" xfId="1564"/>
    <cellStyle name="20 % - Accent2 3 7 2 2" xfId="3231"/>
    <cellStyle name="20 % - Accent2 3 7 2 2 2" xfId="6476"/>
    <cellStyle name="20 % - Accent2 3 7 2 2 2 2" xfId="13008"/>
    <cellStyle name="20 % - Accent2 3 7 2 2 2 2 2" xfId="32481"/>
    <cellStyle name="20 % - Accent2 3 7 2 2 2 2 3" xfId="45461"/>
    <cellStyle name="20 % - Accent2 3 7 2 2 2 2 4" xfId="61690"/>
    <cellStyle name="20 % - Accent2 3 7 2 2 2 3" xfId="19501"/>
    <cellStyle name="20 % - Accent2 3 7 2 2 2 4" xfId="25991"/>
    <cellStyle name="20 % - Accent2 3 7 2 2 2 5" xfId="38971"/>
    <cellStyle name="20 % - Accent2 3 7 2 2 2 6" xfId="55200"/>
    <cellStyle name="20 % - Accent2 3 7 2 2 3" xfId="9763"/>
    <cellStyle name="20 % - Accent2 3 7 2 2 3 2" xfId="29236"/>
    <cellStyle name="20 % - Accent2 3 7 2 2 3 3" xfId="42216"/>
    <cellStyle name="20 % - Accent2 3 7 2 2 3 4" xfId="58445"/>
    <cellStyle name="20 % - Accent2 3 7 2 2 4" xfId="16256"/>
    <cellStyle name="20 % - Accent2 3 7 2 2 4 2" xfId="51955"/>
    <cellStyle name="20 % - Accent2 3 7 2 2 5" xfId="22746"/>
    <cellStyle name="20 % - Accent2 3 7 2 2 6" xfId="35726"/>
    <cellStyle name="20 % - Accent2 3 7 2 2 7" xfId="48709"/>
    <cellStyle name="20 % - Accent2 3 7 2 3" xfId="4853"/>
    <cellStyle name="20 % - Accent2 3 7 2 3 2" xfId="11385"/>
    <cellStyle name="20 % - Accent2 3 7 2 3 2 2" xfId="30858"/>
    <cellStyle name="20 % - Accent2 3 7 2 3 2 3" xfId="43838"/>
    <cellStyle name="20 % - Accent2 3 7 2 3 2 4" xfId="60067"/>
    <cellStyle name="20 % - Accent2 3 7 2 3 3" xfId="17878"/>
    <cellStyle name="20 % - Accent2 3 7 2 3 4" xfId="24368"/>
    <cellStyle name="20 % - Accent2 3 7 2 3 5" xfId="37348"/>
    <cellStyle name="20 % - Accent2 3 7 2 3 6" xfId="53577"/>
    <cellStyle name="20 % - Accent2 3 7 2 4" xfId="8140"/>
    <cellStyle name="20 % - Accent2 3 7 2 4 2" xfId="27613"/>
    <cellStyle name="20 % - Accent2 3 7 2 4 3" xfId="40593"/>
    <cellStyle name="20 % - Accent2 3 7 2 4 4" xfId="56822"/>
    <cellStyle name="20 % - Accent2 3 7 2 5" xfId="14633"/>
    <cellStyle name="20 % - Accent2 3 7 2 5 2" xfId="50332"/>
    <cellStyle name="20 % - Accent2 3 7 2 6" xfId="21123"/>
    <cellStyle name="20 % - Accent2 3 7 2 7" xfId="34103"/>
    <cellStyle name="20 % - Accent2 3 7 2 8" xfId="47086"/>
    <cellStyle name="20 % - Accent2 3 7 3" xfId="1101"/>
    <cellStyle name="20 % - Accent2 3 7 3 2" xfId="2768"/>
    <cellStyle name="20 % - Accent2 3 7 3 2 2" xfId="6013"/>
    <cellStyle name="20 % - Accent2 3 7 3 2 2 2" xfId="12545"/>
    <cellStyle name="20 % - Accent2 3 7 3 2 2 2 2" xfId="32018"/>
    <cellStyle name="20 % - Accent2 3 7 3 2 2 2 3" xfId="44998"/>
    <cellStyle name="20 % - Accent2 3 7 3 2 2 2 4" xfId="61227"/>
    <cellStyle name="20 % - Accent2 3 7 3 2 2 3" xfId="19038"/>
    <cellStyle name="20 % - Accent2 3 7 3 2 2 4" xfId="25528"/>
    <cellStyle name="20 % - Accent2 3 7 3 2 2 5" xfId="38508"/>
    <cellStyle name="20 % - Accent2 3 7 3 2 2 6" xfId="54737"/>
    <cellStyle name="20 % - Accent2 3 7 3 2 3" xfId="9300"/>
    <cellStyle name="20 % - Accent2 3 7 3 2 3 2" xfId="28773"/>
    <cellStyle name="20 % - Accent2 3 7 3 2 3 3" xfId="41753"/>
    <cellStyle name="20 % - Accent2 3 7 3 2 3 4" xfId="57982"/>
    <cellStyle name="20 % - Accent2 3 7 3 2 4" xfId="15793"/>
    <cellStyle name="20 % - Accent2 3 7 3 2 4 2" xfId="51492"/>
    <cellStyle name="20 % - Accent2 3 7 3 2 5" xfId="22283"/>
    <cellStyle name="20 % - Accent2 3 7 3 2 6" xfId="35263"/>
    <cellStyle name="20 % - Accent2 3 7 3 2 7" xfId="48246"/>
    <cellStyle name="20 % - Accent2 3 7 3 3" xfId="4390"/>
    <cellStyle name="20 % - Accent2 3 7 3 3 2" xfId="10922"/>
    <cellStyle name="20 % - Accent2 3 7 3 3 2 2" xfId="30395"/>
    <cellStyle name="20 % - Accent2 3 7 3 3 2 3" xfId="43375"/>
    <cellStyle name="20 % - Accent2 3 7 3 3 2 4" xfId="59604"/>
    <cellStyle name="20 % - Accent2 3 7 3 3 3" xfId="17415"/>
    <cellStyle name="20 % - Accent2 3 7 3 3 4" xfId="23905"/>
    <cellStyle name="20 % - Accent2 3 7 3 3 5" xfId="36885"/>
    <cellStyle name="20 % - Accent2 3 7 3 3 6" xfId="53114"/>
    <cellStyle name="20 % - Accent2 3 7 3 4" xfId="7677"/>
    <cellStyle name="20 % - Accent2 3 7 3 4 2" xfId="27150"/>
    <cellStyle name="20 % - Accent2 3 7 3 4 3" xfId="40130"/>
    <cellStyle name="20 % - Accent2 3 7 3 4 4" xfId="56359"/>
    <cellStyle name="20 % - Accent2 3 7 3 5" xfId="14170"/>
    <cellStyle name="20 % - Accent2 3 7 3 5 2" xfId="49869"/>
    <cellStyle name="20 % - Accent2 3 7 3 6" xfId="20660"/>
    <cellStyle name="20 % - Accent2 3 7 3 7" xfId="33640"/>
    <cellStyle name="20 % - Accent2 3 7 3 8" xfId="46623"/>
    <cellStyle name="20 % - Accent2 3 7 4" xfId="2063"/>
    <cellStyle name="20 % - Accent2 3 7 4 2" xfId="5308"/>
    <cellStyle name="20 % - Accent2 3 7 4 2 2" xfId="11840"/>
    <cellStyle name="20 % - Accent2 3 7 4 2 2 2" xfId="31313"/>
    <cellStyle name="20 % - Accent2 3 7 4 2 2 3" xfId="44293"/>
    <cellStyle name="20 % - Accent2 3 7 4 2 2 4" xfId="60522"/>
    <cellStyle name="20 % - Accent2 3 7 4 2 3" xfId="18333"/>
    <cellStyle name="20 % - Accent2 3 7 4 2 4" xfId="24823"/>
    <cellStyle name="20 % - Accent2 3 7 4 2 5" xfId="37803"/>
    <cellStyle name="20 % - Accent2 3 7 4 2 6" xfId="54032"/>
    <cellStyle name="20 % - Accent2 3 7 4 3" xfId="8595"/>
    <cellStyle name="20 % - Accent2 3 7 4 3 2" xfId="28068"/>
    <cellStyle name="20 % - Accent2 3 7 4 3 3" xfId="41048"/>
    <cellStyle name="20 % - Accent2 3 7 4 3 4" xfId="57277"/>
    <cellStyle name="20 % - Accent2 3 7 4 4" xfId="15088"/>
    <cellStyle name="20 % - Accent2 3 7 4 4 2" xfId="50787"/>
    <cellStyle name="20 % - Accent2 3 7 4 5" xfId="21578"/>
    <cellStyle name="20 % - Accent2 3 7 4 6" xfId="34558"/>
    <cellStyle name="20 % - Accent2 3 7 4 7" xfId="47541"/>
    <cellStyle name="20 % - Accent2 3 7 5" xfId="3685"/>
    <cellStyle name="20 % - Accent2 3 7 5 2" xfId="10217"/>
    <cellStyle name="20 % - Accent2 3 7 5 2 2" xfId="29690"/>
    <cellStyle name="20 % - Accent2 3 7 5 2 3" xfId="42670"/>
    <cellStyle name="20 % - Accent2 3 7 5 2 4" xfId="58899"/>
    <cellStyle name="20 % - Accent2 3 7 5 3" xfId="16710"/>
    <cellStyle name="20 % - Accent2 3 7 5 4" xfId="23200"/>
    <cellStyle name="20 % - Accent2 3 7 5 5" xfId="36180"/>
    <cellStyle name="20 % - Accent2 3 7 5 6" xfId="52409"/>
    <cellStyle name="20 % - Accent2 3 7 6" xfId="6972"/>
    <cellStyle name="20 % - Accent2 3 7 6 2" xfId="26445"/>
    <cellStyle name="20 % - Accent2 3 7 6 3" xfId="39425"/>
    <cellStyle name="20 % - Accent2 3 7 6 4" xfId="55654"/>
    <cellStyle name="20 % - Accent2 3 7 7" xfId="13465"/>
    <cellStyle name="20 % - Accent2 3 7 7 2" xfId="49164"/>
    <cellStyle name="20 % - Accent2 3 7 8" xfId="19955"/>
    <cellStyle name="20 % - Accent2 3 7 9" xfId="32935"/>
    <cellStyle name="20 % - Accent2 3 8" xfId="1321"/>
    <cellStyle name="20 % - Accent2 3 8 2" xfId="2988"/>
    <cellStyle name="20 % - Accent2 3 8 2 2" xfId="6233"/>
    <cellStyle name="20 % - Accent2 3 8 2 2 2" xfId="12765"/>
    <cellStyle name="20 % - Accent2 3 8 2 2 2 2" xfId="32238"/>
    <cellStyle name="20 % - Accent2 3 8 2 2 2 3" xfId="45218"/>
    <cellStyle name="20 % - Accent2 3 8 2 2 2 4" xfId="61447"/>
    <cellStyle name="20 % - Accent2 3 8 2 2 3" xfId="19258"/>
    <cellStyle name="20 % - Accent2 3 8 2 2 4" xfId="25748"/>
    <cellStyle name="20 % - Accent2 3 8 2 2 5" xfId="38728"/>
    <cellStyle name="20 % - Accent2 3 8 2 2 6" xfId="54957"/>
    <cellStyle name="20 % - Accent2 3 8 2 3" xfId="9520"/>
    <cellStyle name="20 % - Accent2 3 8 2 3 2" xfId="28993"/>
    <cellStyle name="20 % - Accent2 3 8 2 3 3" xfId="41973"/>
    <cellStyle name="20 % - Accent2 3 8 2 3 4" xfId="58202"/>
    <cellStyle name="20 % - Accent2 3 8 2 4" xfId="16013"/>
    <cellStyle name="20 % - Accent2 3 8 2 4 2" xfId="51712"/>
    <cellStyle name="20 % - Accent2 3 8 2 5" xfId="22503"/>
    <cellStyle name="20 % - Accent2 3 8 2 6" xfId="35483"/>
    <cellStyle name="20 % - Accent2 3 8 2 7" xfId="48466"/>
    <cellStyle name="20 % - Accent2 3 8 3" xfId="4610"/>
    <cellStyle name="20 % - Accent2 3 8 3 2" xfId="11142"/>
    <cellStyle name="20 % - Accent2 3 8 3 2 2" xfId="30615"/>
    <cellStyle name="20 % - Accent2 3 8 3 2 3" xfId="43595"/>
    <cellStyle name="20 % - Accent2 3 8 3 2 4" xfId="59824"/>
    <cellStyle name="20 % - Accent2 3 8 3 3" xfId="17635"/>
    <cellStyle name="20 % - Accent2 3 8 3 4" xfId="24125"/>
    <cellStyle name="20 % - Accent2 3 8 3 5" xfId="37105"/>
    <cellStyle name="20 % - Accent2 3 8 3 6" xfId="53334"/>
    <cellStyle name="20 % - Accent2 3 8 4" xfId="7897"/>
    <cellStyle name="20 % - Accent2 3 8 4 2" xfId="27370"/>
    <cellStyle name="20 % - Accent2 3 8 4 3" xfId="40350"/>
    <cellStyle name="20 % - Accent2 3 8 4 4" xfId="56579"/>
    <cellStyle name="20 % - Accent2 3 8 5" xfId="14390"/>
    <cellStyle name="20 % - Accent2 3 8 5 2" xfId="50089"/>
    <cellStyle name="20 % - Accent2 3 8 6" xfId="20880"/>
    <cellStyle name="20 % - Accent2 3 8 7" xfId="33860"/>
    <cellStyle name="20 % - Accent2 3 8 8" xfId="46843"/>
    <cellStyle name="20 % - Accent2 3 9" xfId="857"/>
    <cellStyle name="20 % - Accent2 3 9 2" xfId="2525"/>
    <cellStyle name="20 % - Accent2 3 9 2 2" xfId="5770"/>
    <cellStyle name="20 % - Accent2 3 9 2 2 2" xfId="12302"/>
    <cellStyle name="20 % - Accent2 3 9 2 2 2 2" xfId="31775"/>
    <cellStyle name="20 % - Accent2 3 9 2 2 2 3" xfId="44755"/>
    <cellStyle name="20 % - Accent2 3 9 2 2 2 4" xfId="60984"/>
    <cellStyle name="20 % - Accent2 3 9 2 2 3" xfId="18795"/>
    <cellStyle name="20 % - Accent2 3 9 2 2 4" xfId="25285"/>
    <cellStyle name="20 % - Accent2 3 9 2 2 5" xfId="38265"/>
    <cellStyle name="20 % - Accent2 3 9 2 2 6" xfId="54494"/>
    <cellStyle name="20 % - Accent2 3 9 2 3" xfId="9057"/>
    <cellStyle name="20 % - Accent2 3 9 2 3 2" xfId="28530"/>
    <cellStyle name="20 % - Accent2 3 9 2 3 3" xfId="41510"/>
    <cellStyle name="20 % - Accent2 3 9 2 3 4" xfId="57739"/>
    <cellStyle name="20 % - Accent2 3 9 2 4" xfId="15550"/>
    <cellStyle name="20 % - Accent2 3 9 2 4 2" xfId="51249"/>
    <cellStyle name="20 % - Accent2 3 9 2 5" xfId="22040"/>
    <cellStyle name="20 % - Accent2 3 9 2 6" xfId="35020"/>
    <cellStyle name="20 % - Accent2 3 9 2 7" xfId="48003"/>
    <cellStyle name="20 % - Accent2 3 9 3" xfId="4147"/>
    <cellStyle name="20 % - Accent2 3 9 3 2" xfId="10679"/>
    <cellStyle name="20 % - Accent2 3 9 3 2 2" xfId="30152"/>
    <cellStyle name="20 % - Accent2 3 9 3 2 3" xfId="43132"/>
    <cellStyle name="20 % - Accent2 3 9 3 2 4" xfId="59361"/>
    <cellStyle name="20 % - Accent2 3 9 3 3" xfId="17172"/>
    <cellStyle name="20 % - Accent2 3 9 3 4" xfId="23662"/>
    <cellStyle name="20 % - Accent2 3 9 3 5" xfId="36642"/>
    <cellStyle name="20 % - Accent2 3 9 3 6" xfId="52871"/>
    <cellStyle name="20 % - Accent2 3 9 4" xfId="7434"/>
    <cellStyle name="20 % - Accent2 3 9 4 2" xfId="26907"/>
    <cellStyle name="20 % - Accent2 3 9 4 3" xfId="39887"/>
    <cellStyle name="20 % - Accent2 3 9 4 4" xfId="56116"/>
    <cellStyle name="20 % - Accent2 3 9 5" xfId="13927"/>
    <cellStyle name="20 % - Accent2 3 9 5 2" xfId="49626"/>
    <cellStyle name="20 % - Accent2 3 9 6" xfId="20417"/>
    <cellStyle name="20 % - Accent2 3 9 7" xfId="33397"/>
    <cellStyle name="20 % - Accent2 3 9 8" xfId="46380"/>
    <cellStyle name="20 % - Accent2 4" xfId="1786"/>
    <cellStyle name="20 % - Accent2 5" xfId="6695"/>
    <cellStyle name="20 % - Accent2 6" xfId="61913"/>
    <cellStyle name="20 % - Accent2 7" xfId="61931"/>
    <cellStyle name="20 % - Accent2 8" xfId="61943"/>
    <cellStyle name="20 % - Accent2 9" xfId="42"/>
    <cellStyle name="20 % - Accent3 2" xfId="86"/>
    <cellStyle name="20 % - Accent3 3" xfId="154"/>
    <cellStyle name="20 % - Accent3 3 10" xfId="1835"/>
    <cellStyle name="20 % - Accent3 3 10 2" xfId="5081"/>
    <cellStyle name="20 % - Accent3 3 10 2 2" xfId="11613"/>
    <cellStyle name="20 % - Accent3 3 10 2 2 2" xfId="31086"/>
    <cellStyle name="20 % - Accent3 3 10 2 2 3" xfId="44066"/>
    <cellStyle name="20 % - Accent3 3 10 2 2 4" xfId="60295"/>
    <cellStyle name="20 % - Accent3 3 10 2 3" xfId="18106"/>
    <cellStyle name="20 % - Accent3 3 10 2 4" xfId="24596"/>
    <cellStyle name="20 % - Accent3 3 10 2 5" xfId="37576"/>
    <cellStyle name="20 % - Accent3 3 10 2 6" xfId="53805"/>
    <cellStyle name="20 % - Accent3 3 10 3" xfId="8368"/>
    <cellStyle name="20 % - Accent3 3 10 3 2" xfId="27841"/>
    <cellStyle name="20 % - Accent3 3 10 3 3" xfId="40821"/>
    <cellStyle name="20 % - Accent3 3 10 3 4" xfId="57050"/>
    <cellStyle name="20 % - Accent3 3 10 4" xfId="14861"/>
    <cellStyle name="20 % - Accent3 3 10 4 2" xfId="50560"/>
    <cellStyle name="20 % - Accent3 3 10 5" xfId="21351"/>
    <cellStyle name="20 % - Accent3 3 10 6" xfId="34331"/>
    <cellStyle name="20 % - Accent3 3 10 7" xfId="47314"/>
    <cellStyle name="20 % - Accent3 3 11" xfId="3457"/>
    <cellStyle name="20 % - Accent3 3 11 2" xfId="9989"/>
    <cellStyle name="20 % - Accent3 3 11 2 2" xfId="29462"/>
    <cellStyle name="20 % - Accent3 3 11 2 3" xfId="42442"/>
    <cellStyle name="20 % - Accent3 3 11 2 4" xfId="58671"/>
    <cellStyle name="20 % - Accent3 3 11 3" xfId="16482"/>
    <cellStyle name="20 % - Accent3 3 11 4" xfId="22972"/>
    <cellStyle name="20 % - Accent3 3 11 5" xfId="35952"/>
    <cellStyle name="20 % - Accent3 3 11 6" xfId="52181"/>
    <cellStyle name="20 % - Accent3 3 12" xfId="6744"/>
    <cellStyle name="20 % - Accent3 3 12 2" xfId="26217"/>
    <cellStyle name="20 % - Accent3 3 12 3" xfId="39197"/>
    <cellStyle name="20 % - Accent3 3 12 4" xfId="55426"/>
    <cellStyle name="20 % - Accent3 3 13" xfId="13237"/>
    <cellStyle name="20 % - Accent3 3 13 2" xfId="48936"/>
    <cellStyle name="20 % - Accent3 3 14" xfId="19727"/>
    <cellStyle name="20 % - Accent3 3 15" xfId="32707"/>
    <cellStyle name="20 % - Accent3 3 16" xfId="45690"/>
    <cellStyle name="20 % - Accent3 3 2" xfId="184"/>
    <cellStyle name="20 % - Accent3 3 2 10" xfId="6766"/>
    <cellStyle name="20 % - Accent3 3 2 10 2" xfId="26239"/>
    <cellStyle name="20 % - Accent3 3 2 10 3" xfId="39219"/>
    <cellStyle name="20 % - Accent3 3 2 10 4" xfId="55448"/>
    <cellStyle name="20 % - Accent3 3 2 11" xfId="13259"/>
    <cellStyle name="20 % - Accent3 3 2 11 2" xfId="48958"/>
    <cellStyle name="20 % - Accent3 3 2 12" xfId="19749"/>
    <cellStyle name="20 % - Accent3 3 2 13" xfId="32729"/>
    <cellStyle name="20 % - Accent3 3 2 14" xfId="45712"/>
    <cellStyle name="20 % - Accent3 3 2 2" xfId="273"/>
    <cellStyle name="20 % - Accent3 3 2 2 10" xfId="19837"/>
    <cellStyle name="20 % - Accent3 3 2 2 11" xfId="32817"/>
    <cellStyle name="20 % - Accent3 3 2 2 12" xfId="45800"/>
    <cellStyle name="20 % - Accent3 3 2 2 2" xfId="361"/>
    <cellStyle name="20 % - Accent3 3 2 2 2 10" xfId="32905"/>
    <cellStyle name="20 % - Accent3 3 2 2 2 11" xfId="45888"/>
    <cellStyle name="20 % - Accent3 3 2 2 2 2" xfId="825"/>
    <cellStyle name="20 % - Accent3 3 2 2 2 2 10" xfId="46348"/>
    <cellStyle name="20 % - Accent3 3 2 2 2 2 2" xfId="1764"/>
    <cellStyle name="20 % - Accent3 3 2 2 2 2 2 2" xfId="3431"/>
    <cellStyle name="20 % - Accent3 3 2 2 2 2 2 2 2" xfId="6676"/>
    <cellStyle name="20 % - Accent3 3 2 2 2 2 2 2 2 2" xfId="13208"/>
    <cellStyle name="20 % - Accent3 3 2 2 2 2 2 2 2 2 2" xfId="32681"/>
    <cellStyle name="20 % - Accent3 3 2 2 2 2 2 2 2 2 3" xfId="45661"/>
    <cellStyle name="20 % - Accent3 3 2 2 2 2 2 2 2 2 4" xfId="61890"/>
    <cellStyle name="20 % - Accent3 3 2 2 2 2 2 2 2 3" xfId="19701"/>
    <cellStyle name="20 % - Accent3 3 2 2 2 2 2 2 2 4" xfId="26191"/>
    <cellStyle name="20 % - Accent3 3 2 2 2 2 2 2 2 5" xfId="39171"/>
    <cellStyle name="20 % - Accent3 3 2 2 2 2 2 2 2 6" xfId="55400"/>
    <cellStyle name="20 % - Accent3 3 2 2 2 2 2 2 3" xfId="9963"/>
    <cellStyle name="20 % - Accent3 3 2 2 2 2 2 2 3 2" xfId="29436"/>
    <cellStyle name="20 % - Accent3 3 2 2 2 2 2 2 3 3" xfId="42416"/>
    <cellStyle name="20 % - Accent3 3 2 2 2 2 2 2 3 4" xfId="58645"/>
    <cellStyle name="20 % - Accent3 3 2 2 2 2 2 2 4" xfId="16456"/>
    <cellStyle name="20 % - Accent3 3 2 2 2 2 2 2 4 2" xfId="52155"/>
    <cellStyle name="20 % - Accent3 3 2 2 2 2 2 2 5" xfId="22946"/>
    <cellStyle name="20 % - Accent3 3 2 2 2 2 2 2 6" xfId="35926"/>
    <cellStyle name="20 % - Accent3 3 2 2 2 2 2 2 7" xfId="48909"/>
    <cellStyle name="20 % - Accent3 3 2 2 2 2 2 3" xfId="5053"/>
    <cellStyle name="20 % - Accent3 3 2 2 2 2 2 3 2" xfId="11585"/>
    <cellStyle name="20 % - Accent3 3 2 2 2 2 2 3 2 2" xfId="31058"/>
    <cellStyle name="20 % - Accent3 3 2 2 2 2 2 3 2 3" xfId="44038"/>
    <cellStyle name="20 % - Accent3 3 2 2 2 2 2 3 2 4" xfId="60267"/>
    <cellStyle name="20 % - Accent3 3 2 2 2 2 2 3 3" xfId="18078"/>
    <cellStyle name="20 % - Accent3 3 2 2 2 2 2 3 4" xfId="24568"/>
    <cellStyle name="20 % - Accent3 3 2 2 2 2 2 3 5" xfId="37548"/>
    <cellStyle name="20 % - Accent3 3 2 2 2 2 2 3 6" xfId="53777"/>
    <cellStyle name="20 % - Accent3 3 2 2 2 2 2 4" xfId="8340"/>
    <cellStyle name="20 % - Accent3 3 2 2 2 2 2 4 2" xfId="27813"/>
    <cellStyle name="20 % - Accent3 3 2 2 2 2 2 4 3" xfId="40793"/>
    <cellStyle name="20 % - Accent3 3 2 2 2 2 2 4 4" xfId="57022"/>
    <cellStyle name="20 % - Accent3 3 2 2 2 2 2 5" xfId="14833"/>
    <cellStyle name="20 % - Accent3 3 2 2 2 2 2 5 2" xfId="50532"/>
    <cellStyle name="20 % - Accent3 3 2 2 2 2 2 6" xfId="21323"/>
    <cellStyle name="20 % - Accent3 3 2 2 2 2 2 7" xfId="34303"/>
    <cellStyle name="20 % - Accent3 3 2 2 2 2 2 8" xfId="47286"/>
    <cellStyle name="20 % - Accent3 3 2 2 2 2 3" xfId="1301"/>
    <cellStyle name="20 % - Accent3 3 2 2 2 2 3 2" xfId="2968"/>
    <cellStyle name="20 % - Accent3 3 2 2 2 2 3 2 2" xfId="6213"/>
    <cellStyle name="20 % - Accent3 3 2 2 2 2 3 2 2 2" xfId="12745"/>
    <cellStyle name="20 % - Accent3 3 2 2 2 2 3 2 2 2 2" xfId="32218"/>
    <cellStyle name="20 % - Accent3 3 2 2 2 2 3 2 2 2 3" xfId="45198"/>
    <cellStyle name="20 % - Accent3 3 2 2 2 2 3 2 2 2 4" xfId="61427"/>
    <cellStyle name="20 % - Accent3 3 2 2 2 2 3 2 2 3" xfId="19238"/>
    <cellStyle name="20 % - Accent3 3 2 2 2 2 3 2 2 4" xfId="25728"/>
    <cellStyle name="20 % - Accent3 3 2 2 2 2 3 2 2 5" xfId="38708"/>
    <cellStyle name="20 % - Accent3 3 2 2 2 2 3 2 2 6" xfId="54937"/>
    <cellStyle name="20 % - Accent3 3 2 2 2 2 3 2 3" xfId="9500"/>
    <cellStyle name="20 % - Accent3 3 2 2 2 2 3 2 3 2" xfId="28973"/>
    <cellStyle name="20 % - Accent3 3 2 2 2 2 3 2 3 3" xfId="41953"/>
    <cellStyle name="20 % - Accent3 3 2 2 2 2 3 2 3 4" xfId="58182"/>
    <cellStyle name="20 % - Accent3 3 2 2 2 2 3 2 4" xfId="15993"/>
    <cellStyle name="20 % - Accent3 3 2 2 2 2 3 2 4 2" xfId="51692"/>
    <cellStyle name="20 % - Accent3 3 2 2 2 2 3 2 5" xfId="22483"/>
    <cellStyle name="20 % - Accent3 3 2 2 2 2 3 2 6" xfId="35463"/>
    <cellStyle name="20 % - Accent3 3 2 2 2 2 3 2 7" xfId="48446"/>
    <cellStyle name="20 % - Accent3 3 2 2 2 2 3 3" xfId="4590"/>
    <cellStyle name="20 % - Accent3 3 2 2 2 2 3 3 2" xfId="11122"/>
    <cellStyle name="20 % - Accent3 3 2 2 2 2 3 3 2 2" xfId="30595"/>
    <cellStyle name="20 % - Accent3 3 2 2 2 2 3 3 2 3" xfId="43575"/>
    <cellStyle name="20 % - Accent3 3 2 2 2 2 3 3 2 4" xfId="59804"/>
    <cellStyle name="20 % - Accent3 3 2 2 2 2 3 3 3" xfId="17615"/>
    <cellStyle name="20 % - Accent3 3 2 2 2 2 3 3 4" xfId="24105"/>
    <cellStyle name="20 % - Accent3 3 2 2 2 2 3 3 5" xfId="37085"/>
    <cellStyle name="20 % - Accent3 3 2 2 2 2 3 3 6" xfId="53314"/>
    <cellStyle name="20 % - Accent3 3 2 2 2 2 3 4" xfId="7877"/>
    <cellStyle name="20 % - Accent3 3 2 2 2 2 3 4 2" xfId="27350"/>
    <cellStyle name="20 % - Accent3 3 2 2 2 2 3 4 3" xfId="40330"/>
    <cellStyle name="20 % - Accent3 3 2 2 2 2 3 4 4" xfId="56559"/>
    <cellStyle name="20 % - Accent3 3 2 2 2 2 3 5" xfId="14370"/>
    <cellStyle name="20 % - Accent3 3 2 2 2 2 3 5 2" xfId="50069"/>
    <cellStyle name="20 % - Accent3 3 2 2 2 2 3 6" xfId="20860"/>
    <cellStyle name="20 % - Accent3 3 2 2 2 2 3 7" xfId="33840"/>
    <cellStyle name="20 % - Accent3 3 2 2 2 2 3 8" xfId="46823"/>
    <cellStyle name="20 % - Accent3 3 2 2 2 2 4" xfId="2493"/>
    <cellStyle name="20 % - Accent3 3 2 2 2 2 4 2" xfId="5738"/>
    <cellStyle name="20 % - Accent3 3 2 2 2 2 4 2 2" xfId="12270"/>
    <cellStyle name="20 % - Accent3 3 2 2 2 2 4 2 2 2" xfId="31743"/>
    <cellStyle name="20 % - Accent3 3 2 2 2 2 4 2 2 3" xfId="44723"/>
    <cellStyle name="20 % - Accent3 3 2 2 2 2 4 2 2 4" xfId="60952"/>
    <cellStyle name="20 % - Accent3 3 2 2 2 2 4 2 3" xfId="18763"/>
    <cellStyle name="20 % - Accent3 3 2 2 2 2 4 2 4" xfId="25253"/>
    <cellStyle name="20 % - Accent3 3 2 2 2 2 4 2 5" xfId="38233"/>
    <cellStyle name="20 % - Accent3 3 2 2 2 2 4 2 6" xfId="54462"/>
    <cellStyle name="20 % - Accent3 3 2 2 2 2 4 3" xfId="9025"/>
    <cellStyle name="20 % - Accent3 3 2 2 2 2 4 3 2" xfId="28498"/>
    <cellStyle name="20 % - Accent3 3 2 2 2 2 4 3 3" xfId="41478"/>
    <cellStyle name="20 % - Accent3 3 2 2 2 2 4 3 4" xfId="57707"/>
    <cellStyle name="20 % - Accent3 3 2 2 2 2 4 4" xfId="15518"/>
    <cellStyle name="20 % - Accent3 3 2 2 2 2 4 4 2" xfId="51217"/>
    <cellStyle name="20 % - Accent3 3 2 2 2 2 4 5" xfId="22008"/>
    <cellStyle name="20 % - Accent3 3 2 2 2 2 4 6" xfId="34988"/>
    <cellStyle name="20 % - Accent3 3 2 2 2 2 4 7" xfId="47971"/>
    <cellStyle name="20 % - Accent3 3 2 2 2 2 5" xfId="4115"/>
    <cellStyle name="20 % - Accent3 3 2 2 2 2 5 2" xfId="10647"/>
    <cellStyle name="20 % - Accent3 3 2 2 2 2 5 2 2" xfId="30120"/>
    <cellStyle name="20 % - Accent3 3 2 2 2 2 5 2 3" xfId="43100"/>
    <cellStyle name="20 % - Accent3 3 2 2 2 2 5 2 4" xfId="59329"/>
    <cellStyle name="20 % - Accent3 3 2 2 2 2 5 3" xfId="17140"/>
    <cellStyle name="20 % - Accent3 3 2 2 2 2 5 4" xfId="23630"/>
    <cellStyle name="20 % - Accent3 3 2 2 2 2 5 5" xfId="36610"/>
    <cellStyle name="20 % - Accent3 3 2 2 2 2 5 6" xfId="52839"/>
    <cellStyle name="20 % - Accent3 3 2 2 2 2 6" xfId="7402"/>
    <cellStyle name="20 % - Accent3 3 2 2 2 2 6 2" xfId="26875"/>
    <cellStyle name="20 % - Accent3 3 2 2 2 2 6 3" xfId="39855"/>
    <cellStyle name="20 % - Accent3 3 2 2 2 2 6 4" xfId="56084"/>
    <cellStyle name="20 % - Accent3 3 2 2 2 2 7" xfId="13895"/>
    <cellStyle name="20 % - Accent3 3 2 2 2 2 7 2" xfId="49594"/>
    <cellStyle name="20 % - Accent3 3 2 2 2 2 8" xfId="20385"/>
    <cellStyle name="20 % - Accent3 3 2 2 2 2 9" xfId="33365"/>
    <cellStyle name="20 % - Accent3 3 2 2 2 3" xfId="595"/>
    <cellStyle name="20 % - Accent3 3 2 2 2 3 2" xfId="1544"/>
    <cellStyle name="20 % - Accent3 3 2 2 2 3 2 2" xfId="3211"/>
    <cellStyle name="20 % - Accent3 3 2 2 2 3 2 2 2" xfId="6456"/>
    <cellStyle name="20 % - Accent3 3 2 2 2 3 2 2 2 2" xfId="12988"/>
    <cellStyle name="20 % - Accent3 3 2 2 2 3 2 2 2 2 2" xfId="32461"/>
    <cellStyle name="20 % - Accent3 3 2 2 2 3 2 2 2 2 3" xfId="45441"/>
    <cellStyle name="20 % - Accent3 3 2 2 2 3 2 2 2 2 4" xfId="61670"/>
    <cellStyle name="20 % - Accent3 3 2 2 2 3 2 2 2 3" xfId="19481"/>
    <cellStyle name="20 % - Accent3 3 2 2 2 3 2 2 2 4" xfId="25971"/>
    <cellStyle name="20 % - Accent3 3 2 2 2 3 2 2 2 5" xfId="38951"/>
    <cellStyle name="20 % - Accent3 3 2 2 2 3 2 2 2 6" xfId="55180"/>
    <cellStyle name="20 % - Accent3 3 2 2 2 3 2 2 3" xfId="9743"/>
    <cellStyle name="20 % - Accent3 3 2 2 2 3 2 2 3 2" xfId="29216"/>
    <cellStyle name="20 % - Accent3 3 2 2 2 3 2 2 3 3" xfId="42196"/>
    <cellStyle name="20 % - Accent3 3 2 2 2 3 2 2 3 4" xfId="58425"/>
    <cellStyle name="20 % - Accent3 3 2 2 2 3 2 2 4" xfId="16236"/>
    <cellStyle name="20 % - Accent3 3 2 2 2 3 2 2 4 2" xfId="51935"/>
    <cellStyle name="20 % - Accent3 3 2 2 2 3 2 2 5" xfId="22726"/>
    <cellStyle name="20 % - Accent3 3 2 2 2 3 2 2 6" xfId="35706"/>
    <cellStyle name="20 % - Accent3 3 2 2 2 3 2 2 7" xfId="48689"/>
    <cellStyle name="20 % - Accent3 3 2 2 2 3 2 3" xfId="4833"/>
    <cellStyle name="20 % - Accent3 3 2 2 2 3 2 3 2" xfId="11365"/>
    <cellStyle name="20 % - Accent3 3 2 2 2 3 2 3 2 2" xfId="30838"/>
    <cellStyle name="20 % - Accent3 3 2 2 2 3 2 3 2 3" xfId="43818"/>
    <cellStyle name="20 % - Accent3 3 2 2 2 3 2 3 2 4" xfId="60047"/>
    <cellStyle name="20 % - Accent3 3 2 2 2 3 2 3 3" xfId="17858"/>
    <cellStyle name="20 % - Accent3 3 2 2 2 3 2 3 4" xfId="24348"/>
    <cellStyle name="20 % - Accent3 3 2 2 2 3 2 3 5" xfId="37328"/>
    <cellStyle name="20 % - Accent3 3 2 2 2 3 2 3 6" xfId="53557"/>
    <cellStyle name="20 % - Accent3 3 2 2 2 3 2 4" xfId="8120"/>
    <cellStyle name="20 % - Accent3 3 2 2 2 3 2 4 2" xfId="27593"/>
    <cellStyle name="20 % - Accent3 3 2 2 2 3 2 4 3" xfId="40573"/>
    <cellStyle name="20 % - Accent3 3 2 2 2 3 2 4 4" xfId="56802"/>
    <cellStyle name="20 % - Accent3 3 2 2 2 3 2 5" xfId="14613"/>
    <cellStyle name="20 % - Accent3 3 2 2 2 3 2 5 2" xfId="50312"/>
    <cellStyle name="20 % - Accent3 3 2 2 2 3 2 6" xfId="21103"/>
    <cellStyle name="20 % - Accent3 3 2 2 2 3 2 7" xfId="34083"/>
    <cellStyle name="20 % - Accent3 3 2 2 2 3 2 8" xfId="47066"/>
    <cellStyle name="20 % - Accent3 3 2 2 2 3 3" xfId="2263"/>
    <cellStyle name="20 % - Accent3 3 2 2 2 3 3 2" xfId="5508"/>
    <cellStyle name="20 % - Accent3 3 2 2 2 3 3 2 2" xfId="12040"/>
    <cellStyle name="20 % - Accent3 3 2 2 2 3 3 2 2 2" xfId="31513"/>
    <cellStyle name="20 % - Accent3 3 2 2 2 3 3 2 2 3" xfId="44493"/>
    <cellStyle name="20 % - Accent3 3 2 2 2 3 3 2 2 4" xfId="60722"/>
    <cellStyle name="20 % - Accent3 3 2 2 2 3 3 2 3" xfId="18533"/>
    <cellStyle name="20 % - Accent3 3 2 2 2 3 3 2 4" xfId="25023"/>
    <cellStyle name="20 % - Accent3 3 2 2 2 3 3 2 5" xfId="38003"/>
    <cellStyle name="20 % - Accent3 3 2 2 2 3 3 2 6" xfId="54232"/>
    <cellStyle name="20 % - Accent3 3 2 2 2 3 3 3" xfId="8795"/>
    <cellStyle name="20 % - Accent3 3 2 2 2 3 3 3 2" xfId="28268"/>
    <cellStyle name="20 % - Accent3 3 2 2 2 3 3 3 3" xfId="41248"/>
    <cellStyle name="20 % - Accent3 3 2 2 2 3 3 3 4" xfId="57477"/>
    <cellStyle name="20 % - Accent3 3 2 2 2 3 3 4" xfId="15288"/>
    <cellStyle name="20 % - Accent3 3 2 2 2 3 3 4 2" xfId="50987"/>
    <cellStyle name="20 % - Accent3 3 2 2 2 3 3 5" xfId="21778"/>
    <cellStyle name="20 % - Accent3 3 2 2 2 3 3 6" xfId="34758"/>
    <cellStyle name="20 % - Accent3 3 2 2 2 3 3 7" xfId="47741"/>
    <cellStyle name="20 % - Accent3 3 2 2 2 3 4" xfId="3885"/>
    <cellStyle name="20 % - Accent3 3 2 2 2 3 4 2" xfId="10417"/>
    <cellStyle name="20 % - Accent3 3 2 2 2 3 4 2 2" xfId="29890"/>
    <cellStyle name="20 % - Accent3 3 2 2 2 3 4 2 3" xfId="42870"/>
    <cellStyle name="20 % - Accent3 3 2 2 2 3 4 2 4" xfId="59099"/>
    <cellStyle name="20 % - Accent3 3 2 2 2 3 4 3" xfId="16910"/>
    <cellStyle name="20 % - Accent3 3 2 2 2 3 4 4" xfId="23400"/>
    <cellStyle name="20 % - Accent3 3 2 2 2 3 4 5" xfId="36380"/>
    <cellStyle name="20 % - Accent3 3 2 2 2 3 4 6" xfId="52609"/>
    <cellStyle name="20 % - Accent3 3 2 2 2 3 5" xfId="7172"/>
    <cellStyle name="20 % - Accent3 3 2 2 2 3 5 2" xfId="26645"/>
    <cellStyle name="20 % - Accent3 3 2 2 2 3 5 3" xfId="39625"/>
    <cellStyle name="20 % - Accent3 3 2 2 2 3 5 4" xfId="55854"/>
    <cellStyle name="20 % - Accent3 3 2 2 2 3 6" xfId="13665"/>
    <cellStyle name="20 % - Accent3 3 2 2 2 3 6 2" xfId="49364"/>
    <cellStyle name="20 % - Accent3 3 2 2 2 3 7" xfId="20155"/>
    <cellStyle name="20 % - Accent3 3 2 2 2 3 8" xfId="33135"/>
    <cellStyle name="20 % - Accent3 3 2 2 2 3 9" xfId="46118"/>
    <cellStyle name="20 % - Accent3 3 2 2 2 4" xfId="1081"/>
    <cellStyle name="20 % - Accent3 3 2 2 2 4 2" xfId="2748"/>
    <cellStyle name="20 % - Accent3 3 2 2 2 4 2 2" xfId="5993"/>
    <cellStyle name="20 % - Accent3 3 2 2 2 4 2 2 2" xfId="12525"/>
    <cellStyle name="20 % - Accent3 3 2 2 2 4 2 2 2 2" xfId="31998"/>
    <cellStyle name="20 % - Accent3 3 2 2 2 4 2 2 2 3" xfId="44978"/>
    <cellStyle name="20 % - Accent3 3 2 2 2 4 2 2 2 4" xfId="61207"/>
    <cellStyle name="20 % - Accent3 3 2 2 2 4 2 2 3" xfId="19018"/>
    <cellStyle name="20 % - Accent3 3 2 2 2 4 2 2 4" xfId="25508"/>
    <cellStyle name="20 % - Accent3 3 2 2 2 4 2 2 5" xfId="38488"/>
    <cellStyle name="20 % - Accent3 3 2 2 2 4 2 2 6" xfId="54717"/>
    <cellStyle name="20 % - Accent3 3 2 2 2 4 2 3" xfId="9280"/>
    <cellStyle name="20 % - Accent3 3 2 2 2 4 2 3 2" xfId="28753"/>
    <cellStyle name="20 % - Accent3 3 2 2 2 4 2 3 3" xfId="41733"/>
    <cellStyle name="20 % - Accent3 3 2 2 2 4 2 3 4" xfId="57962"/>
    <cellStyle name="20 % - Accent3 3 2 2 2 4 2 4" xfId="15773"/>
    <cellStyle name="20 % - Accent3 3 2 2 2 4 2 4 2" xfId="51472"/>
    <cellStyle name="20 % - Accent3 3 2 2 2 4 2 5" xfId="22263"/>
    <cellStyle name="20 % - Accent3 3 2 2 2 4 2 6" xfId="35243"/>
    <cellStyle name="20 % - Accent3 3 2 2 2 4 2 7" xfId="48226"/>
    <cellStyle name="20 % - Accent3 3 2 2 2 4 3" xfId="4370"/>
    <cellStyle name="20 % - Accent3 3 2 2 2 4 3 2" xfId="10902"/>
    <cellStyle name="20 % - Accent3 3 2 2 2 4 3 2 2" xfId="30375"/>
    <cellStyle name="20 % - Accent3 3 2 2 2 4 3 2 3" xfId="43355"/>
    <cellStyle name="20 % - Accent3 3 2 2 2 4 3 2 4" xfId="59584"/>
    <cellStyle name="20 % - Accent3 3 2 2 2 4 3 3" xfId="17395"/>
    <cellStyle name="20 % - Accent3 3 2 2 2 4 3 4" xfId="23885"/>
    <cellStyle name="20 % - Accent3 3 2 2 2 4 3 5" xfId="36865"/>
    <cellStyle name="20 % - Accent3 3 2 2 2 4 3 6" xfId="53094"/>
    <cellStyle name="20 % - Accent3 3 2 2 2 4 4" xfId="7657"/>
    <cellStyle name="20 % - Accent3 3 2 2 2 4 4 2" xfId="27130"/>
    <cellStyle name="20 % - Accent3 3 2 2 2 4 4 3" xfId="40110"/>
    <cellStyle name="20 % - Accent3 3 2 2 2 4 4 4" xfId="56339"/>
    <cellStyle name="20 % - Accent3 3 2 2 2 4 5" xfId="14150"/>
    <cellStyle name="20 % - Accent3 3 2 2 2 4 5 2" xfId="49849"/>
    <cellStyle name="20 % - Accent3 3 2 2 2 4 6" xfId="20640"/>
    <cellStyle name="20 % - Accent3 3 2 2 2 4 7" xfId="33620"/>
    <cellStyle name="20 % - Accent3 3 2 2 2 4 8" xfId="46603"/>
    <cellStyle name="20 % - Accent3 3 2 2 2 5" xfId="2034"/>
    <cellStyle name="20 % - Accent3 3 2 2 2 5 2" xfId="5279"/>
    <cellStyle name="20 % - Accent3 3 2 2 2 5 2 2" xfId="11811"/>
    <cellStyle name="20 % - Accent3 3 2 2 2 5 2 2 2" xfId="31284"/>
    <cellStyle name="20 % - Accent3 3 2 2 2 5 2 2 3" xfId="44264"/>
    <cellStyle name="20 % - Accent3 3 2 2 2 5 2 2 4" xfId="60493"/>
    <cellStyle name="20 % - Accent3 3 2 2 2 5 2 3" xfId="18304"/>
    <cellStyle name="20 % - Accent3 3 2 2 2 5 2 4" xfId="24794"/>
    <cellStyle name="20 % - Accent3 3 2 2 2 5 2 5" xfId="37774"/>
    <cellStyle name="20 % - Accent3 3 2 2 2 5 2 6" xfId="54003"/>
    <cellStyle name="20 % - Accent3 3 2 2 2 5 3" xfId="8566"/>
    <cellStyle name="20 % - Accent3 3 2 2 2 5 3 2" xfId="28039"/>
    <cellStyle name="20 % - Accent3 3 2 2 2 5 3 3" xfId="41019"/>
    <cellStyle name="20 % - Accent3 3 2 2 2 5 3 4" xfId="57248"/>
    <cellStyle name="20 % - Accent3 3 2 2 2 5 4" xfId="15059"/>
    <cellStyle name="20 % - Accent3 3 2 2 2 5 4 2" xfId="50758"/>
    <cellStyle name="20 % - Accent3 3 2 2 2 5 5" xfId="21549"/>
    <cellStyle name="20 % - Accent3 3 2 2 2 5 6" xfId="34529"/>
    <cellStyle name="20 % - Accent3 3 2 2 2 5 7" xfId="47512"/>
    <cellStyle name="20 % - Accent3 3 2 2 2 6" xfId="3655"/>
    <cellStyle name="20 % - Accent3 3 2 2 2 6 2" xfId="10187"/>
    <cellStyle name="20 % - Accent3 3 2 2 2 6 2 2" xfId="29660"/>
    <cellStyle name="20 % - Accent3 3 2 2 2 6 2 3" xfId="42640"/>
    <cellStyle name="20 % - Accent3 3 2 2 2 6 2 4" xfId="58869"/>
    <cellStyle name="20 % - Accent3 3 2 2 2 6 3" xfId="16680"/>
    <cellStyle name="20 % - Accent3 3 2 2 2 6 4" xfId="23170"/>
    <cellStyle name="20 % - Accent3 3 2 2 2 6 5" xfId="36150"/>
    <cellStyle name="20 % - Accent3 3 2 2 2 6 6" xfId="52379"/>
    <cellStyle name="20 % - Accent3 3 2 2 2 7" xfId="6942"/>
    <cellStyle name="20 % - Accent3 3 2 2 2 7 2" xfId="26415"/>
    <cellStyle name="20 % - Accent3 3 2 2 2 7 3" xfId="39395"/>
    <cellStyle name="20 % - Accent3 3 2 2 2 7 4" xfId="55624"/>
    <cellStyle name="20 % - Accent3 3 2 2 2 8" xfId="13435"/>
    <cellStyle name="20 % - Accent3 3 2 2 2 8 2" xfId="49134"/>
    <cellStyle name="20 % - Accent3 3 2 2 2 9" xfId="19925"/>
    <cellStyle name="20 % - Accent3 3 2 2 3" xfId="737"/>
    <cellStyle name="20 % - Accent3 3 2 2 3 10" xfId="46260"/>
    <cellStyle name="20 % - Accent3 3 2 2 3 2" xfId="1676"/>
    <cellStyle name="20 % - Accent3 3 2 2 3 2 2" xfId="3343"/>
    <cellStyle name="20 % - Accent3 3 2 2 3 2 2 2" xfId="6588"/>
    <cellStyle name="20 % - Accent3 3 2 2 3 2 2 2 2" xfId="13120"/>
    <cellStyle name="20 % - Accent3 3 2 2 3 2 2 2 2 2" xfId="32593"/>
    <cellStyle name="20 % - Accent3 3 2 2 3 2 2 2 2 3" xfId="45573"/>
    <cellStyle name="20 % - Accent3 3 2 2 3 2 2 2 2 4" xfId="61802"/>
    <cellStyle name="20 % - Accent3 3 2 2 3 2 2 2 3" xfId="19613"/>
    <cellStyle name="20 % - Accent3 3 2 2 3 2 2 2 4" xfId="26103"/>
    <cellStyle name="20 % - Accent3 3 2 2 3 2 2 2 5" xfId="39083"/>
    <cellStyle name="20 % - Accent3 3 2 2 3 2 2 2 6" xfId="55312"/>
    <cellStyle name="20 % - Accent3 3 2 2 3 2 2 3" xfId="9875"/>
    <cellStyle name="20 % - Accent3 3 2 2 3 2 2 3 2" xfId="29348"/>
    <cellStyle name="20 % - Accent3 3 2 2 3 2 2 3 3" xfId="42328"/>
    <cellStyle name="20 % - Accent3 3 2 2 3 2 2 3 4" xfId="58557"/>
    <cellStyle name="20 % - Accent3 3 2 2 3 2 2 4" xfId="16368"/>
    <cellStyle name="20 % - Accent3 3 2 2 3 2 2 4 2" xfId="52067"/>
    <cellStyle name="20 % - Accent3 3 2 2 3 2 2 5" xfId="22858"/>
    <cellStyle name="20 % - Accent3 3 2 2 3 2 2 6" xfId="35838"/>
    <cellStyle name="20 % - Accent3 3 2 2 3 2 2 7" xfId="48821"/>
    <cellStyle name="20 % - Accent3 3 2 2 3 2 3" xfId="4965"/>
    <cellStyle name="20 % - Accent3 3 2 2 3 2 3 2" xfId="11497"/>
    <cellStyle name="20 % - Accent3 3 2 2 3 2 3 2 2" xfId="30970"/>
    <cellStyle name="20 % - Accent3 3 2 2 3 2 3 2 3" xfId="43950"/>
    <cellStyle name="20 % - Accent3 3 2 2 3 2 3 2 4" xfId="60179"/>
    <cellStyle name="20 % - Accent3 3 2 2 3 2 3 3" xfId="17990"/>
    <cellStyle name="20 % - Accent3 3 2 2 3 2 3 4" xfId="24480"/>
    <cellStyle name="20 % - Accent3 3 2 2 3 2 3 5" xfId="37460"/>
    <cellStyle name="20 % - Accent3 3 2 2 3 2 3 6" xfId="53689"/>
    <cellStyle name="20 % - Accent3 3 2 2 3 2 4" xfId="8252"/>
    <cellStyle name="20 % - Accent3 3 2 2 3 2 4 2" xfId="27725"/>
    <cellStyle name="20 % - Accent3 3 2 2 3 2 4 3" xfId="40705"/>
    <cellStyle name="20 % - Accent3 3 2 2 3 2 4 4" xfId="56934"/>
    <cellStyle name="20 % - Accent3 3 2 2 3 2 5" xfId="14745"/>
    <cellStyle name="20 % - Accent3 3 2 2 3 2 5 2" xfId="50444"/>
    <cellStyle name="20 % - Accent3 3 2 2 3 2 6" xfId="21235"/>
    <cellStyle name="20 % - Accent3 3 2 2 3 2 7" xfId="34215"/>
    <cellStyle name="20 % - Accent3 3 2 2 3 2 8" xfId="47198"/>
    <cellStyle name="20 % - Accent3 3 2 2 3 3" xfId="1213"/>
    <cellStyle name="20 % - Accent3 3 2 2 3 3 2" xfId="2880"/>
    <cellStyle name="20 % - Accent3 3 2 2 3 3 2 2" xfId="6125"/>
    <cellStyle name="20 % - Accent3 3 2 2 3 3 2 2 2" xfId="12657"/>
    <cellStyle name="20 % - Accent3 3 2 2 3 3 2 2 2 2" xfId="32130"/>
    <cellStyle name="20 % - Accent3 3 2 2 3 3 2 2 2 3" xfId="45110"/>
    <cellStyle name="20 % - Accent3 3 2 2 3 3 2 2 2 4" xfId="61339"/>
    <cellStyle name="20 % - Accent3 3 2 2 3 3 2 2 3" xfId="19150"/>
    <cellStyle name="20 % - Accent3 3 2 2 3 3 2 2 4" xfId="25640"/>
    <cellStyle name="20 % - Accent3 3 2 2 3 3 2 2 5" xfId="38620"/>
    <cellStyle name="20 % - Accent3 3 2 2 3 3 2 2 6" xfId="54849"/>
    <cellStyle name="20 % - Accent3 3 2 2 3 3 2 3" xfId="9412"/>
    <cellStyle name="20 % - Accent3 3 2 2 3 3 2 3 2" xfId="28885"/>
    <cellStyle name="20 % - Accent3 3 2 2 3 3 2 3 3" xfId="41865"/>
    <cellStyle name="20 % - Accent3 3 2 2 3 3 2 3 4" xfId="58094"/>
    <cellStyle name="20 % - Accent3 3 2 2 3 3 2 4" xfId="15905"/>
    <cellStyle name="20 % - Accent3 3 2 2 3 3 2 4 2" xfId="51604"/>
    <cellStyle name="20 % - Accent3 3 2 2 3 3 2 5" xfId="22395"/>
    <cellStyle name="20 % - Accent3 3 2 2 3 3 2 6" xfId="35375"/>
    <cellStyle name="20 % - Accent3 3 2 2 3 3 2 7" xfId="48358"/>
    <cellStyle name="20 % - Accent3 3 2 2 3 3 3" xfId="4502"/>
    <cellStyle name="20 % - Accent3 3 2 2 3 3 3 2" xfId="11034"/>
    <cellStyle name="20 % - Accent3 3 2 2 3 3 3 2 2" xfId="30507"/>
    <cellStyle name="20 % - Accent3 3 2 2 3 3 3 2 3" xfId="43487"/>
    <cellStyle name="20 % - Accent3 3 2 2 3 3 3 2 4" xfId="59716"/>
    <cellStyle name="20 % - Accent3 3 2 2 3 3 3 3" xfId="17527"/>
    <cellStyle name="20 % - Accent3 3 2 2 3 3 3 4" xfId="24017"/>
    <cellStyle name="20 % - Accent3 3 2 2 3 3 3 5" xfId="36997"/>
    <cellStyle name="20 % - Accent3 3 2 2 3 3 3 6" xfId="53226"/>
    <cellStyle name="20 % - Accent3 3 2 2 3 3 4" xfId="7789"/>
    <cellStyle name="20 % - Accent3 3 2 2 3 3 4 2" xfId="27262"/>
    <cellStyle name="20 % - Accent3 3 2 2 3 3 4 3" xfId="40242"/>
    <cellStyle name="20 % - Accent3 3 2 2 3 3 4 4" xfId="56471"/>
    <cellStyle name="20 % - Accent3 3 2 2 3 3 5" xfId="14282"/>
    <cellStyle name="20 % - Accent3 3 2 2 3 3 5 2" xfId="49981"/>
    <cellStyle name="20 % - Accent3 3 2 2 3 3 6" xfId="20772"/>
    <cellStyle name="20 % - Accent3 3 2 2 3 3 7" xfId="33752"/>
    <cellStyle name="20 % - Accent3 3 2 2 3 3 8" xfId="46735"/>
    <cellStyle name="20 % - Accent3 3 2 2 3 4" xfId="2405"/>
    <cellStyle name="20 % - Accent3 3 2 2 3 4 2" xfId="5650"/>
    <cellStyle name="20 % - Accent3 3 2 2 3 4 2 2" xfId="12182"/>
    <cellStyle name="20 % - Accent3 3 2 2 3 4 2 2 2" xfId="31655"/>
    <cellStyle name="20 % - Accent3 3 2 2 3 4 2 2 3" xfId="44635"/>
    <cellStyle name="20 % - Accent3 3 2 2 3 4 2 2 4" xfId="60864"/>
    <cellStyle name="20 % - Accent3 3 2 2 3 4 2 3" xfId="18675"/>
    <cellStyle name="20 % - Accent3 3 2 2 3 4 2 4" xfId="25165"/>
    <cellStyle name="20 % - Accent3 3 2 2 3 4 2 5" xfId="38145"/>
    <cellStyle name="20 % - Accent3 3 2 2 3 4 2 6" xfId="54374"/>
    <cellStyle name="20 % - Accent3 3 2 2 3 4 3" xfId="8937"/>
    <cellStyle name="20 % - Accent3 3 2 2 3 4 3 2" xfId="28410"/>
    <cellStyle name="20 % - Accent3 3 2 2 3 4 3 3" xfId="41390"/>
    <cellStyle name="20 % - Accent3 3 2 2 3 4 3 4" xfId="57619"/>
    <cellStyle name="20 % - Accent3 3 2 2 3 4 4" xfId="15430"/>
    <cellStyle name="20 % - Accent3 3 2 2 3 4 4 2" xfId="51129"/>
    <cellStyle name="20 % - Accent3 3 2 2 3 4 5" xfId="21920"/>
    <cellStyle name="20 % - Accent3 3 2 2 3 4 6" xfId="34900"/>
    <cellStyle name="20 % - Accent3 3 2 2 3 4 7" xfId="47883"/>
    <cellStyle name="20 % - Accent3 3 2 2 3 5" xfId="4027"/>
    <cellStyle name="20 % - Accent3 3 2 2 3 5 2" xfId="10559"/>
    <cellStyle name="20 % - Accent3 3 2 2 3 5 2 2" xfId="30032"/>
    <cellStyle name="20 % - Accent3 3 2 2 3 5 2 3" xfId="43012"/>
    <cellStyle name="20 % - Accent3 3 2 2 3 5 2 4" xfId="59241"/>
    <cellStyle name="20 % - Accent3 3 2 2 3 5 3" xfId="17052"/>
    <cellStyle name="20 % - Accent3 3 2 2 3 5 4" xfId="23542"/>
    <cellStyle name="20 % - Accent3 3 2 2 3 5 5" xfId="36522"/>
    <cellStyle name="20 % - Accent3 3 2 2 3 5 6" xfId="52751"/>
    <cellStyle name="20 % - Accent3 3 2 2 3 6" xfId="7314"/>
    <cellStyle name="20 % - Accent3 3 2 2 3 6 2" xfId="26787"/>
    <cellStyle name="20 % - Accent3 3 2 2 3 6 3" xfId="39767"/>
    <cellStyle name="20 % - Accent3 3 2 2 3 6 4" xfId="55996"/>
    <cellStyle name="20 % - Accent3 3 2 2 3 7" xfId="13807"/>
    <cellStyle name="20 % - Accent3 3 2 2 3 7 2" xfId="49506"/>
    <cellStyle name="20 % - Accent3 3 2 2 3 8" xfId="20297"/>
    <cellStyle name="20 % - Accent3 3 2 2 3 9" xfId="33277"/>
    <cellStyle name="20 % - Accent3 3 2 2 4" xfId="507"/>
    <cellStyle name="20 % - Accent3 3 2 2 4 2" xfId="1456"/>
    <cellStyle name="20 % - Accent3 3 2 2 4 2 2" xfId="3123"/>
    <cellStyle name="20 % - Accent3 3 2 2 4 2 2 2" xfId="6368"/>
    <cellStyle name="20 % - Accent3 3 2 2 4 2 2 2 2" xfId="12900"/>
    <cellStyle name="20 % - Accent3 3 2 2 4 2 2 2 2 2" xfId="32373"/>
    <cellStyle name="20 % - Accent3 3 2 2 4 2 2 2 2 3" xfId="45353"/>
    <cellStyle name="20 % - Accent3 3 2 2 4 2 2 2 2 4" xfId="61582"/>
    <cellStyle name="20 % - Accent3 3 2 2 4 2 2 2 3" xfId="19393"/>
    <cellStyle name="20 % - Accent3 3 2 2 4 2 2 2 4" xfId="25883"/>
    <cellStyle name="20 % - Accent3 3 2 2 4 2 2 2 5" xfId="38863"/>
    <cellStyle name="20 % - Accent3 3 2 2 4 2 2 2 6" xfId="55092"/>
    <cellStyle name="20 % - Accent3 3 2 2 4 2 2 3" xfId="9655"/>
    <cellStyle name="20 % - Accent3 3 2 2 4 2 2 3 2" xfId="29128"/>
    <cellStyle name="20 % - Accent3 3 2 2 4 2 2 3 3" xfId="42108"/>
    <cellStyle name="20 % - Accent3 3 2 2 4 2 2 3 4" xfId="58337"/>
    <cellStyle name="20 % - Accent3 3 2 2 4 2 2 4" xfId="16148"/>
    <cellStyle name="20 % - Accent3 3 2 2 4 2 2 4 2" xfId="51847"/>
    <cellStyle name="20 % - Accent3 3 2 2 4 2 2 5" xfId="22638"/>
    <cellStyle name="20 % - Accent3 3 2 2 4 2 2 6" xfId="35618"/>
    <cellStyle name="20 % - Accent3 3 2 2 4 2 2 7" xfId="48601"/>
    <cellStyle name="20 % - Accent3 3 2 2 4 2 3" xfId="4745"/>
    <cellStyle name="20 % - Accent3 3 2 2 4 2 3 2" xfId="11277"/>
    <cellStyle name="20 % - Accent3 3 2 2 4 2 3 2 2" xfId="30750"/>
    <cellStyle name="20 % - Accent3 3 2 2 4 2 3 2 3" xfId="43730"/>
    <cellStyle name="20 % - Accent3 3 2 2 4 2 3 2 4" xfId="59959"/>
    <cellStyle name="20 % - Accent3 3 2 2 4 2 3 3" xfId="17770"/>
    <cellStyle name="20 % - Accent3 3 2 2 4 2 3 4" xfId="24260"/>
    <cellStyle name="20 % - Accent3 3 2 2 4 2 3 5" xfId="37240"/>
    <cellStyle name="20 % - Accent3 3 2 2 4 2 3 6" xfId="53469"/>
    <cellStyle name="20 % - Accent3 3 2 2 4 2 4" xfId="8032"/>
    <cellStyle name="20 % - Accent3 3 2 2 4 2 4 2" xfId="27505"/>
    <cellStyle name="20 % - Accent3 3 2 2 4 2 4 3" xfId="40485"/>
    <cellStyle name="20 % - Accent3 3 2 2 4 2 4 4" xfId="56714"/>
    <cellStyle name="20 % - Accent3 3 2 2 4 2 5" xfId="14525"/>
    <cellStyle name="20 % - Accent3 3 2 2 4 2 5 2" xfId="50224"/>
    <cellStyle name="20 % - Accent3 3 2 2 4 2 6" xfId="21015"/>
    <cellStyle name="20 % - Accent3 3 2 2 4 2 7" xfId="33995"/>
    <cellStyle name="20 % - Accent3 3 2 2 4 2 8" xfId="46978"/>
    <cellStyle name="20 % - Accent3 3 2 2 4 3" xfId="2175"/>
    <cellStyle name="20 % - Accent3 3 2 2 4 3 2" xfId="5420"/>
    <cellStyle name="20 % - Accent3 3 2 2 4 3 2 2" xfId="11952"/>
    <cellStyle name="20 % - Accent3 3 2 2 4 3 2 2 2" xfId="31425"/>
    <cellStyle name="20 % - Accent3 3 2 2 4 3 2 2 3" xfId="44405"/>
    <cellStyle name="20 % - Accent3 3 2 2 4 3 2 2 4" xfId="60634"/>
    <cellStyle name="20 % - Accent3 3 2 2 4 3 2 3" xfId="18445"/>
    <cellStyle name="20 % - Accent3 3 2 2 4 3 2 4" xfId="24935"/>
    <cellStyle name="20 % - Accent3 3 2 2 4 3 2 5" xfId="37915"/>
    <cellStyle name="20 % - Accent3 3 2 2 4 3 2 6" xfId="54144"/>
    <cellStyle name="20 % - Accent3 3 2 2 4 3 3" xfId="8707"/>
    <cellStyle name="20 % - Accent3 3 2 2 4 3 3 2" xfId="28180"/>
    <cellStyle name="20 % - Accent3 3 2 2 4 3 3 3" xfId="41160"/>
    <cellStyle name="20 % - Accent3 3 2 2 4 3 3 4" xfId="57389"/>
    <cellStyle name="20 % - Accent3 3 2 2 4 3 4" xfId="15200"/>
    <cellStyle name="20 % - Accent3 3 2 2 4 3 4 2" xfId="50899"/>
    <cellStyle name="20 % - Accent3 3 2 2 4 3 5" xfId="21690"/>
    <cellStyle name="20 % - Accent3 3 2 2 4 3 6" xfId="34670"/>
    <cellStyle name="20 % - Accent3 3 2 2 4 3 7" xfId="47653"/>
    <cellStyle name="20 % - Accent3 3 2 2 4 4" xfId="3797"/>
    <cellStyle name="20 % - Accent3 3 2 2 4 4 2" xfId="10329"/>
    <cellStyle name="20 % - Accent3 3 2 2 4 4 2 2" xfId="29802"/>
    <cellStyle name="20 % - Accent3 3 2 2 4 4 2 3" xfId="42782"/>
    <cellStyle name="20 % - Accent3 3 2 2 4 4 2 4" xfId="59011"/>
    <cellStyle name="20 % - Accent3 3 2 2 4 4 3" xfId="16822"/>
    <cellStyle name="20 % - Accent3 3 2 2 4 4 4" xfId="23312"/>
    <cellStyle name="20 % - Accent3 3 2 2 4 4 5" xfId="36292"/>
    <cellStyle name="20 % - Accent3 3 2 2 4 4 6" xfId="52521"/>
    <cellStyle name="20 % - Accent3 3 2 2 4 5" xfId="7084"/>
    <cellStyle name="20 % - Accent3 3 2 2 4 5 2" xfId="26557"/>
    <cellStyle name="20 % - Accent3 3 2 2 4 5 3" xfId="39537"/>
    <cellStyle name="20 % - Accent3 3 2 2 4 5 4" xfId="55766"/>
    <cellStyle name="20 % - Accent3 3 2 2 4 6" xfId="13577"/>
    <cellStyle name="20 % - Accent3 3 2 2 4 6 2" xfId="49276"/>
    <cellStyle name="20 % - Accent3 3 2 2 4 7" xfId="20067"/>
    <cellStyle name="20 % - Accent3 3 2 2 4 8" xfId="33047"/>
    <cellStyle name="20 % - Accent3 3 2 2 4 9" xfId="46030"/>
    <cellStyle name="20 % - Accent3 3 2 2 5" xfId="993"/>
    <cellStyle name="20 % - Accent3 3 2 2 5 2" xfId="2660"/>
    <cellStyle name="20 % - Accent3 3 2 2 5 2 2" xfId="5905"/>
    <cellStyle name="20 % - Accent3 3 2 2 5 2 2 2" xfId="12437"/>
    <cellStyle name="20 % - Accent3 3 2 2 5 2 2 2 2" xfId="31910"/>
    <cellStyle name="20 % - Accent3 3 2 2 5 2 2 2 3" xfId="44890"/>
    <cellStyle name="20 % - Accent3 3 2 2 5 2 2 2 4" xfId="61119"/>
    <cellStyle name="20 % - Accent3 3 2 2 5 2 2 3" xfId="18930"/>
    <cellStyle name="20 % - Accent3 3 2 2 5 2 2 4" xfId="25420"/>
    <cellStyle name="20 % - Accent3 3 2 2 5 2 2 5" xfId="38400"/>
    <cellStyle name="20 % - Accent3 3 2 2 5 2 2 6" xfId="54629"/>
    <cellStyle name="20 % - Accent3 3 2 2 5 2 3" xfId="9192"/>
    <cellStyle name="20 % - Accent3 3 2 2 5 2 3 2" xfId="28665"/>
    <cellStyle name="20 % - Accent3 3 2 2 5 2 3 3" xfId="41645"/>
    <cellStyle name="20 % - Accent3 3 2 2 5 2 3 4" xfId="57874"/>
    <cellStyle name="20 % - Accent3 3 2 2 5 2 4" xfId="15685"/>
    <cellStyle name="20 % - Accent3 3 2 2 5 2 4 2" xfId="51384"/>
    <cellStyle name="20 % - Accent3 3 2 2 5 2 5" xfId="22175"/>
    <cellStyle name="20 % - Accent3 3 2 2 5 2 6" xfId="35155"/>
    <cellStyle name="20 % - Accent3 3 2 2 5 2 7" xfId="48138"/>
    <cellStyle name="20 % - Accent3 3 2 2 5 3" xfId="4282"/>
    <cellStyle name="20 % - Accent3 3 2 2 5 3 2" xfId="10814"/>
    <cellStyle name="20 % - Accent3 3 2 2 5 3 2 2" xfId="30287"/>
    <cellStyle name="20 % - Accent3 3 2 2 5 3 2 3" xfId="43267"/>
    <cellStyle name="20 % - Accent3 3 2 2 5 3 2 4" xfId="59496"/>
    <cellStyle name="20 % - Accent3 3 2 2 5 3 3" xfId="17307"/>
    <cellStyle name="20 % - Accent3 3 2 2 5 3 4" xfId="23797"/>
    <cellStyle name="20 % - Accent3 3 2 2 5 3 5" xfId="36777"/>
    <cellStyle name="20 % - Accent3 3 2 2 5 3 6" xfId="53006"/>
    <cellStyle name="20 % - Accent3 3 2 2 5 4" xfId="7569"/>
    <cellStyle name="20 % - Accent3 3 2 2 5 4 2" xfId="27042"/>
    <cellStyle name="20 % - Accent3 3 2 2 5 4 3" xfId="40022"/>
    <cellStyle name="20 % - Accent3 3 2 2 5 4 4" xfId="56251"/>
    <cellStyle name="20 % - Accent3 3 2 2 5 5" xfId="14062"/>
    <cellStyle name="20 % - Accent3 3 2 2 5 5 2" xfId="49761"/>
    <cellStyle name="20 % - Accent3 3 2 2 5 6" xfId="20552"/>
    <cellStyle name="20 % - Accent3 3 2 2 5 7" xfId="33532"/>
    <cellStyle name="20 % - Accent3 3 2 2 5 8" xfId="46515"/>
    <cellStyle name="20 % - Accent3 3 2 2 6" xfId="1946"/>
    <cellStyle name="20 % - Accent3 3 2 2 6 2" xfId="5191"/>
    <cellStyle name="20 % - Accent3 3 2 2 6 2 2" xfId="11723"/>
    <cellStyle name="20 % - Accent3 3 2 2 6 2 2 2" xfId="31196"/>
    <cellStyle name="20 % - Accent3 3 2 2 6 2 2 3" xfId="44176"/>
    <cellStyle name="20 % - Accent3 3 2 2 6 2 2 4" xfId="60405"/>
    <cellStyle name="20 % - Accent3 3 2 2 6 2 3" xfId="18216"/>
    <cellStyle name="20 % - Accent3 3 2 2 6 2 4" xfId="24706"/>
    <cellStyle name="20 % - Accent3 3 2 2 6 2 5" xfId="37686"/>
    <cellStyle name="20 % - Accent3 3 2 2 6 2 6" xfId="53915"/>
    <cellStyle name="20 % - Accent3 3 2 2 6 3" xfId="8478"/>
    <cellStyle name="20 % - Accent3 3 2 2 6 3 2" xfId="27951"/>
    <cellStyle name="20 % - Accent3 3 2 2 6 3 3" xfId="40931"/>
    <cellStyle name="20 % - Accent3 3 2 2 6 3 4" xfId="57160"/>
    <cellStyle name="20 % - Accent3 3 2 2 6 4" xfId="14971"/>
    <cellStyle name="20 % - Accent3 3 2 2 6 4 2" xfId="50670"/>
    <cellStyle name="20 % - Accent3 3 2 2 6 5" xfId="21461"/>
    <cellStyle name="20 % - Accent3 3 2 2 6 6" xfId="34441"/>
    <cellStyle name="20 % - Accent3 3 2 2 6 7" xfId="47424"/>
    <cellStyle name="20 % - Accent3 3 2 2 7" xfId="3567"/>
    <cellStyle name="20 % - Accent3 3 2 2 7 2" xfId="10099"/>
    <cellStyle name="20 % - Accent3 3 2 2 7 2 2" xfId="29572"/>
    <cellStyle name="20 % - Accent3 3 2 2 7 2 3" xfId="42552"/>
    <cellStyle name="20 % - Accent3 3 2 2 7 2 4" xfId="58781"/>
    <cellStyle name="20 % - Accent3 3 2 2 7 3" xfId="16592"/>
    <cellStyle name="20 % - Accent3 3 2 2 7 4" xfId="23082"/>
    <cellStyle name="20 % - Accent3 3 2 2 7 5" xfId="36062"/>
    <cellStyle name="20 % - Accent3 3 2 2 7 6" xfId="52291"/>
    <cellStyle name="20 % - Accent3 3 2 2 8" xfId="6854"/>
    <cellStyle name="20 % - Accent3 3 2 2 8 2" xfId="26327"/>
    <cellStyle name="20 % - Accent3 3 2 2 8 3" xfId="39307"/>
    <cellStyle name="20 % - Accent3 3 2 2 8 4" xfId="55536"/>
    <cellStyle name="20 % - Accent3 3 2 2 9" xfId="13347"/>
    <cellStyle name="20 % - Accent3 3 2 2 9 2" xfId="49046"/>
    <cellStyle name="20 % - Accent3 3 2 3" xfId="229"/>
    <cellStyle name="20 % - Accent3 3 2 3 10" xfId="32773"/>
    <cellStyle name="20 % - Accent3 3 2 3 11" xfId="45756"/>
    <cellStyle name="20 % - Accent3 3 2 3 2" xfId="693"/>
    <cellStyle name="20 % - Accent3 3 2 3 2 10" xfId="46216"/>
    <cellStyle name="20 % - Accent3 3 2 3 2 2" xfId="1632"/>
    <cellStyle name="20 % - Accent3 3 2 3 2 2 2" xfId="3299"/>
    <cellStyle name="20 % - Accent3 3 2 3 2 2 2 2" xfId="6544"/>
    <cellStyle name="20 % - Accent3 3 2 3 2 2 2 2 2" xfId="13076"/>
    <cellStyle name="20 % - Accent3 3 2 3 2 2 2 2 2 2" xfId="32549"/>
    <cellStyle name="20 % - Accent3 3 2 3 2 2 2 2 2 3" xfId="45529"/>
    <cellStyle name="20 % - Accent3 3 2 3 2 2 2 2 2 4" xfId="61758"/>
    <cellStyle name="20 % - Accent3 3 2 3 2 2 2 2 3" xfId="19569"/>
    <cellStyle name="20 % - Accent3 3 2 3 2 2 2 2 4" xfId="26059"/>
    <cellStyle name="20 % - Accent3 3 2 3 2 2 2 2 5" xfId="39039"/>
    <cellStyle name="20 % - Accent3 3 2 3 2 2 2 2 6" xfId="55268"/>
    <cellStyle name="20 % - Accent3 3 2 3 2 2 2 3" xfId="9831"/>
    <cellStyle name="20 % - Accent3 3 2 3 2 2 2 3 2" xfId="29304"/>
    <cellStyle name="20 % - Accent3 3 2 3 2 2 2 3 3" xfId="42284"/>
    <cellStyle name="20 % - Accent3 3 2 3 2 2 2 3 4" xfId="58513"/>
    <cellStyle name="20 % - Accent3 3 2 3 2 2 2 4" xfId="16324"/>
    <cellStyle name="20 % - Accent3 3 2 3 2 2 2 4 2" xfId="52023"/>
    <cellStyle name="20 % - Accent3 3 2 3 2 2 2 5" xfId="22814"/>
    <cellStyle name="20 % - Accent3 3 2 3 2 2 2 6" xfId="35794"/>
    <cellStyle name="20 % - Accent3 3 2 3 2 2 2 7" xfId="48777"/>
    <cellStyle name="20 % - Accent3 3 2 3 2 2 3" xfId="4921"/>
    <cellStyle name="20 % - Accent3 3 2 3 2 2 3 2" xfId="11453"/>
    <cellStyle name="20 % - Accent3 3 2 3 2 2 3 2 2" xfId="30926"/>
    <cellStyle name="20 % - Accent3 3 2 3 2 2 3 2 3" xfId="43906"/>
    <cellStyle name="20 % - Accent3 3 2 3 2 2 3 2 4" xfId="60135"/>
    <cellStyle name="20 % - Accent3 3 2 3 2 2 3 3" xfId="17946"/>
    <cellStyle name="20 % - Accent3 3 2 3 2 2 3 4" xfId="24436"/>
    <cellStyle name="20 % - Accent3 3 2 3 2 2 3 5" xfId="37416"/>
    <cellStyle name="20 % - Accent3 3 2 3 2 2 3 6" xfId="53645"/>
    <cellStyle name="20 % - Accent3 3 2 3 2 2 4" xfId="8208"/>
    <cellStyle name="20 % - Accent3 3 2 3 2 2 4 2" xfId="27681"/>
    <cellStyle name="20 % - Accent3 3 2 3 2 2 4 3" xfId="40661"/>
    <cellStyle name="20 % - Accent3 3 2 3 2 2 4 4" xfId="56890"/>
    <cellStyle name="20 % - Accent3 3 2 3 2 2 5" xfId="14701"/>
    <cellStyle name="20 % - Accent3 3 2 3 2 2 5 2" xfId="50400"/>
    <cellStyle name="20 % - Accent3 3 2 3 2 2 6" xfId="21191"/>
    <cellStyle name="20 % - Accent3 3 2 3 2 2 7" xfId="34171"/>
    <cellStyle name="20 % - Accent3 3 2 3 2 2 8" xfId="47154"/>
    <cellStyle name="20 % - Accent3 3 2 3 2 3" xfId="1169"/>
    <cellStyle name="20 % - Accent3 3 2 3 2 3 2" xfId="2836"/>
    <cellStyle name="20 % - Accent3 3 2 3 2 3 2 2" xfId="6081"/>
    <cellStyle name="20 % - Accent3 3 2 3 2 3 2 2 2" xfId="12613"/>
    <cellStyle name="20 % - Accent3 3 2 3 2 3 2 2 2 2" xfId="32086"/>
    <cellStyle name="20 % - Accent3 3 2 3 2 3 2 2 2 3" xfId="45066"/>
    <cellStyle name="20 % - Accent3 3 2 3 2 3 2 2 2 4" xfId="61295"/>
    <cellStyle name="20 % - Accent3 3 2 3 2 3 2 2 3" xfId="19106"/>
    <cellStyle name="20 % - Accent3 3 2 3 2 3 2 2 4" xfId="25596"/>
    <cellStyle name="20 % - Accent3 3 2 3 2 3 2 2 5" xfId="38576"/>
    <cellStyle name="20 % - Accent3 3 2 3 2 3 2 2 6" xfId="54805"/>
    <cellStyle name="20 % - Accent3 3 2 3 2 3 2 3" xfId="9368"/>
    <cellStyle name="20 % - Accent3 3 2 3 2 3 2 3 2" xfId="28841"/>
    <cellStyle name="20 % - Accent3 3 2 3 2 3 2 3 3" xfId="41821"/>
    <cellStyle name="20 % - Accent3 3 2 3 2 3 2 3 4" xfId="58050"/>
    <cellStyle name="20 % - Accent3 3 2 3 2 3 2 4" xfId="15861"/>
    <cellStyle name="20 % - Accent3 3 2 3 2 3 2 4 2" xfId="51560"/>
    <cellStyle name="20 % - Accent3 3 2 3 2 3 2 5" xfId="22351"/>
    <cellStyle name="20 % - Accent3 3 2 3 2 3 2 6" xfId="35331"/>
    <cellStyle name="20 % - Accent3 3 2 3 2 3 2 7" xfId="48314"/>
    <cellStyle name="20 % - Accent3 3 2 3 2 3 3" xfId="4458"/>
    <cellStyle name="20 % - Accent3 3 2 3 2 3 3 2" xfId="10990"/>
    <cellStyle name="20 % - Accent3 3 2 3 2 3 3 2 2" xfId="30463"/>
    <cellStyle name="20 % - Accent3 3 2 3 2 3 3 2 3" xfId="43443"/>
    <cellStyle name="20 % - Accent3 3 2 3 2 3 3 2 4" xfId="59672"/>
    <cellStyle name="20 % - Accent3 3 2 3 2 3 3 3" xfId="17483"/>
    <cellStyle name="20 % - Accent3 3 2 3 2 3 3 4" xfId="23973"/>
    <cellStyle name="20 % - Accent3 3 2 3 2 3 3 5" xfId="36953"/>
    <cellStyle name="20 % - Accent3 3 2 3 2 3 3 6" xfId="53182"/>
    <cellStyle name="20 % - Accent3 3 2 3 2 3 4" xfId="7745"/>
    <cellStyle name="20 % - Accent3 3 2 3 2 3 4 2" xfId="27218"/>
    <cellStyle name="20 % - Accent3 3 2 3 2 3 4 3" xfId="40198"/>
    <cellStyle name="20 % - Accent3 3 2 3 2 3 4 4" xfId="56427"/>
    <cellStyle name="20 % - Accent3 3 2 3 2 3 5" xfId="14238"/>
    <cellStyle name="20 % - Accent3 3 2 3 2 3 5 2" xfId="49937"/>
    <cellStyle name="20 % - Accent3 3 2 3 2 3 6" xfId="20728"/>
    <cellStyle name="20 % - Accent3 3 2 3 2 3 7" xfId="33708"/>
    <cellStyle name="20 % - Accent3 3 2 3 2 3 8" xfId="46691"/>
    <cellStyle name="20 % - Accent3 3 2 3 2 4" xfId="2361"/>
    <cellStyle name="20 % - Accent3 3 2 3 2 4 2" xfId="5606"/>
    <cellStyle name="20 % - Accent3 3 2 3 2 4 2 2" xfId="12138"/>
    <cellStyle name="20 % - Accent3 3 2 3 2 4 2 2 2" xfId="31611"/>
    <cellStyle name="20 % - Accent3 3 2 3 2 4 2 2 3" xfId="44591"/>
    <cellStyle name="20 % - Accent3 3 2 3 2 4 2 2 4" xfId="60820"/>
    <cellStyle name="20 % - Accent3 3 2 3 2 4 2 3" xfId="18631"/>
    <cellStyle name="20 % - Accent3 3 2 3 2 4 2 4" xfId="25121"/>
    <cellStyle name="20 % - Accent3 3 2 3 2 4 2 5" xfId="38101"/>
    <cellStyle name="20 % - Accent3 3 2 3 2 4 2 6" xfId="54330"/>
    <cellStyle name="20 % - Accent3 3 2 3 2 4 3" xfId="8893"/>
    <cellStyle name="20 % - Accent3 3 2 3 2 4 3 2" xfId="28366"/>
    <cellStyle name="20 % - Accent3 3 2 3 2 4 3 3" xfId="41346"/>
    <cellStyle name="20 % - Accent3 3 2 3 2 4 3 4" xfId="57575"/>
    <cellStyle name="20 % - Accent3 3 2 3 2 4 4" xfId="15386"/>
    <cellStyle name="20 % - Accent3 3 2 3 2 4 4 2" xfId="51085"/>
    <cellStyle name="20 % - Accent3 3 2 3 2 4 5" xfId="21876"/>
    <cellStyle name="20 % - Accent3 3 2 3 2 4 6" xfId="34856"/>
    <cellStyle name="20 % - Accent3 3 2 3 2 4 7" xfId="47839"/>
    <cellStyle name="20 % - Accent3 3 2 3 2 5" xfId="3983"/>
    <cellStyle name="20 % - Accent3 3 2 3 2 5 2" xfId="10515"/>
    <cellStyle name="20 % - Accent3 3 2 3 2 5 2 2" xfId="29988"/>
    <cellStyle name="20 % - Accent3 3 2 3 2 5 2 3" xfId="42968"/>
    <cellStyle name="20 % - Accent3 3 2 3 2 5 2 4" xfId="59197"/>
    <cellStyle name="20 % - Accent3 3 2 3 2 5 3" xfId="17008"/>
    <cellStyle name="20 % - Accent3 3 2 3 2 5 4" xfId="23498"/>
    <cellStyle name="20 % - Accent3 3 2 3 2 5 5" xfId="36478"/>
    <cellStyle name="20 % - Accent3 3 2 3 2 5 6" xfId="52707"/>
    <cellStyle name="20 % - Accent3 3 2 3 2 6" xfId="7270"/>
    <cellStyle name="20 % - Accent3 3 2 3 2 6 2" xfId="26743"/>
    <cellStyle name="20 % - Accent3 3 2 3 2 6 3" xfId="39723"/>
    <cellStyle name="20 % - Accent3 3 2 3 2 6 4" xfId="55952"/>
    <cellStyle name="20 % - Accent3 3 2 3 2 7" xfId="13763"/>
    <cellStyle name="20 % - Accent3 3 2 3 2 7 2" xfId="49462"/>
    <cellStyle name="20 % - Accent3 3 2 3 2 8" xfId="20253"/>
    <cellStyle name="20 % - Accent3 3 2 3 2 9" xfId="33233"/>
    <cellStyle name="20 % - Accent3 3 2 3 3" xfId="463"/>
    <cellStyle name="20 % - Accent3 3 2 3 3 2" xfId="1412"/>
    <cellStyle name="20 % - Accent3 3 2 3 3 2 2" xfId="3079"/>
    <cellStyle name="20 % - Accent3 3 2 3 3 2 2 2" xfId="6324"/>
    <cellStyle name="20 % - Accent3 3 2 3 3 2 2 2 2" xfId="12856"/>
    <cellStyle name="20 % - Accent3 3 2 3 3 2 2 2 2 2" xfId="32329"/>
    <cellStyle name="20 % - Accent3 3 2 3 3 2 2 2 2 3" xfId="45309"/>
    <cellStyle name="20 % - Accent3 3 2 3 3 2 2 2 2 4" xfId="61538"/>
    <cellStyle name="20 % - Accent3 3 2 3 3 2 2 2 3" xfId="19349"/>
    <cellStyle name="20 % - Accent3 3 2 3 3 2 2 2 4" xfId="25839"/>
    <cellStyle name="20 % - Accent3 3 2 3 3 2 2 2 5" xfId="38819"/>
    <cellStyle name="20 % - Accent3 3 2 3 3 2 2 2 6" xfId="55048"/>
    <cellStyle name="20 % - Accent3 3 2 3 3 2 2 3" xfId="9611"/>
    <cellStyle name="20 % - Accent3 3 2 3 3 2 2 3 2" xfId="29084"/>
    <cellStyle name="20 % - Accent3 3 2 3 3 2 2 3 3" xfId="42064"/>
    <cellStyle name="20 % - Accent3 3 2 3 3 2 2 3 4" xfId="58293"/>
    <cellStyle name="20 % - Accent3 3 2 3 3 2 2 4" xfId="16104"/>
    <cellStyle name="20 % - Accent3 3 2 3 3 2 2 4 2" xfId="51803"/>
    <cellStyle name="20 % - Accent3 3 2 3 3 2 2 5" xfId="22594"/>
    <cellStyle name="20 % - Accent3 3 2 3 3 2 2 6" xfId="35574"/>
    <cellStyle name="20 % - Accent3 3 2 3 3 2 2 7" xfId="48557"/>
    <cellStyle name="20 % - Accent3 3 2 3 3 2 3" xfId="4701"/>
    <cellStyle name="20 % - Accent3 3 2 3 3 2 3 2" xfId="11233"/>
    <cellStyle name="20 % - Accent3 3 2 3 3 2 3 2 2" xfId="30706"/>
    <cellStyle name="20 % - Accent3 3 2 3 3 2 3 2 3" xfId="43686"/>
    <cellStyle name="20 % - Accent3 3 2 3 3 2 3 2 4" xfId="59915"/>
    <cellStyle name="20 % - Accent3 3 2 3 3 2 3 3" xfId="17726"/>
    <cellStyle name="20 % - Accent3 3 2 3 3 2 3 4" xfId="24216"/>
    <cellStyle name="20 % - Accent3 3 2 3 3 2 3 5" xfId="37196"/>
    <cellStyle name="20 % - Accent3 3 2 3 3 2 3 6" xfId="53425"/>
    <cellStyle name="20 % - Accent3 3 2 3 3 2 4" xfId="7988"/>
    <cellStyle name="20 % - Accent3 3 2 3 3 2 4 2" xfId="27461"/>
    <cellStyle name="20 % - Accent3 3 2 3 3 2 4 3" xfId="40441"/>
    <cellStyle name="20 % - Accent3 3 2 3 3 2 4 4" xfId="56670"/>
    <cellStyle name="20 % - Accent3 3 2 3 3 2 5" xfId="14481"/>
    <cellStyle name="20 % - Accent3 3 2 3 3 2 5 2" xfId="50180"/>
    <cellStyle name="20 % - Accent3 3 2 3 3 2 6" xfId="20971"/>
    <cellStyle name="20 % - Accent3 3 2 3 3 2 7" xfId="33951"/>
    <cellStyle name="20 % - Accent3 3 2 3 3 2 8" xfId="46934"/>
    <cellStyle name="20 % - Accent3 3 2 3 3 3" xfId="2131"/>
    <cellStyle name="20 % - Accent3 3 2 3 3 3 2" xfId="5376"/>
    <cellStyle name="20 % - Accent3 3 2 3 3 3 2 2" xfId="11908"/>
    <cellStyle name="20 % - Accent3 3 2 3 3 3 2 2 2" xfId="31381"/>
    <cellStyle name="20 % - Accent3 3 2 3 3 3 2 2 3" xfId="44361"/>
    <cellStyle name="20 % - Accent3 3 2 3 3 3 2 2 4" xfId="60590"/>
    <cellStyle name="20 % - Accent3 3 2 3 3 3 2 3" xfId="18401"/>
    <cellStyle name="20 % - Accent3 3 2 3 3 3 2 4" xfId="24891"/>
    <cellStyle name="20 % - Accent3 3 2 3 3 3 2 5" xfId="37871"/>
    <cellStyle name="20 % - Accent3 3 2 3 3 3 2 6" xfId="54100"/>
    <cellStyle name="20 % - Accent3 3 2 3 3 3 3" xfId="8663"/>
    <cellStyle name="20 % - Accent3 3 2 3 3 3 3 2" xfId="28136"/>
    <cellStyle name="20 % - Accent3 3 2 3 3 3 3 3" xfId="41116"/>
    <cellStyle name="20 % - Accent3 3 2 3 3 3 3 4" xfId="57345"/>
    <cellStyle name="20 % - Accent3 3 2 3 3 3 4" xfId="15156"/>
    <cellStyle name="20 % - Accent3 3 2 3 3 3 4 2" xfId="50855"/>
    <cellStyle name="20 % - Accent3 3 2 3 3 3 5" xfId="21646"/>
    <cellStyle name="20 % - Accent3 3 2 3 3 3 6" xfId="34626"/>
    <cellStyle name="20 % - Accent3 3 2 3 3 3 7" xfId="47609"/>
    <cellStyle name="20 % - Accent3 3 2 3 3 4" xfId="3753"/>
    <cellStyle name="20 % - Accent3 3 2 3 3 4 2" xfId="10285"/>
    <cellStyle name="20 % - Accent3 3 2 3 3 4 2 2" xfId="29758"/>
    <cellStyle name="20 % - Accent3 3 2 3 3 4 2 3" xfId="42738"/>
    <cellStyle name="20 % - Accent3 3 2 3 3 4 2 4" xfId="58967"/>
    <cellStyle name="20 % - Accent3 3 2 3 3 4 3" xfId="16778"/>
    <cellStyle name="20 % - Accent3 3 2 3 3 4 4" xfId="23268"/>
    <cellStyle name="20 % - Accent3 3 2 3 3 4 5" xfId="36248"/>
    <cellStyle name="20 % - Accent3 3 2 3 3 4 6" xfId="52477"/>
    <cellStyle name="20 % - Accent3 3 2 3 3 5" xfId="7040"/>
    <cellStyle name="20 % - Accent3 3 2 3 3 5 2" xfId="26513"/>
    <cellStyle name="20 % - Accent3 3 2 3 3 5 3" xfId="39493"/>
    <cellStyle name="20 % - Accent3 3 2 3 3 5 4" xfId="55722"/>
    <cellStyle name="20 % - Accent3 3 2 3 3 6" xfId="13533"/>
    <cellStyle name="20 % - Accent3 3 2 3 3 6 2" xfId="49232"/>
    <cellStyle name="20 % - Accent3 3 2 3 3 7" xfId="20023"/>
    <cellStyle name="20 % - Accent3 3 2 3 3 8" xfId="33003"/>
    <cellStyle name="20 % - Accent3 3 2 3 3 9" xfId="45986"/>
    <cellStyle name="20 % - Accent3 3 2 3 4" xfId="949"/>
    <cellStyle name="20 % - Accent3 3 2 3 4 2" xfId="2616"/>
    <cellStyle name="20 % - Accent3 3 2 3 4 2 2" xfId="5861"/>
    <cellStyle name="20 % - Accent3 3 2 3 4 2 2 2" xfId="12393"/>
    <cellStyle name="20 % - Accent3 3 2 3 4 2 2 2 2" xfId="31866"/>
    <cellStyle name="20 % - Accent3 3 2 3 4 2 2 2 3" xfId="44846"/>
    <cellStyle name="20 % - Accent3 3 2 3 4 2 2 2 4" xfId="61075"/>
    <cellStyle name="20 % - Accent3 3 2 3 4 2 2 3" xfId="18886"/>
    <cellStyle name="20 % - Accent3 3 2 3 4 2 2 4" xfId="25376"/>
    <cellStyle name="20 % - Accent3 3 2 3 4 2 2 5" xfId="38356"/>
    <cellStyle name="20 % - Accent3 3 2 3 4 2 2 6" xfId="54585"/>
    <cellStyle name="20 % - Accent3 3 2 3 4 2 3" xfId="9148"/>
    <cellStyle name="20 % - Accent3 3 2 3 4 2 3 2" xfId="28621"/>
    <cellStyle name="20 % - Accent3 3 2 3 4 2 3 3" xfId="41601"/>
    <cellStyle name="20 % - Accent3 3 2 3 4 2 3 4" xfId="57830"/>
    <cellStyle name="20 % - Accent3 3 2 3 4 2 4" xfId="15641"/>
    <cellStyle name="20 % - Accent3 3 2 3 4 2 4 2" xfId="51340"/>
    <cellStyle name="20 % - Accent3 3 2 3 4 2 5" xfId="22131"/>
    <cellStyle name="20 % - Accent3 3 2 3 4 2 6" xfId="35111"/>
    <cellStyle name="20 % - Accent3 3 2 3 4 2 7" xfId="48094"/>
    <cellStyle name="20 % - Accent3 3 2 3 4 3" xfId="4238"/>
    <cellStyle name="20 % - Accent3 3 2 3 4 3 2" xfId="10770"/>
    <cellStyle name="20 % - Accent3 3 2 3 4 3 2 2" xfId="30243"/>
    <cellStyle name="20 % - Accent3 3 2 3 4 3 2 3" xfId="43223"/>
    <cellStyle name="20 % - Accent3 3 2 3 4 3 2 4" xfId="59452"/>
    <cellStyle name="20 % - Accent3 3 2 3 4 3 3" xfId="17263"/>
    <cellStyle name="20 % - Accent3 3 2 3 4 3 4" xfId="23753"/>
    <cellStyle name="20 % - Accent3 3 2 3 4 3 5" xfId="36733"/>
    <cellStyle name="20 % - Accent3 3 2 3 4 3 6" xfId="52962"/>
    <cellStyle name="20 % - Accent3 3 2 3 4 4" xfId="7525"/>
    <cellStyle name="20 % - Accent3 3 2 3 4 4 2" xfId="26998"/>
    <cellStyle name="20 % - Accent3 3 2 3 4 4 3" xfId="39978"/>
    <cellStyle name="20 % - Accent3 3 2 3 4 4 4" xfId="56207"/>
    <cellStyle name="20 % - Accent3 3 2 3 4 5" xfId="14018"/>
    <cellStyle name="20 % - Accent3 3 2 3 4 5 2" xfId="49717"/>
    <cellStyle name="20 % - Accent3 3 2 3 4 6" xfId="20508"/>
    <cellStyle name="20 % - Accent3 3 2 3 4 7" xfId="33488"/>
    <cellStyle name="20 % - Accent3 3 2 3 4 8" xfId="46471"/>
    <cellStyle name="20 % - Accent3 3 2 3 5" xfId="1902"/>
    <cellStyle name="20 % - Accent3 3 2 3 5 2" xfId="5147"/>
    <cellStyle name="20 % - Accent3 3 2 3 5 2 2" xfId="11679"/>
    <cellStyle name="20 % - Accent3 3 2 3 5 2 2 2" xfId="31152"/>
    <cellStyle name="20 % - Accent3 3 2 3 5 2 2 3" xfId="44132"/>
    <cellStyle name="20 % - Accent3 3 2 3 5 2 2 4" xfId="60361"/>
    <cellStyle name="20 % - Accent3 3 2 3 5 2 3" xfId="18172"/>
    <cellStyle name="20 % - Accent3 3 2 3 5 2 4" xfId="24662"/>
    <cellStyle name="20 % - Accent3 3 2 3 5 2 5" xfId="37642"/>
    <cellStyle name="20 % - Accent3 3 2 3 5 2 6" xfId="53871"/>
    <cellStyle name="20 % - Accent3 3 2 3 5 3" xfId="8434"/>
    <cellStyle name="20 % - Accent3 3 2 3 5 3 2" xfId="27907"/>
    <cellStyle name="20 % - Accent3 3 2 3 5 3 3" xfId="40887"/>
    <cellStyle name="20 % - Accent3 3 2 3 5 3 4" xfId="57116"/>
    <cellStyle name="20 % - Accent3 3 2 3 5 4" xfId="14927"/>
    <cellStyle name="20 % - Accent3 3 2 3 5 4 2" xfId="50626"/>
    <cellStyle name="20 % - Accent3 3 2 3 5 5" xfId="21417"/>
    <cellStyle name="20 % - Accent3 3 2 3 5 6" xfId="34397"/>
    <cellStyle name="20 % - Accent3 3 2 3 5 7" xfId="47380"/>
    <cellStyle name="20 % - Accent3 3 2 3 6" xfId="3523"/>
    <cellStyle name="20 % - Accent3 3 2 3 6 2" xfId="10055"/>
    <cellStyle name="20 % - Accent3 3 2 3 6 2 2" xfId="29528"/>
    <cellStyle name="20 % - Accent3 3 2 3 6 2 3" xfId="42508"/>
    <cellStyle name="20 % - Accent3 3 2 3 6 2 4" xfId="58737"/>
    <cellStyle name="20 % - Accent3 3 2 3 6 3" xfId="16548"/>
    <cellStyle name="20 % - Accent3 3 2 3 6 4" xfId="23038"/>
    <cellStyle name="20 % - Accent3 3 2 3 6 5" xfId="36018"/>
    <cellStyle name="20 % - Accent3 3 2 3 6 6" xfId="52247"/>
    <cellStyle name="20 % - Accent3 3 2 3 7" xfId="6810"/>
    <cellStyle name="20 % - Accent3 3 2 3 7 2" xfId="26283"/>
    <cellStyle name="20 % - Accent3 3 2 3 7 3" xfId="39263"/>
    <cellStyle name="20 % - Accent3 3 2 3 7 4" xfId="55492"/>
    <cellStyle name="20 % - Accent3 3 2 3 8" xfId="13303"/>
    <cellStyle name="20 % - Accent3 3 2 3 8 2" xfId="49002"/>
    <cellStyle name="20 % - Accent3 3 2 3 9" xfId="19793"/>
    <cellStyle name="20 % - Accent3 3 2 4" xfId="317"/>
    <cellStyle name="20 % - Accent3 3 2 4 10" xfId="32861"/>
    <cellStyle name="20 % - Accent3 3 2 4 11" xfId="45844"/>
    <cellStyle name="20 % - Accent3 3 2 4 2" xfId="781"/>
    <cellStyle name="20 % - Accent3 3 2 4 2 10" xfId="46304"/>
    <cellStyle name="20 % - Accent3 3 2 4 2 2" xfId="1720"/>
    <cellStyle name="20 % - Accent3 3 2 4 2 2 2" xfId="3387"/>
    <cellStyle name="20 % - Accent3 3 2 4 2 2 2 2" xfId="6632"/>
    <cellStyle name="20 % - Accent3 3 2 4 2 2 2 2 2" xfId="13164"/>
    <cellStyle name="20 % - Accent3 3 2 4 2 2 2 2 2 2" xfId="32637"/>
    <cellStyle name="20 % - Accent3 3 2 4 2 2 2 2 2 3" xfId="45617"/>
    <cellStyle name="20 % - Accent3 3 2 4 2 2 2 2 2 4" xfId="61846"/>
    <cellStyle name="20 % - Accent3 3 2 4 2 2 2 2 3" xfId="19657"/>
    <cellStyle name="20 % - Accent3 3 2 4 2 2 2 2 4" xfId="26147"/>
    <cellStyle name="20 % - Accent3 3 2 4 2 2 2 2 5" xfId="39127"/>
    <cellStyle name="20 % - Accent3 3 2 4 2 2 2 2 6" xfId="55356"/>
    <cellStyle name="20 % - Accent3 3 2 4 2 2 2 3" xfId="9919"/>
    <cellStyle name="20 % - Accent3 3 2 4 2 2 2 3 2" xfId="29392"/>
    <cellStyle name="20 % - Accent3 3 2 4 2 2 2 3 3" xfId="42372"/>
    <cellStyle name="20 % - Accent3 3 2 4 2 2 2 3 4" xfId="58601"/>
    <cellStyle name="20 % - Accent3 3 2 4 2 2 2 4" xfId="16412"/>
    <cellStyle name="20 % - Accent3 3 2 4 2 2 2 4 2" xfId="52111"/>
    <cellStyle name="20 % - Accent3 3 2 4 2 2 2 5" xfId="22902"/>
    <cellStyle name="20 % - Accent3 3 2 4 2 2 2 6" xfId="35882"/>
    <cellStyle name="20 % - Accent3 3 2 4 2 2 2 7" xfId="48865"/>
    <cellStyle name="20 % - Accent3 3 2 4 2 2 3" xfId="5009"/>
    <cellStyle name="20 % - Accent3 3 2 4 2 2 3 2" xfId="11541"/>
    <cellStyle name="20 % - Accent3 3 2 4 2 2 3 2 2" xfId="31014"/>
    <cellStyle name="20 % - Accent3 3 2 4 2 2 3 2 3" xfId="43994"/>
    <cellStyle name="20 % - Accent3 3 2 4 2 2 3 2 4" xfId="60223"/>
    <cellStyle name="20 % - Accent3 3 2 4 2 2 3 3" xfId="18034"/>
    <cellStyle name="20 % - Accent3 3 2 4 2 2 3 4" xfId="24524"/>
    <cellStyle name="20 % - Accent3 3 2 4 2 2 3 5" xfId="37504"/>
    <cellStyle name="20 % - Accent3 3 2 4 2 2 3 6" xfId="53733"/>
    <cellStyle name="20 % - Accent3 3 2 4 2 2 4" xfId="8296"/>
    <cellStyle name="20 % - Accent3 3 2 4 2 2 4 2" xfId="27769"/>
    <cellStyle name="20 % - Accent3 3 2 4 2 2 4 3" xfId="40749"/>
    <cellStyle name="20 % - Accent3 3 2 4 2 2 4 4" xfId="56978"/>
    <cellStyle name="20 % - Accent3 3 2 4 2 2 5" xfId="14789"/>
    <cellStyle name="20 % - Accent3 3 2 4 2 2 5 2" xfId="50488"/>
    <cellStyle name="20 % - Accent3 3 2 4 2 2 6" xfId="21279"/>
    <cellStyle name="20 % - Accent3 3 2 4 2 2 7" xfId="34259"/>
    <cellStyle name="20 % - Accent3 3 2 4 2 2 8" xfId="47242"/>
    <cellStyle name="20 % - Accent3 3 2 4 2 3" xfId="1257"/>
    <cellStyle name="20 % - Accent3 3 2 4 2 3 2" xfId="2924"/>
    <cellStyle name="20 % - Accent3 3 2 4 2 3 2 2" xfId="6169"/>
    <cellStyle name="20 % - Accent3 3 2 4 2 3 2 2 2" xfId="12701"/>
    <cellStyle name="20 % - Accent3 3 2 4 2 3 2 2 2 2" xfId="32174"/>
    <cellStyle name="20 % - Accent3 3 2 4 2 3 2 2 2 3" xfId="45154"/>
    <cellStyle name="20 % - Accent3 3 2 4 2 3 2 2 2 4" xfId="61383"/>
    <cellStyle name="20 % - Accent3 3 2 4 2 3 2 2 3" xfId="19194"/>
    <cellStyle name="20 % - Accent3 3 2 4 2 3 2 2 4" xfId="25684"/>
    <cellStyle name="20 % - Accent3 3 2 4 2 3 2 2 5" xfId="38664"/>
    <cellStyle name="20 % - Accent3 3 2 4 2 3 2 2 6" xfId="54893"/>
    <cellStyle name="20 % - Accent3 3 2 4 2 3 2 3" xfId="9456"/>
    <cellStyle name="20 % - Accent3 3 2 4 2 3 2 3 2" xfId="28929"/>
    <cellStyle name="20 % - Accent3 3 2 4 2 3 2 3 3" xfId="41909"/>
    <cellStyle name="20 % - Accent3 3 2 4 2 3 2 3 4" xfId="58138"/>
    <cellStyle name="20 % - Accent3 3 2 4 2 3 2 4" xfId="15949"/>
    <cellStyle name="20 % - Accent3 3 2 4 2 3 2 4 2" xfId="51648"/>
    <cellStyle name="20 % - Accent3 3 2 4 2 3 2 5" xfId="22439"/>
    <cellStyle name="20 % - Accent3 3 2 4 2 3 2 6" xfId="35419"/>
    <cellStyle name="20 % - Accent3 3 2 4 2 3 2 7" xfId="48402"/>
    <cellStyle name="20 % - Accent3 3 2 4 2 3 3" xfId="4546"/>
    <cellStyle name="20 % - Accent3 3 2 4 2 3 3 2" xfId="11078"/>
    <cellStyle name="20 % - Accent3 3 2 4 2 3 3 2 2" xfId="30551"/>
    <cellStyle name="20 % - Accent3 3 2 4 2 3 3 2 3" xfId="43531"/>
    <cellStyle name="20 % - Accent3 3 2 4 2 3 3 2 4" xfId="59760"/>
    <cellStyle name="20 % - Accent3 3 2 4 2 3 3 3" xfId="17571"/>
    <cellStyle name="20 % - Accent3 3 2 4 2 3 3 4" xfId="24061"/>
    <cellStyle name="20 % - Accent3 3 2 4 2 3 3 5" xfId="37041"/>
    <cellStyle name="20 % - Accent3 3 2 4 2 3 3 6" xfId="53270"/>
    <cellStyle name="20 % - Accent3 3 2 4 2 3 4" xfId="7833"/>
    <cellStyle name="20 % - Accent3 3 2 4 2 3 4 2" xfId="27306"/>
    <cellStyle name="20 % - Accent3 3 2 4 2 3 4 3" xfId="40286"/>
    <cellStyle name="20 % - Accent3 3 2 4 2 3 4 4" xfId="56515"/>
    <cellStyle name="20 % - Accent3 3 2 4 2 3 5" xfId="14326"/>
    <cellStyle name="20 % - Accent3 3 2 4 2 3 5 2" xfId="50025"/>
    <cellStyle name="20 % - Accent3 3 2 4 2 3 6" xfId="20816"/>
    <cellStyle name="20 % - Accent3 3 2 4 2 3 7" xfId="33796"/>
    <cellStyle name="20 % - Accent3 3 2 4 2 3 8" xfId="46779"/>
    <cellStyle name="20 % - Accent3 3 2 4 2 4" xfId="2449"/>
    <cellStyle name="20 % - Accent3 3 2 4 2 4 2" xfId="5694"/>
    <cellStyle name="20 % - Accent3 3 2 4 2 4 2 2" xfId="12226"/>
    <cellStyle name="20 % - Accent3 3 2 4 2 4 2 2 2" xfId="31699"/>
    <cellStyle name="20 % - Accent3 3 2 4 2 4 2 2 3" xfId="44679"/>
    <cellStyle name="20 % - Accent3 3 2 4 2 4 2 2 4" xfId="60908"/>
    <cellStyle name="20 % - Accent3 3 2 4 2 4 2 3" xfId="18719"/>
    <cellStyle name="20 % - Accent3 3 2 4 2 4 2 4" xfId="25209"/>
    <cellStyle name="20 % - Accent3 3 2 4 2 4 2 5" xfId="38189"/>
    <cellStyle name="20 % - Accent3 3 2 4 2 4 2 6" xfId="54418"/>
    <cellStyle name="20 % - Accent3 3 2 4 2 4 3" xfId="8981"/>
    <cellStyle name="20 % - Accent3 3 2 4 2 4 3 2" xfId="28454"/>
    <cellStyle name="20 % - Accent3 3 2 4 2 4 3 3" xfId="41434"/>
    <cellStyle name="20 % - Accent3 3 2 4 2 4 3 4" xfId="57663"/>
    <cellStyle name="20 % - Accent3 3 2 4 2 4 4" xfId="15474"/>
    <cellStyle name="20 % - Accent3 3 2 4 2 4 4 2" xfId="51173"/>
    <cellStyle name="20 % - Accent3 3 2 4 2 4 5" xfId="21964"/>
    <cellStyle name="20 % - Accent3 3 2 4 2 4 6" xfId="34944"/>
    <cellStyle name="20 % - Accent3 3 2 4 2 4 7" xfId="47927"/>
    <cellStyle name="20 % - Accent3 3 2 4 2 5" xfId="4071"/>
    <cellStyle name="20 % - Accent3 3 2 4 2 5 2" xfId="10603"/>
    <cellStyle name="20 % - Accent3 3 2 4 2 5 2 2" xfId="30076"/>
    <cellStyle name="20 % - Accent3 3 2 4 2 5 2 3" xfId="43056"/>
    <cellStyle name="20 % - Accent3 3 2 4 2 5 2 4" xfId="59285"/>
    <cellStyle name="20 % - Accent3 3 2 4 2 5 3" xfId="17096"/>
    <cellStyle name="20 % - Accent3 3 2 4 2 5 4" xfId="23586"/>
    <cellStyle name="20 % - Accent3 3 2 4 2 5 5" xfId="36566"/>
    <cellStyle name="20 % - Accent3 3 2 4 2 5 6" xfId="52795"/>
    <cellStyle name="20 % - Accent3 3 2 4 2 6" xfId="7358"/>
    <cellStyle name="20 % - Accent3 3 2 4 2 6 2" xfId="26831"/>
    <cellStyle name="20 % - Accent3 3 2 4 2 6 3" xfId="39811"/>
    <cellStyle name="20 % - Accent3 3 2 4 2 6 4" xfId="56040"/>
    <cellStyle name="20 % - Accent3 3 2 4 2 7" xfId="13851"/>
    <cellStyle name="20 % - Accent3 3 2 4 2 7 2" xfId="49550"/>
    <cellStyle name="20 % - Accent3 3 2 4 2 8" xfId="20341"/>
    <cellStyle name="20 % - Accent3 3 2 4 2 9" xfId="33321"/>
    <cellStyle name="20 % - Accent3 3 2 4 3" xfId="551"/>
    <cellStyle name="20 % - Accent3 3 2 4 3 2" xfId="1500"/>
    <cellStyle name="20 % - Accent3 3 2 4 3 2 2" xfId="3167"/>
    <cellStyle name="20 % - Accent3 3 2 4 3 2 2 2" xfId="6412"/>
    <cellStyle name="20 % - Accent3 3 2 4 3 2 2 2 2" xfId="12944"/>
    <cellStyle name="20 % - Accent3 3 2 4 3 2 2 2 2 2" xfId="32417"/>
    <cellStyle name="20 % - Accent3 3 2 4 3 2 2 2 2 3" xfId="45397"/>
    <cellStyle name="20 % - Accent3 3 2 4 3 2 2 2 2 4" xfId="61626"/>
    <cellStyle name="20 % - Accent3 3 2 4 3 2 2 2 3" xfId="19437"/>
    <cellStyle name="20 % - Accent3 3 2 4 3 2 2 2 4" xfId="25927"/>
    <cellStyle name="20 % - Accent3 3 2 4 3 2 2 2 5" xfId="38907"/>
    <cellStyle name="20 % - Accent3 3 2 4 3 2 2 2 6" xfId="55136"/>
    <cellStyle name="20 % - Accent3 3 2 4 3 2 2 3" xfId="9699"/>
    <cellStyle name="20 % - Accent3 3 2 4 3 2 2 3 2" xfId="29172"/>
    <cellStyle name="20 % - Accent3 3 2 4 3 2 2 3 3" xfId="42152"/>
    <cellStyle name="20 % - Accent3 3 2 4 3 2 2 3 4" xfId="58381"/>
    <cellStyle name="20 % - Accent3 3 2 4 3 2 2 4" xfId="16192"/>
    <cellStyle name="20 % - Accent3 3 2 4 3 2 2 4 2" xfId="51891"/>
    <cellStyle name="20 % - Accent3 3 2 4 3 2 2 5" xfId="22682"/>
    <cellStyle name="20 % - Accent3 3 2 4 3 2 2 6" xfId="35662"/>
    <cellStyle name="20 % - Accent3 3 2 4 3 2 2 7" xfId="48645"/>
    <cellStyle name="20 % - Accent3 3 2 4 3 2 3" xfId="4789"/>
    <cellStyle name="20 % - Accent3 3 2 4 3 2 3 2" xfId="11321"/>
    <cellStyle name="20 % - Accent3 3 2 4 3 2 3 2 2" xfId="30794"/>
    <cellStyle name="20 % - Accent3 3 2 4 3 2 3 2 3" xfId="43774"/>
    <cellStyle name="20 % - Accent3 3 2 4 3 2 3 2 4" xfId="60003"/>
    <cellStyle name="20 % - Accent3 3 2 4 3 2 3 3" xfId="17814"/>
    <cellStyle name="20 % - Accent3 3 2 4 3 2 3 4" xfId="24304"/>
    <cellStyle name="20 % - Accent3 3 2 4 3 2 3 5" xfId="37284"/>
    <cellStyle name="20 % - Accent3 3 2 4 3 2 3 6" xfId="53513"/>
    <cellStyle name="20 % - Accent3 3 2 4 3 2 4" xfId="8076"/>
    <cellStyle name="20 % - Accent3 3 2 4 3 2 4 2" xfId="27549"/>
    <cellStyle name="20 % - Accent3 3 2 4 3 2 4 3" xfId="40529"/>
    <cellStyle name="20 % - Accent3 3 2 4 3 2 4 4" xfId="56758"/>
    <cellStyle name="20 % - Accent3 3 2 4 3 2 5" xfId="14569"/>
    <cellStyle name="20 % - Accent3 3 2 4 3 2 5 2" xfId="50268"/>
    <cellStyle name="20 % - Accent3 3 2 4 3 2 6" xfId="21059"/>
    <cellStyle name="20 % - Accent3 3 2 4 3 2 7" xfId="34039"/>
    <cellStyle name="20 % - Accent3 3 2 4 3 2 8" xfId="47022"/>
    <cellStyle name="20 % - Accent3 3 2 4 3 3" xfId="2219"/>
    <cellStyle name="20 % - Accent3 3 2 4 3 3 2" xfId="5464"/>
    <cellStyle name="20 % - Accent3 3 2 4 3 3 2 2" xfId="11996"/>
    <cellStyle name="20 % - Accent3 3 2 4 3 3 2 2 2" xfId="31469"/>
    <cellStyle name="20 % - Accent3 3 2 4 3 3 2 2 3" xfId="44449"/>
    <cellStyle name="20 % - Accent3 3 2 4 3 3 2 2 4" xfId="60678"/>
    <cellStyle name="20 % - Accent3 3 2 4 3 3 2 3" xfId="18489"/>
    <cellStyle name="20 % - Accent3 3 2 4 3 3 2 4" xfId="24979"/>
    <cellStyle name="20 % - Accent3 3 2 4 3 3 2 5" xfId="37959"/>
    <cellStyle name="20 % - Accent3 3 2 4 3 3 2 6" xfId="54188"/>
    <cellStyle name="20 % - Accent3 3 2 4 3 3 3" xfId="8751"/>
    <cellStyle name="20 % - Accent3 3 2 4 3 3 3 2" xfId="28224"/>
    <cellStyle name="20 % - Accent3 3 2 4 3 3 3 3" xfId="41204"/>
    <cellStyle name="20 % - Accent3 3 2 4 3 3 3 4" xfId="57433"/>
    <cellStyle name="20 % - Accent3 3 2 4 3 3 4" xfId="15244"/>
    <cellStyle name="20 % - Accent3 3 2 4 3 3 4 2" xfId="50943"/>
    <cellStyle name="20 % - Accent3 3 2 4 3 3 5" xfId="21734"/>
    <cellStyle name="20 % - Accent3 3 2 4 3 3 6" xfId="34714"/>
    <cellStyle name="20 % - Accent3 3 2 4 3 3 7" xfId="47697"/>
    <cellStyle name="20 % - Accent3 3 2 4 3 4" xfId="3841"/>
    <cellStyle name="20 % - Accent3 3 2 4 3 4 2" xfId="10373"/>
    <cellStyle name="20 % - Accent3 3 2 4 3 4 2 2" xfId="29846"/>
    <cellStyle name="20 % - Accent3 3 2 4 3 4 2 3" xfId="42826"/>
    <cellStyle name="20 % - Accent3 3 2 4 3 4 2 4" xfId="59055"/>
    <cellStyle name="20 % - Accent3 3 2 4 3 4 3" xfId="16866"/>
    <cellStyle name="20 % - Accent3 3 2 4 3 4 4" xfId="23356"/>
    <cellStyle name="20 % - Accent3 3 2 4 3 4 5" xfId="36336"/>
    <cellStyle name="20 % - Accent3 3 2 4 3 4 6" xfId="52565"/>
    <cellStyle name="20 % - Accent3 3 2 4 3 5" xfId="7128"/>
    <cellStyle name="20 % - Accent3 3 2 4 3 5 2" xfId="26601"/>
    <cellStyle name="20 % - Accent3 3 2 4 3 5 3" xfId="39581"/>
    <cellStyle name="20 % - Accent3 3 2 4 3 5 4" xfId="55810"/>
    <cellStyle name="20 % - Accent3 3 2 4 3 6" xfId="13621"/>
    <cellStyle name="20 % - Accent3 3 2 4 3 6 2" xfId="49320"/>
    <cellStyle name="20 % - Accent3 3 2 4 3 7" xfId="20111"/>
    <cellStyle name="20 % - Accent3 3 2 4 3 8" xfId="33091"/>
    <cellStyle name="20 % - Accent3 3 2 4 3 9" xfId="46074"/>
    <cellStyle name="20 % - Accent3 3 2 4 4" xfId="1037"/>
    <cellStyle name="20 % - Accent3 3 2 4 4 2" xfId="2704"/>
    <cellStyle name="20 % - Accent3 3 2 4 4 2 2" xfId="5949"/>
    <cellStyle name="20 % - Accent3 3 2 4 4 2 2 2" xfId="12481"/>
    <cellStyle name="20 % - Accent3 3 2 4 4 2 2 2 2" xfId="31954"/>
    <cellStyle name="20 % - Accent3 3 2 4 4 2 2 2 3" xfId="44934"/>
    <cellStyle name="20 % - Accent3 3 2 4 4 2 2 2 4" xfId="61163"/>
    <cellStyle name="20 % - Accent3 3 2 4 4 2 2 3" xfId="18974"/>
    <cellStyle name="20 % - Accent3 3 2 4 4 2 2 4" xfId="25464"/>
    <cellStyle name="20 % - Accent3 3 2 4 4 2 2 5" xfId="38444"/>
    <cellStyle name="20 % - Accent3 3 2 4 4 2 2 6" xfId="54673"/>
    <cellStyle name="20 % - Accent3 3 2 4 4 2 3" xfId="9236"/>
    <cellStyle name="20 % - Accent3 3 2 4 4 2 3 2" xfId="28709"/>
    <cellStyle name="20 % - Accent3 3 2 4 4 2 3 3" xfId="41689"/>
    <cellStyle name="20 % - Accent3 3 2 4 4 2 3 4" xfId="57918"/>
    <cellStyle name="20 % - Accent3 3 2 4 4 2 4" xfId="15729"/>
    <cellStyle name="20 % - Accent3 3 2 4 4 2 4 2" xfId="51428"/>
    <cellStyle name="20 % - Accent3 3 2 4 4 2 5" xfId="22219"/>
    <cellStyle name="20 % - Accent3 3 2 4 4 2 6" xfId="35199"/>
    <cellStyle name="20 % - Accent3 3 2 4 4 2 7" xfId="48182"/>
    <cellStyle name="20 % - Accent3 3 2 4 4 3" xfId="4326"/>
    <cellStyle name="20 % - Accent3 3 2 4 4 3 2" xfId="10858"/>
    <cellStyle name="20 % - Accent3 3 2 4 4 3 2 2" xfId="30331"/>
    <cellStyle name="20 % - Accent3 3 2 4 4 3 2 3" xfId="43311"/>
    <cellStyle name="20 % - Accent3 3 2 4 4 3 2 4" xfId="59540"/>
    <cellStyle name="20 % - Accent3 3 2 4 4 3 3" xfId="17351"/>
    <cellStyle name="20 % - Accent3 3 2 4 4 3 4" xfId="23841"/>
    <cellStyle name="20 % - Accent3 3 2 4 4 3 5" xfId="36821"/>
    <cellStyle name="20 % - Accent3 3 2 4 4 3 6" xfId="53050"/>
    <cellStyle name="20 % - Accent3 3 2 4 4 4" xfId="7613"/>
    <cellStyle name="20 % - Accent3 3 2 4 4 4 2" xfId="27086"/>
    <cellStyle name="20 % - Accent3 3 2 4 4 4 3" xfId="40066"/>
    <cellStyle name="20 % - Accent3 3 2 4 4 4 4" xfId="56295"/>
    <cellStyle name="20 % - Accent3 3 2 4 4 5" xfId="14106"/>
    <cellStyle name="20 % - Accent3 3 2 4 4 5 2" xfId="49805"/>
    <cellStyle name="20 % - Accent3 3 2 4 4 6" xfId="20596"/>
    <cellStyle name="20 % - Accent3 3 2 4 4 7" xfId="33576"/>
    <cellStyle name="20 % - Accent3 3 2 4 4 8" xfId="46559"/>
    <cellStyle name="20 % - Accent3 3 2 4 5" xfId="1990"/>
    <cellStyle name="20 % - Accent3 3 2 4 5 2" xfId="5235"/>
    <cellStyle name="20 % - Accent3 3 2 4 5 2 2" xfId="11767"/>
    <cellStyle name="20 % - Accent3 3 2 4 5 2 2 2" xfId="31240"/>
    <cellStyle name="20 % - Accent3 3 2 4 5 2 2 3" xfId="44220"/>
    <cellStyle name="20 % - Accent3 3 2 4 5 2 2 4" xfId="60449"/>
    <cellStyle name="20 % - Accent3 3 2 4 5 2 3" xfId="18260"/>
    <cellStyle name="20 % - Accent3 3 2 4 5 2 4" xfId="24750"/>
    <cellStyle name="20 % - Accent3 3 2 4 5 2 5" xfId="37730"/>
    <cellStyle name="20 % - Accent3 3 2 4 5 2 6" xfId="53959"/>
    <cellStyle name="20 % - Accent3 3 2 4 5 3" xfId="8522"/>
    <cellStyle name="20 % - Accent3 3 2 4 5 3 2" xfId="27995"/>
    <cellStyle name="20 % - Accent3 3 2 4 5 3 3" xfId="40975"/>
    <cellStyle name="20 % - Accent3 3 2 4 5 3 4" xfId="57204"/>
    <cellStyle name="20 % - Accent3 3 2 4 5 4" xfId="15015"/>
    <cellStyle name="20 % - Accent3 3 2 4 5 4 2" xfId="50714"/>
    <cellStyle name="20 % - Accent3 3 2 4 5 5" xfId="21505"/>
    <cellStyle name="20 % - Accent3 3 2 4 5 6" xfId="34485"/>
    <cellStyle name="20 % - Accent3 3 2 4 5 7" xfId="47468"/>
    <cellStyle name="20 % - Accent3 3 2 4 6" xfId="3611"/>
    <cellStyle name="20 % - Accent3 3 2 4 6 2" xfId="10143"/>
    <cellStyle name="20 % - Accent3 3 2 4 6 2 2" xfId="29616"/>
    <cellStyle name="20 % - Accent3 3 2 4 6 2 3" xfId="42596"/>
    <cellStyle name="20 % - Accent3 3 2 4 6 2 4" xfId="58825"/>
    <cellStyle name="20 % - Accent3 3 2 4 6 3" xfId="16636"/>
    <cellStyle name="20 % - Accent3 3 2 4 6 4" xfId="23126"/>
    <cellStyle name="20 % - Accent3 3 2 4 6 5" xfId="36106"/>
    <cellStyle name="20 % - Accent3 3 2 4 6 6" xfId="52335"/>
    <cellStyle name="20 % - Accent3 3 2 4 7" xfId="6898"/>
    <cellStyle name="20 % - Accent3 3 2 4 7 2" xfId="26371"/>
    <cellStyle name="20 % - Accent3 3 2 4 7 3" xfId="39351"/>
    <cellStyle name="20 % - Accent3 3 2 4 7 4" xfId="55580"/>
    <cellStyle name="20 % - Accent3 3 2 4 8" xfId="13391"/>
    <cellStyle name="20 % - Accent3 3 2 4 8 2" xfId="49090"/>
    <cellStyle name="20 % - Accent3 3 2 4 9" xfId="19881"/>
    <cellStyle name="20 % - Accent3 3 2 5" xfId="649"/>
    <cellStyle name="20 % - Accent3 3 2 5 10" xfId="46172"/>
    <cellStyle name="20 % - Accent3 3 2 5 2" xfId="1588"/>
    <cellStyle name="20 % - Accent3 3 2 5 2 2" xfId="3255"/>
    <cellStyle name="20 % - Accent3 3 2 5 2 2 2" xfId="6500"/>
    <cellStyle name="20 % - Accent3 3 2 5 2 2 2 2" xfId="13032"/>
    <cellStyle name="20 % - Accent3 3 2 5 2 2 2 2 2" xfId="32505"/>
    <cellStyle name="20 % - Accent3 3 2 5 2 2 2 2 3" xfId="45485"/>
    <cellStyle name="20 % - Accent3 3 2 5 2 2 2 2 4" xfId="61714"/>
    <cellStyle name="20 % - Accent3 3 2 5 2 2 2 3" xfId="19525"/>
    <cellStyle name="20 % - Accent3 3 2 5 2 2 2 4" xfId="26015"/>
    <cellStyle name="20 % - Accent3 3 2 5 2 2 2 5" xfId="38995"/>
    <cellStyle name="20 % - Accent3 3 2 5 2 2 2 6" xfId="55224"/>
    <cellStyle name="20 % - Accent3 3 2 5 2 2 3" xfId="9787"/>
    <cellStyle name="20 % - Accent3 3 2 5 2 2 3 2" xfId="29260"/>
    <cellStyle name="20 % - Accent3 3 2 5 2 2 3 3" xfId="42240"/>
    <cellStyle name="20 % - Accent3 3 2 5 2 2 3 4" xfId="58469"/>
    <cellStyle name="20 % - Accent3 3 2 5 2 2 4" xfId="16280"/>
    <cellStyle name="20 % - Accent3 3 2 5 2 2 4 2" xfId="51979"/>
    <cellStyle name="20 % - Accent3 3 2 5 2 2 5" xfId="22770"/>
    <cellStyle name="20 % - Accent3 3 2 5 2 2 6" xfId="35750"/>
    <cellStyle name="20 % - Accent3 3 2 5 2 2 7" xfId="48733"/>
    <cellStyle name="20 % - Accent3 3 2 5 2 3" xfId="4877"/>
    <cellStyle name="20 % - Accent3 3 2 5 2 3 2" xfId="11409"/>
    <cellStyle name="20 % - Accent3 3 2 5 2 3 2 2" xfId="30882"/>
    <cellStyle name="20 % - Accent3 3 2 5 2 3 2 3" xfId="43862"/>
    <cellStyle name="20 % - Accent3 3 2 5 2 3 2 4" xfId="60091"/>
    <cellStyle name="20 % - Accent3 3 2 5 2 3 3" xfId="17902"/>
    <cellStyle name="20 % - Accent3 3 2 5 2 3 4" xfId="24392"/>
    <cellStyle name="20 % - Accent3 3 2 5 2 3 5" xfId="37372"/>
    <cellStyle name="20 % - Accent3 3 2 5 2 3 6" xfId="53601"/>
    <cellStyle name="20 % - Accent3 3 2 5 2 4" xfId="8164"/>
    <cellStyle name="20 % - Accent3 3 2 5 2 4 2" xfId="27637"/>
    <cellStyle name="20 % - Accent3 3 2 5 2 4 3" xfId="40617"/>
    <cellStyle name="20 % - Accent3 3 2 5 2 4 4" xfId="56846"/>
    <cellStyle name="20 % - Accent3 3 2 5 2 5" xfId="14657"/>
    <cellStyle name="20 % - Accent3 3 2 5 2 5 2" xfId="50356"/>
    <cellStyle name="20 % - Accent3 3 2 5 2 6" xfId="21147"/>
    <cellStyle name="20 % - Accent3 3 2 5 2 7" xfId="34127"/>
    <cellStyle name="20 % - Accent3 3 2 5 2 8" xfId="47110"/>
    <cellStyle name="20 % - Accent3 3 2 5 3" xfId="1125"/>
    <cellStyle name="20 % - Accent3 3 2 5 3 2" xfId="2792"/>
    <cellStyle name="20 % - Accent3 3 2 5 3 2 2" xfId="6037"/>
    <cellStyle name="20 % - Accent3 3 2 5 3 2 2 2" xfId="12569"/>
    <cellStyle name="20 % - Accent3 3 2 5 3 2 2 2 2" xfId="32042"/>
    <cellStyle name="20 % - Accent3 3 2 5 3 2 2 2 3" xfId="45022"/>
    <cellStyle name="20 % - Accent3 3 2 5 3 2 2 2 4" xfId="61251"/>
    <cellStyle name="20 % - Accent3 3 2 5 3 2 2 3" xfId="19062"/>
    <cellStyle name="20 % - Accent3 3 2 5 3 2 2 4" xfId="25552"/>
    <cellStyle name="20 % - Accent3 3 2 5 3 2 2 5" xfId="38532"/>
    <cellStyle name="20 % - Accent3 3 2 5 3 2 2 6" xfId="54761"/>
    <cellStyle name="20 % - Accent3 3 2 5 3 2 3" xfId="9324"/>
    <cellStyle name="20 % - Accent3 3 2 5 3 2 3 2" xfId="28797"/>
    <cellStyle name="20 % - Accent3 3 2 5 3 2 3 3" xfId="41777"/>
    <cellStyle name="20 % - Accent3 3 2 5 3 2 3 4" xfId="58006"/>
    <cellStyle name="20 % - Accent3 3 2 5 3 2 4" xfId="15817"/>
    <cellStyle name="20 % - Accent3 3 2 5 3 2 4 2" xfId="51516"/>
    <cellStyle name="20 % - Accent3 3 2 5 3 2 5" xfId="22307"/>
    <cellStyle name="20 % - Accent3 3 2 5 3 2 6" xfId="35287"/>
    <cellStyle name="20 % - Accent3 3 2 5 3 2 7" xfId="48270"/>
    <cellStyle name="20 % - Accent3 3 2 5 3 3" xfId="4414"/>
    <cellStyle name="20 % - Accent3 3 2 5 3 3 2" xfId="10946"/>
    <cellStyle name="20 % - Accent3 3 2 5 3 3 2 2" xfId="30419"/>
    <cellStyle name="20 % - Accent3 3 2 5 3 3 2 3" xfId="43399"/>
    <cellStyle name="20 % - Accent3 3 2 5 3 3 2 4" xfId="59628"/>
    <cellStyle name="20 % - Accent3 3 2 5 3 3 3" xfId="17439"/>
    <cellStyle name="20 % - Accent3 3 2 5 3 3 4" xfId="23929"/>
    <cellStyle name="20 % - Accent3 3 2 5 3 3 5" xfId="36909"/>
    <cellStyle name="20 % - Accent3 3 2 5 3 3 6" xfId="53138"/>
    <cellStyle name="20 % - Accent3 3 2 5 3 4" xfId="7701"/>
    <cellStyle name="20 % - Accent3 3 2 5 3 4 2" xfId="27174"/>
    <cellStyle name="20 % - Accent3 3 2 5 3 4 3" xfId="40154"/>
    <cellStyle name="20 % - Accent3 3 2 5 3 4 4" xfId="56383"/>
    <cellStyle name="20 % - Accent3 3 2 5 3 5" xfId="14194"/>
    <cellStyle name="20 % - Accent3 3 2 5 3 5 2" xfId="49893"/>
    <cellStyle name="20 % - Accent3 3 2 5 3 6" xfId="20684"/>
    <cellStyle name="20 % - Accent3 3 2 5 3 7" xfId="33664"/>
    <cellStyle name="20 % - Accent3 3 2 5 3 8" xfId="46647"/>
    <cellStyle name="20 % - Accent3 3 2 5 4" xfId="2317"/>
    <cellStyle name="20 % - Accent3 3 2 5 4 2" xfId="5562"/>
    <cellStyle name="20 % - Accent3 3 2 5 4 2 2" xfId="12094"/>
    <cellStyle name="20 % - Accent3 3 2 5 4 2 2 2" xfId="31567"/>
    <cellStyle name="20 % - Accent3 3 2 5 4 2 2 3" xfId="44547"/>
    <cellStyle name="20 % - Accent3 3 2 5 4 2 2 4" xfId="60776"/>
    <cellStyle name="20 % - Accent3 3 2 5 4 2 3" xfId="18587"/>
    <cellStyle name="20 % - Accent3 3 2 5 4 2 4" xfId="25077"/>
    <cellStyle name="20 % - Accent3 3 2 5 4 2 5" xfId="38057"/>
    <cellStyle name="20 % - Accent3 3 2 5 4 2 6" xfId="54286"/>
    <cellStyle name="20 % - Accent3 3 2 5 4 3" xfId="8849"/>
    <cellStyle name="20 % - Accent3 3 2 5 4 3 2" xfId="28322"/>
    <cellStyle name="20 % - Accent3 3 2 5 4 3 3" xfId="41302"/>
    <cellStyle name="20 % - Accent3 3 2 5 4 3 4" xfId="57531"/>
    <cellStyle name="20 % - Accent3 3 2 5 4 4" xfId="15342"/>
    <cellStyle name="20 % - Accent3 3 2 5 4 4 2" xfId="51041"/>
    <cellStyle name="20 % - Accent3 3 2 5 4 5" xfId="21832"/>
    <cellStyle name="20 % - Accent3 3 2 5 4 6" xfId="34812"/>
    <cellStyle name="20 % - Accent3 3 2 5 4 7" xfId="47795"/>
    <cellStyle name="20 % - Accent3 3 2 5 5" xfId="3939"/>
    <cellStyle name="20 % - Accent3 3 2 5 5 2" xfId="10471"/>
    <cellStyle name="20 % - Accent3 3 2 5 5 2 2" xfId="29944"/>
    <cellStyle name="20 % - Accent3 3 2 5 5 2 3" xfId="42924"/>
    <cellStyle name="20 % - Accent3 3 2 5 5 2 4" xfId="59153"/>
    <cellStyle name="20 % - Accent3 3 2 5 5 3" xfId="16964"/>
    <cellStyle name="20 % - Accent3 3 2 5 5 4" xfId="23454"/>
    <cellStyle name="20 % - Accent3 3 2 5 5 5" xfId="36434"/>
    <cellStyle name="20 % - Accent3 3 2 5 5 6" xfId="52663"/>
    <cellStyle name="20 % - Accent3 3 2 5 6" xfId="7226"/>
    <cellStyle name="20 % - Accent3 3 2 5 6 2" xfId="26699"/>
    <cellStyle name="20 % - Accent3 3 2 5 6 3" xfId="39679"/>
    <cellStyle name="20 % - Accent3 3 2 5 6 4" xfId="55908"/>
    <cellStyle name="20 % - Accent3 3 2 5 7" xfId="13719"/>
    <cellStyle name="20 % - Accent3 3 2 5 7 2" xfId="49418"/>
    <cellStyle name="20 % - Accent3 3 2 5 8" xfId="20209"/>
    <cellStyle name="20 % - Accent3 3 2 5 9" xfId="33189"/>
    <cellStyle name="20 % - Accent3 3 2 6" xfId="419"/>
    <cellStyle name="20 % - Accent3 3 2 6 2" xfId="1368"/>
    <cellStyle name="20 % - Accent3 3 2 6 2 2" xfId="3035"/>
    <cellStyle name="20 % - Accent3 3 2 6 2 2 2" xfId="6280"/>
    <cellStyle name="20 % - Accent3 3 2 6 2 2 2 2" xfId="12812"/>
    <cellStyle name="20 % - Accent3 3 2 6 2 2 2 2 2" xfId="32285"/>
    <cellStyle name="20 % - Accent3 3 2 6 2 2 2 2 3" xfId="45265"/>
    <cellStyle name="20 % - Accent3 3 2 6 2 2 2 2 4" xfId="61494"/>
    <cellStyle name="20 % - Accent3 3 2 6 2 2 2 3" xfId="19305"/>
    <cellStyle name="20 % - Accent3 3 2 6 2 2 2 4" xfId="25795"/>
    <cellStyle name="20 % - Accent3 3 2 6 2 2 2 5" xfId="38775"/>
    <cellStyle name="20 % - Accent3 3 2 6 2 2 2 6" xfId="55004"/>
    <cellStyle name="20 % - Accent3 3 2 6 2 2 3" xfId="9567"/>
    <cellStyle name="20 % - Accent3 3 2 6 2 2 3 2" xfId="29040"/>
    <cellStyle name="20 % - Accent3 3 2 6 2 2 3 3" xfId="42020"/>
    <cellStyle name="20 % - Accent3 3 2 6 2 2 3 4" xfId="58249"/>
    <cellStyle name="20 % - Accent3 3 2 6 2 2 4" xfId="16060"/>
    <cellStyle name="20 % - Accent3 3 2 6 2 2 4 2" xfId="51759"/>
    <cellStyle name="20 % - Accent3 3 2 6 2 2 5" xfId="22550"/>
    <cellStyle name="20 % - Accent3 3 2 6 2 2 6" xfId="35530"/>
    <cellStyle name="20 % - Accent3 3 2 6 2 2 7" xfId="48513"/>
    <cellStyle name="20 % - Accent3 3 2 6 2 3" xfId="4657"/>
    <cellStyle name="20 % - Accent3 3 2 6 2 3 2" xfId="11189"/>
    <cellStyle name="20 % - Accent3 3 2 6 2 3 2 2" xfId="30662"/>
    <cellStyle name="20 % - Accent3 3 2 6 2 3 2 3" xfId="43642"/>
    <cellStyle name="20 % - Accent3 3 2 6 2 3 2 4" xfId="59871"/>
    <cellStyle name="20 % - Accent3 3 2 6 2 3 3" xfId="17682"/>
    <cellStyle name="20 % - Accent3 3 2 6 2 3 4" xfId="24172"/>
    <cellStyle name="20 % - Accent3 3 2 6 2 3 5" xfId="37152"/>
    <cellStyle name="20 % - Accent3 3 2 6 2 3 6" xfId="53381"/>
    <cellStyle name="20 % - Accent3 3 2 6 2 4" xfId="7944"/>
    <cellStyle name="20 % - Accent3 3 2 6 2 4 2" xfId="27417"/>
    <cellStyle name="20 % - Accent3 3 2 6 2 4 3" xfId="40397"/>
    <cellStyle name="20 % - Accent3 3 2 6 2 4 4" xfId="56626"/>
    <cellStyle name="20 % - Accent3 3 2 6 2 5" xfId="14437"/>
    <cellStyle name="20 % - Accent3 3 2 6 2 5 2" xfId="50136"/>
    <cellStyle name="20 % - Accent3 3 2 6 2 6" xfId="20927"/>
    <cellStyle name="20 % - Accent3 3 2 6 2 7" xfId="33907"/>
    <cellStyle name="20 % - Accent3 3 2 6 2 8" xfId="46890"/>
    <cellStyle name="20 % - Accent3 3 2 6 3" xfId="2087"/>
    <cellStyle name="20 % - Accent3 3 2 6 3 2" xfId="5332"/>
    <cellStyle name="20 % - Accent3 3 2 6 3 2 2" xfId="11864"/>
    <cellStyle name="20 % - Accent3 3 2 6 3 2 2 2" xfId="31337"/>
    <cellStyle name="20 % - Accent3 3 2 6 3 2 2 3" xfId="44317"/>
    <cellStyle name="20 % - Accent3 3 2 6 3 2 2 4" xfId="60546"/>
    <cellStyle name="20 % - Accent3 3 2 6 3 2 3" xfId="18357"/>
    <cellStyle name="20 % - Accent3 3 2 6 3 2 4" xfId="24847"/>
    <cellStyle name="20 % - Accent3 3 2 6 3 2 5" xfId="37827"/>
    <cellStyle name="20 % - Accent3 3 2 6 3 2 6" xfId="54056"/>
    <cellStyle name="20 % - Accent3 3 2 6 3 3" xfId="8619"/>
    <cellStyle name="20 % - Accent3 3 2 6 3 3 2" xfId="28092"/>
    <cellStyle name="20 % - Accent3 3 2 6 3 3 3" xfId="41072"/>
    <cellStyle name="20 % - Accent3 3 2 6 3 3 4" xfId="57301"/>
    <cellStyle name="20 % - Accent3 3 2 6 3 4" xfId="15112"/>
    <cellStyle name="20 % - Accent3 3 2 6 3 4 2" xfId="50811"/>
    <cellStyle name="20 % - Accent3 3 2 6 3 5" xfId="21602"/>
    <cellStyle name="20 % - Accent3 3 2 6 3 6" xfId="34582"/>
    <cellStyle name="20 % - Accent3 3 2 6 3 7" xfId="47565"/>
    <cellStyle name="20 % - Accent3 3 2 6 4" xfId="3709"/>
    <cellStyle name="20 % - Accent3 3 2 6 4 2" xfId="10241"/>
    <cellStyle name="20 % - Accent3 3 2 6 4 2 2" xfId="29714"/>
    <cellStyle name="20 % - Accent3 3 2 6 4 2 3" xfId="42694"/>
    <cellStyle name="20 % - Accent3 3 2 6 4 2 4" xfId="58923"/>
    <cellStyle name="20 % - Accent3 3 2 6 4 3" xfId="16734"/>
    <cellStyle name="20 % - Accent3 3 2 6 4 4" xfId="23224"/>
    <cellStyle name="20 % - Accent3 3 2 6 4 5" xfId="36204"/>
    <cellStyle name="20 % - Accent3 3 2 6 4 6" xfId="52433"/>
    <cellStyle name="20 % - Accent3 3 2 6 5" xfId="6996"/>
    <cellStyle name="20 % - Accent3 3 2 6 5 2" xfId="26469"/>
    <cellStyle name="20 % - Accent3 3 2 6 5 3" xfId="39449"/>
    <cellStyle name="20 % - Accent3 3 2 6 5 4" xfId="55678"/>
    <cellStyle name="20 % - Accent3 3 2 6 6" xfId="13489"/>
    <cellStyle name="20 % - Accent3 3 2 6 6 2" xfId="49188"/>
    <cellStyle name="20 % - Accent3 3 2 6 7" xfId="19979"/>
    <cellStyle name="20 % - Accent3 3 2 6 8" xfId="32959"/>
    <cellStyle name="20 % - Accent3 3 2 6 9" xfId="45942"/>
    <cellStyle name="20 % - Accent3 3 2 7" xfId="905"/>
    <cellStyle name="20 % - Accent3 3 2 7 2" xfId="2572"/>
    <cellStyle name="20 % - Accent3 3 2 7 2 2" xfId="5817"/>
    <cellStyle name="20 % - Accent3 3 2 7 2 2 2" xfId="12349"/>
    <cellStyle name="20 % - Accent3 3 2 7 2 2 2 2" xfId="31822"/>
    <cellStyle name="20 % - Accent3 3 2 7 2 2 2 3" xfId="44802"/>
    <cellStyle name="20 % - Accent3 3 2 7 2 2 2 4" xfId="61031"/>
    <cellStyle name="20 % - Accent3 3 2 7 2 2 3" xfId="18842"/>
    <cellStyle name="20 % - Accent3 3 2 7 2 2 4" xfId="25332"/>
    <cellStyle name="20 % - Accent3 3 2 7 2 2 5" xfId="38312"/>
    <cellStyle name="20 % - Accent3 3 2 7 2 2 6" xfId="54541"/>
    <cellStyle name="20 % - Accent3 3 2 7 2 3" xfId="9104"/>
    <cellStyle name="20 % - Accent3 3 2 7 2 3 2" xfId="28577"/>
    <cellStyle name="20 % - Accent3 3 2 7 2 3 3" xfId="41557"/>
    <cellStyle name="20 % - Accent3 3 2 7 2 3 4" xfId="57786"/>
    <cellStyle name="20 % - Accent3 3 2 7 2 4" xfId="15597"/>
    <cellStyle name="20 % - Accent3 3 2 7 2 4 2" xfId="51296"/>
    <cellStyle name="20 % - Accent3 3 2 7 2 5" xfId="22087"/>
    <cellStyle name="20 % - Accent3 3 2 7 2 6" xfId="35067"/>
    <cellStyle name="20 % - Accent3 3 2 7 2 7" xfId="48050"/>
    <cellStyle name="20 % - Accent3 3 2 7 3" xfId="4194"/>
    <cellStyle name="20 % - Accent3 3 2 7 3 2" xfId="10726"/>
    <cellStyle name="20 % - Accent3 3 2 7 3 2 2" xfId="30199"/>
    <cellStyle name="20 % - Accent3 3 2 7 3 2 3" xfId="43179"/>
    <cellStyle name="20 % - Accent3 3 2 7 3 2 4" xfId="59408"/>
    <cellStyle name="20 % - Accent3 3 2 7 3 3" xfId="17219"/>
    <cellStyle name="20 % - Accent3 3 2 7 3 4" xfId="23709"/>
    <cellStyle name="20 % - Accent3 3 2 7 3 5" xfId="36689"/>
    <cellStyle name="20 % - Accent3 3 2 7 3 6" xfId="52918"/>
    <cellStyle name="20 % - Accent3 3 2 7 4" xfId="7481"/>
    <cellStyle name="20 % - Accent3 3 2 7 4 2" xfId="26954"/>
    <cellStyle name="20 % - Accent3 3 2 7 4 3" xfId="39934"/>
    <cellStyle name="20 % - Accent3 3 2 7 4 4" xfId="56163"/>
    <cellStyle name="20 % - Accent3 3 2 7 5" xfId="13974"/>
    <cellStyle name="20 % - Accent3 3 2 7 5 2" xfId="49673"/>
    <cellStyle name="20 % - Accent3 3 2 7 6" xfId="20464"/>
    <cellStyle name="20 % - Accent3 3 2 7 7" xfId="33444"/>
    <cellStyle name="20 % - Accent3 3 2 7 8" xfId="46427"/>
    <cellStyle name="20 % - Accent3 3 2 8" xfId="1858"/>
    <cellStyle name="20 % - Accent3 3 2 8 2" xfId="5103"/>
    <cellStyle name="20 % - Accent3 3 2 8 2 2" xfId="11635"/>
    <cellStyle name="20 % - Accent3 3 2 8 2 2 2" xfId="31108"/>
    <cellStyle name="20 % - Accent3 3 2 8 2 2 3" xfId="44088"/>
    <cellStyle name="20 % - Accent3 3 2 8 2 2 4" xfId="60317"/>
    <cellStyle name="20 % - Accent3 3 2 8 2 3" xfId="18128"/>
    <cellStyle name="20 % - Accent3 3 2 8 2 4" xfId="24618"/>
    <cellStyle name="20 % - Accent3 3 2 8 2 5" xfId="37598"/>
    <cellStyle name="20 % - Accent3 3 2 8 2 6" xfId="53827"/>
    <cellStyle name="20 % - Accent3 3 2 8 3" xfId="8390"/>
    <cellStyle name="20 % - Accent3 3 2 8 3 2" xfId="27863"/>
    <cellStyle name="20 % - Accent3 3 2 8 3 3" xfId="40843"/>
    <cellStyle name="20 % - Accent3 3 2 8 3 4" xfId="57072"/>
    <cellStyle name="20 % - Accent3 3 2 8 4" xfId="14883"/>
    <cellStyle name="20 % - Accent3 3 2 8 4 2" xfId="50582"/>
    <cellStyle name="20 % - Accent3 3 2 8 5" xfId="21373"/>
    <cellStyle name="20 % - Accent3 3 2 8 6" xfId="34353"/>
    <cellStyle name="20 % - Accent3 3 2 8 7" xfId="47336"/>
    <cellStyle name="20 % - Accent3 3 2 9" xfId="3479"/>
    <cellStyle name="20 % - Accent3 3 2 9 2" xfId="10011"/>
    <cellStyle name="20 % - Accent3 3 2 9 2 2" xfId="29484"/>
    <cellStyle name="20 % - Accent3 3 2 9 2 3" xfId="42464"/>
    <cellStyle name="20 % - Accent3 3 2 9 2 4" xfId="58693"/>
    <cellStyle name="20 % - Accent3 3 2 9 3" xfId="16504"/>
    <cellStyle name="20 % - Accent3 3 2 9 4" xfId="22994"/>
    <cellStyle name="20 % - Accent3 3 2 9 5" xfId="35974"/>
    <cellStyle name="20 % - Accent3 3 2 9 6" xfId="52203"/>
    <cellStyle name="20 % - Accent3 3 3" xfId="251"/>
    <cellStyle name="20 % - Accent3 3 3 10" xfId="19815"/>
    <cellStyle name="20 % - Accent3 3 3 11" xfId="32795"/>
    <cellStyle name="20 % - Accent3 3 3 12" xfId="45778"/>
    <cellStyle name="20 % - Accent3 3 3 2" xfId="339"/>
    <cellStyle name="20 % - Accent3 3 3 2 10" xfId="32883"/>
    <cellStyle name="20 % - Accent3 3 3 2 11" xfId="45866"/>
    <cellStyle name="20 % - Accent3 3 3 2 2" xfId="803"/>
    <cellStyle name="20 % - Accent3 3 3 2 2 10" xfId="46326"/>
    <cellStyle name="20 % - Accent3 3 3 2 2 2" xfId="1742"/>
    <cellStyle name="20 % - Accent3 3 3 2 2 2 2" xfId="3409"/>
    <cellStyle name="20 % - Accent3 3 3 2 2 2 2 2" xfId="6654"/>
    <cellStyle name="20 % - Accent3 3 3 2 2 2 2 2 2" xfId="13186"/>
    <cellStyle name="20 % - Accent3 3 3 2 2 2 2 2 2 2" xfId="32659"/>
    <cellStyle name="20 % - Accent3 3 3 2 2 2 2 2 2 3" xfId="45639"/>
    <cellStyle name="20 % - Accent3 3 3 2 2 2 2 2 2 4" xfId="61868"/>
    <cellStyle name="20 % - Accent3 3 3 2 2 2 2 2 3" xfId="19679"/>
    <cellStyle name="20 % - Accent3 3 3 2 2 2 2 2 4" xfId="26169"/>
    <cellStyle name="20 % - Accent3 3 3 2 2 2 2 2 5" xfId="39149"/>
    <cellStyle name="20 % - Accent3 3 3 2 2 2 2 2 6" xfId="55378"/>
    <cellStyle name="20 % - Accent3 3 3 2 2 2 2 3" xfId="9941"/>
    <cellStyle name="20 % - Accent3 3 3 2 2 2 2 3 2" xfId="29414"/>
    <cellStyle name="20 % - Accent3 3 3 2 2 2 2 3 3" xfId="42394"/>
    <cellStyle name="20 % - Accent3 3 3 2 2 2 2 3 4" xfId="58623"/>
    <cellStyle name="20 % - Accent3 3 3 2 2 2 2 4" xfId="16434"/>
    <cellStyle name="20 % - Accent3 3 3 2 2 2 2 4 2" xfId="52133"/>
    <cellStyle name="20 % - Accent3 3 3 2 2 2 2 5" xfId="22924"/>
    <cellStyle name="20 % - Accent3 3 3 2 2 2 2 6" xfId="35904"/>
    <cellStyle name="20 % - Accent3 3 3 2 2 2 2 7" xfId="48887"/>
    <cellStyle name="20 % - Accent3 3 3 2 2 2 3" xfId="5031"/>
    <cellStyle name="20 % - Accent3 3 3 2 2 2 3 2" xfId="11563"/>
    <cellStyle name="20 % - Accent3 3 3 2 2 2 3 2 2" xfId="31036"/>
    <cellStyle name="20 % - Accent3 3 3 2 2 2 3 2 3" xfId="44016"/>
    <cellStyle name="20 % - Accent3 3 3 2 2 2 3 2 4" xfId="60245"/>
    <cellStyle name="20 % - Accent3 3 3 2 2 2 3 3" xfId="18056"/>
    <cellStyle name="20 % - Accent3 3 3 2 2 2 3 4" xfId="24546"/>
    <cellStyle name="20 % - Accent3 3 3 2 2 2 3 5" xfId="37526"/>
    <cellStyle name="20 % - Accent3 3 3 2 2 2 3 6" xfId="53755"/>
    <cellStyle name="20 % - Accent3 3 3 2 2 2 4" xfId="8318"/>
    <cellStyle name="20 % - Accent3 3 3 2 2 2 4 2" xfId="27791"/>
    <cellStyle name="20 % - Accent3 3 3 2 2 2 4 3" xfId="40771"/>
    <cellStyle name="20 % - Accent3 3 3 2 2 2 4 4" xfId="57000"/>
    <cellStyle name="20 % - Accent3 3 3 2 2 2 5" xfId="14811"/>
    <cellStyle name="20 % - Accent3 3 3 2 2 2 5 2" xfId="50510"/>
    <cellStyle name="20 % - Accent3 3 3 2 2 2 6" xfId="21301"/>
    <cellStyle name="20 % - Accent3 3 3 2 2 2 7" xfId="34281"/>
    <cellStyle name="20 % - Accent3 3 3 2 2 2 8" xfId="47264"/>
    <cellStyle name="20 % - Accent3 3 3 2 2 3" xfId="1279"/>
    <cellStyle name="20 % - Accent3 3 3 2 2 3 2" xfId="2946"/>
    <cellStyle name="20 % - Accent3 3 3 2 2 3 2 2" xfId="6191"/>
    <cellStyle name="20 % - Accent3 3 3 2 2 3 2 2 2" xfId="12723"/>
    <cellStyle name="20 % - Accent3 3 3 2 2 3 2 2 2 2" xfId="32196"/>
    <cellStyle name="20 % - Accent3 3 3 2 2 3 2 2 2 3" xfId="45176"/>
    <cellStyle name="20 % - Accent3 3 3 2 2 3 2 2 2 4" xfId="61405"/>
    <cellStyle name="20 % - Accent3 3 3 2 2 3 2 2 3" xfId="19216"/>
    <cellStyle name="20 % - Accent3 3 3 2 2 3 2 2 4" xfId="25706"/>
    <cellStyle name="20 % - Accent3 3 3 2 2 3 2 2 5" xfId="38686"/>
    <cellStyle name="20 % - Accent3 3 3 2 2 3 2 2 6" xfId="54915"/>
    <cellStyle name="20 % - Accent3 3 3 2 2 3 2 3" xfId="9478"/>
    <cellStyle name="20 % - Accent3 3 3 2 2 3 2 3 2" xfId="28951"/>
    <cellStyle name="20 % - Accent3 3 3 2 2 3 2 3 3" xfId="41931"/>
    <cellStyle name="20 % - Accent3 3 3 2 2 3 2 3 4" xfId="58160"/>
    <cellStyle name="20 % - Accent3 3 3 2 2 3 2 4" xfId="15971"/>
    <cellStyle name="20 % - Accent3 3 3 2 2 3 2 4 2" xfId="51670"/>
    <cellStyle name="20 % - Accent3 3 3 2 2 3 2 5" xfId="22461"/>
    <cellStyle name="20 % - Accent3 3 3 2 2 3 2 6" xfId="35441"/>
    <cellStyle name="20 % - Accent3 3 3 2 2 3 2 7" xfId="48424"/>
    <cellStyle name="20 % - Accent3 3 3 2 2 3 3" xfId="4568"/>
    <cellStyle name="20 % - Accent3 3 3 2 2 3 3 2" xfId="11100"/>
    <cellStyle name="20 % - Accent3 3 3 2 2 3 3 2 2" xfId="30573"/>
    <cellStyle name="20 % - Accent3 3 3 2 2 3 3 2 3" xfId="43553"/>
    <cellStyle name="20 % - Accent3 3 3 2 2 3 3 2 4" xfId="59782"/>
    <cellStyle name="20 % - Accent3 3 3 2 2 3 3 3" xfId="17593"/>
    <cellStyle name="20 % - Accent3 3 3 2 2 3 3 4" xfId="24083"/>
    <cellStyle name="20 % - Accent3 3 3 2 2 3 3 5" xfId="37063"/>
    <cellStyle name="20 % - Accent3 3 3 2 2 3 3 6" xfId="53292"/>
    <cellStyle name="20 % - Accent3 3 3 2 2 3 4" xfId="7855"/>
    <cellStyle name="20 % - Accent3 3 3 2 2 3 4 2" xfId="27328"/>
    <cellStyle name="20 % - Accent3 3 3 2 2 3 4 3" xfId="40308"/>
    <cellStyle name="20 % - Accent3 3 3 2 2 3 4 4" xfId="56537"/>
    <cellStyle name="20 % - Accent3 3 3 2 2 3 5" xfId="14348"/>
    <cellStyle name="20 % - Accent3 3 3 2 2 3 5 2" xfId="50047"/>
    <cellStyle name="20 % - Accent3 3 3 2 2 3 6" xfId="20838"/>
    <cellStyle name="20 % - Accent3 3 3 2 2 3 7" xfId="33818"/>
    <cellStyle name="20 % - Accent3 3 3 2 2 3 8" xfId="46801"/>
    <cellStyle name="20 % - Accent3 3 3 2 2 4" xfId="2471"/>
    <cellStyle name="20 % - Accent3 3 3 2 2 4 2" xfId="5716"/>
    <cellStyle name="20 % - Accent3 3 3 2 2 4 2 2" xfId="12248"/>
    <cellStyle name="20 % - Accent3 3 3 2 2 4 2 2 2" xfId="31721"/>
    <cellStyle name="20 % - Accent3 3 3 2 2 4 2 2 3" xfId="44701"/>
    <cellStyle name="20 % - Accent3 3 3 2 2 4 2 2 4" xfId="60930"/>
    <cellStyle name="20 % - Accent3 3 3 2 2 4 2 3" xfId="18741"/>
    <cellStyle name="20 % - Accent3 3 3 2 2 4 2 4" xfId="25231"/>
    <cellStyle name="20 % - Accent3 3 3 2 2 4 2 5" xfId="38211"/>
    <cellStyle name="20 % - Accent3 3 3 2 2 4 2 6" xfId="54440"/>
    <cellStyle name="20 % - Accent3 3 3 2 2 4 3" xfId="9003"/>
    <cellStyle name="20 % - Accent3 3 3 2 2 4 3 2" xfId="28476"/>
    <cellStyle name="20 % - Accent3 3 3 2 2 4 3 3" xfId="41456"/>
    <cellStyle name="20 % - Accent3 3 3 2 2 4 3 4" xfId="57685"/>
    <cellStyle name="20 % - Accent3 3 3 2 2 4 4" xfId="15496"/>
    <cellStyle name="20 % - Accent3 3 3 2 2 4 4 2" xfId="51195"/>
    <cellStyle name="20 % - Accent3 3 3 2 2 4 5" xfId="21986"/>
    <cellStyle name="20 % - Accent3 3 3 2 2 4 6" xfId="34966"/>
    <cellStyle name="20 % - Accent3 3 3 2 2 4 7" xfId="47949"/>
    <cellStyle name="20 % - Accent3 3 3 2 2 5" xfId="4093"/>
    <cellStyle name="20 % - Accent3 3 3 2 2 5 2" xfId="10625"/>
    <cellStyle name="20 % - Accent3 3 3 2 2 5 2 2" xfId="30098"/>
    <cellStyle name="20 % - Accent3 3 3 2 2 5 2 3" xfId="43078"/>
    <cellStyle name="20 % - Accent3 3 3 2 2 5 2 4" xfId="59307"/>
    <cellStyle name="20 % - Accent3 3 3 2 2 5 3" xfId="17118"/>
    <cellStyle name="20 % - Accent3 3 3 2 2 5 4" xfId="23608"/>
    <cellStyle name="20 % - Accent3 3 3 2 2 5 5" xfId="36588"/>
    <cellStyle name="20 % - Accent3 3 3 2 2 5 6" xfId="52817"/>
    <cellStyle name="20 % - Accent3 3 3 2 2 6" xfId="7380"/>
    <cellStyle name="20 % - Accent3 3 3 2 2 6 2" xfId="26853"/>
    <cellStyle name="20 % - Accent3 3 3 2 2 6 3" xfId="39833"/>
    <cellStyle name="20 % - Accent3 3 3 2 2 6 4" xfId="56062"/>
    <cellStyle name="20 % - Accent3 3 3 2 2 7" xfId="13873"/>
    <cellStyle name="20 % - Accent3 3 3 2 2 7 2" xfId="49572"/>
    <cellStyle name="20 % - Accent3 3 3 2 2 8" xfId="20363"/>
    <cellStyle name="20 % - Accent3 3 3 2 2 9" xfId="33343"/>
    <cellStyle name="20 % - Accent3 3 3 2 3" xfId="573"/>
    <cellStyle name="20 % - Accent3 3 3 2 3 2" xfId="1522"/>
    <cellStyle name="20 % - Accent3 3 3 2 3 2 2" xfId="3189"/>
    <cellStyle name="20 % - Accent3 3 3 2 3 2 2 2" xfId="6434"/>
    <cellStyle name="20 % - Accent3 3 3 2 3 2 2 2 2" xfId="12966"/>
    <cellStyle name="20 % - Accent3 3 3 2 3 2 2 2 2 2" xfId="32439"/>
    <cellStyle name="20 % - Accent3 3 3 2 3 2 2 2 2 3" xfId="45419"/>
    <cellStyle name="20 % - Accent3 3 3 2 3 2 2 2 2 4" xfId="61648"/>
    <cellStyle name="20 % - Accent3 3 3 2 3 2 2 2 3" xfId="19459"/>
    <cellStyle name="20 % - Accent3 3 3 2 3 2 2 2 4" xfId="25949"/>
    <cellStyle name="20 % - Accent3 3 3 2 3 2 2 2 5" xfId="38929"/>
    <cellStyle name="20 % - Accent3 3 3 2 3 2 2 2 6" xfId="55158"/>
    <cellStyle name="20 % - Accent3 3 3 2 3 2 2 3" xfId="9721"/>
    <cellStyle name="20 % - Accent3 3 3 2 3 2 2 3 2" xfId="29194"/>
    <cellStyle name="20 % - Accent3 3 3 2 3 2 2 3 3" xfId="42174"/>
    <cellStyle name="20 % - Accent3 3 3 2 3 2 2 3 4" xfId="58403"/>
    <cellStyle name="20 % - Accent3 3 3 2 3 2 2 4" xfId="16214"/>
    <cellStyle name="20 % - Accent3 3 3 2 3 2 2 4 2" xfId="51913"/>
    <cellStyle name="20 % - Accent3 3 3 2 3 2 2 5" xfId="22704"/>
    <cellStyle name="20 % - Accent3 3 3 2 3 2 2 6" xfId="35684"/>
    <cellStyle name="20 % - Accent3 3 3 2 3 2 2 7" xfId="48667"/>
    <cellStyle name="20 % - Accent3 3 3 2 3 2 3" xfId="4811"/>
    <cellStyle name="20 % - Accent3 3 3 2 3 2 3 2" xfId="11343"/>
    <cellStyle name="20 % - Accent3 3 3 2 3 2 3 2 2" xfId="30816"/>
    <cellStyle name="20 % - Accent3 3 3 2 3 2 3 2 3" xfId="43796"/>
    <cellStyle name="20 % - Accent3 3 3 2 3 2 3 2 4" xfId="60025"/>
    <cellStyle name="20 % - Accent3 3 3 2 3 2 3 3" xfId="17836"/>
    <cellStyle name="20 % - Accent3 3 3 2 3 2 3 4" xfId="24326"/>
    <cellStyle name="20 % - Accent3 3 3 2 3 2 3 5" xfId="37306"/>
    <cellStyle name="20 % - Accent3 3 3 2 3 2 3 6" xfId="53535"/>
    <cellStyle name="20 % - Accent3 3 3 2 3 2 4" xfId="8098"/>
    <cellStyle name="20 % - Accent3 3 3 2 3 2 4 2" xfId="27571"/>
    <cellStyle name="20 % - Accent3 3 3 2 3 2 4 3" xfId="40551"/>
    <cellStyle name="20 % - Accent3 3 3 2 3 2 4 4" xfId="56780"/>
    <cellStyle name="20 % - Accent3 3 3 2 3 2 5" xfId="14591"/>
    <cellStyle name="20 % - Accent3 3 3 2 3 2 5 2" xfId="50290"/>
    <cellStyle name="20 % - Accent3 3 3 2 3 2 6" xfId="21081"/>
    <cellStyle name="20 % - Accent3 3 3 2 3 2 7" xfId="34061"/>
    <cellStyle name="20 % - Accent3 3 3 2 3 2 8" xfId="47044"/>
    <cellStyle name="20 % - Accent3 3 3 2 3 3" xfId="2241"/>
    <cellStyle name="20 % - Accent3 3 3 2 3 3 2" xfId="5486"/>
    <cellStyle name="20 % - Accent3 3 3 2 3 3 2 2" xfId="12018"/>
    <cellStyle name="20 % - Accent3 3 3 2 3 3 2 2 2" xfId="31491"/>
    <cellStyle name="20 % - Accent3 3 3 2 3 3 2 2 3" xfId="44471"/>
    <cellStyle name="20 % - Accent3 3 3 2 3 3 2 2 4" xfId="60700"/>
    <cellStyle name="20 % - Accent3 3 3 2 3 3 2 3" xfId="18511"/>
    <cellStyle name="20 % - Accent3 3 3 2 3 3 2 4" xfId="25001"/>
    <cellStyle name="20 % - Accent3 3 3 2 3 3 2 5" xfId="37981"/>
    <cellStyle name="20 % - Accent3 3 3 2 3 3 2 6" xfId="54210"/>
    <cellStyle name="20 % - Accent3 3 3 2 3 3 3" xfId="8773"/>
    <cellStyle name="20 % - Accent3 3 3 2 3 3 3 2" xfId="28246"/>
    <cellStyle name="20 % - Accent3 3 3 2 3 3 3 3" xfId="41226"/>
    <cellStyle name="20 % - Accent3 3 3 2 3 3 3 4" xfId="57455"/>
    <cellStyle name="20 % - Accent3 3 3 2 3 3 4" xfId="15266"/>
    <cellStyle name="20 % - Accent3 3 3 2 3 3 4 2" xfId="50965"/>
    <cellStyle name="20 % - Accent3 3 3 2 3 3 5" xfId="21756"/>
    <cellStyle name="20 % - Accent3 3 3 2 3 3 6" xfId="34736"/>
    <cellStyle name="20 % - Accent3 3 3 2 3 3 7" xfId="47719"/>
    <cellStyle name="20 % - Accent3 3 3 2 3 4" xfId="3863"/>
    <cellStyle name="20 % - Accent3 3 3 2 3 4 2" xfId="10395"/>
    <cellStyle name="20 % - Accent3 3 3 2 3 4 2 2" xfId="29868"/>
    <cellStyle name="20 % - Accent3 3 3 2 3 4 2 3" xfId="42848"/>
    <cellStyle name="20 % - Accent3 3 3 2 3 4 2 4" xfId="59077"/>
    <cellStyle name="20 % - Accent3 3 3 2 3 4 3" xfId="16888"/>
    <cellStyle name="20 % - Accent3 3 3 2 3 4 4" xfId="23378"/>
    <cellStyle name="20 % - Accent3 3 3 2 3 4 5" xfId="36358"/>
    <cellStyle name="20 % - Accent3 3 3 2 3 4 6" xfId="52587"/>
    <cellStyle name="20 % - Accent3 3 3 2 3 5" xfId="7150"/>
    <cellStyle name="20 % - Accent3 3 3 2 3 5 2" xfId="26623"/>
    <cellStyle name="20 % - Accent3 3 3 2 3 5 3" xfId="39603"/>
    <cellStyle name="20 % - Accent3 3 3 2 3 5 4" xfId="55832"/>
    <cellStyle name="20 % - Accent3 3 3 2 3 6" xfId="13643"/>
    <cellStyle name="20 % - Accent3 3 3 2 3 6 2" xfId="49342"/>
    <cellStyle name="20 % - Accent3 3 3 2 3 7" xfId="20133"/>
    <cellStyle name="20 % - Accent3 3 3 2 3 8" xfId="33113"/>
    <cellStyle name="20 % - Accent3 3 3 2 3 9" xfId="46096"/>
    <cellStyle name="20 % - Accent3 3 3 2 4" xfId="1059"/>
    <cellStyle name="20 % - Accent3 3 3 2 4 2" xfId="2726"/>
    <cellStyle name="20 % - Accent3 3 3 2 4 2 2" xfId="5971"/>
    <cellStyle name="20 % - Accent3 3 3 2 4 2 2 2" xfId="12503"/>
    <cellStyle name="20 % - Accent3 3 3 2 4 2 2 2 2" xfId="31976"/>
    <cellStyle name="20 % - Accent3 3 3 2 4 2 2 2 3" xfId="44956"/>
    <cellStyle name="20 % - Accent3 3 3 2 4 2 2 2 4" xfId="61185"/>
    <cellStyle name="20 % - Accent3 3 3 2 4 2 2 3" xfId="18996"/>
    <cellStyle name="20 % - Accent3 3 3 2 4 2 2 4" xfId="25486"/>
    <cellStyle name="20 % - Accent3 3 3 2 4 2 2 5" xfId="38466"/>
    <cellStyle name="20 % - Accent3 3 3 2 4 2 2 6" xfId="54695"/>
    <cellStyle name="20 % - Accent3 3 3 2 4 2 3" xfId="9258"/>
    <cellStyle name="20 % - Accent3 3 3 2 4 2 3 2" xfId="28731"/>
    <cellStyle name="20 % - Accent3 3 3 2 4 2 3 3" xfId="41711"/>
    <cellStyle name="20 % - Accent3 3 3 2 4 2 3 4" xfId="57940"/>
    <cellStyle name="20 % - Accent3 3 3 2 4 2 4" xfId="15751"/>
    <cellStyle name="20 % - Accent3 3 3 2 4 2 4 2" xfId="51450"/>
    <cellStyle name="20 % - Accent3 3 3 2 4 2 5" xfId="22241"/>
    <cellStyle name="20 % - Accent3 3 3 2 4 2 6" xfId="35221"/>
    <cellStyle name="20 % - Accent3 3 3 2 4 2 7" xfId="48204"/>
    <cellStyle name="20 % - Accent3 3 3 2 4 3" xfId="4348"/>
    <cellStyle name="20 % - Accent3 3 3 2 4 3 2" xfId="10880"/>
    <cellStyle name="20 % - Accent3 3 3 2 4 3 2 2" xfId="30353"/>
    <cellStyle name="20 % - Accent3 3 3 2 4 3 2 3" xfId="43333"/>
    <cellStyle name="20 % - Accent3 3 3 2 4 3 2 4" xfId="59562"/>
    <cellStyle name="20 % - Accent3 3 3 2 4 3 3" xfId="17373"/>
    <cellStyle name="20 % - Accent3 3 3 2 4 3 4" xfId="23863"/>
    <cellStyle name="20 % - Accent3 3 3 2 4 3 5" xfId="36843"/>
    <cellStyle name="20 % - Accent3 3 3 2 4 3 6" xfId="53072"/>
    <cellStyle name="20 % - Accent3 3 3 2 4 4" xfId="7635"/>
    <cellStyle name="20 % - Accent3 3 3 2 4 4 2" xfId="27108"/>
    <cellStyle name="20 % - Accent3 3 3 2 4 4 3" xfId="40088"/>
    <cellStyle name="20 % - Accent3 3 3 2 4 4 4" xfId="56317"/>
    <cellStyle name="20 % - Accent3 3 3 2 4 5" xfId="14128"/>
    <cellStyle name="20 % - Accent3 3 3 2 4 5 2" xfId="49827"/>
    <cellStyle name="20 % - Accent3 3 3 2 4 6" xfId="20618"/>
    <cellStyle name="20 % - Accent3 3 3 2 4 7" xfId="33598"/>
    <cellStyle name="20 % - Accent3 3 3 2 4 8" xfId="46581"/>
    <cellStyle name="20 % - Accent3 3 3 2 5" xfId="2012"/>
    <cellStyle name="20 % - Accent3 3 3 2 5 2" xfId="5257"/>
    <cellStyle name="20 % - Accent3 3 3 2 5 2 2" xfId="11789"/>
    <cellStyle name="20 % - Accent3 3 3 2 5 2 2 2" xfId="31262"/>
    <cellStyle name="20 % - Accent3 3 3 2 5 2 2 3" xfId="44242"/>
    <cellStyle name="20 % - Accent3 3 3 2 5 2 2 4" xfId="60471"/>
    <cellStyle name="20 % - Accent3 3 3 2 5 2 3" xfId="18282"/>
    <cellStyle name="20 % - Accent3 3 3 2 5 2 4" xfId="24772"/>
    <cellStyle name="20 % - Accent3 3 3 2 5 2 5" xfId="37752"/>
    <cellStyle name="20 % - Accent3 3 3 2 5 2 6" xfId="53981"/>
    <cellStyle name="20 % - Accent3 3 3 2 5 3" xfId="8544"/>
    <cellStyle name="20 % - Accent3 3 3 2 5 3 2" xfId="28017"/>
    <cellStyle name="20 % - Accent3 3 3 2 5 3 3" xfId="40997"/>
    <cellStyle name="20 % - Accent3 3 3 2 5 3 4" xfId="57226"/>
    <cellStyle name="20 % - Accent3 3 3 2 5 4" xfId="15037"/>
    <cellStyle name="20 % - Accent3 3 3 2 5 4 2" xfId="50736"/>
    <cellStyle name="20 % - Accent3 3 3 2 5 5" xfId="21527"/>
    <cellStyle name="20 % - Accent3 3 3 2 5 6" xfId="34507"/>
    <cellStyle name="20 % - Accent3 3 3 2 5 7" xfId="47490"/>
    <cellStyle name="20 % - Accent3 3 3 2 6" xfId="3633"/>
    <cellStyle name="20 % - Accent3 3 3 2 6 2" xfId="10165"/>
    <cellStyle name="20 % - Accent3 3 3 2 6 2 2" xfId="29638"/>
    <cellStyle name="20 % - Accent3 3 3 2 6 2 3" xfId="42618"/>
    <cellStyle name="20 % - Accent3 3 3 2 6 2 4" xfId="58847"/>
    <cellStyle name="20 % - Accent3 3 3 2 6 3" xfId="16658"/>
    <cellStyle name="20 % - Accent3 3 3 2 6 4" xfId="23148"/>
    <cellStyle name="20 % - Accent3 3 3 2 6 5" xfId="36128"/>
    <cellStyle name="20 % - Accent3 3 3 2 6 6" xfId="52357"/>
    <cellStyle name="20 % - Accent3 3 3 2 7" xfId="6920"/>
    <cellStyle name="20 % - Accent3 3 3 2 7 2" xfId="26393"/>
    <cellStyle name="20 % - Accent3 3 3 2 7 3" xfId="39373"/>
    <cellStyle name="20 % - Accent3 3 3 2 7 4" xfId="55602"/>
    <cellStyle name="20 % - Accent3 3 3 2 8" xfId="13413"/>
    <cellStyle name="20 % - Accent3 3 3 2 8 2" xfId="49112"/>
    <cellStyle name="20 % - Accent3 3 3 2 9" xfId="19903"/>
    <cellStyle name="20 % - Accent3 3 3 3" xfId="715"/>
    <cellStyle name="20 % - Accent3 3 3 3 10" xfId="46238"/>
    <cellStyle name="20 % - Accent3 3 3 3 2" xfId="1654"/>
    <cellStyle name="20 % - Accent3 3 3 3 2 2" xfId="3321"/>
    <cellStyle name="20 % - Accent3 3 3 3 2 2 2" xfId="6566"/>
    <cellStyle name="20 % - Accent3 3 3 3 2 2 2 2" xfId="13098"/>
    <cellStyle name="20 % - Accent3 3 3 3 2 2 2 2 2" xfId="32571"/>
    <cellStyle name="20 % - Accent3 3 3 3 2 2 2 2 3" xfId="45551"/>
    <cellStyle name="20 % - Accent3 3 3 3 2 2 2 2 4" xfId="61780"/>
    <cellStyle name="20 % - Accent3 3 3 3 2 2 2 3" xfId="19591"/>
    <cellStyle name="20 % - Accent3 3 3 3 2 2 2 4" xfId="26081"/>
    <cellStyle name="20 % - Accent3 3 3 3 2 2 2 5" xfId="39061"/>
    <cellStyle name="20 % - Accent3 3 3 3 2 2 2 6" xfId="55290"/>
    <cellStyle name="20 % - Accent3 3 3 3 2 2 3" xfId="9853"/>
    <cellStyle name="20 % - Accent3 3 3 3 2 2 3 2" xfId="29326"/>
    <cellStyle name="20 % - Accent3 3 3 3 2 2 3 3" xfId="42306"/>
    <cellStyle name="20 % - Accent3 3 3 3 2 2 3 4" xfId="58535"/>
    <cellStyle name="20 % - Accent3 3 3 3 2 2 4" xfId="16346"/>
    <cellStyle name="20 % - Accent3 3 3 3 2 2 4 2" xfId="52045"/>
    <cellStyle name="20 % - Accent3 3 3 3 2 2 5" xfId="22836"/>
    <cellStyle name="20 % - Accent3 3 3 3 2 2 6" xfId="35816"/>
    <cellStyle name="20 % - Accent3 3 3 3 2 2 7" xfId="48799"/>
    <cellStyle name="20 % - Accent3 3 3 3 2 3" xfId="4943"/>
    <cellStyle name="20 % - Accent3 3 3 3 2 3 2" xfId="11475"/>
    <cellStyle name="20 % - Accent3 3 3 3 2 3 2 2" xfId="30948"/>
    <cellStyle name="20 % - Accent3 3 3 3 2 3 2 3" xfId="43928"/>
    <cellStyle name="20 % - Accent3 3 3 3 2 3 2 4" xfId="60157"/>
    <cellStyle name="20 % - Accent3 3 3 3 2 3 3" xfId="17968"/>
    <cellStyle name="20 % - Accent3 3 3 3 2 3 4" xfId="24458"/>
    <cellStyle name="20 % - Accent3 3 3 3 2 3 5" xfId="37438"/>
    <cellStyle name="20 % - Accent3 3 3 3 2 3 6" xfId="53667"/>
    <cellStyle name="20 % - Accent3 3 3 3 2 4" xfId="8230"/>
    <cellStyle name="20 % - Accent3 3 3 3 2 4 2" xfId="27703"/>
    <cellStyle name="20 % - Accent3 3 3 3 2 4 3" xfId="40683"/>
    <cellStyle name="20 % - Accent3 3 3 3 2 4 4" xfId="56912"/>
    <cellStyle name="20 % - Accent3 3 3 3 2 5" xfId="14723"/>
    <cellStyle name="20 % - Accent3 3 3 3 2 5 2" xfId="50422"/>
    <cellStyle name="20 % - Accent3 3 3 3 2 6" xfId="21213"/>
    <cellStyle name="20 % - Accent3 3 3 3 2 7" xfId="34193"/>
    <cellStyle name="20 % - Accent3 3 3 3 2 8" xfId="47176"/>
    <cellStyle name="20 % - Accent3 3 3 3 3" xfId="1191"/>
    <cellStyle name="20 % - Accent3 3 3 3 3 2" xfId="2858"/>
    <cellStyle name="20 % - Accent3 3 3 3 3 2 2" xfId="6103"/>
    <cellStyle name="20 % - Accent3 3 3 3 3 2 2 2" xfId="12635"/>
    <cellStyle name="20 % - Accent3 3 3 3 3 2 2 2 2" xfId="32108"/>
    <cellStyle name="20 % - Accent3 3 3 3 3 2 2 2 3" xfId="45088"/>
    <cellStyle name="20 % - Accent3 3 3 3 3 2 2 2 4" xfId="61317"/>
    <cellStyle name="20 % - Accent3 3 3 3 3 2 2 3" xfId="19128"/>
    <cellStyle name="20 % - Accent3 3 3 3 3 2 2 4" xfId="25618"/>
    <cellStyle name="20 % - Accent3 3 3 3 3 2 2 5" xfId="38598"/>
    <cellStyle name="20 % - Accent3 3 3 3 3 2 2 6" xfId="54827"/>
    <cellStyle name="20 % - Accent3 3 3 3 3 2 3" xfId="9390"/>
    <cellStyle name="20 % - Accent3 3 3 3 3 2 3 2" xfId="28863"/>
    <cellStyle name="20 % - Accent3 3 3 3 3 2 3 3" xfId="41843"/>
    <cellStyle name="20 % - Accent3 3 3 3 3 2 3 4" xfId="58072"/>
    <cellStyle name="20 % - Accent3 3 3 3 3 2 4" xfId="15883"/>
    <cellStyle name="20 % - Accent3 3 3 3 3 2 4 2" xfId="51582"/>
    <cellStyle name="20 % - Accent3 3 3 3 3 2 5" xfId="22373"/>
    <cellStyle name="20 % - Accent3 3 3 3 3 2 6" xfId="35353"/>
    <cellStyle name="20 % - Accent3 3 3 3 3 2 7" xfId="48336"/>
    <cellStyle name="20 % - Accent3 3 3 3 3 3" xfId="4480"/>
    <cellStyle name="20 % - Accent3 3 3 3 3 3 2" xfId="11012"/>
    <cellStyle name="20 % - Accent3 3 3 3 3 3 2 2" xfId="30485"/>
    <cellStyle name="20 % - Accent3 3 3 3 3 3 2 3" xfId="43465"/>
    <cellStyle name="20 % - Accent3 3 3 3 3 3 2 4" xfId="59694"/>
    <cellStyle name="20 % - Accent3 3 3 3 3 3 3" xfId="17505"/>
    <cellStyle name="20 % - Accent3 3 3 3 3 3 4" xfId="23995"/>
    <cellStyle name="20 % - Accent3 3 3 3 3 3 5" xfId="36975"/>
    <cellStyle name="20 % - Accent3 3 3 3 3 3 6" xfId="53204"/>
    <cellStyle name="20 % - Accent3 3 3 3 3 4" xfId="7767"/>
    <cellStyle name="20 % - Accent3 3 3 3 3 4 2" xfId="27240"/>
    <cellStyle name="20 % - Accent3 3 3 3 3 4 3" xfId="40220"/>
    <cellStyle name="20 % - Accent3 3 3 3 3 4 4" xfId="56449"/>
    <cellStyle name="20 % - Accent3 3 3 3 3 5" xfId="14260"/>
    <cellStyle name="20 % - Accent3 3 3 3 3 5 2" xfId="49959"/>
    <cellStyle name="20 % - Accent3 3 3 3 3 6" xfId="20750"/>
    <cellStyle name="20 % - Accent3 3 3 3 3 7" xfId="33730"/>
    <cellStyle name="20 % - Accent3 3 3 3 3 8" xfId="46713"/>
    <cellStyle name="20 % - Accent3 3 3 3 4" xfId="2383"/>
    <cellStyle name="20 % - Accent3 3 3 3 4 2" xfId="5628"/>
    <cellStyle name="20 % - Accent3 3 3 3 4 2 2" xfId="12160"/>
    <cellStyle name="20 % - Accent3 3 3 3 4 2 2 2" xfId="31633"/>
    <cellStyle name="20 % - Accent3 3 3 3 4 2 2 3" xfId="44613"/>
    <cellStyle name="20 % - Accent3 3 3 3 4 2 2 4" xfId="60842"/>
    <cellStyle name="20 % - Accent3 3 3 3 4 2 3" xfId="18653"/>
    <cellStyle name="20 % - Accent3 3 3 3 4 2 4" xfId="25143"/>
    <cellStyle name="20 % - Accent3 3 3 3 4 2 5" xfId="38123"/>
    <cellStyle name="20 % - Accent3 3 3 3 4 2 6" xfId="54352"/>
    <cellStyle name="20 % - Accent3 3 3 3 4 3" xfId="8915"/>
    <cellStyle name="20 % - Accent3 3 3 3 4 3 2" xfId="28388"/>
    <cellStyle name="20 % - Accent3 3 3 3 4 3 3" xfId="41368"/>
    <cellStyle name="20 % - Accent3 3 3 3 4 3 4" xfId="57597"/>
    <cellStyle name="20 % - Accent3 3 3 3 4 4" xfId="15408"/>
    <cellStyle name="20 % - Accent3 3 3 3 4 4 2" xfId="51107"/>
    <cellStyle name="20 % - Accent3 3 3 3 4 5" xfId="21898"/>
    <cellStyle name="20 % - Accent3 3 3 3 4 6" xfId="34878"/>
    <cellStyle name="20 % - Accent3 3 3 3 4 7" xfId="47861"/>
    <cellStyle name="20 % - Accent3 3 3 3 5" xfId="4005"/>
    <cellStyle name="20 % - Accent3 3 3 3 5 2" xfId="10537"/>
    <cellStyle name="20 % - Accent3 3 3 3 5 2 2" xfId="30010"/>
    <cellStyle name="20 % - Accent3 3 3 3 5 2 3" xfId="42990"/>
    <cellStyle name="20 % - Accent3 3 3 3 5 2 4" xfId="59219"/>
    <cellStyle name="20 % - Accent3 3 3 3 5 3" xfId="17030"/>
    <cellStyle name="20 % - Accent3 3 3 3 5 4" xfId="23520"/>
    <cellStyle name="20 % - Accent3 3 3 3 5 5" xfId="36500"/>
    <cellStyle name="20 % - Accent3 3 3 3 5 6" xfId="52729"/>
    <cellStyle name="20 % - Accent3 3 3 3 6" xfId="7292"/>
    <cellStyle name="20 % - Accent3 3 3 3 6 2" xfId="26765"/>
    <cellStyle name="20 % - Accent3 3 3 3 6 3" xfId="39745"/>
    <cellStyle name="20 % - Accent3 3 3 3 6 4" xfId="55974"/>
    <cellStyle name="20 % - Accent3 3 3 3 7" xfId="13785"/>
    <cellStyle name="20 % - Accent3 3 3 3 7 2" xfId="49484"/>
    <cellStyle name="20 % - Accent3 3 3 3 8" xfId="20275"/>
    <cellStyle name="20 % - Accent3 3 3 3 9" xfId="33255"/>
    <cellStyle name="20 % - Accent3 3 3 4" xfId="485"/>
    <cellStyle name="20 % - Accent3 3 3 4 2" xfId="1434"/>
    <cellStyle name="20 % - Accent3 3 3 4 2 2" xfId="3101"/>
    <cellStyle name="20 % - Accent3 3 3 4 2 2 2" xfId="6346"/>
    <cellStyle name="20 % - Accent3 3 3 4 2 2 2 2" xfId="12878"/>
    <cellStyle name="20 % - Accent3 3 3 4 2 2 2 2 2" xfId="32351"/>
    <cellStyle name="20 % - Accent3 3 3 4 2 2 2 2 3" xfId="45331"/>
    <cellStyle name="20 % - Accent3 3 3 4 2 2 2 2 4" xfId="61560"/>
    <cellStyle name="20 % - Accent3 3 3 4 2 2 2 3" xfId="19371"/>
    <cellStyle name="20 % - Accent3 3 3 4 2 2 2 4" xfId="25861"/>
    <cellStyle name="20 % - Accent3 3 3 4 2 2 2 5" xfId="38841"/>
    <cellStyle name="20 % - Accent3 3 3 4 2 2 2 6" xfId="55070"/>
    <cellStyle name="20 % - Accent3 3 3 4 2 2 3" xfId="9633"/>
    <cellStyle name="20 % - Accent3 3 3 4 2 2 3 2" xfId="29106"/>
    <cellStyle name="20 % - Accent3 3 3 4 2 2 3 3" xfId="42086"/>
    <cellStyle name="20 % - Accent3 3 3 4 2 2 3 4" xfId="58315"/>
    <cellStyle name="20 % - Accent3 3 3 4 2 2 4" xfId="16126"/>
    <cellStyle name="20 % - Accent3 3 3 4 2 2 4 2" xfId="51825"/>
    <cellStyle name="20 % - Accent3 3 3 4 2 2 5" xfId="22616"/>
    <cellStyle name="20 % - Accent3 3 3 4 2 2 6" xfId="35596"/>
    <cellStyle name="20 % - Accent3 3 3 4 2 2 7" xfId="48579"/>
    <cellStyle name="20 % - Accent3 3 3 4 2 3" xfId="4723"/>
    <cellStyle name="20 % - Accent3 3 3 4 2 3 2" xfId="11255"/>
    <cellStyle name="20 % - Accent3 3 3 4 2 3 2 2" xfId="30728"/>
    <cellStyle name="20 % - Accent3 3 3 4 2 3 2 3" xfId="43708"/>
    <cellStyle name="20 % - Accent3 3 3 4 2 3 2 4" xfId="59937"/>
    <cellStyle name="20 % - Accent3 3 3 4 2 3 3" xfId="17748"/>
    <cellStyle name="20 % - Accent3 3 3 4 2 3 4" xfId="24238"/>
    <cellStyle name="20 % - Accent3 3 3 4 2 3 5" xfId="37218"/>
    <cellStyle name="20 % - Accent3 3 3 4 2 3 6" xfId="53447"/>
    <cellStyle name="20 % - Accent3 3 3 4 2 4" xfId="8010"/>
    <cellStyle name="20 % - Accent3 3 3 4 2 4 2" xfId="27483"/>
    <cellStyle name="20 % - Accent3 3 3 4 2 4 3" xfId="40463"/>
    <cellStyle name="20 % - Accent3 3 3 4 2 4 4" xfId="56692"/>
    <cellStyle name="20 % - Accent3 3 3 4 2 5" xfId="14503"/>
    <cellStyle name="20 % - Accent3 3 3 4 2 5 2" xfId="50202"/>
    <cellStyle name="20 % - Accent3 3 3 4 2 6" xfId="20993"/>
    <cellStyle name="20 % - Accent3 3 3 4 2 7" xfId="33973"/>
    <cellStyle name="20 % - Accent3 3 3 4 2 8" xfId="46956"/>
    <cellStyle name="20 % - Accent3 3 3 4 3" xfId="2153"/>
    <cellStyle name="20 % - Accent3 3 3 4 3 2" xfId="5398"/>
    <cellStyle name="20 % - Accent3 3 3 4 3 2 2" xfId="11930"/>
    <cellStyle name="20 % - Accent3 3 3 4 3 2 2 2" xfId="31403"/>
    <cellStyle name="20 % - Accent3 3 3 4 3 2 2 3" xfId="44383"/>
    <cellStyle name="20 % - Accent3 3 3 4 3 2 2 4" xfId="60612"/>
    <cellStyle name="20 % - Accent3 3 3 4 3 2 3" xfId="18423"/>
    <cellStyle name="20 % - Accent3 3 3 4 3 2 4" xfId="24913"/>
    <cellStyle name="20 % - Accent3 3 3 4 3 2 5" xfId="37893"/>
    <cellStyle name="20 % - Accent3 3 3 4 3 2 6" xfId="54122"/>
    <cellStyle name="20 % - Accent3 3 3 4 3 3" xfId="8685"/>
    <cellStyle name="20 % - Accent3 3 3 4 3 3 2" xfId="28158"/>
    <cellStyle name="20 % - Accent3 3 3 4 3 3 3" xfId="41138"/>
    <cellStyle name="20 % - Accent3 3 3 4 3 3 4" xfId="57367"/>
    <cellStyle name="20 % - Accent3 3 3 4 3 4" xfId="15178"/>
    <cellStyle name="20 % - Accent3 3 3 4 3 4 2" xfId="50877"/>
    <cellStyle name="20 % - Accent3 3 3 4 3 5" xfId="21668"/>
    <cellStyle name="20 % - Accent3 3 3 4 3 6" xfId="34648"/>
    <cellStyle name="20 % - Accent3 3 3 4 3 7" xfId="47631"/>
    <cellStyle name="20 % - Accent3 3 3 4 4" xfId="3775"/>
    <cellStyle name="20 % - Accent3 3 3 4 4 2" xfId="10307"/>
    <cellStyle name="20 % - Accent3 3 3 4 4 2 2" xfId="29780"/>
    <cellStyle name="20 % - Accent3 3 3 4 4 2 3" xfId="42760"/>
    <cellStyle name="20 % - Accent3 3 3 4 4 2 4" xfId="58989"/>
    <cellStyle name="20 % - Accent3 3 3 4 4 3" xfId="16800"/>
    <cellStyle name="20 % - Accent3 3 3 4 4 4" xfId="23290"/>
    <cellStyle name="20 % - Accent3 3 3 4 4 5" xfId="36270"/>
    <cellStyle name="20 % - Accent3 3 3 4 4 6" xfId="52499"/>
    <cellStyle name="20 % - Accent3 3 3 4 5" xfId="7062"/>
    <cellStyle name="20 % - Accent3 3 3 4 5 2" xfId="26535"/>
    <cellStyle name="20 % - Accent3 3 3 4 5 3" xfId="39515"/>
    <cellStyle name="20 % - Accent3 3 3 4 5 4" xfId="55744"/>
    <cellStyle name="20 % - Accent3 3 3 4 6" xfId="13555"/>
    <cellStyle name="20 % - Accent3 3 3 4 6 2" xfId="49254"/>
    <cellStyle name="20 % - Accent3 3 3 4 7" xfId="20045"/>
    <cellStyle name="20 % - Accent3 3 3 4 8" xfId="33025"/>
    <cellStyle name="20 % - Accent3 3 3 4 9" xfId="46008"/>
    <cellStyle name="20 % - Accent3 3 3 5" xfId="971"/>
    <cellStyle name="20 % - Accent3 3 3 5 2" xfId="2638"/>
    <cellStyle name="20 % - Accent3 3 3 5 2 2" xfId="5883"/>
    <cellStyle name="20 % - Accent3 3 3 5 2 2 2" xfId="12415"/>
    <cellStyle name="20 % - Accent3 3 3 5 2 2 2 2" xfId="31888"/>
    <cellStyle name="20 % - Accent3 3 3 5 2 2 2 3" xfId="44868"/>
    <cellStyle name="20 % - Accent3 3 3 5 2 2 2 4" xfId="61097"/>
    <cellStyle name="20 % - Accent3 3 3 5 2 2 3" xfId="18908"/>
    <cellStyle name="20 % - Accent3 3 3 5 2 2 4" xfId="25398"/>
    <cellStyle name="20 % - Accent3 3 3 5 2 2 5" xfId="38378"/>
    <cellStyle name="20 % - Accent3 3 3 5 2 2 6" xfId="54607"/>
    <cellStyle name="20 % - Accent3 3 3 5 2 3" xfId="9170"/>
    <cellStyle name="20 % - Accent3 3 3 5 2 3 2" xfId="28643"/>
    <cellStyle name="20 % - Accent3 3 3 5 2 3 3" xfId="41623"/>
    <cellStyle name="20 % - Accent3 3 3 5 2 3 4" xfId="57852"/>
    <cellStyle name="20 % - Accent3 3 3 5 2 4" xfId="15663"/>
    <cellStyle name="20 % - Accent3 3 3 5 2 4 2" xfId="51362"/>
    <cellStyle name="20 % - Accent3 3 3 5 2 5" xfId="22153"/>
    <cellStyle name="20 % - Accent3 3 3 5 2 6" xfId="35133"/>
    <cellStyle name="20 % - Accent3 3 3 5 2 7" xfId="48116"/>
    <cellStyle name="20 % - Accent3 3 3 5 3" xfId="4260"/>
    <cellStyle name="20 % - Accent3 3 3 5 3 2" xfId="10792"/>
    <cellStyle name="20 % - Accent3 3 3 5 3 2 2" xfId="30265"/>
    <cellStyle name="20 % - Accent3 3 3 5 3 2 3" xfId="43245"/>
    <cellStyle name="20 % - Accent3 3 3 5 3 2 4" xfId="59474"/>
    <cellStyle name="20 % - Accent3 3 3 5 3 3" xfId="17285"/>
    <cellStyle name="20 % - Accent3 3 3 5 3 4" xfId="23775"/>
    <cellStyle name="20 % - Accent3 3 3 5 3 5" xfId="36755"/>
    <cellStyle name="20 % - Accent3 3 3 5 3 6" xfId="52984"/>
    <cellStyle name="20 % - Accent3 3 3 5 4" xfId="7547"/>
    <cellStyle name="20 % - Accent3 3 3 5 4 2" xfId="27020"/>
    <cellStyle name="20 % - Accent3 3 3 5 4 3" xfId="40000"/>
    <cellStyle name="20 % - Accent3 3 3 5 4 4" xfId="56229"/>
    <cellStyle name="20 % - Accent3 3 3 5 5" xfId="14040"/>
    <cellStyle name="20 % - Accent3 3 3 5 5 2" xfId="49739"/>
    <cellStyle name="20 % - Accent3 3 3 5 6" xfId="20530"/>
    <cellStyle name="20 % - Accent3 3 3 5 7" xfId="33510"/>
    <cellStyle name="20 % - Accent3 3 3 5 8" xfId="46493"/>
    <cellStyle name="20 % - Accent3 3 3 6" xfId="1924"/>
    <cellStyle name="20 % - Accent3 3 3 6 2" xfId="5169"/>
    <cellStyle name="20 % - Accent3 3 3 6 2 2" xfId="11701"/>
    <cellStyle name="20 % - Accent3 3 3 6 2 2 2" xfId="31174"/>
    <cellStyle name="20 % - Accent3 3 3 6 2 2 3" xfId="44154"/>
    <cellStyle name="20 % - Accent3 3 3 6 2 2 4" xfId="60383"/>
    <cellStyle name="20 % - Accent3 3 3 6 2 3" xfId="18194"/>
    <cellStyle name="20 % - Accent3 3 3 6 2 4" xfId="24684"/>
    <cellStyle name="20 % - Accent3 3 3 6 2 5" xfId="37664"/>
    <cellStyle name="20 % - Accent3 3 3 6 2 6" xfId="53893"/>
    <cellStyle name="20 % - Accent3 3 3 6 3" xfId="8456"/>
    <cellStyle name="20 % - Accent3 3 3 6 3 2" xfId="27929"/>
    <cellStyle name="20 % - Accent3 3 3 6 3 3" xfId="40909"/>
    <cellStyle name="20 % - Accent3 3 3 6 3 4" xfId="57138"/>
    <cellStyle name="20 % - Accent3 3 3 6 4" xfId="14949"/>
    <cellStyle name="20 % - Accent3 3 3 6 4 2" xfId="50648"/>
    <cellStyle name="20 % - Accent3 3 3 6 5" xfId="21439"/>
    <cellStyle name="20 % - Accent3 3 3 6 6" xfId="34419"/>
    <cellStyle name="20 % - Accent3 3 3 6 7" xfId="47402"/>
    <cellStyle name="20 % - Accent3 3 3 7" xfId="3545"/>
    <cellStyle name="20 % - Accent3 3 3 7 2" xfId="10077"/>
    <cellStyle name="20 % - Accent3 3 3 7 2 2" xfId="29550"/>
    <cellStyle name="20 % - Accent3 3 3 7 2 3" xfId="42530"/>
    <cellStyle name="20 % - Accent3 3 3 7 2 4" xfId="58759"/>
    <cellStyle name="20 % - Accent3 3 3 7 3" xfId="16570"/>
    <cellStyle name="20 % - Accent3 3 3 7 4" xfId="23060"/>
    <cellStyle name="20 % - Accent3 3 3 7 5" xfId="36040"/>
    <cellStyle name="20 % - Accent3 3 3 7 6" xfId="52269"/>
    <cellStyle name="20 % - Accent3 3 3 8" xfId="6832"/>
    <cellStyle name="20 % - Accent3 3 3 8 2" xfId="26305"/>
    <cellStyle name="20 % - Accent3 3 3 8 3" xfId="39285"/>
    <cellStyle name="20 % - Accent3 3 3 8 4" xfId="55514"/>
    <cellStyle name="20 % - Accent3 3 3 9" xfId="13325"/>
    <cellStyle name="20 % - Accent3 3 3 9 2" xfId="49024"/>
    <cellStyle name="20 % - Accent3 3 4" xfId="207"/>
    <cellStyle name="20 % - Accent3 3 4 10" xfId="32751"/>
    <cellStyle name="20 % - Accent3 3 4 11" xfId="45734"/>
    <cellStyle name="20 % - Accent3 3 4 2" xfId="671"/>
    <cellStyle name="20 % - Accent3 3 4 2 10" xfId="46194"/>
    <cellStyle name="20 % - Accent3 3 4 2 2" xfId="1610"/>
    <cellStyle name="20 % - Accent3 3 4 2 2 2" xfId="3277"/>
    <cellStyle name="20 % - Accent3 3 4 2 2 2 2" xfId="6522"/>
    <cellStyle name="20 % - Accent3 3 4 2 2 2 2 2" xfId="13054"/>
    <cellStyle name="20 % - Accent3 3 4 2 2 2 2 2 2" xfId="32527"/>
    <cellStyle name="20 % - Accent3 3 4 2 2 2 2 2 3" xfId="45507"/>
    <cellStyle name="20 % - Accent3 3 4 2 2 2 2 2 4" xfId="61736"/>
    <cellStyle name="20 % - Accent3 3 4 2 2 2 2 3" xfId="19547"/>
    <cellStyle name="20 % - Accent3 3 4 2 2 2 2 4" xfId="26037"/>
    <cellStyle name="20 % - Accent3 3 4 2 2 2 2 5" xfId="39017"/>
    <cellStyle name="20 % - Accent3 3 4 2 2 2 2 6" xfId="55246"/>
    <cellStyle name="20 % - Accent3 3 4 2 2 2 3" xfId="9809"/>
    <cellStyle name="20 % - Accent3 3 4 2 2 2 3 2" xfId="29282"/>
    <cellStyle name="20 % - Accent3 3 4 2 2 2 3 3" xfId="42262"/>
    <cellStyle name="20 % - Accent3 3 4 2 2 2 3 4" xfId="58491"/>
    <cellStyle name="20 % - Accent3 3 4 2 2 2 4" xfId="16302"/>
    <cellStyle name="20 % - Accent3 3 4 2 2 2 4 2" xfId="52001"/>
    <cellStyle name="20 % - Accent3 3 4 2 2 2 5" xfId="22792"/>
    <cellStyle name="20 % - Accent3 3 4 2 2 2 6" xfId="35772"/>
    <cellStyle name="20 % - Accent3 3 4 2 2 2 7" xfId="48755"/>
    <cellStyle name="20 % - Accent3 3 4 2 2 3" xfId="4899"/>
    <cellStyle name="20 % - Accent3 3 4 2 2 3 2" xfId="11431"/>
    <cellStyle name="20 % - Accent3 3 4 2 2 3 2 2" xfId="30904"/>
    <cellStyle name="20 % - Accent3 3 4 2 2 3 2 3" xfId="43884"/>
    <cellStyle name="20 % - Accent3 3 4 2 2 3 2 4" xfId="60113"/>
    <cellStyle name="20 % - Accent3 3 4 2 2 3 3" xfId="17924"/>
    <cellStyle name="20 % - Accent3 3 4 2 2 3 4" xfId="24414"/>
    <cellStyle name="20 % - Accent3 3 4 2 2 3 5" xfId="37394"/>
    <cellStyle name="20 % - Accent3 3 4 2 2 3 6" xfId="53623"/>
    <cellStyle name="20 % - Accent3 3 4 2 2 4" xfId="8186"/>
    <cellStyle name="20 % - Accent3 3 4 2 2 4 2" xfId="27659"/>
    <cellStyle name="20 % - Accent3 3 4 2 2 4 3" xfId="40639"/>
    <cellStyle name="20 % - Accent3 3 4 2 2 4 4" xfId="56868"/>
    <cellStyle name="20 % - Accent3 3 4 2 2 5" xfId="14679"/>
    <cellStyle name="20 % - Accent3 3 4 2 2 5 2" xfId="50378"/>
    <cellStyle name="20 % - Accent3 3 4 2 2 6" xfId="21169"/>
    <cellStyle name="20 % - Accent3 3 4 2 2 7" xfId="34149"/>
    <cellStyle name="20 % - Accent3 3 4 2 2 8" xfId="47132"/>
    <cellStyle name="20 % - Accent3 3 4 2 3" xfId="1147"/>
    <cellStyle name="20 % - Accent3 3 4 2 3 2" xfId="2814"/>
    <cellStyle name="20 % - Accent3 3 4 2 3 2 2" xfId="6059"/>
    <cellStyle name="20 % - Accent3 3 4 2 3 2 2 2" xfId="12591"/>
    <cellStyle name="20 % - Accent3 3 4 2 3 2 2 2 2" xfId="32064"/>
    <cellStyle name="20 % - Accent3 3 4 2 3 2 2 2 3" xfId="45044"/>
    <cellStyle name="20 % - Accent3 3 4 2 3 2 2 2 4" xfId="61273"/>
    <cellStyle name="20 % - Accent3 3 4 2 3 2 2 3" xfId="19084"/>
    <cellStyle name="20 % - Accent3 3 4 2 3 2 2 4" xfId="25574"/>
    <cellStyle name="20 % - Accent3 3 4 2 3 2 2 5" xfId="38554"/>
    <cellStyle name="20 % - Accent3 3 4 2 3 2 2 6" xfId="54783"/>
    <cellStyle name="20 % - Accent3 3 4 2 3 2 3" xfId="9346"/>
    <cellStyle name="20 % - Accent3 3 4 2 3 2 3 2" xfId="28819"/>
    <cellStyle name="20 % - Accent3 3 4 2 3 2 3 3" xfId="41799"/>
    <cellStyle name="20 % - Accent3 3 4 2 3 2 3 4" xfId="58028"/>
    <cellStyle name="20 % - Accent3 3 4 2 3 2 4" xfId="15839"/>
    <cellStyle name="20 % - Accent3 3 4 2 3 2 4 2" xfId="51538"/>
    <cellStyle name="20 % - Accent3 3 4 2 3 2 5" xfId="22329"/>
    <cellStyle name="20 % - Accent3 3 4 2 3 2 6" xfId="35309"/>
    <cellStyle name="20 % - Accent3 3 4 2 3 2 7" xfId="48292"/>
    <cellStyle name="20 % - Accent3 3 4 2 3 3" xfId="4436"/>
    <cellStyle name="20 % - Accent3 3 4 2 3 3 2" xfId="10968"/>
    <cellStyle name="20 % - Accent3 3 4 2 3 3 2 2" xfId="30441"/>
    <cellStyle name="20 % - Accent3 3 4 2 3 3 2 3" xfId="43421"/>
    <cellStyle name="20 % - Accent3 3 4 2 3 3 2 4" xfId="59650"/>
    <cellStyle name="20 % - Accent3 3 4 2 3 3 3" xfId="17461"/>
    <cellStyle name="20 % - Accent3 3 4 2 3 3 4" xfId="23951"/>
    <cellStyle name="20 % - Accent3 3 4 2 3 3 5" xfId="36931"/>
    <cellStyle name="20 % - Accent3 3 4 2 3 3 6" xfId="53160"/>
    <cellStyle name="20 % - Accent3 3 4 2 3 4" xfId="7723"/>
    <cellStyle name="20 % - Accent3 3 4 2 3 4 2" xfId="27196"/>
    <cellStyle name="20 % - Accent3 3 4 2 3 4 3" xfId="40176"/>
    <cellStyle name="20 % - Accent3 3 4 2 3 4 4" xfId="56405"/>
    <cellStyle name="20 % - Accent3 3 4 2 3 5" xfId="14216"/>
    <cellStyle name="20 % - Accent3 3 4 2 3 5 2" xfId="49915"/>
    <cellStyle name="20 % - Accent3 3 4 2 3 6" xfId="20706"/>
    <cellStyle name="20 % - Accent3 3 4 2 3 7" xfId="33686"/>
    <cellStyle name="20 % - Accent3 3 4 2 3 8" xfId="46669"/>
    <cellStyle name="20 % - Accent3 3 4 2 4" xfId="2339"/>
    <cellStyle name="20 % - Accent3 3 4 2 4 2" xfId="5584"/>
    <cellStyle name="20 % - Accent3 3 4 2 4 2 2" xfId="12116"/>
    <cellStyle name="20 % - Accent3 3 4 2 4 2 2 2" xfId="31589"/>
    <cellStyle name="20 % - Accent3 3 4 2 4 2 2 3" xfId="44569"/>
    <cellStyle name="20 % - Accent3 3 4 2 4 2 2 4" xfId="60798"/>
    <cellStyle name="20 % - Accent3 3 4 2 4 2 3" xfId="18609"/>
    <cellStyle name="20 % - Accent3 3 4 2 4 2 4" xfId="25099"/>
    <cellStyle name="20 % - Accent3 3 4 2 4 2 5" xfId="38079"/>
    <cellStyle name="20 % - Accent3 3 4 2 4 2 6" xfId="54308"/>
    <cellStyle name="20 % - Accent3 3 4 2 4 3" xfId="8871"/>
    <cellStyle name="20 % - Accent3 3 4 2 4 3 2" xfId="28344"/>
    <cellStyle name="20 % - Accent3 3 4 2 4 3 3" xfId="41324"/>
    <cellStyle name="20 % - Accent3 3 4 2 4 3 4" xfId="57553"/>
    <cellStyle name="20 % - Accent3 3 4 2 4 4" xfId="15364"/>
    <cellStyle name="20 % - Accent3 3 4 2 4 4 2" xfId="51063"/>
    <cellStyle name="20 % - Accent3 3 4 2 4 5" xfId="21854"/>
    <cellStyle name="20 % - Accent3 3 4 2 4 6" xfId="34834"/>
    <cellStyle name="20 % - Accent3 3 4 2 4 7" xfId="47817"/>
    <cellStyle name="20 % - Accent3 3 4 2 5" xfId="3961"/>
    <cellStyle name="20 % - Accent3 3 4 2 5 2" xfId="10493"/>
    <cellStyle name="20 % - Accent3 3 4 2 5 2 2" xfId="29966"/>
    <cellStyle name="20 % - Accent3 3 4 2 5 2 3" xfId="42946"/>
    <cellStyle name="20 % - Accent3 3 4 2 5 2 4" xfId="59175"/>
    <cellStyle name="20 % - Accent3 3 4 2 5 3" xfId="16986"/>
    <cellStyle name="20 % - Accent3 3 4 2 5 4" xfId="23476"/>
    <cellStyle name="20 % - Accent3 3 4 2 5 5" xfId="36456"/>
    <cellStyle name="20 % - Accent3 3 4 2 5 6" xfId="52685"/>
    <cellStyle name="20 % - Accent3 3 4 2 6" xfId="7248"/>
    <cellStyle name="20 % - Accent3 3 4 2 6 2" xfId="26721"/>
    <cellStyle name="20 % - Accent3 3 4 2 6 3" xfId="39701"/>
    <cellStyle name="20 % - Accent3 3 4 2 6 4" xfId="55930"/>
    <cellStyle name="20 % - Accent3 3 4 2 7" xfId="13741"/>
    <cellStyle name="20 % - Accent3 3 4 2 7 2" xfId="49440"/>
    <cellStyle name="20 % - Accent3 3 4 2 8" xfId="20231"/>
    <cellStyle name="20 % - Accent3 3 4 2 9" xfId="33211"/>
    <cellStyle name="20 % - Accent3 3 4 3" xfId="441"/>
    <cellStyle name="20 % - Accent3 3 4 3 2" xfId="1390"/>
    <cellStyle name="20 % - Accent3 3 4 3 2 2" xfId="3057"/>
    <cellStyle name="20 % - Accent3 3 4 3 2 2 2" xfId="6302"/>
    <cellStyle name="20 % - Accent3 3 4 3 2 2 2 2" xfId="12834"/>
    <cellStyle name="20 % - Accent3 3 4 3 2 2 2 2 2" xfId="32307"/>
    <cellStyle name="20 % - Accent3 3 4 3 2 2 2 2 3" xfId="45287"/>
    <cellStyle name="20 % - Accent3 3 4 3 2 2 2 2 4" xfId="61516"/>
    <cellStyle name="20 % - Accent3 3 4 3 2 2 2 3" xfId="19327"/>
    <cellStyle name="20 % - Accent3 3 4 3 2 2 2 4" xfId="25817"/>
    <cellStyle name="20 % - Accent3 3 4 3 2 2 2 5" xfId="38797"/>
    <cellStyle name="20 % - Accent3 3 4 3 2 2 2 6" xfId="55026"/>
    <cellStyle name="20 % - Accent3 3 4 3 2 2 3" xfId="9589"/>
    <cellStyle name="20 % - Accent3 3 4 3 2 2 3 2" xfId="29062"/>
    <cellStyle name="20 % - Accent3 3 4 3 2 2 3 3" xfId="42042"/>
    <cellStyle name="20 % - Accent3 3 4 3 2 2 3 4" xfId="58271"/>
    <cellStyle name="20 % - Accent3 3 4 3 2 2 4" xfId="16082"/>
    <cellStyle name="20 % - Accent3 3 4 3 2 2 4 2" xfId="51781"/>
    <cellStyle name="20 % - Accent3 3 4 3 2 2 5" xfId="22572"/>
    <cellStyle name="20 % - Accent3 3 4 3 2 2 6" xfId="35552"/>
    <cellStyle name="20 % - Accent3 3 4 3 2 2 7" xfId="48535"/>
    <cellStyle name="20 % - Accent3 3 4 3 2 3" xfId="4679"/>
    <cellStyle name="20 % - Accent3 3 4 3 2 3 2" xfId="11211"/>
    <cellStyle name="20 % - Accent3 3 4 3 2 3 2 2" xfId="30684"/>
    <cellStyle name="20 % - Accent3 3 4 3 2 3 2 3" xfId="43664"/>
    <cellStyle name="20 % - Accent3 3 4 3 2 3 2 4" xfId="59893"/>
    <cellStyle name="20 % - Accent3 3 4 3 2 3 3" xfId="17704"/>
    <cellStyle name="20 % - Accent3 3 4 3 2 3 4" xfId="24194"/>
    <cellStyle name="20 % - Accent3 3 4 3 2 3 5" xfId="37174"/>
    <cellStyle name="20 % - Accent3 3 4 3 2 3 6" xfId="53403"/>
    <cellStyle name="20 % - Accent3 3 4 3 2 4" xfId="7966"/>
    <cellStyle name="20 % - Accent3 3 4 3 2 4 2" xfId="27439"/>
    <cellStyle name="20 % - Accent3 3 4 3 2 4 3" xfId="40419"/>
    <cellStyle name="20 % - Accent3 3 4 3 2 4 4" xfId="56648"/>
    <cellStyle name="20 % - Accent3 3 4 3 2 5" xfId="14459"/>
    <cellStyle name="20 % - Accent3 3 4 3 2 5 2" xfId="50158"/>
    <cellStyle name="20 % - Accent3 3 4 3 2 6" xfId="20949"/>
    <cellStyle name="20 % - Accent3 3 4 3 2 7" xfId="33929"/>
    <cellStyle name="20 % - Accent3 3 4 3 2 8" xfId="46912"/>
    <cellStyle name="20 % - Accent3 3 4 3 3" xfId="2109"/>
    <cellStyle name="20 % - Accent3 3 4 3 3 2" xfId="5354"/>
    <cellStyle name="20 % - Accent3 3 4 3 3 2 2" xfId="11886"/>
    <cellStyle name="20 % - Accent3 3 4 3 3 2 2 2" xfId="31359"/>
    <cellStyle name="20 % - Accent3 3 4 3 3 2 2 3" xfId="44339"/>
    <cellStyle name="20 % - Accent3 3 4 3 3 2 2 4" xfId="60568"/>
    <cellStyle name="20 % - Accent3 3 4 3 3 2 3" xfId="18379"/>
    <cellStyle name="20 % - Accent3 3 4 3 3 2 4" xfId="24869"/>
    <cellStyle name="20 % - Accent3 3 4 3 3 2 5" xfId="37849"/>
    <cellStyle name="20 % - Accent3 3 4 3 3 2 6" xfId="54078"/>
    <cellStyle name="20 % - Accent3 3 4 3 3 3" xfId="8641"/>
    <cellStyle name="20 % - Accent3 3 4 3 3 3 2" xfId="28114"/>
    <cellStyle name="20 % - Accent3 3 4 3 3 3 3" xfId="41094"/>
    <cellStyle name="20 % - Accent3 3 4 3 3 3 4" xfId="57323"/>
    <cellStyle name="20 % - Accent3 3 4 3 3 4" xfId="15134"/>
    <cellStyle name="20 % - Accent3 3 4 3 3 4 2" xfId="50833"/>
    <cellStyle name="20 % - Accent3 3 4 3 3 5" xfId="21624"/>
    <cellStyle name="20 % - Accent3 3 4 3 3 6" xfId="34604"/>
    <cellStyle name="20 % - Accent3 3 4 3 3 7" xfId="47587"/>
    <cellStyle name="20 % - Accent3 3 4 3 4" xfId="3731"/>
    <cellStyle name="20 % - Accent3 3 4 3 4 2" xfId="10263"/>
    <cellStyle name="20 % - Accent3 3 4 3 4 2 2" xfId="29736"/>
    <cellStyle name="20 % - Accent3 3 4 3 4 2 3" xfId="42716"/>
    <cellStyle name="20 % - Accent3 3 4 3 4 2 4" xfId="58945"/>
    <cellStyle name="20 % - Accent3 3 4 3 4 3" xfId="16756"/>
    <cellStyle name="20 % - Accent3 3 4 3 4 4" xfId="23246"/>
    <cellStyle name="20 % - Accent3 3 4 3 4 5" xfId="36226"/>
    <cellStyle name="20 % - Accent3 3 4 3 4 6" xfId="52455"/>
    <cellStyle name="20 % - Accent3 3 4 3 5" xfId="7018"/>
    <cellStyle name="20 % - Accent3 3 4 3 5 2" xfId="26491"/>
    <cellStyle name="20 % - Accent3 3 4 3 5 3" xfId="39471"/>
    <cellStyle name="20 % - Accent3 3 4 3 5 4" xfId="55700"/>
    <cellStyle name="20 % - Accent3 3 4 3 6" xfId="13511"/>
    <cellStyle name="20 % - Accent3 3 4 3 6 2" xfId="49210"/>
    <cellStyle name="20 % - Accent3 3 4 3 7" xfId="20001"/>
    <cellStyle name="20 % - Accent3 3 4 3 8" xfId="32981"/>
    <cellStyle name="20 % - Accent3 3 4 3 9" xfId="45964"/>
    <cellStyle name="20 % - Accent3 3 4 4" xfId="927"/>
    <cellStyle name="20 % - Accent3 3 4 4 2" xfId="2594"/>
    <cellStyle name="20 % - Accent3 3 4 4 2 2" xfId="5839"/>
    <cellStyle name="20 % - Accent3 3 4 4 2 2 2" xfId="12371"/>
    <cellStyle name="20 % - Accent3 3 4 4 2 2 2 2" xfId="31844"/>
    <cellStyle name="20 % - Accent3 3 4 4 2 2 2 3" xfId="44824"/>
    <cellStyle name="20 % - Accent3 3 4 4 2 2 2 4" xfId="61053"/>
    <cellStyle name="20 % - Accent3 3 4 4 2 2 3" xfId="18864"/>
    <cellStyle name="20 % - Accent3 3 4 4 2 2 4" xfId="25354"/>
    <cellStyle name="20 % - Accent3 3 4 4 2 2 5" xfId="38334"/>
    <cellStyle name="20 % - Accent3 3 4 4 2 2 6" xfId="54563"/>
    <cellStyle name="20 % - Accent3 3 4 4 2 3" xfId="9126"/>
    <cellStyle name="20 % - Accent3 3 4 4 2 3 2" xfId="28599"/>
    <cellStyle name="20 % - Accent3 3 4 4 2 3 3" xfId="41579"/>
    <cellStyle name="20 % - Accent3 3 4 4 2 3 4" xfId="57808"/>
    <cellStyle name="20 % - Accent3 3 4 4 2 4" xfId="15619"/>
    <cellStyle name="20 % - Accent3 3 4 4 2 4 2" xfId="51318"/>
    <cellStyle name="20 % - Accent3 3 4 4 2 5" xfId="22109"/>
    <cellStyle name="20 % - Accent3 3 4 4 2 6" xfId="35089"/>
    <cellStyle name="20 % - Accent3 3 4 4 2 7" xfId="48072"/>
    <cellStyle name="20 % - Accent3 3 4 4 3" xfId="4216"/>
    <cellStyle name="20 % - Accent3 3 4 4 3 2" xfId="10748"/>
    <cellStyle name="20 % - Accent3 3 4 4 3 2 2" xfId="30221"/>
    <cellStyle name="20 % - Accent3 3 4 4 3 2 3" xfId="43201"/>
    <cellStyle name="20 % - Accent3 3 4 4 3 2 4" xfId="59430"/>
    <cellStyle name="20 % - Accent3 3 4 4 3 3" xfId="17241"/>
    <cellStyle name="20 % - Accent3 3 4 4 3 4" xfId="23731"/>
    <cellStyle name="20 % - Accent3 3 4 4 3 5" xfId="36711"/>
    <cellStyle name="20 % - Accent3 3 4 4 3 6" xfId="52940"/>
    <cellStyle name="20 % - Accent3 3 4 4 4" xfId="7503"/>
    <cellStyle name="20 % - Accent3 3 4 4 4 2" xfId="26976"/>
    <cellStyle name="20 % - Accent3 3 4 4 4 3" xfId="39956"/>
    <cellStyle name="20 % - Accent3 3 4 4 4 4" xfId="56185"/>
    <cellStyle name="20 % - Accent3 3 4 4 5" xfId="13996"/>
    <cellStyle name="20 % - Accent3 3 4 4 5 2" xfId="49695"/>
    <cellStyle name="20 % - Accent3 3 4 4 6" xfId="20486"/>
    <cellStyle name="20 % - Accent3 3 4 4 7" xfId="33466"/>
    <cellStyle name="20 % - Accent3 3 4 4 8" xfId="46449"/>
    <cellStyle name="20 % - Accent3 3 4 5" xfId="1880"/>
    <cellStyle name="20 % - Accent3 3 4 5 2" xfId="5125"/>
    <cellStyle name="20 % - Accent3 3 4 5 2 2" xfId="11657"/>
    <cellStyle name="20 % - Accent3 3 4 5 2 2 2" xfId="31130"/>
    <cellStyle name="20 % - Accent3 3 4 5 2 2 3" xfId="44110"/>
    <cellStyle name="20 % - Accent3 3 4 5 2 2 4" xfId="60339"/>
    <cellStyle name="20 % - Accent3 3 4 5 2 3" xfId="18150"/>
    <cellStyle name="20 % - Accent3 3 4 5 2 4" xfId="24640"/>
    <cellStyle name="20 % - Accent3 3 4 5 2 5" xfId="37620"/>
    <cellStyle name="20 % - Accent3 3 4 5 2 6" xfId="53849"/>
    <cellStyle name="20 % - Accent3 3 4 5 3" xfId="8412"/>
    <cellStyle name="20 % - Accent3 3 4 5 3 2" xfId="27885"/>
    <cellStyle name="20 % - Accent3 3 4 5 3 3" xfId="40865"/>
    <cellStyle name="20 % - Accent3 3 4 5 3 4" xfId="57094"/>
    <cellStyle name="20 % - Accent3 3 4 5 4" xfId="14905"/>
    <cellStyle name="20 % - Accent3 3 4 5 4 2" xfId="50604"/>
    <cellStyle name="20 % - Accent3 3 4 5 5" xfId="21395"/>
    <cellStyle name="20 % - Accent3 3 4 5 6" xfId="34375"/>
    <cellStyle name="20 % - Accent3 3 4 5 7" xfId="47358"/>
    <cellStyle name="20 % - Accent3 3 4 6" xfId="3501"/>
    <cellStyle name="20 % - Accent3 3 4 6 2" xfId="10033"/>
    <cellStyle name="20 % - Accent3 3 4 6 2 2" xfId="29506"/>
    <cellStyle name="20 % - Accent3 3 4 6 2 3" xfId="42486"/>
    <cellStyle name="20 % - Accent3 3 4 6 2 4" xfId="58715"/>
    <cellStyle name="20 % - Accent3 3 4 6 3" xfId="16526"/>
    <cellStyle name="20 % - Accent3 3 4 6 4" xfId="23016"/>
    <cellStyle name="20 % - Accent3 3 4 6 5" xfId="35996"/>
    <cellStyle name="20 % - Accent3 3 4 6 6" xfId="52225"/>
    <cellStyle name="20 % - Accent3 3 4 7" xfId="6788"/>
    <cellStyle name="20 % - Accent3 3 4 7 2" xfId="26261"/>
    <cellStyle name="20 % - Accent3 3 4 7 3" xfId="39241"/>
    <cellStyle name="20 % - Accent3 3 4 7 4" xfId="55470"/>
    <cellStyle name="20 % - Accent3 3 4 8" xfId="13281"/>
    <cellStyle name="20 % - Accent3 3 4 8 2" xfId="48980"/>
    <cellStyle name="20 % - Accent3 3 4 9" xfId="19771"/>
    <cellStyle name="20 % - Accent3 3 5" xfId="295"/>
    <cellStyle name="20 % - Accent3 3 5 10" xfId="32839"/>
    <cellStyle name="20 % - Accent3 3 5 11" xfId="45822"/>
    <cellStyle name="20 % - Accent3 3 5 2" xfId="759"/>
    <cellStyle name="20 % - Accent3 3 5 2 10" xfId="46282"/>
    <cellStyle name="20 % - Accent3 3 5 2 2" xfId="1698"/>
    <cellStyle name="20 % - Accent3 3 5 2 2 2" xfId="3365"/>
    <cellStyle name="20 % - Accent3 3 5 2 2 2 2" xfId="6610"/>
    <cellStyle name="20 % - Accent3 3 5 2 2 2 2 2" xfId="13142"/>
    <cellStyle name="20 % - Accent3 3 5 2 2 2 2 2 2" xfId="32615"/>
    <cellStyle name="20 % - Accent3 3 5 2 2 2 2 2 3" xfId="45595"/>
    <cellStyle name="20 % - Accent3 3 5 2 2 2 2 2 4" xfId="61824"/>
    <cellStyle name="20 % - Accent3 3 5 2 2 2 2 3" xfId="19635"/>
    <cellStyle name="20 % - Accent3 3 5 2 2 2 2 4" xfId="26125"/>
    <cellStyle name="20 % - Accent3 3 5 2 2 2 2 5" xfId="39105"/>
    <cellStyle name="20 % - Accent3 3 5 2 2 2 2 6" xfId="55334"/>
    <cellStyle name="20 % - Accent3 3 5 2 2 2 3" xfId="9897"/>
    <cellStyle name="20 % - Accent3 3 5 2 2 2 3 2" xfId="29370"/>
    <cellStyle name="20 % - Accent3 3 5 2 2 2 3 3" xfId="42350"/>
    <cellStyle name="20 % - Accent3 3 5 2 2 2 3 4" xfId="58579"/>
    <cellStyle name="20 % - Accent3 3 5 2 2 2 4" xfId="16390"/>
    <cellStyle name="20 % - Accent3 3 5 2 2 2 4 2" xfId="52089"/>
    <cellStyle name="20 % - Accent3 3 5 2 2 2 5" xfId="22880"/>
    <cellStyle name="20 % - Accent3 3 5 2 2 2 6" xfId="35860"/>
    <cellStyle name="20 % - Accent3 3 5 2 2 2 7" xfId="48843"/>
    <cellStyle name="20 % - Accent3 3 5 2 2 3" xfId="4987"/>
    <cellStyle name="20 % - Accent3 3 5 2 2 3 2" xfId="11519"/>
    <cellStyle name="20 % - Accent3 3 5 2 2 3 2 2" xfId="30992"/>
    <cellStyle name="20 % - Accent3 3 5 2 2 3 2 3" xfId="43972"/>
    <cellStyle name="20 % - Accent3 3 5 2 2 3 2 4" xfId="60201"/>
    <cellStyle name="20 % - Accent3 3 5 2 2 3 3" xfId="18012"/>
    <cellStyle name="20 % - Accent3 3 5 2 2 3 4" xfId="24502"/>
    <cellStyle name="20 % - Accent3 3 5 2 2 3 5" xfId="37482"/>
    <cellStyle name="20 % - Accent3 3 5 2 2 3 6" xfId="53711"/>
    <cellStyle name="20 % - Accent3 3 5 2 2 4" xfId="8274"/>
    <cellStyle name="20 % - Accent3 3 5 2 2 4 2" xfId="27747"/>
    <cellStyle name="20 % - Accent3 3 5 2 2 4 3" xfId="40727"/>
    <cellStyle name="20 % - Accent3 3 5 2 2 4 4" xfId="56956"/>
    <cellStyle name="20 % - Accent3 3 5 2 2 5" xfId="14767"/>
    <cellStyle name="20 % - Accent3 3 5 2 2 5 2" xfId="50466"/>
    <cellStyle name="20 % - Accent3 3 5 2 2 6" xfId="21257"/>
    <cellStyle name="20 % - Accent3 3 5 2 2 7" xfId="34237"/>
    <cellStyle name="20 % - Accent3 3 5 2 2 8" xfId="47220"/>
    <cellStyle name="20 % - Accent3 3 5 2 3" xfId="1235"/>
    <cellStyle name="20 % - Accent3 3 5 2 3 2" xfId="2902"/>
    <cellStyle name="20 % - Accent3 3 5 2 3 2 2" xfId="6147"/>
    <cellStyle name="20 % - Accent3 3 5 2 3 2 2 2" xfId="12679"/>
    <cellStyle name="20 % - Accent3 3 5 2 3 2 2 2 2" xfId="32152"/>
    <cellStyle name="20 % - Accent3 3 5 2 3 2 2 2 3" xfId="45132"/>
    <cellStyle name="20 % - Accent3 3 5 2 3 2 2 2 4" xfId="61361"/>
    <cellStyle name="20 % - Accent3 3 5 2 3 2 2 3" xfId="19172"/>
    <cellStyle name="20 % - Accent3 3 5 2 3 2 2 4" xfId="25662"/>
    <cellStyle name="20 % - Accent3 3 5 2 3 2 2 5" xfId="38642"/>
    <cellStyle name="20 % - Accent3 3 5 2 3 2 2 6" xfId="54871"/>
    <cellStyle name="20 % - Accent3 3 5 2 3 2 3" xfId="9434"/>
    <cellStyle name="20 % - Accent3 3 5 2 3 2 3 2" xfId="28907"/>
    <cellStyle name="20 % - Accent3 3 5 2 3 2 3 3" xfId="41887"/>
    <cellStyle name="20 % - Accent3 3 5 2 3 2 3 4" xfId="58116"/>
    <cellStyle name="20 % - Accent3 3 5 2 3 2 4" xfId="15927"/>
    <cellStyle name="20 % - Accent3 3 5 2 3 2 4 2" xfId="51626"/>
    <cellStyle name="20 % - Accent3 3 5 2 3 2 5" xfId="22417"/>
    <cellStyle name="20 % - Accent3 3 5 2 3 2 6" xfId="35397"/>
    <cellStyle name="20 % - Accent3 3 5 2 3 2 7" xfId="48380"/>
    <cellStyle name="20 % - Accent3 3 5 2 3 3" xfId="4524"/>
    <cellStyle name="20 % - Accent3 3 5 2 3 3 2" xfId="11056"/>
    <cellStyle name="20 % - Accent3 3 5 2 3 3 2 2" xfId="30529"/>
    <cellStyle name="20 % - Accent3 3 5 2 3 3 2 3" xfId="43509"/>
    <cellStyle name="20 % - Accent3 3 5 2 3 3 2 4" xfId="59738"/>
    <cellStyle name="20 % - Accent3 3 5 2 3 3 3" xfId="17549"/>
    <cellStyle name="20 % - Accent3 3 5 2 3 3 4" xfId="24039"/>
    <cellStyle name="20 % - Accent3 3 5 2 3 3 5" xfId="37019"/>
    <cellStyle name="20 % - Accent3 3 5 2 3 3 6" xfId="53248"/>
    <cellStyle name="20 % - Accent3 3 5 2 3 4" xfId="7811"/>
    <cellStyle name="20 % - Accent3 3 5 2 3 4 2" xfId="27284"/>
    <cellStyle name="20 % - Accent3 3 5 2 3 4 3" xfId="40264"/>
    <cellStyle name="20 % - Accent3 3 5 2 3 4 4" xfId="56493"/>
    <cellStyle name="20 % - Accent3 3 5 2 3 5" xfId="14304"/>
    <cellStyle name="20 % - Accent3 3 5 2 3 5 2" xfId="50003"/>
    <cellStyle name="20 % - Accent3 3 5 2 3 6" xfId="20794"/>
    <cellStyle name="20 % - Accent3 3 5 2 3 7" xfId="33774"/>
    <cellStyle name="20 % - Accent3 3 5 2 3 8" xfId="46757"/>
    <cellStyle name="20 % - Accent3 3 5 2 4" xfId="2427"/>
    <cellStyle name="20 % - Accent3 3 5 2 4 2" xfId="5672"/>
    <cellStyle name="20 % - Accent3 3 5 2 4 2 2" xfId="12204"/>
    <cellStyle name="20 % - Accent3 3 5 2 4 2 2 2" xfId="31677"/>
    <cellStyle name="20 % - Accent3 3 5 2 4 2 2 3" xfId="44657"/>
    <cellStyle name="20 % - Accent3 3 5 2 4 2 2 4" xfId="60886"/>
    <cellStyle name="20 % - Accent3 3 5 2 4 2 3" xfId="18697"/>
    <cellStyle name="20 % - Accent3 3 5 2 4 2 4" xfId="25187"/>
    <cellStyle name="20 % - Accent3 3 5 2 4 2 5" xfId="38167"/>
    <cellStyle name="20 % - Accent3 3 5 2 4 2 6" xfId="54396"/>
    <cellStyle name="20 % - Accent3 3 5 2 4 3" xfId="8959"/>
    <cellStyle name="20 % - Accent3 3 5 2 4 3 2" xfId="28432"/>
    <cellStyle name="20 % - Accent3 3 5 2 4 3 3" xfId="41412"/>
    <cellStyle name="20 % - Accent3 3 5 2 4 3 4" xfId="57641"/>
    <cellStyle name="20 % - Accent3 3 5 2 4 4" xfId="15452"/>
    <cellStyle name="20 % - Accent3 3 5 2 4 4 2" xfId="51151"/>
    <cellStyle name="20 % - Accent3 3 5 2 4 5" xfId="21942"/>
    <cellStyle name="20 % - Accent3 3 5 2 4 6" xfId="34922"/>
    <cellStyle name="20 % - Accent3 3 5 2 4 7" xfId="47905"/>
    <cellStyle name="20 % - Accent3 3 5 2 5" xfId="4049"/>
    <cellStyle name="20 % - Accent3 3 5 2 5 2" xfId="10581"/>
    <cellStyle name="20 % - Accent3 3 5 2 5 2 2" xfId="30054"/>
    <cellStyle name="20 % - Accent3 3 5 2 5 2 3" xfId="43034"/>
    <cellStyle name="20 % - Accent3 3 5 2 5 2 4" xfId="59263"/>
    <cellStyle name="20 % - Accent3 3 5 2 5 3" xfId="17074"/>
    <cellStyle name="20 % - Accent3 3 5 2 5 4" xfId="23564"/>
    <cellStyle name="20 % - Accent3 3 5 2 5 5" xfId="36544"/>
    <cellStyle name="20 % - Accent3 3 5 2 5 6" xfId="52773"/>
    <cellStyle name="20 % - Accent3 3 5 2 6" xfId="7336"/>
    <cellStyle name="20 % - Accent3 3 5 2 6 2" xfId="26809"/>
    <cellStyle name="20 % - Accent3 3 5 2 6 3" xfId="39789"/>
    <cellStyle name="20 % - Accent3 3 5 2 6 4" xfId="56018"/>
    <cellStyle name="20 % - Accent3 3 5 2 7" xfId="13829"/>
    <cellStyle name="20 % - Accent3 3 5 2 7 2" xfId="49528"/>
    <cellStyle name="20 % - Accent3 3 5 2 8" xfId="20319"/>
    <cellStyle name="20 % - Accent3 3 5 2 9" xfId="33299"/>
    <cellStyle name="20 % - Accent3 3 5 3" xfId="529"/>
    <cellStyle name="20 % - Accent3 3 5 3 2" xfId="1478"/>
    <cellStyle name="20 % - Accent3 3 5 3 2 2" xfId="3145"/>
    <cellStyle name="20 % - Accent3 3 5 3 2 2 2" xfId="6390"/>
    <cellStyle name="20 % - Accent3 3 5 3 2 2 2 2" xfId="12922"/>
    <cellStyle name="20 % - Accent3 3 5 3 2 2 2 2 2" xfId="32395"/>
    <cellStyle name="20 % - Accent3 3 5 3 2 2 2 2 3" xfId="45375"/>
    <cellStyle name="20 % - Accent3 3 5 3 2 2 2 2 4" xfId="61604"/>
    <cellStyle name="20 % - Accent3 3 5 3 2 2 2 3" xfId="19415"/>
    <cellStyle name="20 % - Accent3 3 5 3 2 2 2 4" xfId="25905"/>
    <cellStyle name="20 % - Accent3 3 5 3 2 2 2 5" xfId="38885"/>
    <cellStyle name="20 % - Accent3 3 5 3 2 2 2 6" xfId="55114"/>
    <cellStyle name="20 % - Accent3 3 5 3 2 2 3" xfId="9677"/>
    <cellStyle name="20 % - Accent3 3 5 3 2 2 3 2" xfId="29150"/>
    <cellStyle name="20 % - Accent3 3 5 3 2 2 3 3" xfId="42130"/>
    <cellStyle name="20 % - Accent3 3 5 3 2 2 3 4" xfId="58359"/>
    <cellStyle name="20 % - Accent3 3 5 3 2 2 4" xfId="16170"/>
    <cellStyle name="20 % - Accent3 3 5 3 2 2 4 2" xfId="51869"/>
    <cellStyle name="20 % - Accent3 3 5 3 2 2 5" xfId="22660"/>
    <cellStyle name="20 % - Accent3 3 5 3 2 2 6" xfId="35640"/>
    <cellStyle name="20 % - Accent3 3 5 3 2 2 7" xfId="48623"/>
    <cellStyle name="20 % - Accent3 3 5 3 2 3" xfId="4767"/>
    <cellStyle name="20 % - Accent3 3 5 3 2 3 2" xfId="11299"/>
    <cellStyle name="20 % - Accent3 3 5 3 2 3 2 2" xfId="30772"/>
    <cellStyle name="20 % - Accent3 3 5 3 2 3 2 3" xfId="43752"/>
    <cellStyle name="20 % - Accent3 3 5 3 2 3 2 4" xfId="59981"/>
    <cellStyle name="20 % - Accent3 3 5 3 2 3 3" xfId="17792"/>
    <cellStyle name="20 % - Accent3 3 5 3 2 3 4" xfId="24282"/>
    <cellStyle name="20 % - Accent3 3 5 3 2 3 5" xfId="37262"/>
    <cellStyle name="20 % - Accent3 3 5 3 2 3 6" xfId="53491"/>
    <cellStyle name="20 % - Accent3 3 5 3 2 4" xfId="8054"/>
    <cellStyle name="20 % - Accent3 3 5 3 2 4 2" xfId="27527"/>
    <cellStyle name="20 % - Accent3 3 5 3 2 4 3" xfId="40507"/>
    <cellStyle name="20 % - Accent3 3 5 3 2 4 4" xfId="56736"/>
    <cellStyle name="20 % - Accent3 3 5 3 2 5" xfId="14547"/>
    <cellStyle name="20 % - Accent3 3 5 3 2 5 2" xfId="50246"/>
    <cellStyle name="20 % - Accent3 3 5 3 2 6" xfId="21037"/>
    <cellStyle name="20 % - Accent3 3 5 3 2 7" xfId="34017"/>
    <cellStyle name="20 % - Accent3 3 5 3 2 8" xfId="47000"/>
    <cellStyle name="20 % - Accent3 3 5 3 3" xfId="2197"/>
    <cellStyle name="20 % - Accent3 3 5 3 3 2" xfId="5442"/>
    <cellStyle name="20 % - Accent3 3 5 3 3 2 2" xfId="11974"/>
    <cellStyle name="20 % - Accent3 3 5 3 3 2 2 2" xfId="31447"/>
    <cellStyle name="20 % - Accent3 3 5 3 3 2 2 3" xfId="44427"/>
    <cellStyle name="20 % - Accent3 3 5 3 3 2 2 4" xfId="60656"/>
    <cellStyle name="20 % - Accent3 3 5 3 3 2 3" xfId="18467"/>
    <cellStyle name="20 % - Accent3 3 5 3 3 2 4" xfId="24957"/>
    <cellStyle name="20 % - Accent3 3 5 3 3 2 5" xfId="37937"/>
    <cellStyle name="20 % - Accent3 3 5 3 3 2 6" xfId="54166"/>
    <cellStyle name="20 % - Accent3 3 5 3 3 3" xfId="8729"/>
    <cellStyle name="20 % - Accent3 3 5 3 3 3 2" xfId="28202"/>
    <cellStyle name="20 % - Accent3 3 5 3 3 3 3" xfId="41182"/>
    <cellStyle name="20 % - Accent3 3 5 3 3 3 4" xfId="57411"/>
    <cellStyle name="20 % - Accent3 3 5 3 3 4" xfId="15222"/>
    <cellStyle name="20 % - Accent3 3 5 3 3 4 2" xfId="50921"/>
    <cellStyle name="20 % - Accent3 3 5 3 3 5" xfId="21712"/>
    <cellStyle name="20 % - Accent3 3 5 3 3 6" xfId="34692"/>
    <cellStyle name="20 % - Accent3 3 5 3 3 7" xfId="47675"/>
    <cellStyle name="20 % - Accent3 3 5 3 4" xfId="3819"/>
    <cellStyle name="20 % - Accent3 3 5 3 4 2" xfId="10351"/>
    <cellStyle name="20 % - Accent3 3 5 3 4 2 2" xfId="29824"/>
    <cellStyle name="20 % - Accent3 3 5 3 4 2 3" xfId="42804"/>
    <cellStyle name="20 % - Accent3 3 5 3 4 2 4" xfId="59033"/>
    <cellStyle name="20 % - Accent3 3 5 3 4 3" xfId="16844"/>
    <cellStyle name="20 % - Accent3 3 5 3 4 4" xfId="23334"/>
    <cellStyle name="20 % - Accent3 3 5 3 4 5" xfId="36314"/>
    <cellStyle name="20 % - Accent3 3 5 3 4 6" xfId="52543"/>
    <cellStyle name="20 % - Accent3 3 5 3 5" xfId="7106"/>
    <cellStyle name="20 % - Accent3 3 5 3 5 2" xfId="26579"/>
    <cellStyle name="20 % - Accent3 3 5 3 5 3" xfId="39559"/>
    <cellStyle name="20 % - Accent3 3 5 3 5 4" xfId="55788"/>
    <cellStyle name="20 % - Accent3 3 5 3 6" xfId="13599"/>
    <cellStyle name="20 % - Accent3 3 5 3 6 2" xfId="49298"/>
    <cellStyle name="20 % - Accent3 3 5 3 7" xfId="20089"/>
    <cellStyle name="20 % - Accent3 3 5 3 8" xfId="33069"/>
    <cellStyle name="20 % - Accent3 3 5 3 9" xfId="46052"/>
    <cellStyle name="20 % - Accent3 3 5 4" xfId="1015"/>
    <cellStyle name="20 % - Accent3 3 5 4 2" xfId="2682"/>
    <cellStyle name="20 % - Accent3 3 5 4 2 2" xfId="5927"/>
    <cellStyle name="20 % - Accent3 3 5 4 2 2 2" xfId="12459"/>
    <cellStyle name="20 % - Accent3 3 5 4 2 2 2 2" xfId="31932"/>
    <cellStyle name="20 % - Accent3 3 5 4 2 2 2 3" xfId="44912"/>
    <cellStyle name="20 % - Accent3 3 5 4 2 2 2 4" xfId="61141"/>
    <cellStyle name="20 % - Accent3 3 5 4 2 2 3" xfId="18952"/>
    <cellStyle name="20 % - Accent3 3 5 4 2 2 4" xfId="25442"/>
    <cellStyle name="20 % - Accent3 3 5 4 2 2 5" xfId="38422"/>
    <cellStyle name="20 % - Accent3 3 5 4 2 2 6" xfId="54651"/>
    <cellStyle name="20 % - Accent3 3 5 4 2 3" xfId="9214"/>
    <cellStyle name="20 % - Accent3 3 5 4 2 3 2" xfId="28687"/>
    <cellStyle name="20 % - Accent3 3 5 4 2 3 3" xfId="41667"/>
    <cellStyle name="20 % - Accent3 3 5 4 2 3 4" xfId="57896"/>
    <cellStyle name="20 % - Accent3 3 5 4 2 4" xfId="15707"/>
    <cellStyle name="20 % - Accent3 3 5 4 2 4 2" xfId="51406"/>
    <cellStyle name="20 % - Accent3 3 5 4 2 5" xfId="22197"/>
    <cellStyle name="20 % - Accent3 3 5 4 2 6" xfId="35177"/>
    <cellStyle name="20 % - Accent3 3 5 4 2 7" xfId="48160"/>
    <cellStyle name="20 % - Accent3 3 5 4 3" xfId="4304"/>
    <cellStyle name="20 % - Accent3 3 5 4 3 2" xfId="10836"/>
    <cellStyle name="20 % - Accent3 3 5 4 3 2 2" xfId="30309"/>
    <cellStyle name="20 % - Accent3 3 5 4 3 2 3" xfId="43289"/>
    <cellStyle name="20 % - Accent3 3 5 4 3 2 4" xfId="59518"/>
    <cellStyle name="20 % - Accent3 3 5 4 3 3" xfId="17329"/>
    <cellStyle name="20 % - Accent3 3 5 4 3 4" xfId="23819"/>
    <cellStyle name="20 % - Accent3 3 5 4 3 5" xfId="36799"/>
    <cellStyle name="20 % - Accent3 3 5 4 3 6" xfId="53028"/>
    <cellStyle name="20 % - Accent3 3 5 4 4" xfId="7591"/>
    <cellStyle name="20 % - Accent3 3 5 4 4 2" xfId="27064"/>
    <cellStyle name="20 % - Accent3 3 5 4 4 3" xfId="40044"/>
    <cellStyle name="20 % - Accent3 3 5 4 4 4" xfId="56273"/>
    <cellStyle name="20 % - Accent3 3 5 4 5" xfId="14084"/>
    <cellStyle name="20 % - Accent3 3 5 4 5 2" xfId="49783"/>
    <cellStyle name="20 % - Accent3 3 5 4 6" xfId="20574"/>
    <cellStyle name="20 % - Accent3 3 5 4 7" xfId="33554"/>
    <cellStyle name="20 % - Accent3 3 5 4 8" xfId="46537"/>
    <cellStyle name="20 % - Accent3 3 5 5" xfId="1968"/>
    <cellStyle name="20 % - Accent3 3 5 5 2" xfId="5213"/>
    <cellStyle name="20 % - Accent3 3 5 5 2 2" xfId="11745"/>
    <cellStyle name="20 % - Accent3 3 5 5 2 2 2" xfId="31218"/>
    <cellStyle name="20 % - Accent3 3 5 5 2 2 3" xfId="44198"/>
    <cellStyle name="20 % - Accent3 3 5 5 2 2 4" xfId="60427"/>
    <cellStyle name="20 % - Accent3 3 5 5 2 3" xfId="18238"/>
    <cellStyle name="20 % - Accent3 3 5 5 2 4" xfId="24728"/>
    <cellStyle name="20 % - Accent3 3 5 5 2 5" xfId="37708"/>
    <cellStyle name="20 % - Accent3 3 5 5 2 6" xfId="53937"/>
    <cellStyle name="20 % - Accent3 3 5 5 3" xfId="8500"/>
    <cellStyle name="20 % - Accent3 3 5 5 3 2" xfId="27973"/>
    <cellStyle name="20 % - Accent3 3 5 5 3 3" xfId="40953"/>
    <cellStyle name="20 % - Accent3 3 5 5 3 4" xfId="57182"/>
    <cellStyle name="20 % - Accent3 3 5 5 4" xfId="14993"/>
    <cellStyle name="20 % - Accent3 3 5 5 4 2" xfId="50692"/>
    <cellStyle name="20 % - Accent3 3 5 5 5" xfId="21483"/>
    <cellStyle name="20 % - Accent3 3 5 5 6" xfId="34463"/>
    <cellStyle name="20 % - Accent3 3 5 5 7" xfId="47446"/>
    <cellStyle name="20 % - Accent3 3 5 6" xfId="3589"/>
    <cellStyle name="20 % - Accent3 3 5 6 2" xfId="10121"/>
    <cellStyle name="20 % - Accent3 3 5 6 2 2" xfId="29594"/>
    <cellStyle name="20 % - Accent3 3 5 6 2 3" xfId="42574"/>
    <cellStyle name="20 % - Accent3 3 5 6 2 4" xfId="58803"/>
    <cellStyle name="20 % - Accent3 3 5 6 3" xfId="16614"/>
    <cellStyle name="20 % - Accent3 3 5 6 4" xfId="23104"/>
    <cellStyle name="20 % - Accent3 3 5 6 5" xfId="36084"/>
    <cellStyle name="20 % - Accent3 3 5 6 6" xfId="52313"/>
    <cellStyle name="20 % - Accent3 3 5 7" xfId="6876"/>
    <cellStyle name="20 % - Accent3 3 5 7 2" xfId="26349"/>
    <cellStyle name="20 % - Accent3 3 5 7 3" xfId="39329"/>
    <cellStyle name="20 % - Accent3 3 5 7 4" xfId="55558"/>
    <cellStyle name="20 % - Accent3 3 5 8" xfId="13369"/>
    <cellStyle name="20 % - Accent3 3 5 8 2" xfId="49068"/>
    <cellStyle name="20 % - Accent3 3 5 9" xfId="19859"/>
    <cellStyle name="20 % - Accent3 3 6" xfId="627"/>
    <cellStyle name="20 % - Accent3 3 6 10" xfId="46150"/>
    <cellStyle name="20 % - Accent3 3 6 2" xfId="1346"/>
    <cellStyle name="20 % - Accent3 3 6 2 2" xfId="3013"/>
    <cellStyle name="20 % - Accent3 3 6 2 2 2" xfId="6258"/>
    <cellStyle name="20 % - Accent3 3 6 2 2 2 2" xfId="12790"/>
    <cellStyle name="20 % - Accent3 3 6 2 2 2 2 2" xfId="32263"/>
    <cellStyle name="20 % - Accent3 3 6 2 2 2 2 3" xfId="45243"/>
    <cellStyle name="20 % - Accent3 3 6 2 2 2 2 4" xfId="61472"/>
    <cellStyle name="20 % - Accent3 3 6 2 2 2 3" xfId="19283"/>
    <cellStyle name="20 % - Accent3 3 6 2 2 2 4" xfId="25773"/>
    <cellStyle name="20 % - Accent3 3 6 2 2 2 5" xfId="38753"/>
    <cellStyle name="20 % - Accent3 3 6 2 2 2 6" xfId="54982"/>
    <cellStyle name="20 % - Accent3 3 6 2 2 3" xfId="9545"/>
    <cellStyle name="20 % - Accent3 3 6 2 2 3 2" xfId="29018"/>
    <cellStyle name="20 % - Accent3 3 6 2 2 3 3" xfId="41998"/>
    <cellStyle name="20 % - Accent3 3 6 2 2 3 4" xfId="58227"/>
    <cellStyle name="20 % - Accent3 3 6 2 2 4" xfId="16038"/>
    <cellStyle name="20 % - Accent3 3 6 2 2 4 2" xfId="51737"/>
    <cellStyle name="20 % - Accent3 3 6 2 2 5" xfId="22528"/>
    <cellStyle name="20 % - Accent3 3 6 2 2 6" xfId="35508"/>
    <cellStyle name="20 % - Accent3 3 6 2 2 7" xfId="48491"/>
    <cellStyle name="20 % - Accent3 3 6 2 3" xfId="4635"/>
    <cellStyle name="20 % - Accent3 3 6 2 3 2" xfId="11167"/>
    <cellStyle name="20 % - Accent3 3 6 2 3 2 2" xfId="30640"/>
    <cellStyle name="20 % - Accent3 3 6 2 3 2 3" xfId="43620"/>
    <cellStyle name="20 % - Accent3 3 6 2 3 2 4" xfId="59849"/>
    <cellStyle name="20 % - Accent3 3 6 2 3 3" xfId="17660"/>
    <cellStyle name="20 % - Accent3 3 6 2 3 4" xfId="24150"/>
    <cellStyle name="20 % - Accent3 3 6 2 3 5" xfId="37130"/>
    <cellStyle name="20 % - Accent3 3 6 2 3 6" xfId="53359"/>
    <cellStyle name="20 % - Accent3 3 6 2 4" xfId="7922"/>
    <cellStyle name="20 % - Accent3 3 6 2 4 2" xfId="27395"/>
    <cellStyle name="20 % - Accent3 3 6 2 4 3" xfId="40375"/>
    <cellStyle name="20 % - Accent3 3 6 2 4 4" xfId="56604"/>
    <cellStyle name="20 % - Accent3 3 6 2 5" xfId="14415"/>
    <cellStyle name="20 % - Accent3 3 6 2 5 2" xfId="50114"/>
    <cellStyle name="20 % - Accent3 3 6 2 6" xfId="20905"/>
    <cellStyle name="20 % - Accent3 3 6 2 7" xfId="33885"/>
    <cellStyle name="20 % - Accent3 3 6 2 8" xfId="46868"/>
    <cellStyle name="20 % - Accent3 3 6 3" xfId="882"/>
    <cellStyle name="20 % - Accent3 3 6 3 2" xfId="2550"/>
    <cellStyle name="20 % - Accent3 3 6 3 2 2" xfId="5795"/>
    <cellStyle name="20 % - Accent3 3 6 3 2 2 2" xfId="12327"/>
    <cellStyle name="20 % - Accent3 3 6 3 2 2 2 2" xfId="31800"/>
    <cellStyle name="20 % - Accent3 3 6 3 2 2 2 3" xfId="44780"/>
    <cellStyle name="20 % - Accent3 3 6 3 2 2 2 4" xfId="61009"/>
    <cellStyle name="20 % - Accent3 3 6 3 2 2 3" xfId="18820"/>
    <cellStyle name="20 % - Accent3 3 6 3 2 2 4" xfId="25310"/>
    <cellStyle name="20 % - Accent3 3 6 3 2 2 5" xfId="38290"/>
    <cellStyle name="20 % - Accent3 3 6 3 2 2 6" xfId="54519"/>
    <cellStyle name="20 % - Accent3 3 6 3 2 3" xfId="9082"/>
    <cellStyle name="20 % - Accent3 3 6 3 2 3 2" xfId="28555"/>
    <cellStyle name="20 % - Accent3 3 6 3 2 3 3" xfId="41535"/>
    <cellStyle name="20 % - Accent3 3 6 3 2 3 4" xfId="57764"/>
    <cellStyle name="20 % - Accent3 3 6 3 2 4" xfId="15575"/>
    <cellStyle name="20 % - Accent3 3 6 3 2 4 2" xfId="51274"/>
    <cellStyle name="20 % - Accent3 3 6 3 2 5" xfId="22065"/>
    <cellStyle name="20 % - Accent3 3 6 3 2 6" xfId="35045"/>
    <cellStyle name="20 % - Accent3 3 6 3 2 7" xfId="48028"/>
    <cellStyle name="20 % - Accent3 3 6 3 3" xfId="4172"/>
    <cellStyle name="20 % - Accent3 3 6 3 3 2" xfId="10704"/>
    <cellStyle name="20 % - Accent3 3 6 3 3 2 2" xfId="30177"/>
    <cellStyle name="20 % - Accent3 3 6 3 3 2 3" xfId="43157"/>
    <cellStyle name="20 % - Accent3 3 6 3 3 2 4" xfId="59386"/>
    <cellStyle name="20 % - Accent3 3 6 3 3 3" xfId="17197"/>
    <cellStyle name="20 % - Accent3 3 6 3 3 4" xfId="23687"/>
    <cellStyle name="20 % - Accent3 3 6 3 3 5" xfId="36667"/>
    <cellStyle name="20 % - Accent3 3 6 3 3 6" xfId="52896"/>
    <cellStyle name="20 % - Accent3 3 6 3 4" xfId="7459"/>
    <cellStyle name="20 % - Accent3 3 6 3 4 2" xfId="26932"/>
    <cellStyle name="20 % - Accent3 3 6 3 4 3" xfId="39912"/>
    <cellStyle name="20 % - Accent3 3 6 3 4 4" xfId="56141"/>
    <cellStyle name="20 % - Accent3 3 6 3 5" xfId="13952"/>
    <cellStyle name="20 % - Accent3 3 6 3 5 2" xfId="49651"/>
    <cellStyle name="20 % - Accent3 3 6 3 6" xfId="20442"/>
    <cellStyle name="20 % - Accent3 3 6 3 7" xfId="33422"/>
    <cellStyle name="20 % - Accent3 3 6 3 8" xfId="46405"/>
    <cellStyle name="20 % - Accent3 3 6 4" xfId="2295"/>
    <cellStyle name="20 % - Accent3 3 6 4 2" xfId="5540"/>
    <cellStyle name="20 % - Accent3 3 6 4 2 2" xfId="12072"/>
    <cellStyle name="20 % - Accent3 3 6 4 2 2 2" xfId="31545"/>
    <cellStyle name="20 % - Accent3 3 6 4 2 2 3" xfId="44525"/>
    <cellStyle name="20 % - Accent3 3 6 4 2 2 4" xfId="60754"/>
    <cellStyle name="20 % - Accent3 3 6 4 2 3" xfId="18565"/>
    <cellStyle name="20 % - Accent3 3 6 4 2 4" xfId="25055"/>
    <cellStyle name="20 % - Accent3 3 6 4 2 5" xfId="38035"/>
    <cellStyle name="20 % - Accent3 3 6 4 2 6" xfId="54264"/>
    <cellStyle name="20 % - Accent3 3 6 4 3" xfId="8827"/>
    <cellStyle name="20 % - Accent3 3 6 4 3 2" xfId="28300"/>
    <cellStyle name="20 % - Accent3 3 6 4 3 3" xfId="41280"/>
    <cellStyle name="20 % - Accent3 3 6 4 3 4" xfId="57509"/>
    <cellStyle name="20 % - Accent3 3 6 4 4" xfId="15320"/>
    <cellStyle name="20 % - Accent3 3 6 4 4 2" xfId="51019"/>
    <cellStyle name="20 % - Accent3 3 6 4 5" xfId="21810"/>
    <cellStyle name="20 % - Accent3 3 6 4 6" xfId="34790"/>
    <cellStyle name="20 % - Accent3 3 6 4 7" xfId="47773"/>
    <cellStyle name="20 % - Accent3 3 6 5" xfId="3917"/>
    <cellStyle name="20 % - Accent3 3 6 5 2" xfId="10449"/>
    <cellStyle name="20 % - Accent3 3 6 5 2 2" xfId="29922"/>
    <cellStyle name="20 % - Accent3 3 6 5 2 3" xfId="42902"/>
    <cellStyle name="20 % - Accent3 3 6 5 2 4" xfId="59131"/>
    <cellStyle name="20 % - Accent3 3 6 5 3" xfId="16942"/>
    <cellStyle name="20 % - Accent3 3 6 5 4" xfId="23432"/>
    <cellStyle name="20 % - Accent3 3 6 5 5" xfId="36412"/>
    <cellStyle name="20 % - Accent3 3 6 5 6" xfId="52641"/>
    <cellStyle name="20 % - Accent3 3 6 6" xfId="7204"/>
    <cellStyle name="20 % - Accent3 3 6 6 2" xfId="26677"/>
    <cellStyle name="20 % - Accent3 3 6 6 3" xfId="39657"/>
    <cellStyle name="20 % - Accent3 3 6 6 4" xfId="55886"/>
    <cellStyle name="20 % - Accent3 3 6 7" xfId="13697"/>
    <cellStyle name="20 % - Accent3 3 6 7 2" xfId="49396"/>
    <cellStyle name="20 % - Accent3 3 6 8" xfId="20187"/>
    <cellStyle name="20 % - Accent3 3 6 9" xfId="33167"/>
    <cellStyle name="20 % - Accent3 3 7" xfId="397"/>
    <cellStyle name="20 % - Accent3 3 7 10" xfId="45920"/>
    <cellStyle name="20 % - Accent3 3 7 2" xfId="1566"/>
    <cellStyle name="20 % - Accent3 3 7 2 2" xfId="3233"/>
    <cellStyle name="20 % - Accent3 3 7 2 2 2" xfId="6478"/>
    <cellStyle name="20 % - Accent3 3 7 2 2 2 2" xfId="13010"/>
    <cellStyle name="20 % - Accent3 3 7 2 2 2 2 2" xfId="32483"/>
    <cellStyle name="20 % - Accent3 3 7 2 2 2 2 3" xfId="45463"/>
    <cellStyle name="20 % - Accent3 3 7 2 2 2 2 4" xfId="61692"/>
    <cellStyle name="20 % - Accent3 3 7 2 2 2 3" xfId="19503"/>
    <cellStyle name="20 % - Accent3 3 7 2 2 2 4" xfId="25993"/>
    <cellStyle name="20 % - Accent3 3 7 2 2 2 5" xfId="38973"/>
    <cellStyle name="20 % - Accent3 3 7 2 2 2 6" xfId="55202"/>
    <cellStyle name="20 % - Accent3 3 7 2 2 3" xfId="9765"/>
    <cellStyle name="20 % - Accent3 3 7 2 2 3 2" xfId="29238"/>
    <cellStyle name="20 % - Accent3 3 7 2 2 3 3" xfId="42218"/>
    <cellStyle name="20 % - Accent3 3 7 2 2 3 4" xfId="58447"/>
    <cellStyle name="20 % - Accent3 3 7 2 2 4" xfId="16258"/>
    <cellStyle name="20 % - Accent3 3 7 2 2 4 2" xfId="51957"/>
    <cellStyle name="20 % - Accent3 3 7 2 2 5" xfId="22748"/>
    <cellStyle name="20 % - Accent3 3 7 2 2 6" xfId="35728"/>
    <cellStyle name="20 % - Accent3 3 7 2 2 7" xfId="48711"/>
    <cellStyle name="20 % - Accent3 3 7 2 3" xfId="4855"/>
    <cellStyle name="20 % - Accent3 3 7 2 3 2" xfId="11387"/>
    <cellStyle name="20 % - Accent3 3 7 2 3 2 2" xfId="30860"/>
    <cellStyle name="20 % - Accent3 3 7 2 3 2 3" xfId="43840"/>
    <cellStyle name="20 % - Accent3 3 7 2 3 2 4" xfId="60069"/>
    <cellStyle name="20 % - Accent3 3 7 2 3 3" xfId="17880"/>
    <cellStyle name="20 % - Accent3 3 7 2 3 4" xfId="24370"/>
    <cellStyle name="20 % - Accent3 3 7 2 3 5" xfId="37350"/>
    <cellStyle name="20 % - Accent3 3 7 2 3 6" xfId="53579"/>
    <cellStyle name="20 % - Accent3 3 7 2 4" xfId="8142"/>
    <cellStyle name="20 % - Accent3 3 7 2 4 2" xfId="27615"/>
    <cellStyle name="20 % - Accent3 3 7 2 4 3" xfId="40595"/>
    <cellStyle name="20 % - Accent3 3 7 2 4 4" xfId="56824"/>
    <cellStyle name="20 % - Accent3 3 7 2 5" xfId="14635"/>
    <cellStyle name="20 % - Accent3 3 7 2 5 2" xfId="50334"/>
    <cellStyle name="20 % - Accent3 3 7 2 6" xfId="21125"/>
    <cellStyle name="20 % - Accent3 3 7 2 7" xfId="34105"/>
    <cellStyle name="20 % - Accent3 3 7 2 8" xfId="47088"/>
    <cellStyle name="20 % - Accent3 3 7 3" xfId="1103"/>
    <cellStyle name="20 % - Accent3 3 7 3 2" xfId="2770"/>
    <cellStyle name="20 % - Accent3 3 7 3 2 2" xfId="6015"/>
    <cellStyle name="20 % - Accent3 3 7 3 2 2 2" xfId="12547"/>
    <cellStyle name="20 % - Accent3 3 7 3 2 2 2 2" xfId="32020"/>
    <cellStyle name="20 % - Accent3 3 7 3 2 2 2 3" xfId="45000"/>
    <cellStyle name="20 % - Accent3 3 7 3 2 2 2 4" xfId="61229"/>
    <cellStyle name="20 % - Accent3 3 7 3 2 2 3" xfId="19040"/>
    <cellStyle name="20 % - Accent3 3 7 3 2 2 4" xfId="25530"/>
    <cellStyle name="20 % - Accent3 3 7 3 2 2 5" xfId="38510"/>
    <cellStyle name="20 % - Accent3 3 7 3 2 2 6" xfId="54739"/>
    <cellStyle name="20 % - Accent3 3 7 3 2 3" xfId="9302"/>
    <cellStyle name="20 % - Accent3 3 7 3 2 3 2" xfId="28775"/>
    <cellStyle name="20 % - Accent3 3 7 3 2 3 3" xfId="41755"/>
    <cellStyle name="20 % - Accent3 3 7 3 2 3 4" xfId="57984"/>
    <cellStyle name="20 % - Accent3 3 7 3 2 4" xfId="15795"/>
    <cellStyle name="20 % - Accent3 3 7 3 2 4 2" xfId="51494"/>
    <cellStyle name="20 % - Accent3 3 7 3 2 5" xfId="22285"/>
    <cellStyle name="20 % - Accent3 3 7 3 2 6" xfId="35265"/>
    <cellStyle name="20 % - Accent3 3 7 3 2 7" xfId="48248"/>
    <cellStyle name="20 % - Accent3 3 7 3 3" xfId="4392"/>
    <cellStyle name="20 % - Accent3 3 7 3 3 2" xfId="10924"/>
    <cellStyle name="20 % - Accent3 3 7 3 3 2 2" xfId="30397"/>
    <cellStyle name="20 % - Accent3 3 7 3 3 2 3" xfId="43377"/>
    <cellStyle name="20 % - Accent3 3 7 3 3 2 4" xfId="59606"/>
    <cellStyle name="20 % - Accent3 3 7 3 3 3" xfId="17417"/>
    <cellStyle name="20 % - Accent3 3 7 3 3 4" xfId="23907"/>
    <cellStyle name="20 % - Accent3 3 7 3 3 5" xfId="36887"/>
    <cellStyle name="20 % - Accent3 3 7 3 3 6" xfId="53116"/>
    <cellStyle name="20 % - Accent3 3 7 3 4" xfId="7679"/>
    <cellStyle name="20 % - Accent3 3 7 3 4 2" xfId="27152"/>
    <cellStyle name="20 % - Accent3 3 7 3 4 3" xfId="40132"/>
    <cellStyle name="20 % - Accent3 3 7 3 4 4" xfId="56361"/>
    <cellStyle name="20 % - Accent3 3 7 3 5" xfId="14172"/>
    <cellStyle name="20 % - Accent3 3 7 3 5 2" xfId="49871"/>
    <cellStyle name="20 % - Accent3 3 7 3 6" xfId="20662"/>
    <cellStyle name="20 % - Accent3 3 7 3 7" xfId="33642"/>
    <cellStyle name="20 % - Accent3 3 7 3 8" xfId="46625"/>
    <cellStyle name="20 % - Accent3 3 7 4" xfId="2065"/>
    <cellStyle name="20 % - Accent3 3 7 4 2" xfId="5310"/>
    <cellStyle name="20 % - Accent3 3 7 4 2 2" xfId="11842"/>
    <cellStyle name="20 % - Accent3 3 7 4 2 2 2" xfId="31315"/>
    <cellStyle name="20 % - Accent3 3 7 4 2 2 3" xfId="44295"/>
    <cellStyle name="20 % - Accent3 3 7 4 2 2 4" xfId="60524"/>
    <cellStyle name="20 % - Accent3 3 7 4 2 3" xfId="18335"/>
    <cellStyle name="20 % - Accent3 3 7 4 2 4" xfId="24825"/>
    <cellStyle name="20 % - Accent3 3 7 4 2 5" xfId="37805"/>
    <cellStyle name="20 % - Accent3 3 7 4 2 6" xfId="54034"/>
    <cellStyle name="20 % - Accent3 3 7 4 3" xfId="8597"/>
    <cellStyle name="20 % - Accent3 3 7 4 3 2" xfId="28070"/>
    <cellStyle name="20 % - Accent3 3 7 4 3 3" xfId="41050"/>
    <cellStyle name="20 % - Accent3 3 7 4 3 4" xfId="57279"/>
    <cellStyle name="20 % - Accent3 3 7 4 4" xfId="15090"/>
    <cellStyle name="20 % - Accent3 3 7 4 4 2" xfId="50789"/>
    <cellStyle name="20 % - Accent3 3 7 4 5" xfId="21580"/>
    <cellStyle name="20 % - Accent3 3 7 4 6" xfId="34560"/>
    <cellStyle name="20 % - Accent3 3 7 4 7" xfId="47543"/>
    <cellStyle name="20 % - Accent3 3 7 5" xfId="3687"/>
    <cellStyle name="20 % - Accent3 3 7 5 2" xfId="10219"/>
    <cellStyle name="20 % - Accent3 3 7 5 2 2" xfId="29692"/>
    <cellStyle name="20 % - Accent3 3 7 5 2 3" xfId="42672"/>
    <cellStyle name="20 % - Accent3 3 7 5 2 4" xfId="58901"/>
    <cellStyle name="20 % - Accent3 3 7 5 3" xfId="16712"/>
    <cellStyle name="20 % - Accent3 3 7 5 4" xfId="23202"/>
    <cellStyle name="20 % - Accent3 3 7 5 5" xfId="36182"/>
    <cellStyle name="20 % - Accent3 3 7 5 6" xfId="52411"/>
    <cellStyle name="20 % - Accent3 3 7 6" xfId="6974"/>
    <cellStyle name="20 % - Accent3 3 7 6 2" xfId="26447"/>
    <cellStyle name="20 % - Accent3 3 7 6 3" xfId="39427"/>
    <cellStyle name="20 % - Accent3 3 7 6 4" xfId="55656"/>
    <cellStyle name="20 % - Accent3 3 7 7" xfId="13467"/>
    <cellStyle name="20 % - Accent3 3 7 7 2" xfId="49166"/>
    <cellStyle name="20 % - Accent3 3 7 8" xfId="19957"/>
    <cellStyle name="20 % - Accent3 3 7 9" xfId="32937"/>
    <cellStyle name="20 % - Accent3 3 8" xfId="1323"/>
    <cellStyle name="20 % - Accent3 3 8 2" xfId="2990"/>
    <cellStyle name="20 % - Accent3 3 8 2 2" xfId="6235"/>
    <cellStyle name="20 % - Accent3 3 8 2 2 2" xfId="12767"/>
    <cellStyle name="20 % - Accent3 3 8 2 2 2 2" xfId="32240"/>
    <cellStyle name="20 % - Accent3 3 8 2 2 2 3" xfId="45220"/>
    <cellStyle name="20 % - Accent3 3 8 2 2 2 4" xfId="61449"/>
    <cellStyle name="20 % - Accent3 3 8 2 2 3" xfId="19260"/>
    <cellStyle name="20 % - Accent3 3 8 2 2 4" xfId="25750"/>
    <cellStyle name="20 % - Accent3 3 8 2 2 5" xfId="38730"/>
    <cellStyle name="20 % - Accent3 3 8 2 2 6" xfId="54959"/>
    <cellStyle name="20 % - Accent3 3 8 2 3" xfId="9522"/>
    <cellStyle name="20 % - Accent3 3 8 2 3 2" xfId="28995"/>
    <cellStyle name="20 % - Accent3 3 8 2 3 3" xfId="41975"/>
    <cellStyle name="20 % - Accent3 3 8 2 3 4" xfId="58204"/>
    <cellStyle name="20 % - Accent3 3 8 2 4" xfId="16015"/>
    <cellStyle name="20 % - Accent3 3 8 2 4 2" xfId="51714"/>
    <cellStyle name="20 % - Accent3 3 8 2 5" xfId="22505"/>
    <cellStyle name="20 % - Accent3 3 8 2 6" xfId="35485"/>
    <cellStyle name="20 % - Accent3 3 8 2 7" xfId="48468"/>
    <cellStyle name="20 % - Accent3 3 8 3" xfId="4612"/>
    <cellStyle name="20 % - Accent3 3 8 3 2" xfId="11144"/>
    <cellStyle name="20 % - Accent3 3 8 3 2 2" xfId="30617"/>
    <cellStyle name="20 % - Accent3 3 8 3 2 3" xfId="43597"/>
    <cellStyle name="20 % - Accent3 3 8 3 2 4" xfId="59826"/>
    <cellStyle name="20 % - Accent3 3 8 3 3" xfId="17637"/>
    <cellStyle name="20 % - Accent3 3 8 3 4" xfId="24127"/>
    <cellStyle name="20 % - Accent3 3 8 3 5" xfId="37107"/>
    <cellStyle name="20 % - Accent3 3 8 3 6" xfId="53336"/>
    <cellStyle name="20 % - Accent3 3 8 4" xfId="7899"/>
    <cellStyle name="20 % - Accent3 3 8 4 2" xfId="27372"/>
    <cellStyle name="20 % - Accent3 3 8 4 3" xfId="40352"/>
    <cellStyle name="20 % - Accent3 3 8 4 4" xfId="56581"/>
    <cellStyle name="20 % - Accent3 3 8 5" xfId="14392"/>
    <cellStyle name="20 % - Accent3 3 8 5 2" xfId="50091"/>
    <cellStyle name="20 % - Accent3 3 8 6" xfId="20882"/>
    <cellStyle name="20 % - Accent3 3 8 7" xfId="33862"/>
    <cellStyle name="20 % - Accent3 3 8 8" xfId="46845"/>
    <cellStyle name="20 % - Accent3 3 9" xfId="859"/>
    <cellStyle name="20 % - Accent3 3 9 2" xfId="2527"/>
    <cellStyle name="20 % - Accent3 3 9 2 2" xfId="5772"/>
    <cellStyle name="20 % - Accent3 3 9 2 2 2" xfId="12304"/>
    <cellStyle name="20 % - Accent3 3 9 2 2 2 2" xfId="31777"/>
    <cellStyle name="20 % - Accent3 3 9 2 2 2 3" xfId="44757"/>
    <cellStyle name="20 % - Accent3 3 9 2 2 2 4" xfId="60986"/>
    <cellStyle name="20 % - Accent3 3 9 2 2 3" xfId="18797"/>
    <cellStyle name="20 % - Accent3 3 9 2 2 4" xfId="25287"/>
    <cellStyle name="20 % - Accent3 3 9 2 2 5" xfId="38267"/>
    <cellStyle name="20 % - Accent3 3 9 2 2 6" xfId="54496"/>
    <cellStyle name="20 % - Accent3 3 9 2 3" xfId="9059"/>
    <cellStyle name="20 % - Accent3 3 9 2 3 2" xfId="28532"/>
    <cellStyle name="20 % - Accent3 3 9 2 3 3" xfId="41512"/>
    <cellStyle name="20 % - Accent3 3 9 2 3 4" xfId="57741"/>
    <cellStyle name="20 % - Accent3 3 9 2 4" xfId="15552"/>
    <cellStyle name="20 % - Accent3 3 9 2 4 2" xfId="51251"/>
    <cellStyle name="20 % - Accent3 3 9 2 5" xfId="22042"/>
    <cellStyle name="20 % - Accent3 3 9 2 6" xfId="35022"/>
    <cellStyle name="20 % - Accent3 3 9 2 7" xfId="48005"/>
    <cellStyle name="20 % - Accent3 3 9 3" xfId="4149"/>
    <cellStyle name="20 % - Accent3 3 9 3 2" xfId="10681"/>
    <cellStyle name="20 % - Accent3 3 9 3 2 2" xfId="30154"/>
    <cellStyle name="20 % - Accent3 3 9 3 2 3" xfId="43134"/>
    <cellStyle name="20 % - Accent3 3 9 3 2 4" xfId="59363"/>
    <cellStyle name="20 % - Accent3 3 9 3 3" xfId="17174"/>
    <cellStyle name="20 % - Accent3 3 9 3 4" xfId="23664"/>
    <cellStyle name="20 % - Accent3 3 9 3 5" xfId="36644"/>
    <cellStyle name="20 % - Accent3 3 9 3 6" xfId="52873"/>
    <cellStyle name="20 % - Accent3 3 9 4" xfId="7436"/>
    <cellStyle name="20 % - Accent3 3 9 4 2" xfId="26909"/>
    <cellStyle name="20 % - Accent3 3 9 4 3" xfId="39889"/>
    <cellStyle name="20 % - Accent3 3 9 4 4" xfId="56118"/>
    <cellStyle name="20 % - Accent3 3 9 5" xfId="13929"/>
    <cellStyle name="20 % - Accent3 3 9 5 2" xfId="49628"/>
    <cellStyle name="20 % - Accent3 3 9 6" xfId="20419"/>
    <cellStyle name="20 % - Accent3 3 9 7" xfId="33399"/>
    <cellStyle name="20 % - Accent3 3 9 8" xfId="46382"/>
    <cellStyle name="20 % - Accent3 4" xfId="1787"/>
    <cellStyle name="20 % - Accent3 5" xfId="6696"/>
    <cellStyle name="20 % - Accent3 6" xfId="61915"/>
    <cellStyle name="20 % - Accent3 7" xfId="61933"/>
    <cellStyle name="20 % - Accent3 8" xfId="61945"/>
    <cellStyle name="20 % - Accent3 9" xfId="43"/>
    <cellStyle name="20 % - Accent4 2" xfId="87"/>
    <cellStyle name="20 % - Accent4 3" xfId="158"/>
    <cellStyle name="20 % - Accent4 3 10" xfId="1837"/>
    <cellStyle name="20 % - Accent4 3 10 2" xfId="5083"/>
    <cellStyle name="20 % - Accent4 3 10 2 2" xfId="11615"/>
    <cellStyle name="20 % - Accent4 3 10 2 2 2" xfId="31088"/>
    <cellStyle name="20 % - Accent4 3 10 2 2 3" xfId="44068"/>
    <cellStyle name="20 % - Accent4 3 10 2 2 4" xfId="60297"/>
    <cellStyle name="20 % - Accent4 3 10 2 3" xfId="18108"/>
    <cellStyle name="20 % - Accent4 3 10 2 4" xfId="24598"/>
    <cellStyle name="20 % - Accent4 3 10 2 5" xfId="37578"/>
    <cellStyle name="20 % - Accent4 3 10 2 6" xfId="53807"/>
    <cellStyle name="20 % - Accent4 3 10 3" xfId="8370"/>
    <cellStyle name="20 % - Accent4 3 10 3 2" xfId="27843"/>
    <cellStyle name="20 % - Accent4 3 10 3 3" xfId="40823"/>
    <cellStyle name="20 % - Accent4 3 10 3 4" xfId="57052"/>
    <cellStyle name="20 % - Accent4 3 10 4" xfId="14863"/>
    <cellStyle name="20 % - Accent4 3 10 4 2" xfId="50562"/>
    <cellStyle name="20 % - Accent4 3 10 5" xfId="21353"/>
    <cellStyle name="20 % - Accent4 3 10 6" xfId="34333"/>
    <cellStyle name="20 % - Accent4 3 10 7" xfId="47316"/>
    <cellStyle name="20 % - Accent4 3 11" xfId="3459"/>
    <cellStyle name="20 % - Accent4 3 11 2" xfId="9991"/>
    <cellStyle name="20 % - Accent4 3 11 2 2" xfId="29464"/>
    <cellStyle name="20 % - Accent4 3 11 2 3" xfId="42444"/>
    <cellStyle name="20 % - Accent4 3 11 2 4" xfId="58673"/>
    <cellStyle name="20 % - Accent4 3 11 3" xfId="16484"/>
    <cellStyle name="20 % - Accent4 3 11 4" xfId="22974"/>
    <cellStyle name="20 % - Accent4 3 11 5" xfId="35954"/>
    <cellStyle name="20 % - Accent4 3 11 6" xfId="52183"/>
    <cellStyle name="20 % - Accent4 3 12" xfId="6746"/>
    <cellStyle name="20 % - Accent4 3 12 2" xfId="26219"/>
    <cellStyle name="20 % - Accent4 3 12 3" xfId="39199"/>
    <cellStyle name="20 % - Accent4 3 12 4" xfId="55428"/>
    <cellStyle name="20 % - Accent4 3 13" xfId="13239"/>
    <cellStyle name="20 % - Accent4 3 13 2" xfId="48938"/>
    <cellStyle name="20 % - Accent4 3 14" xfId="19729"/>
    <cellStyle name="20 % - Accent4 3 15" xfId="32709"/>
    <cellStyle name="20 % - Accent4 3 16" xfId="45692"/>
    <cellStyle name="20 % - Accent4 3 2" xfId="186"/>
    <cellStyle name="20 % - Accent4 3 2 10" xfId="6768"/>
    <cellStyle name="20 % - Accent4 3 2 10 2" xfId="26241"/>
    <cellStyle name="20 % - Accent4 3 2 10 3" xfId="39221"/>
    <cellStyle name="20 % - Accent4 3 2 10 4" xfId="55450"/>
    <cellStyle name="20 % - Accent4 3 2 11" xfId="13261"/>
    <cellStyle name="20 % - Accent4 3 2 11 2" xfId="48960"/>
    <cellStyle name="20 % - Accent4 3 2 12" xfId="19751"/>
    <cellStyle name="20 % - Accent4 3 2 13" xfId="32731"/>
    <cellStyle name="20 % - Accent4 3 2 14" xfId="45714"/>
    <cellStyle name="20 % - Accent4 3 2 2" xfId="275"/>
    <cellStyle name="20 % - Accent4 3 2 2 10" xfId="19839"/>
    <cellStyle name="20 % - Accent4 3 2 2 11" xfId="32819"/>
    <cellStyle name="20 % - Accent4 3 2 2 12" xfId="45802"/>
    <cellStyle name="20 % - Accent4 3 2 2 2" xfId="363"/>
    <cellStyle name="20 % - Accent4 3 2 2 2 10" xfId="32907"/>
    <cellStyle name="20 % - Accent4 3 2 2 2 11" xfId="45890"/>
    <cellStyle name="20 % - Accent4 3 2 2 2 2" xfId="827"/>
    <cellStyle name="20 % - Accent4 3 2 2 2 2 10" xfId="46350"/>
    <cellStyle name="20 % - Accent4 3 2 2 2 2 2" xfId="1766"/>
    <cellStyle name="20 % - Accent4 3 2 2 2 2 2 2" xfId="3433"/>
    <cellStyle name="20 % - Accent4 3 2 2 2 2 2 2 2" xfId="6678"/>
    <cellStyle name="20 % - Accent4 3 2 2 2 2 2 2 2 2" xfId="13210"/>
    <cellStyle name="20 % - Accent4 3 2 2 2 2 2 2 2 2 2" xfId="32683"/>
    <cellStyle name="20 % - Accent4 3 2 2 2 2 2 2 2 2 3" xfId="45663"/>
    <cellStyle name="20 % - Accent4 3 2 2 2 2 2 2 2 2 4" xfId="61892"/>
    <cellStyle name="20 % - Accent4 3 2 2 2 2 2 2 2 3" xfId="19703"/>
    <cellStyle name="20 % - Accent4 3 2 2 2 2 2 2 2 4" xfId="26193"/>
    <cellStyle name="20 % - Accent4 3 2 2 2 2 2 2 2 5" xfId="39173"/>
    <cellStyle name="20 % - Accent4 3 2 2 2 2 2 2 2 6" xfId="55402"/>
    <cellStyle name="20 % - Accent4 3 2 2 2 2 2 2 3" xfId="9965"/>
    <cellStyle name="20 % - Accent4 3 2 2 2 2 2 2 3 2" xfId="29438"/>
    <cellStyle name="20 % - Accent4 3 2 2 2 2 2 2 3 3" xfId="42418"/>
    <cellStyle name="20 % - Accent4 3 2 2 2 2 2 2 3 4" xfId="58647"/>
    <cellStyle name="20 % - Accent4 3 2 2 2 2 2 2 4" xfId="16458"/>
    <cellStyle name="20 % - Accent4 3 2 2 2 2 2 2 4 2" xfId="52157"/>
    <cellStyle name="20 % - Accent4 3 2 2 2 2 2 2 5" xfId="22948"/>
    <cellStyle name="20 % - Accent4 3 2 2 2 2 2 2 6" xfId="35928"/>
    <cellStyle name="20 % - Accent4 3 2 2 2 2 2 2 7" xfId="48911"/>
    <cellStyle name="20 % - Accent4 3 2 2 2 2 2 3" xfId="5055"/>
    <cellStyle name="20 % - Accent4 3 2 2 2 2 2 3 2" xfId="11587"/>
    <cellStyle name="20 % - Accent4 3 2 2 2 2 2 3 2 2" xfId="31060"/>
    <cellStyle name="20 % - Accent4 3 2 2 2 2 2 3 2 3" xfId="44040"/>
    <cellStyle name="20 % - Accent4 3 2 2 2 2 2 3 2 4" xfId="60269"/>
    <cellStyle name="20 % - Accent4 3 2 2 2 2 2 3 3" xfId="18080"/>
    <cellStyle name="20 % - Accent4 3 2 2 2 2 2 3 4" xfId="24570"/>
    <cellStyle name="20 % - Accent4 3 2 2 2 2 2 3 5" xfId="37550"/>
    <cellStyle name="20 % - Accent4 3 2 2 2 2 2 3 6" xfId="53779"/>
    <cellStyle name="20 % - Accent4 3 2 2 2 2 2 4" xfId="8342"/>
    <cellStyle name="20 % - Accent4 3 2 2 2 2 2 4 2" xfId="27815"/>
    <cellStyle name="20 % - Accent4 3 2 2 2 2 2 4 3" xfId="40795"/>
    <cellStyle name="20 % - Accent4 3 2 2 2 2 2 4 4" xfId="57024"/>
    <cellStyle name="20 % - Accent4 3 2 2 2 2 2 5" xfId="14835"/>
    <cellStyle name="20 % - Accent4 3 2 2 2 2 2 5 2" xfId="50534"/>
    <cellStyle name="20 % - Accent4 3 2 2 2 2 2 6" xfId="21325"/>
    <cellStyle name="20 % - Accent4 3 2 2 2 2 2 7" xfId="34305"/>
    <cellStyle name="20 % - Accent4 3 2 2 2 2 2 8" xfId="47288"/>
    <cellStyle name="20 % - Accent4 3 2 2 2 2 3" xfId="1303"/>
    <cellStyle name="20 % - Accent4 3 2 2 2 2 3 2" xfId="2970"/>
    <cellStyle name="20 % - Accent4 3 2 2 2 2 3 2 2" xfId="6215"/>
    <cellStyle name="20 % - Accent4 3 2 2 2 2 3 2 2 2" xfId="12747"/>
    <cellStyle name="20 % - Accent4 3 2 2 2 2 3 2 2 2 2" xfId="32220"/>
    <cellStyle name="20 % - Accent4 3 2 2 2 2 3 2 2 2 3" xfId="45200"/>
    <cellStyle name="20 % - Accent4 3 2 2 2 2 3 2 2 2 4" xfId="61429"/>
    <cellStyle name="20 % - Accent4 3 2 2 2 2 3 2 2 3" xfId="19240"/>
    <cellStyle name="20 % - Accent4 3 2 2 2 2 3 2 2 4" xfId="25730"/>
    <cellStyle name="20 % - Accent4 3 2 2 2 2 3 2 2 5" xfId="38710"/>
    <cellStyle name="20 % - Accent4 3 2 2 2 2 3 2 2 6" xfId="54939"/>
    <cellStyle name="20 % - Accent4 3 2 2 2 2 3 2 3" xfId="9502"/>
    <cellStyle name="20 % - Accent4 3 2 2 2 2 3 2 3 2" xfId="28975"/>
    <cellStyle name="20 % - Accent4 3 2 2 2 2 3 2 3 3" xfId="41955"/>
    <cellStyle name="20 % - Accent4 3 2 2 2 2 3 2 3 4" xfId="58184"/>
    <cellStyle name="20 % - Accent4 3 2 2 2 2 3 2 4" xfId="15995"/>
    <cellStyle name="20 % - Accent4 3 2 2 2 2 3 2 4 2" xfId="51694"/>
    <cellStyle name="20 % - Accent4 3 2 2 2 2 3 2 5" xfId="22485"/>
    <cellStyle name="20 % - Accent4 3 2 2 2 2 3 2 6" xfId="35465"/>
    <cellStyle name="20 % - Accent4 3 2 2 2 2 3 2 7" xfId="48448"/>
    <cellStyle name="20 % - Accent4 3 2 2 2 2 3 3" xfId="4592"/>
    <cellStyle name="20 % - Accent4 3 2 2 2 2 3 3 2" xfId="11124"/>
    <cellStyle name="20 % - Accent4 3 2 2 2 2 3 3 2 2" xfId="30597"/>
    <cellStyle name="20 % - Accent4 3 2 2 2 2 3 3 2 3" xfId="43577"/>
    <cellStyle name="20 % - Accent4 3 2 2 2 2 3 3 2 4" xfId="59806"/>
    <cellStyle name="20 % - Accent4 3 2 2 2 2 3 3 3" xfId="17617"/>
    <cellStyle name="20 % - Accent4 3 2 2 2 2 3 3 4" xfId="24107"/>
    <cellStyle name="20 % - Accent4 3 2 2 2 2 3 3 5" xfId="37087"/>
    <cellStyle name="20 % - Accent4 3 2 2 2 2 3 3 6" xfId="53316"/>
    <cellStyle name="20 % - Accent4 3 2 2 2 2 3 4" xfId="7879"/>
    <cellStyle name="20 % - Accent4 3 2 2 2 2 3 4 2" xfId="27352"/>
    <cellStyle name="20 % - Accent4 3 2 2 2 2 3 4 3" xfId="40332"/>
    <cellStyle name="20 % - Accent4 3 2 2 2 2 3 4 4" xfId="56561"/>
    <cellStyle name="20 % - Accent4 3 2 2 2 2 3 5" xfId="14372"/>
    <cellStyle name="20 % - Accent4 3 2 2 2 2 3 5 2" xfId="50071"/>
    <cellStyle name="20 % - Accent4 3 2 2 2 2 3 6" xfId="20862"/>
    <cellStyle name="20 % - Accent4 3 2 2 2 2 3 7" xfId="33842"/>
    <cellStyle name="20 % - Accent4 3 2 2 2 2 3 8" xfId="46825"/>
    <cellStyle name="20 % - Accent4 3 2 2 2 2 4" xfId="2495"/>
    <cellStyle name="20 % - Accent4 3 2 2 2 2 4 2" xfId="5740"/>
    <cellStyle name="20 % - Accent4 3 2 2 2 2 4 2 2" xfId="12272"/>
    <cellStyle name="20 % - Accent4 3 2 2 2 2 4 2 2 2" xfId="31745"/>
    <cellStyle name="20 % - Accent4 3 2 2 2 2 4 2 2 3" xfId="44725"/>
    <cellStyle name="20 % - Accent4 3 2 2 2 2 4 2 2 4" xfId="60954"/>
    <cellStyle name="20 % - Accent4 3 2 2 2 2 4 2 3" xfId="18765"/>
    <cellStyle name="20 % - Accent4 3 2 2 2 2 4 2 4" xfId="25255"/>
    <cellStyle name="20 % - Accent4 3 2 2 2 2 4 2 5" xfId="38235"/>
    <cellStyle name="20 % - Accent4 3 2 2 2 2 4 2 6" xfId="54464"/>
    <cellStyle name="20 % - Accent4 3 2 2 2 2 4 3" xfId="9027"/>
    <cellStyle name="20 % - Accent4 3 2 2 2 2 4 3 2" xfId="28500"/>
    <cellStyle name="20 % - Accent4 3 2 2 2 2 4 3 3" xfId="41480"/>
    <cellStyle name="20 % - Accent4 3 2 2 2 2 4 3 4" xfId="57709"/>
    <cellStyle name="20 % - Accent4 3 2 2 2 2 4 4" xfId="15520"/>
    <cellStyle name="20 % - Accent4 3 2 2 2 2 4 4 2" xfId="51219"/>
    <cellStyle name="20 % - Accent4 3 2 2 2 2 4 5" xfId="22010"/>
    <cellStyle name="20 % - Accent4 3 2 2 2 2 4 6" xfId="34990"/>
    <cellStyle name="20 % - Accent4 3 2 2 2 2 4 7" xfId="47973"/>
    <cellStyle name="20 % - Accent4 3 2 2 2 2 5" xfId="4117"/>
    <cellStyle name="20 % - Accent4 3 2 2 2 2 5 2" xfId="10649"/>
    <cellStyle name="20 % - Accent4 3 2 2 2 2 5 2 2" xfId="30122"/>
    <cellStyle name="20 % - Accent4 3 2 2 2 2 5 2 3" xfId="43102"/>
    <cellStyle name="20 % - Accent4 3 2 2 2 2 5 2 4" xfId="59331"/>
    <cellStyle name="20 % - Accent4 3 2 2 2 2 5 3" xfId="17142"/>
    <cellStyle name="20 % - Accent4 3 2 2 2 2 5 4" xfId="23632"/>
    <cellStyle name="20 % - Accent4 3 2 2 2 2 5 5" xfId="36612"/>
    <cellStyle name="20 % - Accent4 3 2 2 2 2 5 6" xfId="52841"/>
    <cellStyle name="20 % - Accent4 3 2 2 2 2 6" xfId="7404"/>
    <cellStyle name="20 % - Accent4 3 2 2 2 2 6 2" xfId="26877"/>
    <cellStyle name="20 % - Accent4 3 2 2 2 2 6 3" xfId="39857"/>
    <cellStyle name="20 % - Accent4 3 2 2 2 2 6 4" xfId="56086"/>
    <cellStyle name="20 % - Accent4 3 2 2 2 2 7" xfId="13897"/>
    <cellStyle name="20 % - Accent4 3 2 2 2 2 7 2" xfId="49596"/>
    <cellStyle name="20 % - Accent4 3 2 2 2 2 8" xfId="20387"/>
    <cellStyle name="20 % - Accent4 3 2 2 2 2 9" xfId="33367"/>
    <cellStyle name="20 % - Accent4 3 2 2 2 3" xfId="597"/>
    <cellStyle name="20 % - Accent4 3 2 2 2 3 2" xfId="1546"/>
    <cellStyle name="20 % - Accent4 3 2 2 2 3 2 2" xfId="3213"/>
    <cellStyle name="20 % - Accent4 3 2 2 2 3 2 2 2" xfId="6458"/>
    <cellStyle name="20 % - Accent4 3 2 2 2 3 2 2 2 2" xfId="12990"/>
    <cellStyle name="20 % - Accent4 3 2 2 2 3 2 2 2 2 2" xfId="32463"/>
    <cellStyle name="20 % - Accent4 3 2 2 2 3 2 2 2 2 3" xfId="45443"/>
    <cellStyle name="20 % - Accent4 3 2 2 2 3 2 2 2 2 4" xfId="61672"/>
    <cellStyle name="20 % - Accent4 3 2 2 2 3 2 2 2 3" xfId="19483"/>
    <cellStyle name="20 % - Accent4 3 2 2 2 3 2 2 2 4" xfId="25973"/>
    <cellStyle name="20 % - Accent4 3 2 2 2 3 2 2 2 5" xfId="38953"/>
    <cellStyle name="20 % - Accent4 3 2 2 2 3 2 2 2 6" xfId="55182"/>
    <cellStyle name="20 % - Accent4 3 2 2 2 3 2 2 3" xfId="9745"/>
    <cellStyle name="20 % - Accent4 3 2 2 2 3 2 2 3 2" xfId="29218"/>
    <cellStyle name="20 % - Accent4 3 2 2 2 3 2 2 3 3" xfId="42198"/>
    <cellStyle name="20 % - Accent4 3 2 2 2 3 2 2 3 4" xfId="58427"/>
    <cellStyle name="20 % - Accent4 3 2 2 2 3 2 2 4" xfId="16238"/>
    <cellStyle name="20 % - Accent4 3 2 2 2 3 2 2 4 2" xfId="51937"/>
    <cellStyle name="20 % - Accent4 3 2 2 2 3 2 2 5" xfId="22728"/>
    <cellStyle name="20 % - Accent4 3 2 2 2 3 2 2 6" xfId="35708"/>
    <cellStyle name="20 % - Accent4 3 2 2 2 3 2 2 7" xfId="48691"/>
    <cellStyle name="20 % - Accent4 3 2 2 2 3 2 3" xfId="4835"/>
    <cellStyle name="20 % - Accent4 3 2 2 2 3 2 3 2" xfId="11367"/>
    <cellStyle name="20 % - Accent4 3 2 2 2 3 2 3 2 2" xfId="30840"/>
    <cellStyle name="20 % - Accent4 3 2 2 2 3 2 3 2 3" xfId="43820"/>
    <cellStyle name="20 % - Accent4 3 2 2 2 3 2 3 2 4" xfId="60049"/>
    <cellStyle name="20 % - Accent4 3 2 2 2 3 2 3 3" xfId="17860"/>
    <cellStyle name="20 % - Accent4 3 2 2 2 3 2 3 4" xfId="24350"/>
    <cellStyle name="20 % - Accent4 3 2 2 2 3 2 3 5" xfId="37330"/>
    <cellStyle name="20 % - Accent4 3 2 2 2 3 2 3 6" xfId="53559"/>
    <cellStyle name="20 % - Accent4 3 2 2 2 3 2 4" xfId="8122"/>
    <cellStyle name="20 % - Accent4 3 2 2 2 3 2 4 2" xfId="27595"/>
    <cellStyle name="20 % - Accent4 3 2 2 2 3 2 4 3" xfId="40575"/>
    <cellStyle name="20 % - Accent4 3 2 2 2 3 2 4 4" xfId="56804"/>
    <cellStyle name="20 % - Accent4 3 2 2 2 3 2 5" xfId="14615"/>
    <cellStyle name="20 % - Accent4 3 2 2 2 3 2 5 2" xfId="50314"/>
    <cellStyle name="20 % - Accent4 3 2 2 2 3 2 6" xfId="21105"/>
    <cellStyle name="20 % - Accent4 3 2 2 2 3 2 7" xfId="34085"/>
    <cellStyle name="20 % - Accent4 3 2 2 2 3 2 8" xfId="47068"/>
    <cellStyle name="20 % - Accent4 3 2 2 2 3 3" xfId="2265"/>
    <cellStyle name="20 % - Accent4 3 2 2 2 3 3 2" xfId="5510"/>
    <cellStyle name="20 % - Accent4 3 2 2 2 3 3 2 2" xfId="12042"/>
    <cellStyle name="20 % - Accent4 3 2 2 2 3 3 2 2 2" xfId="31515"/>
    <cellStyle name="20 % - Accent4 3 2 2 2 3 3 2 2 3" xfId="44495"/>
    <cellStyle name="20 % - Accent4 3 2 2 2 3 3 2 2 4" xfId="60724"/>
    <cellStyle name="20 % - Accent4 3 2 2 2 3 3 2 3" xfId="18535"/>
    <cellStyle name="20 % - Accent4 3 2 2 2 3 3 2 4" xfId="25025"/>
    <cellStyle name="20 % - Accent4 3 2 2 2 3 3 2 5" xfId="38005"/>
    <cellStyle name="20 % - Accent4 3 2 2 2 3 3 2 6" xfId="54234"/>
    <cellStyle name="20 % - Accent4 3 2 2 2 3 3 3" xfId="8797"/>
    <cellStyle name="20 % - Accent4 3 2 2 2 3 3 3 2" xfId="28270"/>
    <cellStyle name="20 % - Accent4 3 2 2 2 3 3 3 3" xfId="41250"/>
    <cellStyle name="20 % - Accent4 3 2 2 2 3 3 3 4" xfId="57479"/>
    <cellStyle name="20 % - Accent4 3 2 2 2 3 3 4" xfId="15290"/>
    <cellStyle name="20 % - Accent4 3 2 2 2 3 3 4 2" xfId="50989"/>
    <cellStyle name="20 % - Accent4 3 2 2 2 3 3 5" xfId="21780"/>
    <cellStyle name="20 % - Accent4 3 2 2 2 3 3 6" xfId="34760"/>
    <cellStyle name="20 % - Accent4 3 2 2 2 3 3 7" xfId="47743"/>
    <cellStyle name="20 % - Accent4 3 2 2 2 3 4" xfId="3887"/>
    <cellStyle name="20 % - Accent4 3 2 2 2 3 4 2" xfId="10419"/>
    <cellStyle name="20 % - Accent4 3 2 2 2 3 4 2 2" xfId="29892"/>
    <cellStyle name="20 % - Accent4 3 2 2 2 3 4 2 3" xfId="42872"/>
    <cellStyle name="20 % - Accent4 3 2 2 2 3 4 2 4" xfId="59101"/>
    <cellStyle name="20 % - Accent4 3 2 2 2 3 4 3" xfId="16912"/>
    <cellStyle name="20 % - Accent4 3 2 2 2 3 4 4" xfId="23402"/>
    <cellStyle name="20 % - Accent4 3 2 2 2 3 4 5" xfId="36382"/>
    <cellStyle name="20 % - Accent4 3 2 2 2 3 4 6" xfId="52611"/>
    <cellStyle name="20 % - Accent4 3 2 2 2 3 5" xfId="7174"/>
    <cellStyle name="20 % - Accent4 3 2 2 2 3 5 2" xfId="26647"/>
    <cellStyle name="20 % - Accent4 3 2 2 2 3 5 3" xfId="39627"/>
    <cellStyle name="20 % - Accent4 3 2 2 2 3 5 4" xfId="55856"/>
    <cellStyle name="20 % - Accent4 3 2 2 2 3 6" xfId="13667"/>
    <cellStyle name="20 % - Accent4 3 2 2 2 3 6 2" xfId="49366"/>
    <cellStyle name="20 % - Accent4 3 2 2 2 3 7" xfId="20157"/>
    <cellStyle name="20 % - Accent4 3 2 2 2 3 8" xfId="33137"/>
    <cellStyle name="20 % - Accent4 3 2 2 2 3 9" xfId="46120"/>
    <cellStyle name="20 % - Accent4 3 2 2 2 4" xfId="1083"/>
    <cellStyle name="20 % - Accent4 3 2 2 2 4 2" xfId="2750"/>
    <cellStyle name="20 % - Accent4 3 2 2 2 4 2 2" xfId="5995"/>
    <cellStyle name="20 % - Accent4 3 2 2 2 4 2 2 2" xfId="12527"/>
    <cellStyle name="20 % - Accent4 3 2 2 2 4 2 2 2 2" xfId="32000"/>
    <cellStyle name="20 % - Accent4 3 2 2 2 4 2 2 2 3" xfId="44980"/>
    <cellStyle name="20 % - Accent4 3 2 2 2 4 2 2 2 4" xfId="61209"/>
    <cellStyle name="20 % - Accent4 3 2 2 2 4 2 2 3" xfId="19020"/>
    <cellStyle name="20 % - Accent4 3 2 2 2 4 2 2 4" xfId="25510"/>
    <cellStyle name="20 % - Accent4 3 2 2 2 4 2 2 5" xfId="38490"/>
    <cellStyle name="20 % - Accent4 3 2 2 2 4 2 2 6" xfId="54719"/>
    <cellStyle name="20 % - Accent4 3 2 2 2 4 2 3" xfId="9282"/>
    <cellStyle name="20 % - Accent4 3 2 2 2 4 2 3 2" xfId="28755"/>
    <cellStyle name="20 % - Accent4 3 2 2 2 4 2 3 3" xfId="41735"/>
    <cellStyle name="20 % - Accent4 3 2 2 2 4 2 3 4" xfId="57964"/>
    <cellStyle name="20 % - Accent4 3 2 2 2 4 2 4" xfId="15775"/>
    <cellStyle name="20 % - Accent4 3 2 2 2 4 2 4 2" xfId="51474"/>
    <cellStyle name="20 % - Accent4 3 2 2 2 4 2 5" xfId="22265"/>
    <cellStyle name="20 % - Accent4 3 2 2 2 4 2 6" xfId="35245"/>
    <cellStyle name="20 % - Accent4 3 2 2 2 4 2 7" xfId="48228"/>
    <cellStyle name="20 % - Accent4 3 2 2 2 4 3" xfId="4372"/>
    <cellStyle name="20 % - Accent4 3 2 2 2 4 3 2" xfId="10904"/>
    <cellStyle name="20 % - Accent4 3 2 2 2 4 3 2 2" xfId="30377"/>
    <cellStyle name="20 % - Accent4 3 2 2 2 4 3 2 3" xfId="43357"/>
    <cellStyle name="20 % - Accent4 3 2 2 2 4 3 2 4" xfId="59586"/>
    <cellStyle name="20 % - Accent4 3 2 2 2 4 3 3" xfId="17397"/>
    <cellStyle name="20 % - Accent4 3 2 2 2 4 3 4" xfId="23887"/>
    <cellStyle name="20 % - Accent4 3 2 2 2 4 3 5" xfId="36867"/>
    <cellStyle name="20 % - Accent4 3 2 2 2 4 3 6" xfId="53096"/>
    <cellStyle name="20 % - Accent4 3 2 2 2 4 4" xfId="7659"/>
    <cellStyle name="20 % - Accent4 3 2 2 2 4 4 2" xfId="27132"/>
    <cellStyle name="20 % - Accent4 3 2 2 2 4 4 3" xfId="40112"/>
    <cellStyle name="20 % - Accent4 3 2 2 2 4 4 4" xfId="56341"/>
    <cellStyle name="20 % - Accent4 3 2 2 2 4 5" xfId="14152"/>
    <cellStyle name="20 % - Accent4 3 2 2 2 4 5 2" xfId="49851"/>
    <cellStyle name="20 % - Accent4 3 2 2 2 4 6" xfId="20642"/>
    <cellStyle name="20 % - Accent4 3 2 2 2 4 7" xfId="33622"/>
    <cellStyle name="20 % - Accent4 3 2 2 2 4 8" xfId="46605"/>
    <cellStyle name="20 % - Accent4 3 2 2 2 5" xfId="2036"/>
    <cellStyle name="20 % - Accent4 3 2 2 2 5 2" xfId="5281"/>
    <cellStyle name="20 % - Accent4 3 2 2 2 5 2 2" xfId="11813"/>
    <cellStyle name="20 % - Accent4 3 2 2 2 5 2 2 2" xfId="31286"/>
    <cellStyle name="20 % - Accent4 3 2 2 2 5 2 2 3" xfId="44266"/>
    <cellStyle name="20 % - Accent4 3 2 2 2 5 2 2 4" xfId="60495"/>
    <cellStyle name="20 % - Accent4 3 2 2 2 5 2 3" xfId="18306"/>
    <cellStyle name="20 % - Accent4 3 2 2 2 5 2 4" xfId="24796"/>
    <cellStyle name="20 % - Accent4 3 2 2 2 5 2 5" xfId="37776"/>
    <cellStyle name="20 % - Accent4 3 2 2 2 5 2 6" xfId="54005"/>
    <cellStyle name="20 % - Accent4 3 2 2 2 5 3" xfId="8568"/>
    <cellStyle name="20 % - Accent4 3 2 2 2 5 3 2" xfId="28041"/>
    <cellStyle name="20 % - Accent4 3 2 2 2 5 3 3" xfId="41021"/>
    <cellStyle name="20 % - Accent4 3 2 2 2 5 3 4" xfId="57250"/>
    <cellStyle name="20 % - Accent4 3 2 2 2 5 4" xfId="15061"/>
    <cellStyle name="20 % - Accent4 3 2 2 2 5 4 2" xfId="50760"/>
    <cellStyle name="20 % - Accent4 3 2 2 2 5 5" xfId="21551"/>
    <cellStyle name="20 % - Accent4 3 2 2 2 5 6" xfId="34531"/>
    <cellStyle name="20 % - Accent4 3 2 2 2 5 7" xfId="47514"/>
    <cellStyle name="20 % - Accent4 3 2 2 2 6" xfId="3657"/>
    <cellStyle name="20 % - Accent4 3 2 2 2 6 2" xfId="10189"/>
    <cellStyle name="20 % - Accent4 3 2 2 2 6 2 2" xfId="29662"/>
    <cellStyle name="20 % - Accent4 3 2 2 2 6 2 3" xfId="42642"/>
    <cellStyle name="20 % - Accent4 3 2 2 2 6 2 4" xfId="58871"/>
    <cellStyle name="20 % - Accent4 3 2 2 2 6 3" xfId="16682"/>
    <cellStyle name="20 % - Accent4 3 2 2 2 6 4" xfId="23172"/>
    <cellStyle name="20 % - Accent4 3 2 2 2 6 5" xfId="36152"/>
    <cellStyle name="20 % - Accent4 3 2 2 2 6 6" xfId="52381"/>
    <cellStyle name="20 % - Accent4 3 2 2 2 7" xfId="6944"/>
    <cellStyle name="20 % - Accent4 3 2 2 2 7 2" xfId="26417"/>
    <cellStyle name="20 % - Accent4 3 2 2 2 7 3" xfId="39397"/>
    <cellStyle name="20 % - Accent4 3 2 2 2 7 4" xfId="55626"/>
    <cellStyle name="20 % - Accent4 3 2 2 2 8" xfId="13437"/>
    <cellStyle name="20 % - Accent4 3 2 2 2 8 2" xfId="49136"/>
    <cellStyle name="20 % - Accent4 3 2 2 2 9" xfId="19927"/>
    <cellStyle name="20 % - Accent4 3 2 2 3" xfId="739"/>
    <cellStyle name="20 % - Accent4 3 2 2 3 10" xfId="46262"/>
    <cellStyle name="20 % - Accent4 3 2 2 3 2" xfId="1678"/>
    <cellStyle name="20 % - Accent4 3 2 2 3 2 2" xfId="3345"/>
    <cellStyle name="20 % - Accent4 3 2 2 3 2 2 2" xfId="6590"/>
    <cellStyle name="20 % - Accent4 3 2 2 3 2 2 2 2" xfId="13122"/>
    <cellStyle name="20 % - Accent4 3 2 2 3 2 2 2 2 2" xfId="32595"/>
    <cellStyle name="20 % - Accent4 3 2 2 3 2 2 2 2 3" xfId="45575"/>
    <cellStyle name="20 % - Accent4 3 2 2 3 2 2 2 2 4" xfId="61804"/>
    <cellStyle name="20 % - Accent4 3 2 2 3 2 2 2 3" xfId="19615"/>
    <cellStyle name="20 % - Accent4 3 2 2 3 2 2 2 4" xfId="26105"/>
    <cellStyle name="20 % - Accent4 3 2 2 3 2 2 2 5" xfId="39085"/>
    <cellStyle name="20 % - Accent4 3 2 2 3 2 2 2 6" xfId="55314"/>
    <cellStyle name="20 % - Accent4 3 2 2 3 2 2 3" xfId="9877"/>
    <cellStyle name="20 % - Accent4 3 2 2 3 2 2 3 2" xfId="29350"/>
    <cellStyle name="20 % - Accent4 3 2 2 3 2 2 3 3" xfId="42330"/>
    <cellStyle name="20 % - Accent4 3 2 2 3 2 2 3 4" xfId="58559"/>
    <cellStyle name="20 % - Accent4 3 2 2 3 2 2 4" xfId="16370"/>
    <cellStyle name="20 % - Accent4 3 2 2 3 2 2 4 2" xfId="52069"/>
    <cellStyle name="20 % - Accent4 3 2 2 3 2 2 5" xfId="22860"/>
    <cellStyle name="20 % - Accent4 3 2 2 3 2 2 6" xfId="35840"/>
    <cellStyle name="20 % - Accent4 3 2 2 3 2 2 7" xfId="48823"/>
    <cellStyle name="20 % - Accent4 3 2 2 3 2 3" xfId="4967"/>
    <cellStyle name="20 % - Accent4 3 2 2 3 2 3 2" xfId="11499"/>
    <cellStyle name="20 % - Accent4 3 2 2 3 2 3 2 2" xfId="30972"/>
    <cellStyle name="20 % - Accent4 3 2 2 3 2 3 2 3" xfId="43952"/>
    <cellStyle name="20 % - Accent4 3 2 2 3 2 3 2 4" xfId="60181"/>
    <cellStyle name="20 % - Accent4 3 2 2 3 2 3 3" xfId="17992"/>
    <cellStyle name="20 % - Accent4 3 2 2 3 2 3 4" xfId="24482"/>
    <cellStyle name="20 % - Accent4 3 2 2 3 2 3 5" xfId="37462"/>
    <cellStyle name="20 % - Accent4 3 2 2 3 2 3 6" xfId="53691"/>
    <cellStyle name="20 % - Accent4 3 2 2 3 2 4" xfId="8254"/>
    <cellStyle name="20 % - Accent4 3 2 2 3 2 4 2" xfId="27727"/>
    <cellStyle name="20 % - Accent4 3 2 2 3 2 4 3" xfId="40707"/>
    <cellStyle name="20 % - Accent4 3 2 2 3 2 4 4" xfId="56936"/>
    <cellStyle name="20 % - Accent4 3 2 2 3 2 5" xfId="14747"/>
    <cellStyle name="20 % - Accent4 3 2 2 3 2 5 2" xfId="50446"/>
    <cellStyle name="20 % - Accent4 3 2 2 3 2 6" xfId="21237"/>
    <cellStyle name="20 % - Accent4 3 2 2 3 2 7" xfId="34217"/>
    <cellStyle name="20 % - Accent4 3 2 2 3 2 8" xfId="47200"/>
    <cellStyle name="20 % - Accent4 3 2 2 3 3" xfId="1215"/>
    <cellStyle name="20 % - Accent4 3 2 2 3 3 2" xfId="2882"/>
    <cellStyle name="20 % - Accent4 3 2 2 3 3 2 2" xfId="6127"/>
    <cellStyle name="20 % - Accent4 3 2 2 3 3 2 2 2" xfId="12659"/>
    <cellStyle name="20 % - Accent4 3 2 2 3 3 2 2 2 2" xfId="32132"/>
    <cellStyle name="20 % - Accent4 3 2 2 3 3 2 2 2 3" xfId="45112"/>
    <cellStyle name="20 % - Accent4 3 2 2 3 3 2 2 2 4" xfId="61341"/>
    <cellStyle name="20 % - Accent4 3 2 2 3 3 2 2 3" xfId="19152"/>
    <cellStyle name="20 % - Accent4 3 2 2 3 3 2 2 4" xfId="25642"/>
    <cellStyle name="20 % - Accent4 3 2 2 3 3 2 2 5" xfId="38622"/>
    <cellStyle name="20 % - Accent4 3 2 2 3 3 2 2 6" xfId="54851"/>
    <cellStyle name="20 % - Accent4 3 2 2 3 3 2 3" xfId="9414"/>
    <cellStyle name="20 % - Accent4 3 2 2 3 3 2 3 2" xfId="28887"/>
    <cellStyle name="20 % - Accent4 3 2 2 3 3 2 3 3" xfId="41867"/>
    <cellStyle name="20 % - Accent4 3 2 2 3 3 2 3 4" xfId="58096"/>
    <cellStyle name="20 % - Accent4 3 2 2 3 3 2 4" xfId="15907"/>
    <cellStyle name="20 % - Accent4 3 2 2 3 3 2 4 2" xfId="51606"/>
    <cellStyle name="20 % - Accent4 3 2 2 3 3 2 5" xfId="22397"/>
    <cellStyle name="20 % - Accent4 3 2 2 3 3 2 6" xfId="35377"/>
    <cellStyle name="20 % - Accent4 3 2 2 3 3 2 7" xfId="48360"/>
    <cellStyle name="20 % - Accent4 3 2 2 3 3 3" xfId="4504"/>
    <cellStyle name="20 % - Accent4 3 2 2 3 3 3 2" xfId="11036"/>
    <cellStyle name="20 % - Accent4 3 2 2 3 3 3 2 2" xfId="30509"/>
    <cellStyle name="20 % - Accent4 3 2 2 3 3 3 2 3" xfId="43489"/>
    <cellStyle name="20 % - Accent4 3 2 2 3 3 3 2 4" xfId="59718"/>
    <cellStyle name="20 % - Accent4 3 2 2 3 3 3 3" xfId="17529"/>
    <cellStyle name="20 % - Accent4 3 2 2 3 3 3 4" xfId="24019"/>
    <cellStyle name="20 % - Accent4 3 2 2 3 3 3 5" xfId="36999"/>
    <cellStyle name="20 % - Accent4 3 2 2 3 3 3 6" xfId="53228"/>
    <cellStyle name="20 % - Accent4 3 2 2 3 3 4" xfId="7791"/>
    <cellStyle name="20 % - Accent4 3 2 2 3 3 4 2" xfId="27264"/>
    <cellStyle name="20 % - Accent4 3 2 2 3 3 4 3" xfId="40244"/>
    <cellStyle name="20 % - Accent4 3 2 2 3 3 4 4" xfId="56473"/>
    <cellStyle name="20 % - Accent4 3 2 2 3 3 5" xfId="14284"/>
    <cellStyle name="20 % - Accent4 3 2 2 3 3 5 2" xfId="49983"/>
    <cellStyle name="20 % - Accent4 3 2 2 3 3 6" xfId="20774"/>
    <cellStyle name="20 % - Accent4 3 2 2 3 3 7" xfId="33754"/>
    <cellStyle name="20 % - Accent4 3 2 2 3 3 8" xfId="46737"/>
    <cellStyle name="20 % - Accent4 3 2 2 3 4" xfId="2407"/>
    <cellStyle name="20 % - Accent4 3 2 2 3 4 2" xfId="5652"/>
    <cellStyle name="20 % - Accent4 3 2 2 3 4 2 2" xfId="12184"/>
    <cellStyle name="20 % - Accent4 3 2 2 3 4 2 2 2" xfId="31657"/>
    <cellStyle name="20 % - Accent4 3 2 2 3 4 2 2 3" xfId="44637"/>
    <cellStyle name="20 % - Accent4 3 2 2 3 4 2 2 4" xfId="60866"/>
    <cellStyle name="20 % - Accent4 3 2 2 3 4 2 3" xfId="18677"/>
    <cellStyle name="20 % - Accent4 3 2 2 3 4 2 4" xfId="25167"/>
    <cellStyle name="20 % - Accent4 3 2 2 3 4 2 5" xfId="38147"/>
    <cellStyle name="20 % - Accent4 3 2 2 3 4 2 6" xfId="54376"/>
    <cellStyle name="20 % - Accent4 3 2 2 3 4 3" xfId="8939"/>
    <cellStyle name="20 % - Accent4 3 2 2 3 4 3 2" xfId="28412"/>
    <cellStyle name="20 % - Accent4 3 2 2 3 4 3 3" xfId="41392"/>
    <cellStyle name="20 % - Accent4 3 2 2 3 4 3 4" xfId="57621"/>
    <cellStyle name="20 % - Accent4 3 2 2 3 4 4" xfId="15432"/>
    <cellStyle name="20 % - Accent4 3 2 2 3 4 4 2" xfId="51131"/>
    <cellStyle name="20 % - Accent4 3 2 2 3 4 5" xfId="21922"/>
    <cellStyle name="20 % - Accent4 3 2 2 3 4 6" xfId="34902"/>
    <cellStyle name="20 % - Accent4 3 2 2 3 4 7" xfId="47885"/>
    <cellStyle name="20 % - Accent4 3 2 2 3 5" xfId="4029"/>
    <cellStyle name="20 % - Accent4 3 2 2 3 5 2" xfId="10561"/>
    <cellStyle name="20 % - Accent4 3 2 2 3 5 2 2" xfId="30034"/>
    <cellStyle name="20 % - Accent4 3 2 2 3 5 2 3" xfId="43014"/>
    <cellStyle name="20 % - Accent4 3 2 2 3 5 2 4" xfId="59243"/>
    <cellStyle name="20 % - Accent4 3 2 2 3 5 3" xfId="17054"/>
    <cellStyle name="20 % - Accent4 3 2 2 3 5 4" xfId="23544"/>
    <cellStyle name="20 % - Accent4 3 2 2 3 5 5" xfId="36524"/>
    <cellStyle name="20 % - Accent4 3 2 2 3 5 6" xfId="52753"/>
    <cellStyle name="20 % - Accent4 3 2 2 3 6" xfId="7316"/>
    <cellStyle name="20 % - Accent4 3 2 2 3 6 2" xfId="26789"/>
    <cellStyle name="20 % - Accent4 3 2 2 3 6 3" xfId="39769"/>
    <cellStyle name="20 % - Accent4 3 2 2 3 6 4" xfId="55998"/>
    <cellStyle name="20 % - Accent4 3 2 2 3 7" xfId="13809"/>
    <cellStyle name="20 % - Accent4 3 2 2 3 7 2" xfId="49508"/>
    <cellStyle name="20 % - Accent4 3 2 2 3 8" xfId="20299"/>
    <cellStyle name="20 % - Accent4 3 2 2 3 9" xfId="33279"/>
    <cellStyle name="20 % - Accent4 3 2 2 4" xfId="509"/>
    <cellStyle name="20 % - Accent4 3 2 2 4 2" xfId="1458"/>
    <cellStyle name="20 % - Accent4 3 2 2 4 2 2" xfId="3125"/>
    <cellStyle name="20 % - Accent4 3 2 2 4 2 2 2" xfId="6370"/>
    <cellStyle name="20 % - Accent4 3 2 2 4 2 2 2 2" xfId="12902"/>
    <cellStyle name="20 % - Accent4 3 2 2 4 2 2 2 2 2" xfId="32375"/>
    <cellStyle name="20 % - Accent4 3 2 2 4 2 2 2 2 3" xfId="45355"/>
    <cellStyle name="20 % - Accent4 3 2 2 4 2 2 2 2 4" xfId="61584"/>
    <cellStyle name="20 % - Accent4 3 2 2 4 2 2 2 3" xfId="19395"/>
    <cellStyle name="20 % - Accent4 3 2 2 4 2 2 2 4" xfId="25885"/>
    <cellStyle name="20 % - Accent4 3 2 2 4 2 2 2 5" xfId="38865"/>
    <cellStyle name="20 % - Accent4 3 2 2 4 2 2 2 6" xfId="55094"/>
    <cellStyle name="20 % - Accent4 3 2 2 4 2 2 3" xfId="9657"/>
    <cellStyle name="20 % - Accent4 3 2 2 4 2 2 3 2" xfId="29130"/>
    <cellStyle name="20 % - Accent4 3 2 2 4 2 2 3 3" xfId="42110"/>
    <cellStyle name="20 % - Accent4 3 2 2 4 2 2 3 4" xfId="58339"/>
    <cellStyle name="20 % - Accent4 3 2 2 4 2 2 4" xfId="16150"/>
    <cellStyle name="20 % - Accent4 3 2 2 4 2 2 4 2" xfId="51849"/>
    <cellStyle name="20 % - Accent4 3 2 2 4 2 2 5" xfId="22640"/>
    <cellStyle name="20 % - Accent4 3 2 2 4 2 2 6" xfId="35620"/>
    <cellStyle name="20 % - Accent4 3 2 2 4 2 2 7" xfId="48603"/>
    <cellStyle name="20 % - Accent4 3 2 2 4 2 3" xfId="4747"/>
    <cellStyle name="20 % - Accent4 3 2 2 4 2 3 2" xfId="11279"/>
    <cellStyle name="20 % - Accent4 3 2 2 4 2 3 2 2" xfId="30752"/>
    <cellStyle name="20 % - Accent4 3 2 2 4 2 3 2 3" xfId="43732"/>
    <cellStyle name="20 % - Accent4 3 2 2 4 2 3 2 4" xfId="59961"/>
    <cellStyle name="20 % - Accent4 3 2 2 4 2 3 3" xfId="17772"/>
    <cellStyle name="20 % - Accent4 3 2 2 4 2 3 4" xfId="24262"/>
    <cellStyle name="20 % - Accent4 3 2 2 4 2 3 5" xfId="37242"/>
    <cellStyle name="20 % - Accent4 3 2 2 4 2 3 6" xfId="53471"/>
    <cellStyle name="20 % - Accent4 3 2 2 4 2 4" xfId="8034"/>
    <cellStyle name="20 % - Accent4 3 2 2 4 2 4 2" xfId="27507"/>
    <cellStyle name="20 % - Accent4 3 2 2 4 2 4 3" xfId="40487"/>
    <cellStyle name="20 % - Accent4 3 2 2 4 2 4 4" xfId="56716"/>
    <cellStyle name="20 % - Accent4 3 2 2 4 2 5" xfId="14527"/>
    <cellStyle name="20 % - Accent4 3 2 2 4 2 5 2" xfId="50226"/>
    <cellStyle name="20 % - Accent4 3 2 2 4 2 6" xfId="21017"/>
    <cellStyle name="20 % - Accent4 3 2 2 4 2 7" xfId="33997"/>
    <cellStyle name="20 % - Accent4 3 2 2 4 2 8" xfId="46980"/>
    <cellStyle name="20 % - Accent4 3 2 2 4 3" xfId="2177"/>
    <cellStyle name="20 % - Accent4 3 2 2 4 3 2" xfId="5422"/>
    <cellStyle name="20 % - Accent4 3 2 2 4 3 2 2" xfId="11954"/>
    <cellStyle name="20 % - Accent4 3 2 2 4 3 2 2 2" xfId="31427"/>
    <cellStyle name="20 % - Accent4 3 2 2 4 3 2 2 3" xfId="44407"/>
    <cellStyle name="20 % - Accent4 3 2 2 4 3 2 2 4" xfId="60636"/>
    <cellStyle name="20 % - Accent4 3 2 2 4 3 2 3" xfId="18447"/>
    <cellStyle name="20 % - Accent4 3 2 2 4 3 2 4" xfId="24937"/>
    <cellStyle name="20 % - Accent4 3 2 2 4 3 2 5" xfId="37917"/>
    <cellStyle name="20 % - Accent4 3 2 2 4 3 2 6" xfId="54146"/>
    <cellStyle name="20 % - Accent4 3 2 2 4 3 3" xfId="8709"/>
    <cellStyle name="20 % - Accent4 3 2 2 4 3 3 2" xfId="28182"/>
    <cellStyle name="20 % - Accent4 3 2 2 4 3 3 3" xfId="41162"/>
    <cellStyle name="20 % - Accent4 3 2 2 4 3 3 4" xfId="57391"/>
    <cellStyle name="20 % - Accent4 3 2 2 4 3 4" xfId="15202"/>
    <cellStyle name="20 % - Accent4 3 2 2 4 3 4 2" xfId="50901"/>
    <cellStyle name="20 % - Accent4 3 2 2 4 3 5" xfId="21692"/>
    <cellStyle name="20 % - Accent4 3 2 2 4 3 6" xfId="34672"/>
    <cellStyle name="20 % - Accent4 3 2 2 4 3 7" xfId="47655"/>
    <cellStyle name="20 % - Accent4 3 2 2 4 4" xfId="3799"/>
    <cellStyle name="20 % - Accent4 3 2 2 4 4 2" xfId="10331"/>
    <cellStyle name="20 % - Accent4 3 2 2 4 4 2 2" xfId="29804"/>
    <cellStyle name="20 % - Accent4 3 2 2 4 4 2 3" xfId="42784"/>
    <cellStyle name="20 % - Accent4 3 2 2 4 4 2 4" xfId="59013"/>
    <cellStyle name="20 % - Accent4 3 2 2 4 4 3" xfId="16824"/>
    <cellStyle name="20 % - Accent4 3 2 2 4 4 4" xfId="23314"/>
    <cellStyle name="20 % - Accent4 3 2 2 4 4 5" xfId="36294"/>
    <cellStyle name="20 % - Accent4 3 2 2 4 4 6" xfId="52523"/>
    <cellStyle name="20 % - Accent4 3 2 2 4 5" xfId="7086"/>
    <cellStyle name="20 % - Accent4 3 2 2 4 5 2" xfId="26559"/>
    <cellStyle name="20 % - Accent4 3 2 2 4 5 3" xfId="39539"/>
    <cellStyle name="20 % - Accent4 3 2 2 4 5 4" xfId="55768"/>
    <cellStyle name="20 % - Accent4 3 2 2 4 6" xfId="13579"/>
    <cellStyle name="20 % - Accent4 3 2 2 4 6 2" xfId="49278"/>
    <cellStyle name="20 % - Accent4 3 2 2 4 7" xfId="20069"/>
    <cellStyle name="20 % - Accent4 3 2 2 4 8" xfId="33049"/>
    <cellStyle name="20 % - Accent4 3 2 2 4 9" xfId="46032"/>
    <cellStyle name="20 % - Accent4 3 2 2 5" xfId="995"/>
    <cellStyle name="20 % - Accent4 3 2 2 5 2" xfId="2662"/>
    <cellStyle name="20 % - Accent4 3 2 2 5 2 2" xfId="5907"/>
    <cellStyle name="20 % - Accent4 3 2 2 5 2 2 2" xfId="12439"/>
    <cellStyle name="20 % - Accent4 3 2 2 5 2 2 2 2" xfId="31912"/>
    <cellStyle name="20 % - Accent4 3 2 2 5 2 2 2 3" xfId="44892"/>
    <cellStyle name="20 % - Accent4 3 2 2 5 2 2 2 4" xfId="61121"/>
    <cellStyle name="20 % - Accent4 3 2 2 5 2 2 3" xfId="18932"/>
    <cellStyle name="20 % - Accent4 3 2 2 5 2 2 4" xfId="25422"/>
    <cellStyle name="20 % - Accent4 3 2 2 5 2 2 5" xfId="38402"/>
    <cellStyle name="20 % - Accent4 3 2 2 5 2 2 6" xfId="54631"/>
    <cellStyle name="20 % - Accent4 3 2 2 5 2 3" xfId="9194"/>
    <cellStyle name="20 % - Accent4 3 2 2 5 2 3 2" xfId="28667"/>
    <cellStyle name="20 % - Accent4 3 2 2 5 2 3 3" xfId="41647"/>
    <cellStyle name="20 % - Accent4 3 2 2 5 2 3 4" xfId="57876"/>
    <cellStyle name="20 % - Accent4 3 2 2 5 2 4" xfId="15687"/>
    <cellStyle name="20 % - Accent4 3 2 2 5 2 4 2" xfId="51386"/>
    <cellStyle name="20 % - Accent4 3 2 2 5 2 5" xfId="22177"/>
    <cellStyle name="20 % - Accent4 3 2 2 5 2 6" xfId="35157"/>
    <cellStyle name="20 % - Accent4 3 2 2 5 2 7" xfId="48140"/>
    <cellStyle name="20 % - Accent4 3 2 2 5 3" xfId="4284"/>
    <cellStyle name="20 % - Accent4 3 2 2 5 3 2" xfId="10816"/>
    <cellStyle name="20 % - Accent4 3 2 2 5 3 2 2" xfId="30289"/>
    <cellStyle name="20 % - Accent4 3 2 2 5 3 2 3" xfId="43269"/>
    <cellStyle name="20 % - Accent4 3 2 2 5 3 2 4" xfId="59498"/>
    <cellStyle name="20 % - Accent4 3 2 2 5 3 3" xfId="17309"/>
    <cellStyle name="20 % - Accent4 3 2 2 5 3 4" xfId="23799"/>
    <cellStyle name="20 % - Accent4 3 2 2 5 3 5" xfId="36779"/>
    <cellStyle name="20 % - Accent4 3 2 2 5 3 6" xfId="53008"/>
    <cellStyle name="20 % - Accent4 3 2 2 5 4" xfId="7571"/>
    <cellStyle name="20 % - Accent4 3 2 2 5 4 2" xfId="27044"/>
    <cellStyle name="20 % - Accent4 3 2 2 5 4 3" xfId="40024"/>
    <cellStyle name="20 % - Accent4 3 2 2 5 4 4" xfId="56253"/>
    <cellStyle name="20 % - Accent4 3 2 2 5 5" xfId="14064"/>
    <cellStyle name="20 % - Accent4 3 2 2 5 5 2" xfId="49763"/>
    <cellStyle name="20 % - Accent4 3 2 2 5 6" xfId="20554"/>
    <cellStyle name="20 % - Accent4 3 2 2 5 7" xfId="33534"/>
    <cellStyle name="20 % - Accent4 3 2 2 5 8" xfId="46517"/>
    <cellStyle name="20 % - Accent4 3 2 2 6" xfId="1948"/>
    <cellStyle name="20 % - Accent4 3 2 2 6 2" xfId="5193"/>
    <cellStyle name="20 % - Accent4 3 2 2 6 2 2" xfId="11725"/>
    <cellStyle name="20 % - Accent4 3 2 2 6 2 2 2" xfId="31198"/>
    <cellStyle name="20 % - Accent4 3 2 2 6 2 2 3" xfId="44178"/>
    <cellStyle name="20 % - Accent4 3 2 2 6 2 2 4" xfId="60407"/>
    <cellStyle name="20 % - Accent4 3 2 2 6 2 3" xfId="18218"/>
    <cellStyle name="20 % - Accent4 3 2 2 6 2 4" xfId="24708"/>
    <cellStyle name="20 % - Accent4 3 2 2 6 2 5" xfId="37688"/>
    <cellStyle name="20 % - Accent4 3 2 2 6 2 6" xfId="53917"/>
    <cellStyle name="20 % - Accent4 3 2 2 6 3" xfId="8480"/>
    <cellStyle name="20 % - Accent4 3 2 2 6 3 2" xfId="27953"/>
    <cellStyle name="20 % - Accent4 3 2 2 6 3 3" xfId="40933"/>
    <cellStyle name="20 % - Accent4 3 2 2 6 3 4" xfId="57162"/>
    <cellStyle name="20 % - Accent4 3 2 2 6 4" xfId="14973"/>
    <cellStyle name="20 % - Accent4 3 2 2 6 4 2" xfId="50672"/>
    <cellStyle name="20 % - Accent4 3 2 2 6 5" xfId="21463"/>
    <cellStyle name="20 % - Accent4 3 2 2 6 6" xfId="34443"/>
    <cellStyle name="20 % - Accent4 3 2 2 6 7" xfId="47426"/>
    <cellStyle name="20 % - Accent4 3 2 2 7" xfId="3569"/>
    <cellStyle name="20 % - Accent4 3 2 2 7 2" xfId="10101"/>
    <cellStyle name="20 % - Accent4 3 2 2 7 2 2" xfId="29574"/>
    <cellStyle name="20 % - Accent4 3 2 2 7 2 3" xfId="42554"/>
    <cellStyle name="20 % - Accent4 3 2 2 7 2 4" xfId="58783"/>
    <cellStyle name="20 % - Accent4 3 2 2 7 3" xfId="16594"/>
    <cellStyle name="20 % - Accent4 3 2 2 7 4" xfId="23084"/>
    <cellStyle name="20 % - Accent4 3 2 2 7 5" xfId="36064"/>
    <cellStyle name="20 % - Accent4 3 2 2 7 6" xfId="52293"/>
    <cellStyle name="20 % - Accent4 3 2 2 8" xfId="6856"/>
    <cellStyle name="20 % - Accent4 3 2 2 8 2" xfId="26329"/>
    <cellStyle name="20 % - Accent4 3 2 2 8 3" xfId="39309"/>
    <cellStyle name="20 % - Accent4 3 2 2 8 4" xfId="55538"/>
    <cellStyle name="20 % - Accent4 3 2 2 9" xfId="13349"/>
    <cellStyle name="20 % - Accent4 3 2 2 9 2" xfId="49048"/>
    <cellStyle name="20 % - Accent4 3 2 3" xfId="231"/>
    <cellStyle name="20 % - Accent4 3 2 3 10" xfId="32775"/>
    <cellStyle name="20 % - Accent4 3 2 3 11" xfId="45758"/>
    <cellStyle name="20 % - Accent4 3 2 3 2" xfId="695"/>
    <cellStyle name="20 % - Accent4 3 2 3 2 10" xfId="46218"/>
    <cellStyle name="20 % - Accent4 3 2 3 2 2" xfId="1634"/>
    <cellStyle name="20 % - Accent4 3 2 3 2 2 2" xfId="3301"/>
    <cellStyle name="20 % - Accent4 3 2 3 2 2 2 2" xfId="6546"/>
    <cellStyle name="20 % - Accent4 3 2 3 2 2 2 2 2" xfId="13078"/>
    <cellStyle name="20 % - Accent4 3 2 3 2 2 2 2 2 2" xfId="32551"/>
    <cellStyle name="20 % - Accent4 3 2 3 2 2 2 2 2 3" xfId="45531"/>
    <cellStyle name="20 % - Accent4 3 2 3 2 2 2 2 2 4" xfId="61760"/>
    <cellStyle name="20 % - Accent4 3 2 3 2 2 2 2 3" xfId="19571"/>
    <cellStyle name="20 % - Accent4 3 2 3 2 2 2 2 4" xfId="26061"/>
    <cellStyle name="20 % - Accent4 3 2 3 2 2 2 2 5" xfId="39041"/>
    <cellStyle name="20 % - Accent4 3 2 3 2 2 2 2 6" xfId="55270"/>
    <cellStyle name="20 % - Accent4 3 2 3 2 2 2 3" xfId="9833"/>
    <cellStyle name="20 % - Accent4 3 2 3 2 2 2 3 2" xfId="29306"/>
    <cellStyle name="20 % - Accent4 3 2 3 2 2 2 3 3" xfId="42286"/>
    <cellStyle name="20 % - Accent4 3 2 3 2 2 2 3 4" xfId="58515"/>
    <cellStyle name="20 % - Accent4 3 2 3 2 2 2 4" xfId="16326"/>
    <cellStyle name="20 % - Accent4 3 2 3 2 2 2 4 2" xfId="52025"/>
    <cellStyle name="20 % - Accent4 3 2 3 2 2 2 5" xfId="22816"/>
    <cellStyle name="20 % - Accent4 3 2 3 2 2 2 6" xfId="35796"/>
    <cellStyle name="20 % - Accent4 3 2 3 2 2 2 7" xfId="48779"/>
    <cellStyle name="20 % - Accent4 3 2 3 2 2 3" xfId="4923"/>
    <cellStyle name="20 % - Accent4 3 2 3 2 2 3 2" xfId="11455"/>
    <cellStyle name="20 % - Accent4 3 2 3 2 2 3 2 2" xfId="30928"/>
    <cellStyle name="20 % - Accent4 3 2 3 2 2 3 2 3" xfId="43908"/>
    <cellStyle name="20 % - Accent4 3 2 3 2 2 3 2 4" xfId="60137"/>
    <cellStyle name="20 % - Accent4 3 2 3 2 2 3 3" xfId="17948"/>
    <cellStyle name="20 % - Accent4 3 2 3 2 2 3 4" xfId="24438"/>
    <cellStyle name="20 % - Accent4 3 2 3 2 2 3 5" xfId="37418"/>
    <cellStyle name="20 % - Accent4 3 2 3 2 2 3 6" xfId="53647"/>
    <cellStyle name="20 % - Accent4 3 2 3 2 2 4" xfId="8210"/>
    <cellStyle name="20 % - Accent4 3 2 3 2 2 4 2" xfId="27683"/>
    <cellStyle name="20 % - Accent4 3 2 3 2 2 4 3" xfId="40663"/>
    <cellStyle name="20 % - Accent4 3 2 3 2 2 4 4" xfId="56892"/>
    <cellStyle name="20 % - Accent4 3 2 3 2 2 5" xfId="14703"/>
    <cellStyle name="20 % - Accent4 3 2 3 2 2 5 2" xfId="50402"/>
    <cellStyle name="20 % - Accent4 3 2 3 2 2 6" xfId="21193"/>
    <cellStyle name="20 % - Accent4 3 2 3 2 2 7" xfId="34173"/>
    <cellStyle name="20 % - Accent4 3 2 3 2 2 8" xfId="47156"/>
    <cellStyle name="20 % - Accent4 3 2 3 2 3" xfId="1171"/>
    <cellStyle name="20 % - Accent4 3 2 3 2 3 2" xfId="2838"/>
    <cellStyle name="20 % - Accent4 3 2 3 2 3 2 2" xfId="6083"/>
    <cellStyle name="20 % - Accent4 3 2 3 2 3 2 2 2" xfId="12615"/>
    <cellStyle name="20 % - Accent4 3 2 3 2 3 2 2 2 2" xfId="32088"/>
    <cellStyle name="20 % - Accent4 3 2 3 2 3 2 2 2 3" xfId="45068"/>
    <cellStyle name="20 % - Accent4 3 2 3 2 3 2 2 2 4" xfId="61297"/>
    <cellStyle name="20 % - Accent4 3 2 3 2 3 2 2 3" xfId="19108"/>
    <cellStyle name="20 % - Accent4 3 2 3 2 3 2 2 4" xfId="25598"/>
    <cellStyle name="20 % - Accent4 3 2 3 2 3 2 2 5" xfId="38578"/>
    <cellStyle name="20 % - Accent4 3 2 3 2 3 2 2 6" xfId="54807"/>
    <cellStyle name="20 % - Accent4 3 2 3 2 3 2 3" xfId="9370"/>
    <cellStyle name="20 % - Accent4 3 2 3 2 3 2 3 2" xfId="28843"/>
    <cellStyle name="20 % - Accent4 3 2 3 2 3 2 3 3" xfId="41823"/>
    <cellStyle name="20 % - Accent4 3 2 3 2 3 2 3 4" xfId="58052"/>
    <cellStyle name="20 % - Accent4 3 2 3 2 3 2 4" xfId="15863"/>
    <cellStyle name="20 % - Accent4 3 2 3 2 3 2 4 2" xfId="51562"/>
    <cellStyle name="20 % - Accent4 3 2 3 2 3 2 5" xfId="22353"/>
    <cellStyle name="20 % - Accent4 3 2 3 2 3 2 6" xfId="35333"/>
    <cellStyle name="20 % - Accent4 3 2 3 2 3 2 7" xfId="48316"/>
    <cellStyle name="20 % - Accent4 3 2 3 2 3 3" xfId="4460"/>
    <cellStyle name="20 % - Accent4 3 2 3 2 3 3 2" xfId="10992"/>
    <cellStyle name="20 % - Accent4 3 2 3 2 3 3 2 2" xfId="30465"/>
    <cellStyle name="20 % - Accent4 3 2 3 2 3 3 2 3" xfId="43445"/>
    <cellStyle name="20 % - Accent4 3 2 3 2 3 3 2 4" xfId="59674"/>
    <cellStyle name="20 % - Accent4 3 2 3 2 3 3 3" xfId="17485"/>
    <cellStyle name="20 % - Accent4 3 2 3 2 3 3 4" xfId="23975"/>
    <cellStyle name="20 % - Accent4 3 2 3 2 3 3 5" xfId="36955"/>
    <cellStyle name="20 % - Accent4 3 2 3 2 3 3 6" xfId="53184"/>
    <cellStyle name="20 % - Accent4 3 2 3 2 3 4" xfId="7747"/>
    <cellStyle name="20 % - Accent4 3 2 3 2 3 4 2" xfId="27220"/>
    <cellStyle name="20 % - Accent4 3 2 3 2 3 4 3" xfId="40200"/>
    <cellStyle name="20 % - Accent4 3 2 3 2 3 4 4" xfId="56429"/>
    <cellStyle name="20 % - Accent4 3 2 3 2 3 5" xfId="14240"/>
    <cellStyle name="20 % - Accent4 3 2 3 2 3 5 2" xfId="49939"/>
    <cellStyle name="20 % - Accent4 3 2 3 2 3 6" xfId="20730"/>
    <cellStyle name="20 % - Accent4 3 2 3 2 3 7" xfId="33710"/>
    <cellStyle name="20 % - Accent4 3 2 3 2 3 8" xfId="46693"/>
    <cellStyle name="20 % - Accent4 3 2 3 2 4" xfId="2363"/>
    <cellStyle name="20 % - Accent4 3 2 3 2 4 2" xfId="5608"/>
    <cellStyle name="20 % - Accent4 3 2 3 2 4 2 2" xfId="12140"/>
    <cellStyle name="20 % - Accent4 3 2 3 2 4 2 2 2" xfId="31613"/>
    <cellStyle name="20 % - Accent4 3 2 3 2 4 2 2 3" xfId="44593"/>
    <cellStyle name="20 % - Accent4 3 2 3 2 4 2 2 4" xfId="60822"/>
    <cellStyle name="20 % - Accent4 3 2 3 2 4 2 3" xfId="18633"/>
    <cellStyle name="20 % - Accent4 3 2 3 2 4 2 4" xfId="25123"/>
    <cellStyle name="20 % - Accent4 3 2 3 2 4 2 5" xfId="38103"/>
    <cellStyle name="20 % - Accent4 3 2 3 2 4 2 6" xfId="54332"/>
    <cellStyle name="20 % - Accent4 3 2 3 2 4 3" xfId="8895"/>
    <cellStyle name="20 % - Accent4 3 2 3 2 4 3 2" xfId="28368"/>
    <cellStyle name="20 % - Accent4 3 2 3 2 4 3 3" xfId="41348"/>
    <cellStyle name="20 % - Accent4 3 2 3 2 4 3 4" xfId="57577"/>
    <cellStyle name="20 % - Accent4 3 2 3 2 4 4" xfId="15388"/>
    <cellStyle name="20 % - Accent4 3 2 3 2 4 4 2" xfId="51087"/>
    <cellStyle name="20 % - Accent4 3 2 3 2 4 5" xfId="21878"/>
    <cellStyle name="20 % - Accent4 3 2 3 2 4 6" xfId="34858"/>
    <cellStyle name="20 % - Accent4 3 2 3 2 4 7" xfId="47841"/>
    <cellStyle name="20 % - Accent4 3 2 3 2 5" xfId="3985"/>
    <cellStyle name="20 % - Accent4 3 2 3 2 5 2" xfId="10517"/>
    <cellStyle name="20 % - Accent4 3 2 3 2 5 2 2" xfId="29990"/>
    <cellStyle name="20 % - Accent4 3 2 3 2 5 2 3" xfId="42970"/>
    <cellStyle name="20 % - Accent4 3 2 3 2 5 2 4" xfId="59199"/>
    <cellStyle name="20 % - Accent4 3 2 3 2 5 3" xfId="17010"/>
    <cellStyle name="20 % - Accent4 3 2 3 2 5 4" xfId="23500"/>
    <cellStyle name="20 % - Accent4 3 2 3 2 5 5" xfId="36480"/>
    <cellStyle name="20 % - Accent4 3 2 3 2 5 6" xfId="52709"/>
    <cellStyle name="20 % - Accent4 3 2 3 2 6" xfId="7272"/>
    <cellStyle name="20 % - Accent4 3 2 3 2 6 2" xfId="26745"/>
    <cellStyle name="20 % - Accent4 3 2 3 2 6 3" xfId="39725"/>
    <cellStyle name="20 % - Accent4 3 2 3 2 6 4" xfId="55954"/>
    <cellStyle name="20 % - Accent4 3 2 3 2 7" xfId="13765"/>
    <cellStyle name="20 % - Accent4 3 2 3 2 7 2" xfId="49464"/>
    <cellStyle name="20 % - Accent4 3 2 3 2 8" xfId="20255"/>
    <cellStyle name="20 % - Accent4 3 2 3 2 9" xfId="33235"/>
    <cellStyle name="20 % - Accent4 3 2 3 3" xfId="465"/>
    <cellStyle name="20 % - Accent4 3 2 3 3 2" xfId="1414"/>
    <cellStyle name="20 % - Accent4 3 2 3 3 2 2" xfId="3081"/>
    <cellStyle name="20 % - Accent4 3 2 3 3 2 2 2" xfId="6326"/>
    <cellStyle name="20 % - Accent4 3 2 3 3 2 2 2 2" xfId="12858"/>
    <cellStyle name="20 % - Accent4 3 2 3 3 2 2 2 2 2" xfId="32331"/>
    <cellStyle name="20 % - Accent4 3 2 3 3 2 2 2 2 3" xfId="45311"/>
    <cellStyle name="20 % - Accent4 3 2 3 3 2 2 2 2 4" xfId="61540"/>
    <cellStyle name="20 % - Accent4 3 2 3 3 2 2 2 3" xfId="19351"/>
    <cellStyle name="20 % - Accent4 3 2 3 3 2 2 2 4" xfId="25841"/>
    <cellStyle name="20 % - Accent4 3 2 3 3 2 2 2 5" xfId="38821"/>
    <cellStyle name="20 % - Accent4 3 2 3 3 2 2 2 6" xfId="55050"/>
    <cellStyle name="20 % - Accent4 3 2 3 3 2 2 3" xfId="9613"/>
    <cellStyle name="20 % - Accent4 3 2 3 3 2 2 3 2" xfId="29086"/>
    <cellStyle name="20 % - Accent4 3 2 3 3 2 2 3 3" xfId="42066"/>
    <cellStyle name="20 % - Accent4 3 2 3 3 2 2 3 4" xfId="58295"/>
    <cellStyle name="20 % - Accent4 3 2 3 3 2 2 4" xfId="16106"/>
    <cellStyle name="20 % - Accent4 3 2 3 3 2 2 4 2" xfId="51805"/>
    <cellStyle name="20 % - Accent4 3 2 3 3 2 2 5" xfId="22596"/>
    <cellStyle name="20 % - Accent4 3 2 3 3 2 2 6" xfId="35576"/>
    <cellStyle name="20 % - Accent4 3 2 3 3 2 2 7" xfId="48559"/>
    <cellStyle name="20 % - Accent4 3 2 3 3 2 3" xfId="4703"/>
    <cellStyle name="20 % - Accent4 3 2 3 3 2 3 2" xfId="11235"/>
    <cellStyle name="20 % - Accent4 3 2 3 3 2 3 2 2" xfId="30708"/>
    <cellStyle name="20 % - Accent4 3 2 3 3 2 3 2 3" xfId="43688"/>
    <cellStyle name="20 % - Accent4 3 2 3 3 2 3 2 4" xfId="59917"/>
    <cellStyle name="20 % - Accent4 3 2 3 3 2 3 3" xfId="17728"/>
    <cellStyle name="20 % - Accent4 3 2 3 3 2 3 4" xfId="24218"/>
    <cellStyle name="20 % - Accent4 3 2 3 3 2 3 5" xfId="37198"/>
    <cellStyle name="20 % - Accent4 3 2 3 3 2 3 6" xfId="53427"/>
    <cellStyle name="20 % - Accent4 3 2 3 3 2 4" xfId="7990"/>
    <cellStyle name="20 % - Accent4 3 2 3 3 2 4 2" xfId="27463"/>
    <cellStyle name="20 % - Accent4 3 2 3 3 2 4 3" xfId="40443"/>
    <cellStyle name="20 % - Accent4 3 2 3 3 2 4 4" xfId="56672"/>
    <cellStyle name="20 % - Accent4 3 2 3 3 2 5" xfId="14483"/>
    <cellStyle name="20 % - Accent4 3 2 3 3 2 5 2" xfId="50182"/>
    <cellStyle name="20 % - Accent4 3 2 3 3 2 6" xfId="20973"/>
    <cellStyle name="20 % - Accent4 3 2 3 3 2 7" xfId="33953"/>
    <cellStyle name="20 % - Accent4 3 2 3 3 2 8" xfId="46936"/>
    <cellStyle name="20 % - Accent4 3 2 3 3 3" xfId="2133"/>
    <cellStyle name="20 % - Accent4 3 2 3 3 3 2" xfId="5378"/>
    <cellStyle name="20 % - Accent4 3 2 3 3 3 2 2" xfId="11910"/>
    <cellStyle name="20 % - Accent4 3 2 3 3 3 2 2 2" xfId="31383"/>
    <cellStyle name="20 % - Accent4 3 2 3 3 3 2 2 3" xfId="44363"/>
    <cellStyle name="20 % - Accent4 3 2 3 3 3 2 2 4" xfId="60592"/>
    <cellStyle name="20 % - Accent4 3 2 3 3 3 2 3" xfId="18403"/>
    <cellStyle name="20 % - Accent4 3 2 3 3 3 2 4" xfId="24893"/>
    <cellStyle name="20 % - Accent4 3 2 3 3 3 2 5" xfId="37873"/>
    <cellStyle name="20 % - Accent4 3 2 3 3 3 2 6" xfId="54102"/>
    <cellStyle name="20 % - Accent4 3 2 3 3 3 3" xfId="8665"/>
    <cellStyle name="20 % - Accent4 3 2 3 3 3 3 2" xfId="28138"/>
    <cellStyle name="20 % - Accent4 3 2 3 3 3 3 3" xfId="41118"/>
    <cellStyle name="20 % - Accent4 3 2 3 3 3 3 4" xfId="57347"/>
    <cellStyle name="20 % - Accent4 3 2 3 3 3 4" xfId="15158"/>
    <cellStyle name="20 % - Accent4 3 2 3 3 3 4 2" xfId="50857"/>
    <cellStyle name="20 % - Accent4 3 2 3 3 3 5" xfId="21648"/>
    <cellStyle name="20 % - Accent4 3 2 3 3 3 6" xfId="34628"/>
    <cellStyle name="20 % - Accent4 3 2 3 3 3 7" xfId="47611"/>
    <cellStyle name="20 % - Accent4 3 2 3 3 4" xfId="3755"/>
    <cellStyle name="20 % - Accent4 3 2 3 3 4 2" xfId="10287"/>
    <cellStyle name="20 % - Accent4 3 2 3 3 4 2 2" xfId="29760"/>
    <cellStyle name="20 % - Accent4 3 2 3 3 4 2 3" xfId="42740"/>
    <cellStyle name="20 % - Accent4 3 2 3 3 4 2 4" xfId="58969"/>
    <cellStyle name="20 % - Accent4 3 2 3 3 4 3" xfId="16780"/>
    <cellStyle name="20 % - Accent4 3 2 3 3 4 4" xfId="23270"/>
    <cellStyle name="20 % - Accent4 3 2 3 3 4 5" xfId="36250"/>
    <cellStyle name="20 % - Accent4 3 2 3 3 4 6" xfId="52479"/>
    <cellStyle name="20 % - Accent4 3 2 3 3 5" xfId="7042"/>
    <cellStyle name="20 % - Accent4 3 2 3 3 5 2" xfId="26515"/>
    <cellStyle name="20 % - Accent4 3 2 3 3 5 3" xfId="39495"/>
    <cellStyle name="20 % - Accent4 3 2 3 3 5 4" xfId="55724"/>
    <cellStyle name="20 % - Accent4 3 2 3 3 6" xfId="13535"/>
    <cellStyle name="20 % - Accent4 3 2 3 3 6 2" xfId="49234"/>
    <cellStyle name="20 % - Accent4 3 2 3 3 7" xfId="20025"/>
    <cellStyle name="20 % - Accent4 3 2 3 3 8" xfId="33005"/>
    <cellStyle name="20 % - Accent4 3 2 3 3 9" xfId="45988"/>
    <cellStyle name="20 % - Accent4 3 2 3 4" xfId="951"/>
    <cellStyle name="20 % - Accent4 3 2 3 4 2" xfId="2618"/>
    <cellStyle name="20 % - Accent4 3 2 3 4 2 2" xfId="5863"/>
    <cellStyle name="20 % - Accent4 3 2 3 4 2 2 2" xfId="12395"/>
    <cellStyle name="20 % - Accent4 3 2 3 4 2 2 2 2" xfId="31868"/>
    <cellStyle name="20 % - Accent4 3 2 3 4 2 2 2 3" xfId="44848"/>
    <cellStyle name="20 % - Accent4 3 2 3 4 2 2 2 4" xfId="61077"/>
    <cellStyle name="20 % - Accent4 3 2 3 4 2 2 3" xfId="18888"/>
    <cellStyle name="20 % - Accent4 3 2 3 4 2 2 4" xfId="25378"/>
    <cellStyle name="20 % - Accent4 3 2 3 4 2 2 5" xfId="38358"/>
    <cellStyle name="20 % - Accent4 3 2 3 4 2 2 6" xfId="54587"/>
    <cellStyle name="20 % - Accent4 3 2 3 4 2 3" xfId="9150"/>
    <cellStyle name="20 % - Accent4 3 2 3 4 2 3 2" xfId="28623"/>
    <cellStyle name="20 % - Accent4 3 2 3 4 2 3 3" xfId="41603"/>
    <cellStyle name="20 % - Accent4 3 2 3 4 2 3 4" xfId="57832"/>
    <cellStyle name="20 % - Accent4 3 2 3 4 2 4" xfId="15643"/>
    <cellStyle name="20 % - Accent4 3 2 3 4 2 4 2" xfId="51342"/>
    <cellStyle name="20 % - Accent4 3 2 3 4 2 5" xfId="22133"/>
    <cellStyle name="20 % - Accent4 3 2 3 4 2 6" xfId="35113"/>
    <cellStyle name="20 % - Accent4 3 2 3 4 2 7" xfId="48096"/>
    <cellStyle name="20 % - Accent4 3 2 3 4 3" xfId="4240"/>
    <cellStyle name="20 % - Accent4 3 2 3 4 3 2" xfId="10772"/>
    <cellStyle name="20 % - Accent4 3 2 3 4 3 2 2" xfId="30245"/>
    <cellStyle name="20 % - Accent4 3 2 3 4 3 2 3" xfId="43225"/>
    <cellStyle name="20 % - Accent4 3 2 3 4 3 2 4" xfId="59454"/>
    <cellStyle name="20 % - Accent4 3 2 3 4 3 3" xfId="17265"/>
    <cellStyle name="20 % - Accent4 3 2 3 4 3 4" xfId="23755"/>
    <cellStyle name="20 % - Accent4 3 2 3 4 3 5" xfId="36735"/>
    <cellStyle name="20 % - Accent4 3 2 3 4 3 6" xfId="52964"/>
    <cellStyle name="20 % - Accent4 3 2 3 4 4" xfId="7527"/>
    <cellStyle name="20 % - Accent4 3 2 3 4 4 2" xfId="27000"/>
    <cellStyle name="20 % - Accent4 3 2 3 4 4 3" xfId="39980"/>
    <cellStyle name="20 % - Accent4 3 2 3 4 4 4" xfId="56209"/>
    <cellStyle name="20 % - Accent4 3 2 3 4 5" xfId="14020"/>
    <cellStyle name="20 % - Accent4 3 2 3 4 5 2" xfId="49719"/>
    <cellStyle name="20 % - Accent4 3 2 3 4 6" xfId="20510"/>
    <cellStyle name="20 % - Accent4 3 2 3 4 7" xfId="33490"/>
    <cellStyle name="20 % - Accent4 3 2 3 4 8" xfId="46473"/>
    <cellStyle name="20 % - Accent4 3 2 3 5" xfId="1904"/>
    <cellStyle name="20 % - Accent4 3 2 3 5 2" xfId="5149"/>
    <cellStyle name="20 % - Accent4 3 2 3 5 2 2" xfId="11681"/>
    <cellStyle name="20 % - Accent4 3 2 3 5 2 2 2" xfId="31154"/>
    <cellStyle name="20 % - Accent4 3 2 3 5 2 2 3" xfId="44134"/>
    <cellStyle name="20 % - Accent4 3 2 3 5 2 2 4" xfId="60363"/>
    <cellStyle name="20 % - Accent4 3 2 3 5 2 3" xfId="18174"/>
    <cellStyle name="20 % - Accent4 3 2 3 5 2 4" xfId="24664"/>
    <cellStyle name="20 % - Accent4 3 2 3 5 2 5" xfId="37644"/>
    <cellStyle name="20 % - Accent4 3 2 3 5 2 6" xfId="53873"/>
    <cellStyle name="20 % - Accent4 3 2 3 5 3" xfId="8436"/>
    <cellStyle name="20 % - Accent4 3 2 3 5 3 2" xfId="27909"/>
    <cellStyle name="20 % - Accent4 3 2 3 5 3 3" xfId="40889"/>
    <cellStyle name="20 % - Accent4 3 2 3 5 3 4" xfId="57118"/>
    <cellStyle name="20 % - Accent4 3 2 3 5 4" xfId="14929"/>
    <cellStyle name="20 % - Accent4 3 2 3 5 4 2" xfId="50628"/>
    <cellStyle name="20 % - Accent4 3 2 3 5 5" xfId="21419"/>
    <cellStyle name="20 % - Accent4 3 2 3 5 6" xfId="34399"/>
    <cellStyle name="20 % - Accent4 3 2 3 5 7" xfId="47382"/>
    <cellStyle name="20 % - Accent4 3 2 3 6" xfId="3525"/>
    <cellStyle name="20 % - Accent4 3 2 3 6 2" xfId="10057"/>
    <cellStyle name="20 % - Accent4 3 2 3 6 2 2" xfId="29530"/>
    <cellStyle name="20 % - Accent4 3 2 3 6 2 3" xfId="42510"/>
    <cellStyle name="20 % - Accent4 3 2 3 6 2 4" xfId="58739"/>
    <cellStyle name="20 % - Accent4 3 2 3 6 3" xfId="16550"/>
    <cellStyle name="20 % - Accent4 3 2 3 6 4" xfId="23040"/>
    <cellStyle name="20 % - Accent4 3 2 3 6 5" xfId="36020"/>
    <cellStyle name="20 % - Accent4 3 2 3 6 6" xfId="52249"/>
    <cellStyle name="20 % - Accent4 3 2 3 7" xfId="6812"/>
    <cellStyle name="20 % - Accent4 3 2 3 7 2" xfId="26285"/>
    <cellStyle name="20 % - Accent4 3 2 3 7 3" xfId="39265"/>
    <cellStyle name="20 % - Accent4 3 2 3 7 4" xfId="55494"/>
    <cellStyle name="20 % - Accent4 3 2 3 8" xfId="13305"/>
    <cellStyle name="20 % - Accent4 3 2 3 8 2" xfId="49004"/>
    <cellStyle name="20 % - Accent4 3 2 3 9" xfId="19795"/>
    <cellStyle name="20 % - Accent4 3 2 4" xfId="319"/>
    <cellStyle name="20 % - Accent4 3 2 4 10" xfId="32863"/>
    <cellStyle name="20 % - Accent4 3 2 4 11" xfId="45846"/>
    <cellStyle name="20 % - Accent4 3 2 4 2" xfId="783"/>
    <cellStyle name="20 % - Accent4 3 2 4 2 10" xfId="46306"/>
    <cellStyle name="20 % - Accent4 3 2 4 2 2" xfId="1722"/>
    <cellStyle name="20 % - Accent4 3 2 4 2 2 2" xfId="3389"/>
    <cellStyle name="20 % - Accent4 3 2 4 2 2 2 2" xfId="6634"/>
    <cellStyle name="20 % - Accent4 3 2 4 2 2 2 2 2" xfId="13166"/>
    <cellStyle name="20 % - Accent4 3 2 4 2 2 2 2 2 2" xfId="32639"/>
    <cellStyle name="20 % - Accent4 3 2 4 2 2 2 2 2 3" xfId="45619"/>
    <cellStyle name="20 % - Accent4 3 2 4 2 2 2 2 2 4" xfId="61848"/>
    <cellStyle name="20 % - Accent4 3 2 4 2 2 2 2 3" xfId="19659"/>
    <cellStyle name="20 % - Accent4 3 2 4 2 2 2 2 4" xfId="26149"/>
    <cellStyle name="20 % - Accent4 3 2 4 2 2 2 2 5" xfId="39129"/>
    <cellStyle name="20 % - Accent4 3 2 4 2 2 2 2 6" xfId="55358"/>
    <cellStyle name="20 % - Accent4 3 2 4 2 2 2 3" xfId="9921"/>
    <cellStyle name="20 % - Accent4 3 2 4 2 2 2 3 2" xfId="29394"/>
    <cellStyle name="20 % - Accent4 3 2 4 2 2 2 3 3" xfId="42374"/>
    <cellStyle name="20 % - Accent4 3 2 4 2 2 2 3 4" xfId="58603"/>
    <cellStyle name="20 % - Accent4 3 2 4 2 2 2 4" xfId="16414"/>
    <cellStyle name="20 % - Accent4 3 2 4 2 2 2 4 2" xfId="52113"/>
    <cellStyle name="20 % - Accent4 3 2 4 2 2 2 5" xfId="22904"/>
    <cellStyle name="20 % - Accent4 3 2 4 2 2 2 6" xfId="35884"/>
    <cellStyle name="20 % - Accent4 3 2 4 2 2 2 7" xfId="48867"/>
    <cellStyle name="20 % - Accent4 3 2 4 2 2 3" xfId="5011"/>
    <cellStyle name="20 % - Accent4 3 2 4 2 2 3 2" xfId="11543"/>
    <cellStyle name="20 % - Accent4 3 2 4 2 2 3 2 2" xfId="31016"/>
    <cellStyle name="20 % - Accent4 3 2 4 2 2 3 2 3" xfId="43996"/>
    <cellStyle name="20 % - Accent4 3 2 4 2 2 3 2 4" xfId="60225"/>
    <cellStyle name="20 % - Accent4 3 2 4 2 2 3 3" xfId="18036"/>
    <cellStyle name="20 % - Accent4 3 2 4 2 2 3 4" xfId="24526"/>
    <cellStyle name="20 % - Accent4 3 2 4 2 2 3 5" xfId="37506"/>
    <cellStyle name="20 % - Accent4 3 2 4 2 2 3 6" xfId="53735"/>
    <cellStyle name="20 % - Accent4 3 2 4 2 2 4" xfId="8298"/>
    <cellStyle name="20 % - Accent4 3 2 4 2 2 4 2" xfId="27771"/>
    <cellStyle name="20 % - Accent4 3 2 4 2 2 4 3" xfId="40751"/>
    <cellStyle name="20 % - Accent4 3 2 4 2 2 4 4" xfId="56980"/>
    <cellStyle name="20 % - Accent4 3 2 4 2 2 5" xfId="14791"/>
    <cellStyle name="20 % - Accent4 3 2 4 2 2 5 2" xfId="50490"/>
    <cellStyle name="20 % - Accent4 3 2 4 2 2 6" xfId="21281"/>
    <cellStyle name="20 % - Accent4 3 2 4 2 2 7" xfId="34261"/>
    <cellStyle name="20 % - Accent4 3 2 4 2 2 8" xfId="47244"/>
    <cellStyle name="20 % - Accent4 3 2 4 2 3" xfId="1259"/>
    <cellStyle name="20 % - Accent4 3 2 4 2 3 2" xfId="2926"/>
    <cellStyle name="20 % - Accent4 3 2 4 2 3 2 2" xfId="6171"/>
    <cellStyle name="20 % - Accent4 3 2 4 2 3 2 2 2" xfId="12703"/>
    <cellStyle name="20 % - Accent4 3 2 4 2 3 2 2 2 2" xfId="32176"/>
    <cellStyle name="20 % - Accent4 3 2 4 2 3 2 2 2 3" xfId="45156"/>
    <cellStyle name="20 % - Accent4 3 2 4 2 3 2 2 2 4" xfId="61385"/>
    <cellStyle name="20 % - Accent4 3 2 4 2 3 2 2 3" xfId="19196"/>
    <cellStyle name="20 % - Accent4 3 2 4 2 3 2 2 4" xfId="25686"/>
    <cellStyle name="20 % - Accent4 3 2 4 2 3 2 2 5" xfId="38666"/>
    <cellStyle name="20 % - Accent4 3 2 4 2 3 2 2 6" xfId="54895"/>
    <cellStyle name="20 % - Accent4 3 2 4 2 3 2 3" xfId="9458"/>
    <cellStyle name="20 % - Accent4 3 2 4 2 3 2 3 2" xfId="28931"/>
    <cellStyle name="20 % - Accent4 3 2 4 2 3 2 3 3" xfId="41911"/>
    <cellStyle name="20 % - Accent4 3 2 4 2 3 2 3 4" xfId="58140"/>
    <cellStyle name="20 % - Accent4 3 2 4 2 3 2 4" xfId="15951"/>
    <cellStyle name="20 % - Accent4 3 2 4 2 3 2 4 2" xfId="51650"/>
    <cellStyle name="20 % - Accent4 3 2 4 2 3 2 5" xfId="22441"/>
    <cellStyle name="20 % - Accent4 3 2 4 2 3 2 6" xfId="35421"/>
    <cellStyle name="20 % - Accent4 3 2 4 2 3 2 7" xfId="48404"/>
    <cellStyle name="20 % - Accent4 3 2 4 2 3 3" xfId="4548"/>
    <cellStyle name="20 % - Accent4 3 2 4 2 3 3 2" xfId="11080"/>
    <cellStyle name="20 % - Accent4 3 2 4 2 3 3 2 2" xfId="30553"/>
    <cellStyle name="20 % - Accent4 3 2 4 2 3 3 2 3" xfId="43533"/>
    <cellStyle name="20 % - Accent4 3 2 4 2 3 3 2 4" xfId="59762"/>
    <cellStyle name="20 % - Accent4 3 2 4 2 3 3 3" xfId="17573"/>
    <cellStyle name="20 % - Accent4 3 2 4 2 3 3 4" xfId="24063"/>
    <cellStyle name="20 % - Accent4 3 2 4 2 3 3 5" xfId="37043"/>
    <cellStyle name="20 % - Accent4 3 2 4 2 3 3 6" xfId="53272"/>
    <cellStyle name="20 % - Accent4 3 2 4 2 3 4" xfId="7835"/>
    <cellStyle name="20 % - Accent4 3 2 4 2 3 4 2" xfId="27308"/>
    <cellStyle name="20 % - Accent4 3 2 4 2 3 4 3" xfId="40288"/>
    <cellStyle name="20 % - Accent4 3 2 4 2 3 4 4" xfId="56517"/>
    <cellStyle name="20 % - Accent4 3 2 4 2 3 5" xfId="14328"/>
    <cellStyle name="20 % - Accent4 3 2 4 2 3 5 2" xfId="50027"/>
    <cellStyle name="20 % - Accent4 3 2 4 2 3 6" xfId="20818"/>
    <cellStyle name="20 % - Accent4 3 2 4 2 3 7" xfId="33798"/>
    <cellStyle name="20 % - Accent4 3 2 4 2 3 8" xfId="46781"/>
    <cellStyle name="20 % - Accent4 3 2 4 2 4" xfId="2451"/>
    <cellStyle name="20 % - Accent4 3 2 4 2 4 2" xfId="5696"/>
    <cellStyle name="20 % - Accent4 3 2 4 2 4 2 2" xfId="12228"/>
    <cellStyle name="20 % - Accent4 3 2 4 2 4 2 2 2" xfId="31701"/>
    <cellStyle name="20 % - Accent4 3 2 4 2 4 2 2 3" xfId="44681"/>
    <cellStyle name="20 % - Accent4 3 2 4 2 4 2 2 4" xfId="60910"/>
    <cellStyle name="20 % - Accent4 3 2 4 2 4 2 3" xfId="18721"/>
    <cellStyle name="20 % - Accent4 3 2 4 2 4 2 4" xfId="25211"/>
    <cellStyle name="20 % - Accent4 3 2 4 2 4 2 5" xfId="38191"/>
    <cellStyle name="20 % - Accent4 3 2 4 2 4 2 6" xfId="54420"/>
    <cellStyle name="20 % - Accent4 3 2 4 2 4 3" xfId="8983"/>
    <cellStyle name="20 % - Accent4 3 2 4 2 4 3 2" xfId="28456"/>
    <cellStyle name="20 % - Accent4 3 2 4 2 4 3 3" xfId="41436"/>
    <cellStyle name="20 % - Accent4 3 2 4 2 4 3 4" xfId="57665"/>
    <cellStyle name="20 % - Accent4 3 2 4 2 4 4" xfId="15476"/>
    <cellStyle name="20 % - Accent4 3 2 4 2 4 4 2" xfId="51175"/>
    <cellStyle name="20 % - Accent4 3 2 4 2 4 5" xfId="21966"/>
    <cellStyle name="20 % - Accent4 3 2 4 2 4 6" xfId="34946"/>
    <cellStyle name="20 % - Accent4 3 2 4 2 4 7" xfId="47929"/>
    <cellStyle name="20 % - Accent4 3 2 4 2 5" xfId="4073"/>
    <cellStyle name="20 % - Accent4 3 2 4 2 5 2" xfId="10605"/>
    <cellStyle name="20 % - Accent4 3 2 4 2 5 2 2" xfId="30078"/>
    <cellStyle name="20 % - Accent4 3 2 4 2 5 2 3" xfId="43058"/>
    <cellStyle name="20 % - Accent4 3 2 4 2 5 2 4" xfId="59287"/>
    <cellStyle name="20 % - Accent4 3 2 4 2 5 3" xfId="17098"/>
    <cellStyle name="20 % - Accent4 3 2 4 2 5 4" xfId="23588"/>
    <cellStyle name="20 % - Accent4 3 2 4 2 5 5" xfId="36568"/>
    <cellStyle name="20 % - Accent4 3 2 4 2 5 6" xfId="52797"/>
    <cellStyle name="20 % - Accent4 3 2 4 2 6" xfId="7360"/>
    <cellStyle name="20 % - Accent4 3 2 4 2 6 2" xfId="26833"/>
    <cellStyle name="20 % - Accent4 3 2 4 2 6 3" xfId="39813"/>
    <cellStyle name="20 % - Accent4 3 2 4 2 6 4" xfId="56042"/>
    <cellStyle name="20 % - Accent4 3 2 4 2 7" xfId="13853"/>
    <cellStyle name="20 % - Accent4 3 2 4 2 7 2" xfId="49552"/>
    <cellStyle name="20 % - Accent4 3 2 4 2 8" xfId="20343"/>
    <cellStyle name="20 % - Accent4 3 2 4 2 9" xfId="33323"/>
    <cellStyle name="20 % - Accent4 3 2 4 3" xfId="553"/>
    <cellStyle name="20 % - Accent4 3 2 4 3 2" xfId="1502"/>
    <cellStyle name="20 % - Accent4 3 2 4 3 2 2" xfId="3169"/>
    <cellStyle name="20 % - Accent4 3 2 4 3 2 2 2" xfId="6414"/>
    <cellStyle name="20 % - Accent4 3 2 4 3 2 2 2 2" xfId="12946"/>
    <cellStyle name="20 % - Accent4 3 2 4 3 2 2 2 2 2" xfId="32419"/>
    <cellStyle name="20 % - Accent4 3 2 4 3 2 2 2 2 3" xfId="45399"/>
    <cellStyle name="20 % - Accent4 3 2 4 3 2 2 2 2 4" xfId="61628"/>
    <cellStyle name="20 % - Accent4 3 2 4 3 2 2 2 3" xfId="19439"/>
    <cellStyle name="20 % - Accent4 3 2 4 3 2 2 2 4" xfId="25929"/>
    <cellStyle name="20 % - Accent4 3 2 4 3 2 2 2 5" xfId="38909"/>
    <cellStyle name="20 % - Accent4 3 2 4 3 2 2 2 6" xfId="55138"/>
    <cellStyle name="20 % - Accent4 3 2 4 3 2 2 3" xfId="9701"/>
    <cellStyle name="20 % - Accent4 3 2 4 3 2 2 3 2" xfId="29174"/>
    <cellStyle name="20 % - Accent4 3 2 4 3 2 2 3 3" xfId="42154"/>
    <cellStyle name="20 % - Accent4 3 2 4 3 2 2 3 4" xfId="58383"/>
    <cellStyle name="20 % - Accent4 3 2 4 3 2 2 4" xfId="16194"/>
    <cellStyle name="20 % - Accent4 3 2 4 3 2 2 4 2" xfId="51893"/>
    <cellStyle name="20 % - Accent4 3 2 4 3 2 2 5" xfId="22684"/>
    <cellStyle name="20 % - Accent4 3 2 4 3 2 2 6" xfId="35664"/>
    <cellStyle name="20 % - Accent4 3 2 4 3 2 2 7" xfId="48647"/>
    <cellStyle name="20 % - Accent4 3 2 4 3 2 3" xfId="4791"/>
    <cellStyle name="20 % - Accent4 3 2 4 3 2 3 2" xfId="11323"/>
    <cellStyle name="20 % - Accent4 3 2 4 3 2 3 2 2" xfId="30796"/>
    <cellStyle name="20 % - Accent4 3 2 4 3 2 3 2 3" xfId="43776"/>
    <cellStyle name="20 % - Accent4 3 2 4 3 2 3 2 4" xfId="60005"/>
    <cellStyle name="20 % - Accent4 3 2 4 3 2 3 3" xfId="17816"/>
    <cellStyle name="20 % - Accent4 3 2 4 3 2 3 4" xfId="24306"/>
    <cellStyle name="20 % - Accent4 3 2 4 3 2 3 5" xfId="37286"/>
    <cellStyle name="20 % - Accent4 3 2 4 3 2 3 6" xfId="53515"/>
    <cellStyle name="20 % - Accent4 3 2 4 3 2 4" xfId="8078"/>
    <cellStyle name="20 % - Accent4 3 2 4 3 2 4 2" xfId="27551"/>
    <cellStyle name="20 % - Accent4 3 2 4 3 2 4 3" xfId="40531"/>
    <cellStyle name="20 % - Accent4 3 2 4 3 2 4 4" xfId="56760"/>
    <cellStyle name="20 % - Accent4 3 2 4 3 2 5" xfId="14571"/>
    <cellStyle name="20 % - Accent4 3 2 4 3 2 5 2" xfId="50270"/>
    <cellStyle name="20 % - Accent4 3 2 4 3 2 6" xfId="21061"/>
    <cellStyle name="20 % - Accent4 3 2 4 3 2 7" xfId="34041"/>
    <cellStyle name="20 % - Accent4 3 2 4 3 2 8" xfId="47024"/>
    <cellStyle name="20 % - Accent4 3 2 4 3 3" xfId="2221"/>
    <cellStyle name="20 % - Accent4 3 2 4 3 3 2" xfId="5466"/>
    <cellStyle name="20 % - Accent4 3 2 4 3 3 2 2" xfId="11998"/>
    <cellStyle name="20 % - Accent4 3 2 4 3 3 2 2 2" xfId="31471"/>
    <cellStyle name="20 % - Accent4 3 2 4 3 3 2 2 3" xfId="44451"/>
    <cellStyle name="20 % - Accent4 3 2 4 3 3 2 2 4" xfId="60680"/>
    <cellStyle name="20 % - Accent4 3 2 4 3 3 2 3" xfId="18491"/>
    <cellStyle name="20 % - Accent4 3 2 4 3 3 2 4" xfId="24981"/>
    <cellStyle name="20 % - Accent4 3 2 4 3 3 2 5" xfId="37961"/>
    <cellStyle name="20 % - Accent4 3 2 4 3 3 2 6" xfId="54190"/>
    <cellStyle name="20 % - Accent4 3 2 4 3 3 3" xfId="8753"/>
    <cellStyle name="20 % - Accent4 3 2 4 3 3 3 2" xfId="28226"/>
    <cellStyle name="20 % - Accent4 3 2 4 3 3 3 3" xfId="41206"/>
    <cellStyle name="20 % - Accent4 3 2 4 3 3 3 4" xfId="57435"/>
    <cellStyle name="20 % - Accent4 3 2 4 3 3 4" xfId="15246"/>
    <cellStyle name="20 % - Accent4 3 2 4 3 3 4 2" xfId="50945"/>
    <cellStyle name="20 % - Accent4 3 2 4 3 3 5" xfId="21736"/>
    <cellStyle name="20 % - Accent4 3 2 4 3 3 6" xfId="34716"/>
    <cellStyle name="20 % - Accent4 3 2 4 3 3 7" xfId="47699"/>
    <cellStyle name="20 % - Accent4 3 2 4 3 4" xfId="3843"/>
    <cellStyle name="20 % - Accent4 3 2 4 3 4 2" xfId="10375"/>
    <cellStyle name="20 % - Accent4 3 2 4 3 4 2 2" xfId="29848"/>
    <cellStyle name="20 % - Accent4 3 2 4 3 4 2 3" xfId="42828"/>
    <cellStyle name="20 % - Accent4 3 2 4 3 4 2 4" xfId="59057"/>
    <cellStyle name="20 % - Accent4 3 2 4 3 4 3" xfId="16868"/>
    <cellStyle name="20 % - Accent4 3 2 4 3 4 4" xfId="23358"/>
    <cellStyle name="20 % - Accent4 3 2 4 3 4 5" xfId="36338"/>
    <cellStyle name="20 % - Accent4 3 2 4 3 4 6" xfId="52567"/>
    <cellStyle name="20 % - Accent4 3 2 4 3 5" xfId="7130"/>
    <cellStyle name="20 % - Accent4 3 2 4 3 5 2" xfId="26603"/>
    <cellStyle name="20 % - Accent4 3 2 4 3 5 3" xfId="39583"/>
    <cellStyle name="20 % - Accent4 3 2 4 3 5 4" xfId="55812"/>
    <cellStyle name="20 % - Accent4 3 2 4 3 6" xfId="13623"/>
    <cellStyle name="20 % - Accent4 3 2 4 3 6 2" xfId="49322"/>
    <cellStyle name="20 % - Accent4 3 2 4 3 7" xfId="20113"/>
    <cellStyle name="20 % - Accent4 3 2 4 3 8" xfId="33093"/>
    <cellStyle name="20 % - Accent4 3 2 4 3 9" xfId="46076"/>
    <cellStyle name="20 % - Accent4 3 2 4 4" xfId="1039"/>
    <cellStyle name="20 % - Accent4 3 2 4 4 2" xfId="2706"/>
    <cellStyle name="20 % - Accent4 3 2 4 4 2 2" xfId="5951"/>
    <cellStyle name="20 % - Accent4 3 2 4 4 2 2 2" xfId="12483"/>
    <cellStyle name="20 % - Accent4 3 2 4 4 2 2 2 2" xfId="31956"/>
    <cellStyle name="20 % - Accent4 3 2 4 4 2 2 2 3" xfId="44936"/>
    <cellStyle name="20 % - Accent4 3 2 4 4 2 2 2 4" xfId="61165"/>
    <cellStyle name="20 % - Accent4 3 2 4 4 2 2 3" xfId="18976"/>
    <cellStyle name="20 % - Accent4 3 2 4 4 2 2 4" xfId="25466"/>
    <cellStyle name="20 % - Accent4 3 2 4 4 2 2 5" xfId="38446"/>
    <cellStyle name="20 % - Accent4 3 2 4 4 2 2 6" xfId="54675"/>
    <cellStyle name="20 % - Accent4 3 2 4 4 2 3" xfId="9238"/>
    <cellStyle name="20 % - Accent4 3 2 4 4 2 3 2" xfId="28711"/>
    <cellStyle name="20 % - Accent4 3 2 4 4 2 3 3" xfId="41691"/>
    <cellStyle name="20 % - Accent4 3 2 4 4 2 3 4" xfId="57920"/>
    <cellStyle name="20 % - Accent4 3 2 4 4 2 4" xfId="15731"/>
    <cellStyle name="20 % - Accent4 3 2 4 4 2 4 2" xfId="51430"/>
    <cellStyle name="20 % - Accent4 3 2 4 4 2 5" xfId="22221"/>
    <cellStyle name="20 % - Accent4 3 2 4 4 2 6" xfId="35201"/>
    <cellStyle name="20 % - Accent4 3 2 4 4 2 7" xfId="48184"/>
    <cellStyle name="20 % - Accent4 3 2 4 4 3" xfId="4328"/>
    <cellStyle name="20 % - Accent4 3 2 4 4 3 2" xfId="10860"/>
    <cellStyle name="20 % - Accent4 3 2 4 4 3 2 2" xfId="30333"/>
    <cellStyle name="20 % - Accent4 3 2 4 4 3 2 3" xfId="43313"/>
    <cellStyle name="20 % - Accent4 3 2 4 4 3 2 4" xfId="59542"/>
    <cellStyle name="20 % - Accent4 3 2 4 4 3 3" xfId="17353"/>
    <cellStyle name="20 % - Accent4 3 2 4 4 3 4" xfId="23843"/>
    <cellStyle name="20 % - Accent4 3 2 4 4 3 5" xfId="36823"/>
    <cellStyle name="20 % - Accent4 3 2 4 4 3 6" xfId="53052"/>
    <cellStyle name="20 % - Accent4 3 2 4 4 4" xfId="7615"/>
    <cellStyle name="20 % - Accent4 3 2 4 4 4 2" xfId="27088"/>
    <cellStyle name="20 % - Accent4 3 2 4 4 4 3" xfId="40068"/>
    <cellStyle name="20 % - Accent4 3 2 4 4 4 4" xfId="56297"/>
    <cellStyle name="20 % - Accent4 3 2 4 4 5" xfId="14108"/>
    <cellStyle name="20 % - Accent4 3 2 4 4 5 2" xfId="49807"/>
    <cellStyle name="20 % - Accent4 3 2 4 4 6" xfId="20598"/>
    <cellStyle name="20 % - Accent4 3 2 4 4 7" xfId="33578"/>
    <cellStyle name="20 % - Accent4 3 2 4 4 8" xfId="46561"/>
    <cellStyle name="20 % - Accent4 3 2 4 5" xfId="1992"/>
    <cellStyle name="20 % - Accent4 3 2 4 5 2" xfId="5237"/>
    <cellStyle name="20 % - Accent4 3 2 4 5 2 2" xfId="11769"/>
    <cellStyle name="20 % - Accent4 3 2 4 5 2 2 2" xfId="31242"/>
    <cellStyle name="20 % - Accent4 3 2 4 5 2 2 3" xfId="44222"/>
    <cellStyle name="20 % - Accent4 3 2 4 5 2 2 4" xfId="60451"/>
    <cellStyle name="20 % - Accent4 3 2 4 5 2 3" xfId="18262"/>
    <cellStyle name="20 % - Accent4 3 2 4 5 2 4" xfId="24752"/>
    <cellStyle name="20 % - Accent4 3 2 4 5 2 5" xfId="37732"/>
    <cellStyle name="20 % - Accent4 3 2 4 5 2 6" xfId="53961"/>
    <cellStyle name="20 % - Accent4 3 2 4 5 3" xfId="8524"/>
    <cellStyle name="20 % - Accent4 3 2 4 5 3 2" xfId="27997"/>
    <cellStyle name="20 % - Accent4 3 2 4 5 3 3" xfId="40977"/>
    <cellStyle name="20 % - Accent4 3 2 4 5 3 4" xfId="57206"/>
    <cellStyle name="20 % - Accent4 3 2 4 5 4" xfId="15017"/>
    <cellStyle name="20 % - Accent4 3 2 4 5 4 2" xfId="50716"/>
    <cellStyle name="20 % - Accent4 3 2 4 5 5" xfId="21507"/>
    <cellStyle name="20 % - Accent4 3 2 4 5 6" xfId="34487"/>
    <cellStyle name="20 % - Accent4 3 2 4 5 7" xfId="47470"/>
    <cellStyle name="20 % - Accent4 3 2 4 6" xfId="3613"/>
    <cellStyle name="20 % - Accent4 3 2 4 6 2" xfId="10145"/>
    <cellStyle name="20 % - Accent4 3 2 4 6 2 2" xfId="29618"/>
    <cellStyle name="20 % - Accent4 3 2 4 6 2 3" xfId="42598"/>
    <cellStyle name="20 % - Accent4 3 2 4 6 2 4" xfId="58827"/>
    <cellStyle name="20 % - Accent4 3 2 4 6 3" xfId="16638"/>
    <cellStyle name="20 % - Accent4 3 2 4 6 4" xfId="23128"/>
    <cellStyle name="20 % - Accent4 3 2 4 6 5" xfId="36108"/>
    <cellStyle name="20 % - Accent4 3 2 4 6 6" xfId="52337"/>
    <cellStyle name="20 % - Accent4 3 2 4 7" xfId="6900"/>
    <cellStyle name="20 % - Accent4 3 2 4 7 2" xfId="26373"/>
    <cellStyle name="20 % - Accent4 3 2 4 7 3" xfId="39353"/>
    <cellStyle name="20 % - Accent4 3 2 4 7 4" xfId="55582"/>
    <cellStyle name="20 % - Accent4 3 2 4 8" xfId="13393"/>
    <cellStyle name="20 % - Accent4 3 2 4 8 2" xfId="49092"/>
    <cellStyle name="20 % - Accent4 3 2 4 9" xfId="19883"/>
    <cellStyle name="20 % - Accent4 3 2 5" xfId="651"/>
    <cellStyle name="20 % - Accent4 3 2 5 10" xfId="46174"/>
    <cellStyle name="20 % - Accent4 3 2 5 2" xfId="1590"/>
    <cellStyle name="20 % - Accent4 3 2 5 2 2" xfId="3257"/>
    <cellStyle name="20 % - Accent4 3 2 5 2 2 2" xfId="6502"/>
    <cellStyle name="20 % - Accent4 3 2 5 2 2 2 2" xfId="13034"/>
    <cellStyle name="20 % - Accent4 3 2 5 2 2 2 2 2" xfId="32507"/>
    <cellStyle name="20 % - Accent4 3 2 5 2 2 2 2 3" xfId="45487"/>
    <cellStyle name="20 % - Accent4 3 2 5 2 2 2 2 4" xfId="61716"/>
    <cellStyle name="20 % - Accent4 3 2 5 2 2 2 3" xfId="19527"/>
    <cellStyle name="20 % - Accent4 3 2 5 2 2 2 4" xfId="26017"/>
    <cellStyle name="20 % - Accent4 3 2 5 2 2 2 5" xfId="38997"/>
    <cellStyle name="20 % - Accent4 3 2 5 2 2 2 6" xfId="55226"/>
    <cellStyle name="20 % - Accent4 3 2 5 2 2 3" xfId="9789"/>
    <cellStyle name="20 % - Accent4 3 2 5 2 2 3 2" xfId="29262"/>
    <cellStyle name="20 % - Accent4 3 2 5 2 2 3 3" xfId="42242"/>
    <cellStyle name="20 % - Accent4 3 2 5 2 2 3 4" xfId="58471"/>
    <cellStyle name="20 % - Accent4 3 2 5 2 2 4" xfId="16282"/>
    <cellStyle name="20 % - Accent4 3 2 5 2 2 4 2" xfId="51981"/>
    <cellStyle name="20 % - Accent4 3 2 5 2 2 5" xfId="22772"/>
    <cellStyle name="20 % - Accent4 3 2 5 2 2 6" xfId="35752"/>
    <cellStyle name="20 % - Accent4 3 2 5 2 2 7" xfId="48735"/>
    <cellStyle name="20 % - Accent4 3 2 5 2 3" xfId="4879"/>
    <cellStyle name="20 % - Accent4 3 2 5 2 3 2" xfId="11411"/>
    <cellStyle name="20 % - Accent4 3 2 5 2 3 2 2" xfId="30884"/>
    <cellStyle name="20 % - Accent4 3 2 5 2 3 2 3" xfId="43864"/>
    <cellStyle name="20 % - Accent4 3 2 5 2 3 2 4" xfId="60093"/>
    <cellStyle name="20 % - Accent4 3 2 5 2 3 3" xfId="17904"/>
    <cellStyle name="20 % - Accent4 3 2 5 2 3 4" xfId="24394"/>
    <cellStyle name="20 % - Accent4 3 2 5 2 3 5" xfId="37374"/>
    <cellStyle name="20 % - Accent4 3 2 5 2 3 6" xfId="53603"/>
    <cellStyle name="20 % - Accent4 3 2 5 2 4" xfId="8166"/>
    <cellStyle name="20 % - Accent4 3 2 5 2 4 2" xfId="27639"/>
    <cellStyle name="20 % - Accent4 3 2 5 2 4 3" xfId="40619"/>
    <cellStyle name="20 % - Accent4 3 2 5 2 4 4" xfId="56848"/>
    <cellStyle name="20 % - Accent4 3 2 5 2 5" xfId="14659"/>
    <cellStyle name="20 % - Accent4 3 2 5 2 5 2" xfId="50358"/>
    <cellStyle name="20 % - Accent4 3 2 5 2 6" xfId="21149"/>
    <cellStyle name="20 % - Accent4 3 2 5 2 7" xfId="34129"/>
    <cellStyle name="20 % - Accent4 3 2 5 2 8" xfId="47112"/>
    <cellStyle name="20 % - Accent4 3 2 5 3" xfId="1127"/>
    <cellStyle name="20 % - Accent4 3 2 5 3 2" xfId="2794"/>
    <cellStyle name="20 % - Accent4 3 2 5 3 2 2" xfId="6039"/>
    <cellStyle name="20 % - Accent4 3 2 5 3 2 2 2" xfId="12571"/>
    <cellStyle name="20 % - Accent4 3 2 5 3 2 2 2 2" xfId="32044"/>
    <cellStyle name="20 % - Accent4 3 2 5 3 2 2 2 3" xfId="45024"/>
    <cellStyle name="20 % - Accent4 3 2 5 3 2 2 2 4" xfId="61253"/>
    <cellStyle name="20 % - Accent4 3 2 5 3 2 2 3" xfId="19064"/>
    <cellStyle name="20 % - Accent4 3 2 5 3 2 2 4" xfId="25554"/>
    <cellStyle name="20 % - Accent4 3 2 5 3 2 2 5" xfId="38534"/>
    <cellStyle name="20 % - Accent4 3 2 5 3 2 2 6" xfId="54763"/>
    <cellStyle name="20 % - Accent4 3 2 5 3 2 3" xfId="9326"/>
    <cellStyle name="20 % - Accent4 3 2 5 3 2 3 2" xfId="28799"/>
    <cellStyle name="20 % - Accent4 3 2 5 3 2 3 3" xfId="41779"/>
    <cellStyle name="20 % - Accent4 3 2 5 3 2 3 4" xfId="58008"/>
    <cellStyle name="20 % - Accent4 3 2 5 3 2 4" xfId="15819"/>
    <cellStyle name="20 % - Accent4 3 2 5 3 2 4 2" xfId="51518"/>
    <cellStyle name="20 % - Accent4 3 2 5 3 2 5" xfId="22309"/>
    <cellStyle name="20 % - Accent4 3 2 5 3 2 6" xfId="35289"/>
    <cellStyle name="20 % - Accent4 3 2 5 3 2 7" xfId="48272"/>
    <cellStyle name="20 % - Accent4 3 2 5 3 3" xfId="4416"/>
    <cellStyle name="20 % - Accent4 3 2 5 3 3 2" xfId="10948"/>
    <cellStyle name="20 % - Accent4 3 2 5 3 3 2 2" xfId="30421"/>
    <cellStyle name="20 % - Accent4 3 2 5 3 3 2 3" xfId="43401"/>
    <cellStyle name="20 % - Accent4 3 2 5 3 3 2 4" xfId="59630"/>
    <cellStyle name="20 % - Accent4 3 2 5 3 3 3" xfId="17441"/>
    <cellStyle name="20 % - Accent4 3 2 5 3 3 4" xfId="23931"/>
    <cellStyle name="20 % - Accent4 3 2 5 3 3 5" xfId="36911"/>
    <cellStyle name="20 % - Accent4 3 2 5 3 3 6" xfId="53140"/>
    <cellStyle name="20 % - Accent4 3 2 5 3 4" xfId="7703"/>
    <cellStyle name="20 % - Accent4 3 2 5 3 4 2" xfId="27176"/>
    <cellStyle name="20 % - Accent4 3 2 5 3 4 3" xfId="40156"/>
    <cellStyle name="20 % - Accent4 3 2 5 3 4 4" xfId="56385"/>
    <cellStyle name="20 % - Accent4 3 2 5 3 5" xfId="14196"/>
    <cellStyle name="20 % - Accent4 3 2 5 3 5 2" xfId="49895"/>
    <cellStyle name="20 % - Accent4 3 2 5 3 6" xfId="20686"/>
    <cellStyle name="20 % - Accent4 3 2 5 3 7" xfId="33666"/>
    <cellStyle name="20 % - Accent4 3 2 5 3 8" xfId="46649"/>
    <cellStyle name="20 % - Accent4 3 2 5 4" xfId="2319"/>
    <cellStyle name="20 % - Accent4 3 2 5 4 2" xfId="5564"/>
    <cellStyle name="20 % - Accent4 3 2 5 4 2 2" xfId="12096"/>
    <cellStyle name="20 % - Accent4 3 2 5 4 2 2 2" xfId="31569"/>
    <cellStyle name="20 % - Accent4 3 2 5 4 2 2 3" xfId="44549"/>
    <cellStyle name="20 % - Accent4 3 2 5 4 2 2 4" xfId="60778"/>
    <cellStyle name="20 % - Accent4 3 2 5 4 2 3" xfId="18589"/>
    <cellStyle name="20 % - Accent4 3 2 5 4 2 4" xfId="25079"/>
    <cellStyle name="20 % - Accent4 3 2 5 4 2 5" xfId="38059"/>
    <cellStyle name="20 % - Accent4 3 2 5 4 2 6" xfId="54288"/>
    <cellStyle name="20 % - Accent4 3 2 5 4 3" xfId="8851"/>
    <cellStyle name="20 % - Accent4 3 2 5 4 3 2" xfId="28324"/>
    <cellStyle name="20 % - Accent4 3 2 5 4 3 3" xfId="41304"/>
    <cellStyle name="20 % - Accent4 3 2 5 4 3 4" xfId="57533"/>
    <cellStyle name="20 % - Accent4 3 2 5 4 4" xfId="15344"/>
    <cellStyle name="20 % - Accent4 3 2 5 4 4 2" xfId="51043"/>
    <cellStyle name="20 % - Accent4 3 2 5 4 5" xfId="21834"/>
    <cellStyle name="20 % - Accent4 3 2 5 4 6" xfId="34814"/>
    <cellStyle name="20 % - Accent4 3 2 5 4 7" xfId="47797"/>
    <cellStyle name="20 % - Accent4 3 2 5 5" xfId="3941"/>
    <cellStyle name="20 % - Accent4 3 2 5 5 2" xfId="10473"/>
    <cellStyle name="20 % - Accent4 3 2 5 5 2 2" xfId="29946"/>
    <cellStyle name="20 % - Accent4 3 2 5 5 2 3" xfId="42926"/>
    <cellStyle name="20 % - Accent4 3 2 5 5 2 4" xfId="59155"/>
    <cellStyle name="20 % - Accent4 3 2 5 5 3" xfId="16966"/>
    <cellStyle name="20 % - Accent4 3 2 5 5 4" xfId="23456"/>
    <cellStyle name="20 % - Accent4 3 2 5 5 5" xfId="36436"/>
    <cellStyle name="20 % - Accent4 3 2 5 5 6" xfId="52665"/>
    <cellStyle name="20 % - Accent4 3 2 5 6" xfId="7228"/>
    <cellStyle name="20 % - Accent4 3 2 5 6 2" xfId="26701"/>
    <cellStyle name="20 % - Accent4 3 2 5 6 3" xfId="39681"/>
    <cellStyle name="20 % - Accent4 3 2 5 6 4" xfId="55910"/>
    <cellStyle name="20 % - Accent4 3 2 5 7" xfId="13721"/>
    <cellStyle name="20 % - Accent4 3 2 5 7 2" xfId="49420"/>
    <cellStyle name="20 % - Accent4 3 2 5 8" xfId="20211"/>
    <cellStyle name="20 % - Accent4 3 2 5 9" xfId="33191"/>
    <cellStyle name="20 % - Accent4 3 2 6" xfId="421"/>
    <cellStyle name="20 % - Accent4 3 2 6 2" xfId="1370"/>
    <cellStyle name="20 % - Accent4 3 2 6 2 2" xfId="3037"/>
    <cellStyle name="20 % - Accent4 3 2 6 2 2 2" xfId="6282"/>
    <cellStyle name="20 % - Accent4 3 2 6 2 2 2 2" xfId="12814"/>
    <cellStyle name="20 % - Accent4 3 2 6 2 2 2 2 2" xfId="32287"/>
    <cellStyle name="20 % - Accent4 3 2 6 2 2 2 2 3" xfId="45267"/>
    <cellStyle name="20 % - Accent4 3 2 6 2 2 2 2 4" xfId="61496"/>
    <cellStyle name="20 % - Accent4 3 2 6 2 2 2 3" xfId="19307"/>
    <cellStyle name="20 % - Accent4 3 2 6 2 2 2 4" xfId="25797"/>
    <cellStyle name="20 % - Accent4 3 2 6 2 2 2 5" xfId="38777"/>
    <cellStyle name="20 % - Accent4 3 2 6 2 2 2 6" xfId="55006"/>
    <cellStyle name="20 % - Accent4 3 2 6 2 2 3" xfId="9569"/>
    <cellStyle name="20 % - Accent4 3 2 6 2 2 3 2" xfId="29042"/>
    <cellStyle name="20 % - Accent4 3 2 6 2 2 3 3" xfId="42022"/>
    <cellStyle name="20 % - Accent4 3 2 6 2 2 3 4" xfId="58251"/>
    <cellStyle name="20 % - Accent4 3 2 6 2 2 4" xfId="16062"/>
    <cellStyle name="20 % - Accent4 3 2 6 2 2 4 2" xfId="51761"/>
    <cellStyle name="20 % - Accent4 3 2 6 2 2 5" xfId="22552"/>
    <cellStyle name="20 % - Accent4 3 2 6 2 2 6" xfId="35532"/>
    <cellStyle name="20 % - Accent4 3 2 6 2 2 7" xfId="48515"/>
    <cellStyle name="20 % - Accent4 3 2 6 2 3" xfId="4659"/>
    <cellStyle name="20 % - Accent4 3 2 6 2 3 2" xfId="11191"/>
    <cellStyle name="20 % - Accent4 3 2 6 2 3 2 2" xfId="30664"/>
    <cellStyle name="20 % - Accent4 3 2 6 2 3 2 3" xfId="43644"/>
    <cellStyle name="20 % - Accent4 3 2 6 2 3 2 4" xfId="59873"/>
    <cellStyle name="20 % - Accent4 3 2 6 2 3 3" xfId="17684"/>
    <cellStyle name="20 % - Accent4 3 2 6 2 3 4" xfId="24174"/>
    <cellStyle name="20 % - Accent4 3 2 6 2 3 5" xfId="37154"/>
    <cellStyle name="20 % - Accent4 3 2 6 2 3 6" xfId="53383"/>
    <cellStyle name="20 % - Accent4 3 2 6 2 4" xfId="7946"/>
    <cellStyle name="20 % - Accent4 3 2 6 2 4 2" xfId="27419"/>
    <cellStyle name="20 % - Accent4 3 2 6 2 4 3" xfId="40399"/>
    <cellStyle name="20 % - Accent4 3 2 6 2 4 4" xfId="56628"/>
    <cellStyle name="20 % - Accent4 3 2 6 2 5" xfId="14439"/>
    <cellStyle name="20 % - Accent4 3 2 6 2 5 2" xfId="50138"/>
    <cellStyle name="20 % - Accent4 3 2 6 2 6" xfId="20929"/>
    <cellStyle name="20 % - Accent4 3 2 6 2 7" xfId="33909"/>
    <cellStyle name="20 % - Accent4 3 2 6 2 8" xfId="46892"/>
    <cellStyle name="20 % - Accent4 3 2 6 3" xfId="2089"/>
    <cellStyle name="20 % - Accent4 3 2 6 3 2" xfId="5334"/>
    <cellStyle name="20 % - Accent4 3 2 6 3 2 2" xfId="11866"/>
    <cellStyle name="20 % - Accent4 3 2 6 3 2 2 2" xfId="31339"/>
    <cellStyle name="20 % - Accent4 3 2 6 3 2 2 3" xfId="44319"/>
    <cellStyle name="20 % - Accent4 3 2 6 3 2 2 4" xfId="60548"/>
    <cellStyle name="20 % - Accent4 3 2 6 3 2 3" xfId="18359"/>
    <cellStyle name="20 % - Accent4 3 2 6 3 2 4" xfId="24849"/>
    <cellStyle name="20 % - Accent4 3 2 6 3 2 5" xfId="37829"/>
    <cellStyle name="20 % - Accent4 3 2 6 3 2 6" xfId="54058"/>
    <cellStyle name="20 % - Accent4 3 2 6 3 3" xfId="8621"/>
    <cellStyle name="20 % - Accent4 3 2 6 3 3 2" xfId="28094"/>
    <cellStyle name="20 % - Accent4 3 2 6 3 3 3" xfId="41074"/>
    <cellStyle name="20 % - Accent4 3 2 6 3 3 4" xfId="57303"/>
    <cellStyle name="20 % - Accent4 3 2 6 3 4" xfId="15114"/>
    <cellStyle name="20 % - Accent4 3 2 6 3 4 2" xfId="50813"/>
    <cellStyle name="20 % - Accent4 3 2 6 3 5" xfId="21604"/>
    <cellStyle name="20 % - Accent4 3 2 6 3 6" xfId="34584"/>
    <cellStyle name="20 % - Accent4 3 2 6 3 7" xfId="47567"/>
    <cellStyle name="20 % - Accent4 3 2 6 4" xfId="3711"/>
    <cellStyle name="20 % - Accent4 3 2 6 4 2" xfId="10243"/>
    <cellStyle name="20 % - Accent4 3 2 6 4 2 2" xfId="29716"/>
    <cellStyle name="20 % - Accent4 3 2 6 4 2 3" xfId="42696"/>
    <cellStyle name="20 % - Accent4 3 2 6 4 2 4" xfId="58925"/>
    <cellStyle name="20 % - Accent4 3 2 6 4 3" xfId="16736"/>
    <cellStyle name="20 % - Accent4 3 2 6 4 4" xfId="23226"/>
    <cellStyle name="20 % - Accent4 3 2 6 4 5" xfId="36206"/>
    <cellStyle name="20 % - Accent4 3 2 6 4 6" xfId="52435"/>
    <cellStyle name="20 % - Accent4 3 2 6 5" xfId="6998"/>
    <cellStyle name="20 % - Accent4 3 2 6 5 2" xfId="26471"/>
    <cellStyle name="20 % - Accent4 3 2 6 5 3" xfId="39451"/>
    <cellStyle name="20 % - Accent4 3 2 6 5 4" xfId="55680"/>
    <cellStyle name="20 % - Accent4 3 2 6 6" xfId="13491"/>
    <cellStyle name="20 % - Accent4 3 2 6 6 2" xfId="49190"/>
    <cellStyle name="20 % - Accent4 3 2 6 7" xfId="19981"/>
    <cellStyle name="20 % - Accent4 3 2 6 8" xfId="32961"/>
    <cellStyle name="20 % - Accent4 3 2 6 9" xfId="45944"/>
    <cellStyle name="20 % - Accent4 3 2 7" xfId="907"/>
    <cellStyle name="20 % - Accent4 3 2 7 2" xfId="2574"/>
    <cellStyle name="20 % - Accent4 3 2 7 2 2" xfId="5819"/>
    <cellStyle name="20 % - Accent4 3 2 7 2 2 2" xfId="12351"/>
    <cellStyle name="20 % - Accent4 3 2 7 2 2 2 2" xfId="31824"/>
    <cellStyle name="20 % - Accent4 3 2 7 2 2 2 3" xfId="44804"/>
    <cellStyle name="20 % - Accent4 3 2 7 2 2 2 4" xfId="61033"/>
    <cellStyle name="20 % - Accent4 3 2 7 2 2 3" xfId="18844"/>
    <cellStyle name="20 % - Accent4 3 2 7 2 2 4" xfId="25334"/>
    <cellStyle name="20 % - Accent4 3 2 7 2 2 5" xfId="38314"/>
    <cellStyle name="20 % - Accent4 3 2 7 2 2 6" xfId="54543"/>
    <cellStyle name="20 % - Accent4 3 2 7 2 3" xfId="9106"/>
    <cellStyle name="20 % - Accent4 3 2 7 2 3 2" xfId="28579"/>
    <cellStyle name="20 % - Accent4 3 2 7 2 3 3" xfId="41559"/>
    <cellStyle name="20 % - Accent4 3 2 7 2 3 4" xfId="57788"/>
    <cellStyle name="20 % - Accent4 3 2 7 2 4" xfId="15599"/>
    <cellStyle name="20 % - Accent4 3 2 7 2 4 2" xfId="51298"/>
    <cellStyle name="20 % - Accent4 3 2 7 2 5" xfId="22089"/>
    <cellStyle name="20 % - Accent4 3 2 7 2 6" xfId="35069"/>
    <cellStyle name="20 % - Accent4 3 2 7 2 7" xfId="48052"/>
    <cellStyle name="20 % - Accent4 3 2 7 3" xfId="4196"/>
    <cellStyle name="20 % - Accent4 3 2 7 3 2" xfId="10728"/>
    <cellStyle name="20 % - Accent4 3 2 7 3 2 2" xfId="30201"/>
    <cellStyle name="20 % - Accent4 3 2 7 3 2 3" xfId="43181"/>
    <cellStyle name="20 % - Accent4 3 2 7 3 2 4" xfId="59410"/>
    <cellStyle name="20 % - Accent4 3 2 7 3 3" xfId="17221"/>
    <cellStyle name="20 % - Accent4 3 2 7 3 4" xfId="23711"/>
    <cellStyle name="20 % - Accent4 3 2 7 3 5" xfId="36691"/>
    <cellStyle name="20 % - Accent4 3 2 7 3 6" xfId="52920"/>
    <cellStyle name="20 % - Accent4 3 2 7 4" xfId="7483"/>
    <cellStyle name="20 % - Accent4 3 2 7 4 2" xfId="26956"/>
    <cellStyle name="20 % - Accent4 3 2 7 4 3" xfId="39936"/>
    <cellStyle name="20 % - Accent4 3 2 7 4 4" xfId="56165"/>
    <cellStyle name="20 % - Accent4 3 2 7 5" xfId="13976"/>
    <cellStyle name="20 % - Accent4 3 2 7 5 2" xfId="49675"/>
    <cellStyle name="20 % - Accent4 3 2 7 6" xfId="20466"/>
    <cellStyle name="20 % - Accent4 3 2 7 7" xfId="33446"/>
    <cellStyle name="20 % - Accent4 3 2 7 8" xfId="46429"/>
    <cellStyle name="20 % - Accent4 3 2 8" xfId="1860"/>
    <cellStyle name="20 % - Accent4 3 2 8 2" xfId="5105"/>
    <cellStyle name="20 % - Accent4 3 2 8 2 2" xfId="11637"/>
    <cellStyle name="20 % - Accent4 3 2 8 2 2 2" xfId="31110"/>
    <cellStyle name="20 % - Accent4 3 2 8 2 2 3" xfId="44090"/>
    <cellStyle name="20 % - Accent4 3 2 8 2 2 4" xfId="60319"/>
    <cellStyle name="20 % - Accent4 3 2 8 2 3" xfId="18130"/>
    <cellStyle name="20 % - Accent4 3 2 8 2 4" xfId="24620"/>
    <cellStyle name="20 % - Accent4 3 2 8 2 5" xfId="37600"/>
    <cellStyle name="20 % - Accent4 3 2 8 2 6" xfId="53829"/>
    <cellStyle name="20 % - Accent4 3 2 8 3" xfId="8392"/>
    <cellStyle name="20 % - Accent4 3 2 8 3 2" xfId="27865"/>
    <cellStyle name="20 % - Accent4 3 2 8 3 3" xfId="40845"/>
    <cellStyle name="20 % - Accent4 3 2 8 3 4" xfId="57074"/>
    <cellStyle name="20 % - Accent4 3 2 8 4" xfId="14885"/>
    <cellStyle name="20 % - Accent4 3 2 8 4 2" xfId="50584"/>
    <cellStyle name="20 % - Accent4 3 2 8 5" xfId="21375"/>
    <cellStyle name="20 % - Accent4 3 2 8 6" xfId="34355"/>
    <cellStyle name="20 % - Accent4 3 2 8 7" xfId="47338"/>
    <cellStyle name="20 % - Accent4 3 2 9" xfId="3481"/>
    <cellStyle name="20 % - Accent4 3 2 9 2" xfId="10013"/>
    <cellStyle name="20 % - Accent4 3 2 9 2 2" xfId="29486"/>
    <cellStyle name="20 % - Accent4 3 2 9 2 3" xfId="42466"/>
    <cellStyle name="20 % - Accent4 3 2 9 2 4" xfId="58695"/>
    <cellStyle name="20 % - Accent4 3 2 9 3" xfId="16506"/>
    <cellStyle name="20 % - Accent4 3 2 9 4" xfId="22996"/>
    <cellStyle name="20 % - Accent4 3 2 9 5" xfId="35976"/>
    <cellStyle name="20 % - Accent4 3 2 9 6" xfId="52205"/>
    <cellStyle name="20 % - Accent4 3 3" xfId="253"/>
    <cellStyle name="20 % - Accent4 3 3 10" xfId="19817"/>
    <cellStyle name="20 % - Accent4 3 3 11" xfId="32797"/>
    <cellStyle name="20 % - Accent4 3 3 12" xfId="45780"/>
    <cellStyle name="20 % - Accent4 3 3 2" xfId="341"/>
    <cellStyle name="20 % - Accent4 3 3 2 10" xfId="32885"/>
    <cellStyle name="20 % - Accent4 3 3 2 11" xfId="45868"/>
    <cellStyle name="20 % - Accent4 3 3 2 2" xfId="805"/>
    <cellStyle name="20 % - Accent4 3 3 2 2 10" xfId="46328"/>
    <cellStyle name="20 % - Accent4 3 3 2 2 2" xfId="1744"/>
    <cellStyle name="20 % - Accent4 3 3 2 2 2 2" xfId="3411"/>
    <cellStyle name="20 % - Accent4 3 3 2 2 2 2 2" xfId="6656"/>
    <cellStyle name="20 % - Accent4 3 3 2 2 2 2 2 2" xfId="13188"/>
    <cellStyle name="20 % - Accent4 3 3 2 2 2 2 2 2 2" xfId="32661"/>
    <cellStyle name="20 % - Accent4 3 3 2 2 2 2 2 2 3" xfId="45641"/>
    <cellStyle name="20 % - Accent4 3 3 2 2 2 2 2 2 4" xfId="61870"/>
    <cellStyle name="20 % - Accent4 3 3 2 2 2 2 2 3" xfId="19681"/>
    <cellStyle name="20 % - Accent4 3 3 2 2 2 2 2 4" xfId="26171"/>
    <cellStyle name="20 % - Accent4 3 3 2 2 2 2 2 5" xfId="39151"/>
    <cellStyle name="20 % - Accent4 3 3 2 2 2 2 2 6" xfId="55380"/>
    <cellStyle name="20 % - Accent4 3 3 2 2 2 2 3" xfId="9943"/>
    <cellStyle name="20 % - Accent4 3 3 2 2 2 2 3 2" xfId="29416"/>
    <cellStyle name="20 % - Accent4 3 3 2 2 2 2 3 3" xfId="42396"/>
    <cellStyle name="20 % - Accent4 3 3 2 2 2 2 3 4" xfId="58625"/>
    <cellStyle name="20 % - Accent4 3 3 2 2 2 2 4" xfId="16436"/>
    <cellStyle name="20 % - Accent4 3 3 2 2 2 2 4 2" xfId="52135"/>
    <cellStyle name="20 % - Accent4 3 3 2 2 2 2 5" xfId="22926"/>
    <cellStyle name="20 % - Accent4 3 3 2 2 2 2 6" xfId="35906"/>
    <cellStyle name="20 % - Accent4 3 3 2 2 2 2 7" xfId="48889"/>
    <cellStyle name="20 % - Accent4 3 3 2 2 2 3" xfId="5033"/>
    <cellStyle name="20 % - Accent4 3 3 2 2 2 3 2" xfId="11565"/>
    <cellStyle name="20 % - Accent4 3 3 2 2 2 3 2 2" xfId="31038"/>
    <cellStyle name="20 % - Accent4 3 3 2 2 2 3 2 3" xfId="44018"/>
    <cellStyle name="20 % - Accent4 3 3 2 2 2 3 2 4" xfId="60247"/>
    <cellStyle name="20 % - Accent4 3 3 2 2 2 3 3" xfId="18058"/>
    <cellStyle name="20 % - Accent4 3 3 2 2 2 3 4" xfId="24548"/>
    <cellStyle name="20 % - Accent4 3 3 2 2 2 3 5" xfId="37528"/>
    <cellStyle name="20 % - Accent4 3 3 2 2 2 3 6" xfId="53757"/>
    <cellStyle name="20 % - Accent4 3 3 2 2 2 4" xfId="8320"/>
    <cellStyle name="20 % - Accent4 3 3 2 2 2 4 2" xfId="27793"/>
    <cellStyle name="20 % - Accent4 3 3 2 2 2 4 3" xfId="40773"/>
    <cellStyle name="20 % - Accent4 3 3 2 2 2 4 4" xfId="57002"/>
    <cellStyle name="20 % - Accent4 3 3 2 2 2 5" xfId="14813"/>
    <cellStyle name="20 % - Accent4 3 3 2 2 2 5 2" xfId="50512"/>
    <cellStyle name="20 % - Accent4 3 3 2 2 2 6" xfId="21303"/>
    <cellStyle name="20 % - Accent4 3 3 2 2 2 7" xfId="34283"/>
    <cellStyle name="20 % - Accent4 3 3 2 2 2 8" xfId="47266"/>
    <cellStyle name="20 % - Accent4 3 3 2 2 3" xfId="1281"/>
    <cellStyle name="20 % - Accent4 3 3 2 2 3 2" xfId="2948"/>
    <cellStyle name="20 % - Accent4 3 3 2 2 3 2 2" xfId="6193"/>
    <cellStyle name="20 % - Accent4 3 3 2 2 3 2 2 2" xfId="12725"/>
    <cellStyle name="20 % - Accent4 3 3 2 2 3 2 2 2 2" xfId="32198"/>
    <cellStyle name="20 % - Accent4 3 3 2 2 3 2 2 2 3" xfId="45178"/>
    <cellStyle name="20 % - Accent4 3 3 2 2 3 2 2 2 4" xfId="61407"/>
    <cellStyle name="20 % - Accent4 3 3 2 2 3 2 2 3" xfId="19218"/>
    <cellStyle name="20 % - Accent4 3 3 2 2 3 2 2 4" xfId="25708"/>
    <cellStyle name="20 % - Accent4 3 3 2 2 3 2 2 5" xfId="38688"/>
    <cellStyle name="20 % - Accent4 3 3 2 2 3 2 2 6" xfId="54917"/>
    <cellStyle name="20 % - Accent4 3 3 2 2 3 2 3" xfId="9480"/>
    <cellStyle name="20 % - Accent4 3 3 2 2 3 2 3 2" xfId="28953"/>
    <cellStyle name="20 % - Accent4 3 3 2 2 3 2 3 3" xfId="41933"/>
    <cellStyle name="20 % - Accent4 3 3 2 2 3 2 3 4" xfId="58162"/>
    <cellStyle name="20 % - Accent4 3 3 2 2 3 2 4" xfId="15973"/>
    <cellStyle name="20 % - Accent4 3 3 2 2 3 2 4 2" xfId="51672"/>
    <cellStyle name="20 % - Accent4 3 3 2 2 3 2 5" xfId="22463"/>
    <cellStyle name="20 % - Accent4 3 3 2 2 3 2 6" xfId="35443"/>
    <cellStyle name="20 % - Accent4 3 3 2 2 3 2 7" xfId="48426"/>
    <cellStyle name="20 % - Accent4 3 3 2 2 3 3" xfId="4570"/>
    <cellStyle name="20 % - Accent4 3 3 2 2 3 3 2" xfId="11102"/>
    <cellStyle name="20 % - Accent4 3 3 2 2 3 3 2 2" xfId="30575"/>
    <cellStyle name="20 % - Accent4 3 3 2 2 3 3 2 3" xfId="43555"/>
    <cellStyle name="20 % - Accent4 3 3 2 2 3 3 2 4" xfId="59784"/>
    <cellStyle name="20 % - Accent4 3 3 2 2 3 3 3" xfId="17595"/>
    <cellStyle name="20 % - Accent4 3 3 2 2 3 3 4" xfId="24085"/>
    <cellStyle name="20 % - Accent4 3 3 2 2 3 3 5" xfId="37065"/>
    <cellStyle name="20 % - Accent4 3 3 2 2 3 3 6" xfId="53294"/>
    <cellStyle name="20 % - Accent4 3 3 2 2 3 4" xfId="7857"/>
    <cellStyle name="20 % - Accent4 3 3 2 2 3 4 2" xfId="27330"/>
    <cellStyle name="20 % - Accent4 3 3 2 2 3 4 3" xfId="40310"/>
    <cellStyle name="20 % - Accent4 3 3 2 2 3 4 4" xfId="56539"/>
    <cellStyle name="20 % - Accent4 3 3 2 2 3 5" xfId="14350"/>
    <cellStyle name="20 % - Accent4 3 3 2 2 3 5 2" xfId="50049"/>
    <cellStyle name="20 % - Accent4 3 3 2 2 3 6" xfId="20840"/>
    <cellStyle name="20 % - Accent4 3 3 2 2 3 7" xfId="33820"/>
    <cellStyle name="20 % - Accent4 3 3 2 2 3 8" xfId="46803"/>
    <cellStyle name="20 % - Accent4 3 3 2 2 4" xfId="2473"/>
    <cellStyle name="20 % - Accent4 3 3 2 2 4 2" xfId="5718"/>
    <cellStyle name="20 % - Accent4 3 3 2 2 4 2 2" xfId="12250"/>
    <cellStyle name="20 % - Accent4 3 3 2 2 4 2 2 2" xfId="31723"/>
    <cellStyle name="20 % - Accent4 3 3 2 2 4 2 2 3" xfId="44703"/>
    <cellStyle name="20 % - Accent4 3 3 2 2 4 2 2 4" xfId="60932"/>
    <cellStyle name="20 % - Accent4 3 3 2 2 4 2 3" xfId="18743"/>
    <cellStyle name="20 % - Accent4 3 3 2 2 4 2 4" xfId="25233"/>
    <cellStyle name="20 % - Accent4 3 3 2 2 4 2 5" xfId="38213"/>
    <cellStyle name="20 % - Accent4 3 3 2 2 4 2 6" xfId="54442"/>
    <cellStyle name="20 % - Accent4 3 3 2 2 4 3" xfId="9005"/>
    <cellStyle name="20 % - Accent4 3 3 2 2 4 3 2" xfId="28478"/>
    <cellStyle name="20 % - Accent4 3 3 2 2 4 3 3" xfId="41458"/>
    <cellStyle name="20 % - Accent4 3 3 2 2 4 3 4" xfId="57687"/>
    <cellStyle name="20 % - Accent4 3 3 2 2 4 4" xfId="15498"/>
    <cellStyle name="20 % - Accent4 3 3 2 2 4 4 2" xfId="51197"/>
    <cellStyle name="20 % - Accent4 3 3 2 2 4 5" xfId="21988"/>
    <cellStyle name="20 % - Accent4 3 3 2 2 4 6" xfId="34968"/>
    <cellStyle name="20 % - Accent4 3 3 2 2 4 7" xfId="47951"/>
    <cellStyle name="20 % - Accent4 3 3 2 2 5" xfId="4095"/>
    <cellStyle name="20 % - Accent4 3 3 2 2 5 2" xfId="10627"/>
    <cellStyle name="20 % - Accent4 3 3 2 2 5 2 2" xfId="30100"/>
    <cellStyle name="20 % - Accent4 3 3 2 2 5 2 3" xfId="43080"/>
    <cellStyle name="20 % - Accent4 3 3 2 2 5 2 4" xfId="59309"/>
    <cellStyle name="20 % - Accent4 3 3 2 2 5 3" xfId="17120"/>
    <cellStyle name="20 % - Accent4 3 3 2 2 5 4" xfId="23610"/>
    <cellStyle name="20 % - Accent4 3 3 2 2 5 5" xfId="36590"/>
    <cellStyle name="20 % - Accent4 3 3 2 2 5 6" xfId="52819"/>
    <cellStyle name="20 % - Accent4 3 3 2 2 6" xfId="7382"/>
    <cellStyle name="20 % - Accent4 3 3 2 2 6 2" xfId="26855"/>
    <cellStyle name="20 % - Accent4 3 3 2 2 6 3" xfId="39835"/>
    <cellStyle name="20 % - Accent4 3 3 2 2 6 4" xfId="56064"/>
    <cellStyle name="20 % - Accent4 3 3 2 2 7" xfId="13875"/>
    <cellStyle name="20 % - Accent4 3 3 2 2 7 2" xfId="49574"/>
    <cellStyle name="20 % - Accent4 3 3 2 2 8" xfId="20365"/>
    <cellStyle name="20 % - Accent4 3 3 2 2 9" xfId="33345"/>
    <cellStyle name="20 % - Accent4 3 3 2 3" xfId="575"/>
    <cellStyle name="20 % - Accent4 3 3 2 3 2" xfId="1524"/>
    <cellStyle name="20 % - Accent4 3 3 2 3 2 2" xfId="3191"/>
    <cellStyle name="20 % - Accent4 3 3 2 3 2 2 2" xfId="6436"/>
    <cellStyle name="20 % - Accent4 3 3 2 3 2 2 2 2" xfId="12968"/>
    <cellStyle name="20 % - Accent4 3 3 2 3 2 2 2 2 2" xfId="32441"/>
    <cellStyle name="20 % - Accent4 3 3 2 3 2 2 2 2 3" xfId="45421"/>
    <cellStyle name="20 % - Accent4 3 3 2 3 2 2 2 2 4" xfId="61650"/>
    <cellStyle name="20 % - Accent4 3 3 2 3 2 2 2 3" xfId="19461"/>
    <cellStyle name="20 % - Accent4 3 3 2 3 2 2 2 4" xfId="25951"/>
    <cellStyle name="20 % - Accent4 3 3 2 3 2 2 2 5" xfId="38931"/>
    <cellStyle name="20 % - Accent4 3 3 2 3 2 2 2 6" xfId="55160"/>
    <cellStyle name="20 % - Accent4 3 3 2 3 2 2 3" xfId="9723"/>
    <cellStyle name="20 % - Accent4 3 3 2 3 2 2 3 2" xfId="29196"/>
    <cellStyle name="20 % - Accent4 3 3 2 3 2 2 3 3" xfId="42176"/>
    <cellStyle name="20 % - Accent4 3 3 2 3 2 2 3 4" xfId="58405"/>
    <cellStyle name="20 % - Accent4 3 3 2 3 2 2 4" xfId="16216"/>
    <cellStyle name="20 % - Accent4 3 3 2 3 2 2 4 2" xfId="51915"/>
    <cellStyle name="20 % - Accent4 3 3 2 3 2 2 5" xfId="22706"/>
    <cellStyle name="20 % - Accent4 3 3 2 3 2 2 6" xfId="35686"/>
    <cellStyle name="20 % - Accent4 3 3 2 3 2 2 7" xfId="48669"/>
    <cellStyle name="20 % - Accent4 3 3 2 3 2 3" xfId="4813"/>
    <cellStyle name="20 % - Accent4 3 3 2 3 2 3 2" xfId="11345"/>
    <cellStyle name="20 % - Accent4 3 3 2 3 2 3 2 2" xfId="30818"/>
    <cellStyle name="20 % - Accent4 3 3 2 3 2 3 2 3" xfId="43798"/>
    <cellStyle name="20 % - Accent4 3 3 2 3 2 3 2 4" xfId="60027"/>
    <cellStyle name="20 % - Accent4 3 3 2 3 2 3 3" xfId="17838"/>
    <cellStyle name="20 % - Accent4 3 3 2 3 2 3 4" xfId="24328"/>
    <cellStyle name="20 % - Accent4 3 3 2 3 2 3 5" xfId="37308"/>
    <cellStyle name="20 % - Accent4 3 3 2 3 2 3 6" xfId="53537"/>
    <cellStyle name="20 % - Accent4 3 3 2 3 2 4" xfId="8100"/>
    <cellStyle name="20 % - Accent4 3 3 2 3 2 4 2" xfId="27573"/>
    <cellStyle name="20 % - Accent4 3 3 2 3 2 4 3" xfId="40553"/>
    <cellStyle name="20 % - Accent4 3 3 2 3 2 4 4" xfId="56782"/>
    <cellStyle name="20 % - Accent4 3 3 2 3 2 5" xfId="14593"/>
    <cellStyle name="20 % - Accent4 3 3 2 3 2 5 2" xfId="50292"/>
    <cellStyle name="20 % - Accent4 3 3 2 3 2 6" xfId="21083"/>
    <cellStyle name="20 % - Accent4 3 3 2 3 2 7" xfId="34063"/>
    <cellStyle name="20 % - Accent4 3 3 2 3 2 8" xfId="47046"/>
    <cellStyle name="20 % - Accent4 3 3 2 3 3" xfId="2243"/>
    <cellStyle name="20 % - Accent4 3 3 2 3 3 2" xfId="5488"/>
    <cellStyle name="20 % - Accent4 3 3 2 3 3 2 2" xfId="12020"/>
    <cellStyle name="20 % - Accent4 3 3 2 3 3 2 2 2" xfId="31493"/>
    <cellStyle name="20 % - Accent4 3 3 2 3 3 2 2 3" xfId="44473"/>
    <cellStyle name="20 % - Accent4 3 3 2 3 3 2 2 4" xfId="60702"/>
    <cellStyle name="20 % - Accent4 3 3 2 3 3 2 3" xfId="18513"/>
    <cellStyle name="20 % - Accent4 3 3 2 3 3 2 4" xfId="25003"/>
    <cellStyle name="20 % - Accent4 3 3 2 3 3 2 5" xfId="37983"/>
    <cellStyle name="20 % - Accent4 3 3 2 3 3 2 6" xfId="54212"/>
    <cellStyle name="20 % - Accent4 3 3 2 3 3 3" xfId="8775"/>
    <cellStyle name="20 % - Accent4 3 3 2 3 3 3 2" xfId="28248"/>
    <cellStyle name="20 % - Accent4 3 3 2 3 3 3 3" xfId="41228"/>
    <cellStyle name="20 % - Accent4 3 3 2 3 3 3 4" xfId="57457"/>
    <cellStyle name="20 % - Accent4 3 3 2 3 3 4" xfId="15268"/>
    <cellStyle name="20 % - Accent4 3 3 2 3 3 4 2" xfId="50967"/>
    <cellStyle name="20 % - Accent4 3 3 2 3 3 5" xfId="21758"/>
    <cellStyle name="20 % - Accent4 3 3 2 3 3 6" xfId="34738"/>
    <cellStyle name="20 % - Accent4 3 3 2 3 3 7" xfId="47721"/>
    <cellStyle name="20 % - Accent4 3 3 2 3 4" xfId="3865"/>
    <cellStyle name="20 % - Accent4 3 3 2 3 4 2" xfId="10397"/>
    <cellStyle name="20 % - Accent4 3 3 2 3 4 2 2" xfId="29870"/>
    <cellStyle name="20 % - Accent4 3 3 2 3 4 2 3" xfId="42850"/>
    <cellStyle name="20 % - Accent4 3 3 2 3 4 2 4" xfId="59079"/>
    <cellStyle name="20 % - Accent4 3 3 2 3 4 3" xfId="16890"/>
    <cellStyle name="20 % - Accent4 3 3 2 3 4 4" xfId="23380"/>
    <cellStyle name="20 % - Accent4 3 3 2 3 4 5" xfId="36360"/>
    <cellStyle name="20 % - Accent4 3 3 2 3 4 6" xfId="52589"/>
    <cellStyle name="20 % - Accent4 3 3 2 3 5" xfId="7152"/>
    <cellStyle name="20 % - Accent4 3 3 2 3 5 2" xfId="26625"/>
    <cellStyle name="20 % - Accent4 3 3 2 3 5 3" xfId="39605"/>
    <cellStyle name="20 % - Accent4 3 3 2 3 5 4" xfId="55834"/>
    <cellStyle name="20 % - Accent4 3 3 2 3 6" xfId="13645"/>
    <cellStyle name="20 % - Accent4 3 3 2 3 6 2" xfId="49344"/>
    <cellStyle name="20 % - Accent4 3 3 2 3 7" xfId="20135"/>
    <cellStyle name="20 % - Accent4 3 3 2 3 8" xfId="33115"/>
    <cellStyle name="20 % - Accent4 3 3 2 3 9" xfId="46098"/>
    <cellStyle name="20 % - Accent4 3 3 2 4" xfId="1061"/>
    <cellStyle name="20 % - Accent4 3 3 2 4 2" xfId="2728"/>
    <cellStyle name="20 % - Accent4 3 3 2 4 2 2" xfId="5973"/>
    <cellStyle name="20 % - Accent4 3 3 2 4 2 2 2" xfId="12505"/>
    <cellStyle name="20 % - Accent4 3 3 2 4 2 2 2 2" xfId="31978"/>
    <cellStyle name="20 % - Accent4 3 3 2 4 2 2 2 3" xfId="44958"/>
    <cellStyle name="20 % - Accent4 3 3 2 4 2 2 2 4" xfId="61187"/>
    <cellStyle name="20 % - Accent4 3 3 2 4 2 2 3" xfId="18998"/>
    <cellStyle name="20 % - Accent4 3 3 2 4 2 2 4" xfId="25488"/>
    <cellStyle name="20 % - Accent4 3 3 2 4 2 2 5" xfId="38468"/>
    <cellStyle name="20 % - Accent4 3 3 2 4 2 2 6" xfId="54697"/>
    <cellStyle name="20 % - Accent4 3 3 2 4 2 3" xfId="9260"/>
    <cellStyle name="20 % - Accent4 3 3 2 4 2 3 2" xfId="28733"/>
    <cellStyle name="20 % - Accent4 3 3 2 4 2 3 3" xfId="41713"/>
    <cellStyle name="20 % - Accent4 3 3 2 4 2 3 4" xfId="57942"/>
    <cellStyle name="20 % - Accent4 3 3 2 4 2 4" xfId="15753"/>
    <cellStyle name="20 % - Accent4 3 3 2 4 2 4 2" xfId="51452"/>
    <cellStyle name="20 % - Accent4 3 3 2 4 2 5" xfId="22243"/>
    <cellStyle name="20 % - Accent4 3 3 2 4 2 6" xfId="35223"/>
    <cellStyle name="20 % - Accent4 3 3 2 4 2 7" xfId="48206"/>
    <cellStyle name="20 % - Accent4 3 3 2 4 3" xfId="4350"/>
    <cellStyle name="20 % - Accent4 3 3 2 4 3 2" xfId="10882"/>
    <cellStyle name="20 % - Accent4 3 3 2 4 3 2 2" xfId="30355"/>
    <cellStyle name="20 % - Accent4 3 3 2 4 3 2 3" xfId="43335"/>
    <cellStyle name="20 % - Accent4 3 3 2 4 3 2 4" xfId="59564"/>
    <cellStyle name="20 % - Accent4 3 3 2 4 3 3" xfId="17375"/>
    <cellStyle name="20 % - Accent4 3 3 2 4 3 4" xfId="23865"/>
    <cellStyle name="20 % - Accent4 3 3 2 4 3 5" xfId="36845"/>
    <cellStyle name="20 % - Accent4 3 3 2 4 3 6" xfId="53074"/>
    <cellStyle name="20 % - Accent4 3 3 2 4 4" xfId="7637"/>
    <cellStyle name="20 % - Accent4 3 3 2 4 4 2" xfId="27110"/>
    <cellStyle name="20 % - Accent4 3 3 2 4 4 3" xfId="40090"/>
    <cellStyle name="20 % - Accent4 3 3 2 4 4 4" xfId="56319"/>
    <cellStyle name="20 % - Accent4 3 3 2 4 5" xfId="14130"/>
    <cellStyle name="20 % - Accent4 3 3 2 4 5 2" xfId="49829"/>
    <cellStyle name="20 % - Accent4 3 3 2 4 6" xfId="20620"/>
    <cellStyle name="20 % - Accent4 3 3 2 4 7" xfId="33600"/>
    <cellStyle name="20 % - Accent4 3 3 2 4 8" xfId="46583"/>
    <cellStyle name="20 % - Accent4 3 3 2 5" xfId="2014"/>
    <cellStyle name="20 % - Accent4 3 3 2 5 2" xfId="5259"/>
    <cellStyle name="20 % - Accent4 3 3 2 5 2 2" xfId="11791"/>
    <cellStyle name="20 % - Accent4 3 3 2 5 2 2 2" xfId="31264"/>
    <cellStyle name="20 % - Accent4 3 3 2 5 2 2 3" xfId="44244"/>
    <cellStyle name="20 % - Accent4 3 3 2 5 2 2 4" xfId="60473"/>
    <cellStyle name="20 % - Accent4 3 3 2 5 2 3" xfId="18284"/>
    <cellStyle name="20 % - Accent4 3 3 2 5 2 4" xfId="24774"/>
    <cellStyle name="20 % - Accent4 3 3 2 5 2 5" xfId="37754"/>
    <cellStyle name="20 % - Accent4 3 3 2 5 2 6" xfId="53983"/>
    <cellStyle name="20 % - Accent4 3 3 2 5 3" xfId="8546"/>
    <cellStyle name="20 % - Accent4 3 3 2 5 3 2" xfId="28019"/>
    <cellStyle name="20 % - Accent4 3 3 2 5 3 3" xfId="40999"/>
    <cellStyle name="20 % - Accent4 3 3 2 5 3 4" xfId="57228"/>
    <cellStyle name="20 % - Accent4 3 3 2 5 4" xfId="15039"/>
    <cellStyle name="20 % - Accent4 3 3 2 5 4 2" xfId="50738"/>
    <cellStyle name="20 % - Accent4 3 3 2 5 5" xfId="21529"/>
    <cellStyle name="20 % - Accent4 3 3 2 5 6" xfId="34509"/>
    <cellStyle name="20 % - Accent4 3 3 2 5 7" xfId="47492"/>
    <cellStyle name="20 % - Accent4 3 3 2 6" xfId="3635"/>
    <cellStyle name="20 % - Accent4 3 3 2 6 2" xfId="10167"/>
    <cellStyle name="20 % - Accent4 3 3 2 6 2 2" xfId="29640"/>
    <cellStyle name="20 % - Accent4 3 3 2 6 2 3" xfId="42620"/>
    <cellStyle name="20 % - Accent4 3 3 2 6 2 4" xfId="58849"/>
    <cellStyle name="20 % - Accent4 3 3 2 6 3" xfId="16660"/>
    <cellStyle name="20 % - Accent4 3 3 2 6 4" xfId="23150"/>
    <cellStyle name="20 % - Accent4 3 3 2 6 5" xfId="36130"/>
    <cellStyle name="20 % - Accent4 3 3 2 6 6" xfId="52359"/>
    <cellStyle name="20 % - Accent4 3 3 2 7" xfId="6922"/>
    <cellStyle name="20 % - Accent4 3 3 2 7 2" xfId="26395"/>
    <cellStyle name="20 % - Accent4 3 3 2 7 3" xfId="39375"/>
    <cellStyle name="20 % - Accent4 3 3 2 7 4" xfId="55604"/>
    <cellStyle name="20 % - Accent4 3 3 2 8" xfId="13415"/>
    <cellStyle name="20 % - Accent4 3 3 2 8 2" xfId="49114"/>
    <cellStyle name="20 % - Accent4 3 3 2 9" xfId="19905"/>
    <cellStyle name="20 % - Accent4 3 3 3" xfId="717"/>
    <cellStyle name="20 % - Accent4 3 3 3 10" xfId="46240"/>
    <cellStyle name="20 % - Accent4 3 3 3 2" xfId="1656"/>
    <cellStyle name="20 % - Accent4 3 3 3 2 2" xfId="3323"/>
    <cellStyle name="20 % - Accent4 3 3 3 2 2 2" xfId="6568"/>
    <cellStyle name="20 % - Accent4 3 3 3 2 2 2 2" xfId="13100"/>
    <cellStyle name="20 % - Accent4 3 3 3 2 2 2 2 2" xfId="32573"/>
    <cellStyle name="20 % - Accent4 3 3 3 2 2 2 2 3" xfId="45553"/>
    <cellStyle name="20 % - Accent4 3 3 3 2 2 2 2 4" xfId="61782"/>
    <cellStyle name="20 % - Accent4 3 3 3 2 2 2 3" xfId="19593"/>
    <cellStyle name="20 % - Accent4 3 3 3 2 2 2 4" xfId="26083"/>
    <cellStyle name="20 % - Accent4 3 3 3 2 2 2 5" xfId="39063"/>
    <cellStyle name="20 % - Accent4 3 3 3 2 2 2 6" xfId="55292"/>
    <cellStyle name="20 % - Accent4 3 3 3 2 2 3" xfId="9855"/>
    <cellStyle name="20 % - Accent4 3 3 3 2 2 3 2" xfId="29328"/>
    <cellStyle name="20 % - Accent4 3 3 3 2 2 3 3" xfId="42308"/>
    <cellStyle name="20 % - Accent4 3 3 3 2 2 3 4" xfId="58537"/>
    <cellStyle name="20 % - Accent4 3 3 3 2 2 4" xfId="16348"/>
    <cellStyle name="20 % - Accent4 3 3 3 2 2 4 2" xfId="52047"/>
    <cellStyle name="20 % - Accent4 3 3 3 2 2 5" xfId="22838"/>
    <cellStyle name="20 % - Accent4 3 3 3 2 2 6" xfId="35818"/>
    <cellStyle name="20 % - Accent4 3 3 3 2 2 7" xfId="48801"/>
    <cellStyle name="20 % - Accent4 3 3 3 2 3" xfId="4945"/>
    <cellStyle name="20 % - Accent4 3 3 3 2 3 2" xfId="11477"/>
    <cellStyle name="20 % - Accent4 3 3 3 2 3 2 2" xfId="30950"/>
    <cellStyle name="20 % - Accent4 3 3 3 2 3 2 3" xfId="43930"/>
    <cellStyle name="20 % - Accent4 3 3 3 2 3 2 4" xfId="60159"/>
    <cellStyle name="20 % - Accent4 3 3 3 2 3 3" xfId="17970"/>
    <cellStyle name="20 % - Accent4 3 3 3 2 3 4" xfId="24460"/>
    <cellStyle name="20 % - Accent4 3 3 3 2 3 5" xfId="37440"/>
    <cellStyle name="20 % - Accent4 3 3 3 2 3 6" xfId="53669"/>
    <cellStyle name="20 % - Accent4 3 3 3 2 4" xfId="8232"/>
    <cellStyle name="20 % - Accent4 3 3 3 2 4 2" xfId="27705"/>
    <cellStyle name="20 % - Accent4 3 3 3 2 4 3" xfId="40685"/>
    <cellStyle name="20 % - Accent4 3 3 3 2 4 4" xfId="56914"/>
    <cellStyle name="20 % - Accent4 3 3 3 2 5" xfId="14725"/>
    <cellStyle name="20 % - Accent4 3 3 3 2 5 2" xfId="50424"/>
    <cellStyle name="20 % - Accent4 3 3 3 2 6" xfId="21215"/>
    <cellStyle name="20 % - Accent4 3 3 3 2 7" xfId="34195"/>
    <cellStyle name="20 % - Accent4 3 3 3 2 8" xfId="47178"/>
    <cellStyle name="20 % - Accent4 3 3 3 3" xfId="1193"/>
    <cellStyle name="20 % - Accent4 3 3 3 3 2" xfId="2860"/>
    <cellStyle name="20 % - Accent4 3 3 3 3 2 2" xfId="6105"/>
    <cellStyle name="20 % - Accent4 3 3 3 3 2 2 2" xfId="12637"/>
    <cellStyle name="20 % - Accent4 3 3 3 3 2 2 2 2" xfId="32110"/>
    <cellStyle name="20 % - Accent4 3 3 3 3 2 2 2 3" xfId="45090"/>
    <cellStyle name="20 % - Accent4 3 3 3 3 2 2 2 4" xfId="61319"/>
    <cellStyle name="20 % - Accent4 3 3 3 3 2 2 3" xfId="19130"/>
    <cellStyle name="20 % - Accent4 3 3 3 3 2 2 4" xfId="25620"/>
    <cellStyle name="20 % - Accent4 3 3 3 3 2 2 5" xfId="38600"/>
    <cellStyle name="20 % - Accent4 3 3 3 3 2 2 6" xfId="54829"/>
    <cellStyle name="20 % - Accent4 3 3 3 3 2 3" xfId="9392"/>
    <cellStyle name="20 % - Accent4 3 3 3 3 2 3 2" xfId="28865"/>
    <cellStyle name="20 % - Accent4 3 3 3 3 2 3 3" xfId="41845"/>
    <cellStyle name="20 % - Accent4 3 3 3 3 2 3 4" xfId="58074"/>
    <cellStyle name="20 % - Accent4 3 3 3 3 2 4" xfId="15885"/>
    <cellStyle name="20 % - Accent4 3 3 3 3 2 4 2" xfId="51584"/>
    <cellStyle name="20 % - Accent4 3 3 3 3 2 5" xfId="22375"/>
    <cellStyle name="20 % - Accent4 3 3 3 3 2 6" xfId="35355"/>
    <cellStyle name="20 % - Accent4 3 3 3 3 2 7" xfId="48338"/>
    <cellStyle name="20 % - Accent4 3 3 3 3 3" xfId="4482"/>
    <cellStyle name="20 % - Accent4 3 3 3 3 3 2" xfId="11014"/>
    <cellStyle name="20 % - Accent4 3 3 3 3 3 2 2" xfId="30487"/>
    <cellStyle name="20 % - Accent4 3 3 3 3 3 2 3" xfId="43467"/>
    <cellStyle name="20 % - Accent4 3 3 3 3 3 2 4" xfId="59696"/>
    <cellStyle name="20 % - Accent4 3 3 3 3 3 3" xfId="17507"/>
    <cellStyle name="20 % - Accent4 3 3 3 3 3 4" xfId="23997"/>
    <cellStyle name="20 % - Accent4 3 3 3 3 3 5" xfId="36977"/>
    <cellStyle name="20 % - Accent4 3 3 3 3 3 6" xfId="53206"/>
    <cellStyle name="20 % - Accent4 3 3 3 3 4" xfId="7769"/>
    <cellStyle name="20 % - Accent4 3 3 3 3 4 2" xfId="27242"/>
    <cellStyle name="20 % - Accent4 3 3 3 3 4 3" xfId="40222"/>
    <cellStyle name="20 % - Accent4 3 3 3 3 4 4" xfId="56451"/>
    <cellStyle name="20 % - Accent4 3 3 3 3 5" xfId="14262"/>
    <cellStyle name="20 % - Accent4 3 3 3 3 5 2" xfId="49961"/>
    <cellStyle name="20 % - Accent4 3 3 3 3 6" xfId="20752"/>
    <cellStyle name="20 % - Accent4 3 3 3 3 7" xfId="33732"/>
    <cellStyle name="20 % - Accent4 3 3 3 3 8" xfId="46715"/>
    <cellStyle name="20 % - Accent4 3 3 3 4" xfId="2385"/>
    <cellStyle name="20 % - Accent4 3 3 3 4 2" xfId="5630"/>
    <cellStyle name="20 % - Accent4 3 3 3 4 2 2" xfId="12162"/>
    <cellStyle name="20 % - Accent4 3 3 3 4 2 2 2" xfId="31635"/>
    <cellStyle name="20 % - Accent4 3 3 3 4 2 2 3" xfId="44615"/>
    <cellStyle name="20 % - Accent4 3 3 3 4 2 2 4" xfId="60844"/>
    <cellStyle name="20 % - Accent4 3 3 3 4 2 3" xfId="18655"/>
    <cellStyle name="20 % - Accent4 3 3 3 4 2 4" xfId="25145"/>
    <cellStyle name="20 % - Accent4 3 3 3 4 2 5" xfId="38125"/>
    <cellStyle name="20 % - Accent4 3 3 3 4 2 6" xfId="54354"/>
    <cellStyle name="20 % - Accent4 3 3 3 4 3" xfId="8917"/>
    <cellStyle name="20 % - Accent4 3 3 3 4 3 2" xfId="28390"/>
    <cellStyle name="20 % - Accent4 3 3 3 4 3 3" xfId="41370"/>
    <cellStyle name="20 % - Accent4 3 3 3 4 3 4" xfId="57599"/>
    <cellStyle name="20 % - Accent4 3 3 3 4 4" xfId="15410"/>
    <cellStyle name="20 % - Accent4 3 3 3 4 4 2" xfId="51109"/>
    <cellStyle name="20 % - Accent4 3 3 3 4 5" xfId="21900"/>
    <cellStyle name="20 % - Accent4 3 3 3 4 6" xfId="34880"/>
    <cellStyle name="20 % - Accent4 3 3 3 4 7" xfId="47863"/>
    <cellStyle name="20 % - Accent4 3 3 3 5" xfId="4007"/>
    <cellStyle name="20 % - Accent4 3 3 3 5 2" xfId="10539"/>
    <cellStyle name="20 % - Accent4 3 3 3 5 2 2" xfId="30012"/>
    <cellStyle name="20 % - Accent4 3 3 3 5 2 3" xfId="42992"/>
    <cellStyle name="20 % - Accent4 3 3 3 5 2 4" xfId="59221"/>
    <cellStyle name="20 % - Accent4 3 3 3 5 3" xfId="17032"/>
    <cellStyle name="20 % - Accent4 3 3 3 5 4" xfId="23522"/>
    <cellStyle name="20 % - Accent4 3 3 3 5 5" xfId="36502"/>
    <cellStyle name="20 % - Accent4 3 3 3 5 6" xfId="52731"/>
    <cellStyle name="20 % - Accent4 3 3 3 6" xfId="7294"/>
    <cellStyle name="20 % - Accent4 3 3 3 6 2" xfId="26767"/>
    <cellStyle name="20 % - Accent4 3 3 3 6 3" xfId="39747"/>
    <cellStyle name="20 % - Accent4 3 3 3 6 4" xfId="55976"/>
    <cellStyle name="20 % - Accent4 3 3 3 7" xfId="13787"/>
    <cellStyle name="20 % - Accent4 3 3 3 7 2" xfId="49486"/>
    <cellStyle name="20 % - Accent4 3 3 3 8" xfId="20277"/>
    <cellStyle name="20 % - Accent4 3 3 3 9" xfId="33257"/>
    <cellStyle name="20 % - Accent4 3 3 4" xfId="487"/>
    <cellStyle name="20 % - Accent4 3 3 4 2" xfId="1436"/>
    <cellStyle name="20 % - Accent4 3 3 4 2 2" xfId="3103"/>
    <cellStyle name="20 % - Accent4 3 3 4 2 2 2" xfId="6348"/>
    <cellStyle name="20 % - Accent4 3 3 4 2 2 2 2" xfId="12880"/>
    <cellStyle name="20 % - Accent4 3 3 4 2 2 2 2 2" xfId="32353"/>
    <cellStyle name="20 % - Accent4 3 3 4 2 2 2 2 3" xfId="45333"/>
    <cellStyle name="20 % - Accent4 3 3 4 2 2 2 2 4" xfId="61562"/>
    <cellStyle name="20 % - Accent4 3 3 4 2 2 2 3" xfId="19373"/>
    <cellStyle name="20 % - Accent4 3 3 4 2 2 2 4" xfId="25863"/>
    <cellStyle name="20 % - Accent4 3 3 4 2 2 2 5" xfId="38843"/>
    <cellStyle name="20 % - Accent4 3 3 4 2 2 2 6" xfId="55072"/>
    <cellStyle name="20 % - Accent4 3 3 4 2 2 3" xfId="9635"/>
    <cellStyle name="20 % - Accent4 3 3 4 2 2 3 2" xfId="29108"/>
    <cellStyle name="20 % - Accent4 3 3 4 2 2 3 3" xfId="42088"/>
    <cellStyle name="20 % - Accent4 3 3 4 2 2 3 4" xfId="58317"/>
    <cellStyle name="20 % - Accent4 3 3 4 2 2 4" xfId="16128"/>
    <cellStyle name="20 % - Accent4 3 3 4 2 2 4 2" xfId="51827"/>
    <cellStyle name="20 % - Accent4 3 3 4 2 2 5" xfId="22618"/>
    <cellStyle name="20 % - Accent4 3 3 4 2 2 6" xfId="35598"/>
    <cellStyle name="20 % - Accent4 3 3 4 2 2 7" xfId="48581"/>
    <cellStyle name="20 % - Accent4 3 3 4 2 3" xfId="4725"/>
    <cellStyle name="20 % - Accent4 3 3 4 2 3 2" xfId="11257"/>
    <cellStyle name="20 % - Accent4 3 3 4 2 3 2 2" xfId="30730"/>
    <cellStyle name="20 % - Accent4 3 3 4 2 3 2 3" xfId="43710"/>
    <cellStyle name="20 % - Accent4 3 3 4 2 3 2 4" xfId="59939"/>
    <cellStyle name="20 % - Accent4 3 3 4 2 3 3" xfId="17750"/>
    <cellStyle name="20 % - Accent4 3 3 4 2 3 4" xfId="24240"/>
    <cellStyle name="20 % - Accent4 3 3 4 2 3 5" xfId="37220"/>
    <cellStyle name="20 % - Accent4 3 3 4 2 3 6" xfId="53449"/>
    <cellStyle name="20 % - Accent4 3 3 4 2 4" xfId="8012"/>
    <cellStyle name="20 % - Accent4 3 3 4 2 4 2" xfId="27485"/>
    <cellStyle name="20 % - Accent4 3 3 4 2 4 3" xfId="40465"/>
    <cellStyle name="20 % - Accent4 3 3 4 2 4 4" xfId="56694"/>
    <cellStyle name="20 % - Accent4 3 3 4 2 5" xfId="14505"/>
    <cellStyle name="20 % - Accent4 3 3 4 2 5 2" xfId="50204"/>
    <cellStyle name="20 % - Accent4 3 3 4 2 6" xfId="20995"/>
    <cellStyle name="20 % - Accent4 3 3 4 2 7" xfId="33975"/>
    <cellStyle name="20 % - Accent4 3 3 4 2 8" xfId="46958"/>
    <cellStyle name="20 % - Accent4 3 3 4 3" xfId="2155"/>
    <cellStyle name="20 % - Accent4 3 3 4 3 2" xfId="5400"/>
    <cellStyle name="20 % - Accent4 3 3 4 3 2 2" xfId="11932"/>
    <cellStyle name="20 % - Accent4 3 3 4 3 2 2 2" xfId="31405"/>
    <cellStyle name="20 % - Accent4 3 3 4 3 2 2 3" xfId="44385"/>
    <cellStyle name="20 % - Accent4 3 3 4 3 2 2 4" xfId="60614"/>
    <cellStyle name="20 % - Accent4 3 3 4 3 2 3" xfId="18425"/>
    <cellStyle name="20 % - Accent4 3 3 4 3 2 4" xfId="24915"/>
    <cellStyle name="20 % - Accent4 3 3 4 3 2 5" xfId="37895"/>
    <cellStyle name="20 % - Accent4 3 3 4 3 2 6" xfId="54124"/>
    <cellStyle name="20 % - Accent4 3 3 4 3 3" xfId="8687"/>
    <cellStyle name="20 % - Accent4 3 3 4 3 3 2" xfId="28160"/>
    <cellStyle name="20 % - Accent4 3 3 4 3 3 3" xfId="41140"/>
    <cellStyle name="20 % - Accent4 3 3 4 3 3 4" xfId="57369"/>
    <cellStyle name="20 % - Accent4 3 3 4 3 4" xfId="15180"/>
    <cellStyle name="20 % - Accent4 3 3 4 3 4 2" xfId="50879"/>
    <cellStyle name="20 % - Accent4 3 3 4 3 5" xfId="21670"/>
    <cellStyle name="20 % - Accent4 3 3 4 3 6" xfId="34650"/>
    <cellStyle name="20 % - Accent4 3 3 4 3 7" xfId="47633"/>
    <cellStyle name="20 % - Accent4 3 3 4 4" xfId="3777"/>
    <cellStyle name="20 % - Accent4 3 3 4 4 2" xfId="10309"/>
    <cellStyle name="20 % - Accent4 3 3 4 4 2 2" xfId="29782"/>
    <cellStyle name="20 % - Accent4 3 3 4 4 2 3" xfId="42762"/>
    <cellStyle name="20 % - Accent4 3 3 4 4 2 4" xfId="58991"/>
    <cellStyle name="20 % - Accent4 3 3 4 4 3" xfId="16802"/>
    <cellStyle name="20 % - Accent4 3 3 4 4 4" xfId="23292"/>
    <cellStyle name="20 % - Accent4 3 3 4 4 5" xfId="36272"/>
    <cellStyle name="20 % - Accent4 3 3 4 4 6" xfId="52501"/>
    <cellStyle name="20 % - Accent4 3 3 4 5" xfId="7064"/>
    <cellStyle name="20 % - Accent4 3 3 4 5 2" xfId="26537"/>
    <cellStyle name="20 % - Accent4 3 3 4 5 3" xfId="39517"/>
    <cellStyle name="20 % - Accent4 3 3 4 5 4" xfId="55746"/>
    <cellStyle name="20 % - Accent4 3 3 4 6" xfId="13557"/>
    <cellStyle name="20 % - Accent4 3 3 4 6 2" xfId="49256"/>
    <cellStyle name="20 % - Accent4 3 3 4 7" xfId="20047"/>
    <cellStyle name="20 % - Accent4 3 3 4 8" xfId="33027"/>
    <cellStyle name="20 % - Accent4 3 3 4 9" xfId="46010"/>
    <cellStyle name="20 % - Accent4 3 3 5" xfId="973"/>
    <cellStyle name="20 % - Accent4 3 3 5 2" xfId="2640"/>
    <cellStyle name="20 % - Accent4 3 3 5 2 2" xfId="5885"/>
    <cellStyle name="20 % - Accent4 3 3 5 2 2 2" xfId="12417"/>
    <cellStyle name="20 % - Accent4 3 3 5 2 2 2 2" xfId="31890"/>
    <cellStyle name="20 % - Accent4 3 3 5 2 2 2 3" xfId="44870"/>
    <cellStyle name="20 % - Accent4 3 3 5 2 2 2 4" xfId="61099"/>
    <cellStyle name="20 % - Accent4 3 3 5 2 2 3" xfId="18910"/>
    <cellStyle name="20 % - Accent4 3 3 5 2 2 4" xfId="25400"/>
    <cellStyle name="20 % - Accent4 3 3 5 2 2 5" xfId="38380"/>
    <cellStyle name="20 % - Accent4 3 3 5 2 2 6" xfId="54609"/>
    <cellStyle name="20 % - Accent4 3 3 5 2 3" xfId="9172"/>
    <cellStyle name="20 % - Accent4 3 3 5 2 3 2" xfId="28645"/>
    <cellStyle name="20 % - Accent4 3 3 5 2 3 3" xfId="41625"/>
    <cellStyle name="20 % - Accent4 3 3 5 2 3 4" xfId="57854"/>
    <cellStyle name="20 % - Accent4 3 3 5 2 4" xfId="15665"/>
    <cellStyle name="20 % - Accent4 3 3 5 2 4 2" xfId="51364"/>
    <cellStyle name="20 % - Accent4 3 3 5 2 5" xfId="22155"/>
    <cellStyle name="20 % - Accent4 3 3 5 2 6" xfId="35135"/>
    <cellStyle name="20 % - Accent4 3 3 5 2 7" xfId="48118"/>
    <cellStyle name="20 % - Accent4 3 3 5 3" xfId="4262"/>
    <cellStyle name="20 % - Accent4 3 3 5 3 2" xfId="10794"/>
    <cellStyle name="20 % - Accent4 3 3 5 3 2 2" xfId="30267"/>
    <cellStyle name="20 % - Accent4 3 3 5 3 2 3" xfId="43247"/>
    <cellStyle name="20 % - Accent4 3 3 5 3 2 4" xfId="59476"/>
    <cellStyle name="20 % - Accent4 3 3 5 3 3" xfId="17287"/>
    <cellStyle name="20 % - Accent4 3 3 5 3 4" xfId="23777"/>
    <cellStyle name="20 % - Accent4 3 3 5 3 5" xfId="36757"/>
    <cellStyle name="20 % - Accent4 3 3 5 3 6" xfId="52986"/>
    <cellStyle name="20 % - Accent4 3 3 5 4" xfId="7549"/>
    <cellStyle name="20 % - Accent4 3 3 5 4 2" xfId="27022"/>
    <cellStyle name="20 % - Accent4 3 3 5 4 3" xfId="40002"/>
    <cellStyle name="20 % - Accent4 3 3 5 4 4" xfId="56231"/>
    <cellStyle name="20 % - Accent4 3 3 5 5" xfId="14042"/>
    <cellStyle name="20 % - Accent4 3 3 5 5 2" xfId="49741"/>
    <cellStyle name="20 % - Accent4 3 3 5 6" xfId="20532"/>
    <cellStyle name="20 % - Accent4 3 3 5 7" xfId="33512"/>
    <cellStyle name="20 % - Accent4 3 3 5 8" xfId="46495"/>
    <cellStyle name="20 % - Accent4 3 3 6" xfId="1926"/>
    <cellStyle name="20 % - Accent4 3 3 6 2" xfId="5171"/>
    <cellStyle name="20 % - Accent4 3 3 6 2 2" xfId="11703"/>
    <cellStyle name="20 % - Accent4 3 3 6 2 2 2" xfId="31176"/>
    <cellStyle name="20 % - Accent4 3 3 6 2 2 3" xfId="44156"/>
    <cellStyle name="20 % - Accent4 3 3 6 2 2 4" xfId="60385"/>
    <cellStyle name="20 % - Accent4 3 3 6 2 3" xfId="18196"/>
    <cellStyle name="20 % - Accent4 3 3 6 2 4" xfId="24686"/>
    <cellStyle name="20 % - Accent4 3 3 6 2 5" xfId="37666"/>
    <cellStyle name="20 % - Accent4 3 3 6 2 6" xfId="53895"/>
    <cellStyle name="20 % - Accent4 3 3 6 3" xfId="8458"/>
    <cellStyle name="20 % - Accent4 3 3 6 3 2" xfId="27931"/>
    <cellStyle name="20 % - Accent4 3 3 6 3 3" xfId="40911"/>
    <cellStyle name="20 % - Accent4 3 3 6 3 4" xfId="57140"/>
    <cellStyle name="20 % - Accent4 3 3 6 4" xfId="14951"/>
    <cellStyle name="20 % - Accent4 3 3 6 4 2" xfId="50650"/>
    <cellStyle name="20 % - Accent4 3 3 6 5" xfId="21441"/>
    <cellStyle name="20 % - Accent4 3 3 6 6" xfId="34421"/>
    <cellStyle name="20 % - Accent4 3 3 6 7" xfId="47404"/>
    <cellStyle name="20 % - Accent4 3 3 7" xfId="3547"/>
    <cellStyle name="20 % - Accent4 3 3 7 2" xfId="10079"/>
    <cellStyle name="20 % - Accent4 3 3 7 2 2" xfId="29552"/>
    <cellStyle name="20 % - Accent4 3 3 7 2 3" xfId="42532"/>
    <cellStyle name="20 % - Accent4 3 3 7 2 4" xfId="58761"/>
    <cellStyle name="20 % - Accent4 3 3 7 3" xfId="16572"/>
    <cellStyle name="20 % - Accent4 3 3 7 4" xfId="23062"/>
    <cellStyle name="20 % - Accent4 3 3 7 5" xfId="36042"/>
    <cellStyle name="20 % - Accent4 3 3 7 6" xfId="52271"/>
    <cellStyle name="20 % - Accent4 3 3 8" xfId="6834"/>
    <cellStyle name="20 % - Accent4 3 3 8 2" xfId="26307"/>
    <cellStyle name="20 % - Accent4 3 3 8 3" xfId="39287"/>
    <cellStyle name="20 % - Accent4 3 3 8 4" xfId="55516"/>
    <cellStyle name="20 % - Accent4 3 3 9" xfId="13327"/>
    <cellStyle name="20 % - Accent4 3 3 9 2" xfId="49026"/>
    <cellStyle name="20 % - Accent4 3 4" xfId="209"/>
    <cellStyle name="20 % - Accent4 3 4 10" xfId="32753"/>
    <cellStyle name="20 % - Accent4 3 4 11" xfId="45736"/>
    <cellStyle name="20 % - Accent4 3 4 2" xfId="673"/>
    <cellStyle name="20 % - Accent4 3 4 2 10" xfId="46196"/>
    <cellStyle name="20 % - Accent4 3 4 2 2" xfId="1612"/>
    <cellStyle name="20 % - Accent4 3 4 2 2 2" xfId="3279"/>
    <cellStyle name="20 % - Accent4 3 4 2 2 2 2" xfId="6524"/>
    <cellStyle name="20 % - Accent4 3 4 2 2 2 2 2" xfId="13056"/>
    <cellStyle name="20 % - Accent4 3 4 2 2 2 2 2 2" xfId="32529"/>
    <cellStyle name="20 % - Accent4 3 4 2 2 2 2 2 3" xfId="45509"/>
    <cellStyle name="20 % - Accent4 3 4 2 2 2 2 2 4" xfId="61738"/>
    <cellStyle name="20 % - Accent4 3 4 2 2 2 2 3" xfId="19549"/>
    <cellStyle name="20 % - Accent4 3 4 2 2 2 2 4" xfId="26039"/>
    <cellStyle name="20 % - Accent4 3 4 2 2 2 2 5" xfId="39019"/>
    <cellStyle name="20 % - Accent4 3 4 2 2 2 2 6" xfId="55248"/>
    <cellStyle name="20 % - Accent4 3 4 2 2 2 3" xfId="9811"/>
    <cellStyle name="20 % - Accent4 3 4 2 2 2 3 2" xfId="29284"/>
    <cellStyle name="20 % - Accent4 3 4 2 2 2 3 3" xfId="42264"/>
    <cellStyle name="20 % - Accent4 3 4 2 2 2 3 4" xfId="58493"/>
    <cellStyle name="20 % - Accent4 3 4 2 2 2 4" xfId="16304"/>
    <cellStyle name="20 % - Accent4 3 4 2 2 2 4 2" xfId="52003"/>
    <cellStyle name="20 % - Accent4 3 4 2 2 2 5" xfId="22794"/>
    <cellStyle name="20 % - Accent4 3 4 2 2 2 6" xfId="35774"/>
    <cellStyle name="20 % - Accent4 3 4 2 2 2 7" xfId="48757"/>
    <cellStyle name="20 % - Accent4 3 4 2 2 3" xfId="4901"/>
    <cellStyle name="20 % - Accent4 3 4 2 2 3 2" xfId="11433"/>
    <cellStyle name="20 % - Accent4 3 4 2 2 3 2 2" xfId="30906"/>
    <cellStyle name="20 % - Accent4 3 4 2 2 3 2 3" xfId="43886"/>
    <cellStyle name="20 % - Accent4 3 4 2 2 3 2 4" xfId="60115"/>
    <cellStyle name="20 % - Accent4 3 4 2 2 3 3" xfId="17926"/>
    <cellStyle name="20 % - Accent4 3 4 2 2 3 4" xfId="24416"/>
    <cellStyle name="20 % - Accent4 3 4 2 2 3 5" xfId="37396"/>
    <cellStyle name="20 % - Accent4 3 4 2 2 3 6" xfId="53625"/>
    <cellStyle name="20 % - Accent4 3 4 2 2 4" xfId="8188"/>
    <cellStyle name="20 % - Accent4 3 4 2 2 4 2" xfId="27661"/>
    <cellStyle name="20 % - Accent4 3 4 2 2 4 3" xfId="40641"/>
    <cellStyle name="20 % - Accent4 3 4 2 2 4 4" xfId="56870"/>
    <cellStyle name="20 % - Accent4 3 4 2 2 5" xfId="14681"/>
    <cellStyle name="20 % - Accent4 3 4 2 2 5 2" xfId="50380"/>
    <cellStyle name="20 % - Accent4 3 4 2 2 6" xfId="21171"/>
    <cellStyle name="20 % - Accent4 3 4 2 2 7" xfId="34151"/>
    <cellStyle name="20 % - Accent4 3 4 2 2 8" xfId="47134"/>
    <cellStyle name="20 % - Accent4 3 4 2 3" xfId="1149"/>
    <cellStyle name="20 % - Accent4 3 4 2 3 2" xfId="2816"/>
    <cellStyle name="20 % - Accent4 3 4 2 3 2 2" xfId="6061"/>
    <cellStyle name="20 % - Accent4 3 4 2 3 2 2 2" xfId="12593"/>
    <cellStyle name="20 % - Accent4 3 4 2 3 2 2 2 2" xfId="32066"/>
    <cellStyle name="20 % - Accent4 3 4 2 3 2 2 2 3" xfId="45046"/>
    <cellStyle name="20 % - Accent4 3 4 2 3 2 2 2 4" xfId="61275"/>
    <cellStyle name="20 % - Accent4 3 4 2 3 2 2 3" xfId="19086"/>
    <cellStyle name="20 % - Accent4 3 4 2 3 2 2 4" xfId="25576"/>
    <cellStyle name="20 % - Accent4 3 4 2 3 2 2 5" xfId="38556"/>
    <cellStyle name="20 % - Accent4 3 4 2 3 2 2 6" xfId="54785"/>
    <cellStyle name="20 % - Accent4 3 4 2 3 2 3" xfId="9348"/>
    <cellStyle name="20 % - Accent4 3 4 2 3 2 3 2" xfId="28821"/>
    <cellStyle name="20 % - Accent4 3 4 2 3 2 3 3" xfId="41801"/>
    <cellStyle name="20 % - Accent4 3 4 2 3 2 3 4" xfId="58030"/>
    <cellStyle name="20 % - Accent4 3 4 2 3 2 4" xfId="15841"/>
    <cellStyle name="20 % - Accent4 3 4 2 3 2 4 2" xfId="51540"/>
    <cellStyle name="20 % - Accent4 3 4 2 3 2 5" xfId="22331"/>
    <cellStyle name="20 % - Accent4 3 4 2 3 2 6" xfId="35311"/>
    <cellStyle name="20 % - Accent4 3 4 2 3 2 7" xfId="48294"/>
    <cellStyle name="20 % - Accent4 3 4 2 3 3" xfId="4438"/>
    <cellStyle name="20 % - Accent4 3 4 2 3 3 2" xfId="10970"/>
    <cellStyle name="20 % - Accent4 3 4 2 3 3 2 2" xfId="30443"/>
    <cellStyle name="20 % - Accent4 3 4 2 3 3 2 3" xfId="43423"/>
    <cellStyle name="20 % - Accent4 3 4 2 3 3 2 4" xfId="59652"/>
    <cellStyle name="20 % - Accent4 3 4 2 3 3 3" xfId="17463"/>
    <cellStyle name="20 % - Accent4 3 4 2 3 3 4" xfId="23953"/>
    <cellStyle name="20 % - Accent4 3 4 2 3 3 5" xfId="36933"/>
    <cellStyle name="20 % - Accent4 3 4 2 3 3 6" xfId="53162"/>
    <cellStyle name="20 % - Accent4 3 4 2 3 4" xfId="7725"/>
    <cellStyle name="20 % - Accent4 3 4 2 3 4 2" xfId="27198"/>
    <cellStyle name="20 % - Accent4 3 4 2 3 4 3" xfId="40178"/>
    <cellStyle name="20 % - Accent4 3 4 2 3 4 4" xfId="56407"/>
    <cellStyle name="20 % - Accent4 3 4 2 3 5" xfId="14218"/>
    <cellStyle name="20 % - Accent4 3 4 2 3 5 2" xfId="49917"/>
    <cellStyle name="20 % - Accent4 3 4 2 3 6" xfId="20708"/>
    <cellStyle name="20 % - Accent4 3 4 2 3 7" xfId="33688"/>
    <cellStyle name="20 % - Accent4 3 4 2 3 8" xfId="46671"/>
    <cellStyle name="20 % - Accent4 3 4 2 4" xfId="2341"/>
    <cellStyle name="20 % - Accent4 3 4 2 4 2" xfId="5586"/>
    <cellStyle name="20 % - Accent4 3 4 2 4 2 2" xfId="12118"/>
    <cellStyle name="20 % - Accent4 3 4 2 4 2 2 2" xfId="31591"/>
    <cellStyle name="20 % - Accent4 3 4 2 4 2 2 3" xfId="44571"/>
    <cellStyle name="20 % - Accent4 3 4 2 4 2 2 4" xfId="60800"/>
    <cellStyle name="20 % - Accent4 3 4 2 4 2 3" xfId="18611"/>
    <cellStyle name="20 % - Accent4 3 4 2 4 2 4" xfId="25101"/>
    <cellStyle name="20 % - Accent4 3 4 2 4 2 5" xfId="38081"/>
    <cellStyle name="20 % - Accent4 3 4 2 4 2 6" xfId="54310"/>
    <cellStyle name="20 % - Accent4 3 4 2 4 3" xfId="8873"/>
    <cellStyle name="20 % - Accent4 3 4 2 4 3 2" xfId="28346"/>
    <cellStyle name="20 % - Accent4 3 4 2 4 3 3" xfId="41326"/>
    <cellStyle name="20 % - Accent4 3 4 2 4 3 4" xfId="57555"/>
    <cellStyle name="20 % - Accent4 3 4 2 4 4" xfId="15366"/>
    <cellStyle name="20 % - Accent4 3 4 2 4 4 2" xfId="51065"/>
    <cellStyle name="20 % - Accent4 3 4 2 4 5" xfId="21856"/>
    <cellStyle name="20 % - Accent4 3 4 2 4 6" xfId="34836"/>
    <cellStyle name="20 % - Accent4 3 4 2 4 7" xfId="47819"/>
    <cellStyle name="20 % - Accent4 3 4 2 5" xfId="3963"/>
    <cellStyle name="20 % - Accent4 3 4 2 5 2" xfId="10495"/>
    <cellStyle name="20 % - Accent4 3 4 2 5 2 2" xfId="29968"/>
    <cellStyle name="20 % - Accent4 3 4 2 5 2 3" xfId="42948"/>
    <cellStyle name="20 % - Accent4 3 4 2 5 2 4" xfId="59177"/>
    <cellStyle name="20 % - Accent4 3 4 2 5 3" xfId="16988"/>
    <cellStyle name="20 % - Accent4 3 4 2 5 4" xfId="23478"/>
    <cellStyle name="20 % - Accent4 3 4 2 5 5" xfId="36458"/>
    <cellStyle name="20 % - Accent4 3 4 2 5 6" xfId="52687"/>
    <cellStyle name="20 % - Accent4 3 4 2 6" xfId="7250"/>
    <cellStyle name="20 % - Accent4 3 4 2 6 2" xfId="26723"/>
    <cellStyle name="20 % - Accent4 3 4 2 6 3" xfId="39703"/>
    <cellStyle name="20 % - Accent4 3 4 2 6 4" xfId="55932"/>
    <cellStyle name="20 % - Accent4 3 4 2 7" xfId="13743"/>
    <cellStyle name="20 % - Accent4 3 4 2 7 2" xfId="49442"/>
    <cellStyle name="20 % - Accent4 3 4 2 8" xfId="20233"/>
    <cellStyle name="20 % - Accent4 3 4 2 9" xfId="33213"/>
    <cellStyle name="20 % - Accent4 3 4 3" xfId="443"/>
    <cellStyle name="20 % - Accent4 3 4 3 2" xfId="1392"/>
    <cellStyle name="20 % - Accent4 3 4 3 2 2" xfId="3059"/>
    <cellStyle name="20 % - Accent4 3 4 3 2 2 2" xfId="6304"/>
    <cellStyle name="20 % - Accent4 3 4 3 2 2 2 2" xfId="12836"/>
    <cellStyle name="20 % - Accent4 3 4 3 2 2 2 2 2" xfId="32309"/>
    <cellStyle name="20 % - Accent4 3 4 3 2 2 2 2 3" xfId="45289"/>
    <cellStyle name="20 % - Accent4 3 4 3 2 2 2 2 4" xfId="61518"/>
    <cellStyle name="20 % - Accent4 3 4 3 2 2 2 3" xfId="19329"/>
    <cellStyle name="20 % - Accent4 3 4 3 2 2 2 4" xfId="25819"/>
    <cellStyle name="20 % - Accent4 3 4 3 2 2 2 5" xfId="38799"/>
    <cellStyle name="20 % - Accent4 3 4 3 2 2 2 6" xfId="55028"/>
    <cellStyle name="20 % - Accent4 3 4 3 2 2 3" xfId="9591"/>
    <cellStyle name="20 % - Accent4 3 4 3 2 2 3 2" xfId="29064"/>
    <cellStyle name="20 % - Accent4 3 4 3 2 2 3 3" xfId="42044"/>
    <cellStyle name="20 % - Accent4 3 4 3 2 2 3 4" xfId="58273"/>
    <cellStyle name="20 % - Accent4 3 4 3 2 2 4" xfId="16084"/>
    <cellStyle name="20 % - Accent4 3 4 3 2 2 4 2" xfId="51783"/>
    <cellStyle name="20 % - Accent4 3 4 3 2 2 5" xfId="22574"/>
    <cellStyle name="20 % - Accent4 3 4 3 2 2 6" xfId="35554"/>
    <cellStyle name="20 % - Accent4 3 4 3 2 2 7" xfId="48537"/>
    <cellStyle name="20 % - Accent4 3 4 3 2 3" xfId="4681"/>
    <cellStyle name="20 % - Accent4 3 4 3 2 3 2" xfId="11213"/>
    <cellStyle name="20 % - Accent4 3 4 3 2 3 2 2" xfId="30686"/>
    <cellStyle name="20 % - Accent4 3 4 3 2 3 2 3" xfId="43666"/>
    <cellStyle name="20 % - Accent4 3 4 3 2 3 2 4" xfId="59895"/>
    <cellStyle name="20 % - Accent4 3 4 3 2 3 3" xfId="17706"/>
    <cellStyle name="20 % - Accent4 3 4 3 2 3 4" xfId="24196"/>
    <cellStyle name="20 % - Accent4 3 4 3 2 3 5" xfId="37176"/>
    <cellStyle name="20 % - Accent4 3 4 3 2 3 6" xfId="53405"/>
    <cellStyle name="20 % - Accent4 3 4 3 2 4" xfId="7968"/>
    <cellStyle name="20 % - Accent4 3 4 3 2 4 2" xfId="27441"/>
    <cellStyle name="20 % - Accent4 3 4 3 2 4 3" xfId="40421"/>
    <cellStyle name="20 % - Accent4 3 4 3 2 4 4" xfId="56650"/>
    <cellStyle name="20 % - Accent4 3 4 3 2 5" xfId="14461"/>
    <cellStyle name="20 % - Accent4 3 4 3 2 5 2" xfId="50160"/>
    <cellStyle name="20 % - Accent4 3 4 3 2 6" xfId="20951"/>
    <cellStyle name="20 % - Accent4 3 4 3 2 7" xfId="33931"/>
    <cellStyle name="20 % - Accent4 3 4 3 2 8" xfId="46914"/>
    <cellStyle name="20 % - Accent4 3 4 3 3" xfId="2111"/>
    <cellStyle name="20 % - Accent4 3 4 3 3 2" xfId="5356"/>
    <cellStyle name="20 % - Accent4 3 4 3 3 2 2" xfId="11888"/>
    <cellStyle name="20 % - Accent4 3 4 3 3 2 2 2" xfId="31361"/>
    <cellStyle name="20 % - Accent4 3 4 3 3 2 2 3" xfId="44341"/>
    <cellStyle name="20 % - Accent4 3 4 3 3 2 2 4" xfId="60570"/>
    <cellStyle name="20 % - Accent4 3 4 3 3 2 3" xfId="18381"/>
    <cellStyle name="20 % - Accent4 3 4 3 3 2 4" xfId="24871"/>
    <cellStyle name="20 % - Accent4 3 4 3 3 2 5" xfId="37851"/>
    <cellStyle name="20 % - Accent4 3 4 3 3 2 6" xfId="54080"/>
    <cellStyle name="20 % - Accent4 3 4 3 3 3" xfId="8643"/>
    <cellStyle name="20 % - Accent4 3 4 3 3 3 2" xfId="28116"/>
    <cellStyle name="20 % - Accent4 3 4 3 3 3 3" xfId="41096"/>
    <cellStyle name="20 % - Accent4 3 4 3 3 3 4" xfId="57325"/>
    <cellStyle name="20 % - Accent4 3 4 3 3 4" xfId="15136"/>
    <cellStyle name="20 % - Accent4 3 4 3 3 4 2" xfId="50835"/>
    <cellStyle name="20 % - Accent4 3 4 3 3 5" xfId="21626"/>
    <cellStyle name="20 % - Accent4 3 4 3 3 6" xfId="34606"/>
    <cellStyle name="20 % - Accent4 3 4 3 3 7" xfId="47589"/>
    <cellStyle name="20 % - Accent4 3 4 3 4" xfId="3733"/>
    <cellStyle name="20 % - Accent4 3 4 3 4 2" xfId="10265"/>
    <cellStyle name="20 % - Accent4 3 4 3 4 2 2" xfId="29738"/>
    <cellStyle name="20 % - Accent4 3 4 3 4 2 3" xfId="42718"/>
    <cellStyle name="20 % - Accent4 3 4 3 4 2 4" xfId="58947"/>
    <cellStyle name="20 % - Accent4 3 4 3 4 3" xfId="16758"/>
    <cellStyle name="20 % - Accent4 3 4 3 4 4" xfId="23248"/>
    <cellStyle name="20 % - Accent4 3 4 3 4 5" xfId="36228"/>
    <cellStyle name="20 % - Accent4 3 4 3 4 6" xfId="52457"/>
    <cellStyle name="20 % - Accent4 3 4 3 5" xfId="7020"/>
    <cellStyle name="20 % - Accent4 3 4 3 5 2" xfId="26493"/>
    <cellStyle name="20 % - Accent4 3 4 3 5 3" xfId="39473"/>
    <cellStyle name="20 % - Accent4 3 4 3 5 4" xfId="55702"/>
    <cellStyle name="20 % - Accent4 3 4 3 6" xfId="13513"/>
    <cellStyle name="20 % - Accent4 3 4 3 6 2" xfId="49212"/>
    <cellStyle name="20 % - Accent4 3 4 3 7" xfId="20003"/>
    <cellStyle name="20 % - Accent4 3 4 3 8" xfId="32983"/>
    <cellStyle name="20 % - Accent4 3 4 3 9" xfId="45966"/>
    <cellStyle name="20 % - Accent4 3 4 4" xfId="929"/>
    <cellStyle name="20 % - Accent4 3 4 4 2" xfId="2596"/>
    <cellStyle name="20 % - Accent4 3 4 4 2 2" xfId="5841"/>
    <cellStyle name="20 % - Accent4 3 4 4 2 2 2" xfId="12373"/>
    <cellStyle name="20 % - Accent4 3 4 4 2 2 2 2" xfId="31846"/>
    <cellStyle name="20 % - Accent4 3 4 4 2 2 2 3" xfId="44826"/>
    <cellStyle name="20 % - Accent4 3 4 4 2 2 2 4" xfId="61055"/>
    <cellStyle name="20 % - Accent4 3 4 4 2 2 3" xfId="18866"/>
    <cellStyle name="20 % - Accent4 3 4 4 2 2 4" xfId="25356"/>
    <cellStyle name="20 % - Accent4 3 4 4 2 2 5" xfId="38336"/>
    <cellStyle name="20 % - Accent4 3 4 4 2 2 6" xfId="54565"/>
    <cellStyle name="20 % - Accent4 3 4 4 2 3" xfId="9128"/>
    <cellStyle name="20 % - Accent4 3 4 4 2 3 2" xfId="28601"/>
    <cellStyle name="20 % - Accent4 3 4 4 2 3 3" xfId="41581"/>
    <cellStyle name="20 % - Accent4 3 4 4 2 3 4" xfId="57810"/>
    <cellStyle name="20 % - Accent4 3 4 4 2 4" xfId="15621"/>
    <cellStyle name="20 % - Accent4 3 4 4 2 4 2" xfId="51320"/>
    <cellStyle name="20 % - Accent4 3 4 4 2 5" xfId="22111"/>
    <cellStyle name="20 % - Accent4 3 4 4 2 6" xfId="35091"/>
    <cellStyle name="20 % - Accent4 3 4 4 2 7" xfId="48074"/>
    <cellStyle name="20 % - Accent4 3 4 4 3" xfId="4218"/>
    <cellStyle name="20 % - Accent4 3 4 4 3 2" xfId="10750"/>
    <cellStyle name="20 % - Accent4 3 4 4 3 2 2" xfId="30223"/>
    <cellStyle name="20 % - Accent4 3 4 4 3 2 3" xfId="43203"/>
    <cellStyle name="20 % - Accent4 3 4 4 3 2 4" xfId="59432"/>
    <cellStyle name="20 % - Accent4 3 4 4 3 3" xfId="17243"/>
    <cellStyle name="20 % - Accent4 3 4 4 3 4" xfId="23733"/>
    <cellStyle name="20 % - Accent4 3 4 4 3 5" xfId="36713"/>
    <cellStyle name="20 % - Accent4 3 4 4 3 6" xfId="52942"/>
    <cellStyle name="20 % - Accent4 3 4 4 4" xfId="7505"/>
    <cellStyle name="20 % - Accent4 3 4 4 4 2" xfId="26978"/>
    <cellStyle name="20 % - Accent4 3 4 4 4 3" xfId="39958"/>
    <cellStyle name="20 % - Accent4 3 4 4 4 4" xfId="56187"/>
    <cellStyle name="20 % - Accent4 3 4 4 5" xfId="13998"/>
    <cellStyle name="20 % - Accent4 3 4 4 5 2" xfId="49697"/>
    <cellStyle name="20 % - Accent4 3 4 4 6" xfId="20488"/>
    <cellStyle name="20 % - Accent4 3 4 4 7" xfId="33468"/>
    <cellStyle name="20 % - Accent4 3 4 4 8" xfId="46451"/>
    <cellStyle name="20 % - Accent4 3 4 5" xfId="1882"/>
    <cellStyle name="20 % - Accent4 3 4 5 2" xfId="5127"/>
    <cellStyle name="20 % - Accent4 3 4 5 2 2" xfId="11659"/>
    <cellStyle name="20 % - Accent4 3 4 5 2 2 2" xfId="31132"/>
    <cellStyle name="20 % - Accent4 3 4 5 2 2 3" xfId="44112"/>
    <cellStyle name="20 % - Accent4 3 4 5 2 2 4" xfId="60341"/>
    <cellStyle name="20 % - Accent4 3 4 5 2 3" xfId="18152"/>
    <cellStyle name="20 % - Accent4 3 4 5 2 4" xfId="24642"/>
    <cellStyle name="20 % - Accent4 3 4 5 2 5" xfId="37622"/>
    <cellStyle name="20 % - Accent4 3 4 5 2 6" xfId="53851"/>
    <cellStyle name="20 % - Accent4 3 4 5 3" xfId="8414"/>
    <cellStyle name="20 % - Accent4 3 4 5 3 2" xfId="27887"/>
    <cellStyle name="20 % - Accent4 3 4 5 3 3" xfId="40867"/>
    <cellStyle name="20 % - Accent4 3 4 5 3 4" xfId="57096"/>
    <cellStyle name="20 % - Accent4 3 4 5 4" xfId="14907"/>
    <cellStyle name="20 % - Accent4 3 4 5 4 2" xfId="50606"/>
    <cellStyle name="20 % - Accent4 3 4 5 5" xfId="21397"/>
    <cellStyle name="20 % - Accent4 3 4 5 6" xfId="34377"/>
    <cellStyle name="20 % - Accent4 3 4 5 7" xfId="47360"/>
    <cellStyle name="20 % - Accent4 3 4 6" xfId="3503"/>
    <cellStyle name="20 % - Accent4 3 4 6 2" xfId="10035"/>
    <cellStyle name="20 % - Accent4 3 4 6 2 2" xfId="29508"/>
    <cellStyle name="20 % - Accent4 3 4 6 2 3" xfId="42488"/>
    <cellStyle name="20 % - Accent4 3 4 6 2 4" xfId="58717"/>
    <cellStyle name="20 % - Accent4 3 4 6 3" xfId="16528"/>
    <cellStyle name="20 % - Accent4 3 4 6 4" xfId="23018"/>
    <cellStyle name="20 % - Accent4 3 4 6 5" xfId="35998"/>
    <cellStyle name="20 % - Accent4 3 4 6 6" xfId="52227"/>
    <cellStyle name="20 % - Accent4 3 4 7" xfId="6790"/>
    <cellStyle name="20 % - Accent4 3 4 7 2" xfId="26263"/>
    <cellStyle name="20 % - Accent4 3 4 7 3" xfId="39243"/>
    <cellStyle name="20 % - Accent4 3 4 7 4" xfId="55472"/>
    <cellStyle name="20 % - Accent4 3 4 8" xfId="13283"/>
    <cellStyle name="20 % - Accent4 3 4 8 2" xfId="48982"/>
    <cellStyle name="20 % - Accent4 3 4 9" xfId="19773"/>
    <cellStyle name="20 % - Accent4 3 5" xfId="297"/>
    <cellStyle name="20 % - Accent4 3 5 10" xfId="32841"/>
    <cellStyle name="20 % - Accent4 3 5 11" xfId="45824"/>
    <cellStyle name="20 % - Accent4 3 5 2" xfId="761"/>
    <cellStyle name="20 % - Accent4 3 5 2 10" xfId="46284"/>
    <cellStyle name="20 % - Accent4 3 5 2 2" xfId="1700"/>
    <cellStyle name="20 % - Accent4 3 5 2 2 2" xfId="3367"/>
    <cellStyle name="20 % - Accent4 3 5 2 2 2 2" xfId="6612"/>
    <cellStyle name="20 % - Accent4 3 5 2 2 2 2 2" xfId="13144"/>
    <cellStyle name="20 % - Accent4 3 5 2 2 2 2 2 2" xfId="32617"/>
    <cellStyle name="20 % - Accent4 3 5 2 2 2 2 2 3" xfId="45597"/>
    <cellStyle name="20 % - Accent4 3 5 2 2 2 2 2 4" xfId="61826"/>
    <cellStyle name="20 % - Accent4 3 5 2 2 2 2 3" xfId="19637"/>
    <cellStyle name="20 % - Accent4 3 5 2 2 2 2 4" xfId="26127"/>
    <cellStyle name="20 % - Accent4 3 5 2 2 2 2 5" xfId="39107"/>
    <cellStyle name="20 % - Accent4 3 5 2 2 2 2 6" xfId="55336"/>
    <cellStyle name="20 % - Accent4 3 5 2 2 2 3" xfId="9899"/>
    <cellStyle name="20 % - Accent4 3 5 2 2 2 3 2" xfId="29372"/>
    <cellStyle name="20 % - Accent4 3 5 2 2 2 3 3" xfId="42352"/>
    <cellStyle name="20 % - Accent4 3 5 2 2 2 3 4" xfId="58581"/>
    <cellStyle name="20 % - Accent4 3 5 2 2 2 4" xfId="16392"/>
    <cellStyle name="20 % - Accent4 3 5 2 2 2 4 2" xfId="52091"/>
    <cellStyle name="20 % - Accent4 3 5 2 2 2 5" xfId="22882"/>
    <cellStyle name="20 % - Accent4 3 5 2 2 2 6" xfId="35862"/>
    <cellStyle name="20 % - Accent4 3 5 2 2 2 7" xfId="48845"/>
    <cellStyle name="20 % - Accent4 3 5 2 2 3" xfId="4989"/>
    <cellStyle name="20 % - Accent4 3 5 2 2 3 2" xfId="11521"/>
    <cellStyle name="20 % - Accent4 3 5 2 2 3 2 2" xfId="30994"/>
    <cellStyle name="20 % - Accent4 3 5 2 2 3 2 3" xfId="43974"/>
    <cellStyle name="20 % - Accent4 3 5 2 2 3 2 4" xfId="60203"/>
    <cellStyle name="20 % - Accent4 3 5 2 2 3 3" xfId="18014"/>
    <cellStyle name="20 % - Accent4 3 5 2 2 3 4" xfId="24504"/>
    <cellStyle name="20 % - Accent4 3 5 2 2 3 5" xfId="37484"/>
    <cellStyle name="20 % - Accent4 3 5 2 2 3 6" xfId="53713"/>
    <cellStyle name="20 % - Accent4 3 5 2 2 4" xfId="8276"/>
    <cellStyle name="20 % - Accent4 3 5 2 2 4 2" xfId="27749"/>
    <cellStyle name="20 % - Accent4 3 5 2 2 4 3" xfId="40729"/>
    <cellStyle name="20 % - Accent4 3 5 2 2 4 4" xfId="56958"/>
    <cellStyle name="20 % - Accent4 3 5 2 2 5" xfId="14769"/>
    <cellStyle name="20 % - Accent4 3 5 2 2 5 2" xfId="50468"/>
    <cellStyle name="20 % - Accent4 3 5 2 2 6" xfId="21259"/>
    <cellStyle name="20 % - Accent4 3 5 2 2 7" xfId="34239"/>
    <cellStyle name="20 % - Accent4 3 5 2 2 8" xfId="47222"/>
    <cellStyle name="20 % - Accent4 3 5 2 3" xfId="1237"/>
    <cellStyle name="20 % - Accent4 3 5 2 3 2" xfId="2904"/>
    <cellStyle name="20 % - Accent4 3 5 2 3 2 2" xfId="6149"/>
    <cellStyle name="20 % - Accent4 3 5 2 3 2 2 2" xfId="12681"/>
    <cellStyle name="20 % - Accent4 3 5 2 3 2 2 2 2" xfId="32154"/>
    <cellStyle name="20 % - Accent4 3 5 2 3 2 2 2 3" xfId="45134"/>
    <cellStyle name="20 % - Accent4 3 5 2 3 2 2 2 4" xfId="61363"/>
    <cellStyle name="20 % - Accent4 3 5 2 3 2 2 3" xfId="19174"/>
    <cellStyle name="20 % - Accent4 3 5 2 3 2 2 4" xfId="25664"/>
    <cellStyle name="20 % - Accent4 3 5 2 3 2 2 5" xfId="38644"/>
    <cellStyle name="20 % - Accent4 3 5 2 3 2 2 6" xfId="54873"/>
    <cellStyle name="20 % - Accent4 3 5 2 3 2 3" xfId="9436"/>
    <cellStyle name="20 % - Accent4 3 5 2 3 2 3 2" xfId="28909"/>
    <cellStyle name="20 % - Accent4 3 5 2 3 2 3 3" xfId="41889"/>
    <cellStyle name="20 % - Accent4 3 5 2 3 2 3 4" xfId="58118"/>
    <cellStyle name="20 % - Accent4 3 5 2 3 2 4" xfId="15929"/>
    <cellStyle name="20 % - Accent4 3 5 2 3 2 4 2" xfId="51628"/>
    <cellStyle name="20 % - Accent4 3 5 2 3 2 5" xfId="22419"/>
    <cellStyle name="20 % - Accent4 3 5 2 3 2 6" xfId="35399"/>
    <cellStyle name="20 % - Accent4 3 5 2 3 2 7" xfId="48382"/>
    <cellStyle name="20 % - Accent4 3 5 2 3 3" xfId="4526"/>
    <cellStyle name="20 % - Accent4 3 5 2 3 3 2" xfId="11058"/>
    <cellStyle name="20 % - Accent4 3 5 2 3 3 2 2" xfId="30531"/>
    <cellStyle name="20 % - Accent4 3 5 2 3 3 2 3" xfId="43511"/>
    <cellStyle name="20 % - Accent4 3 5 2 3 3 2 4" xfId="59740"/>
    <cellStyle name="20 % - Accent4 3 5 2 3 3 3" xfId="17551"/>
    <cellStyle name="20 % - Accent4 3 5 2 3 3 4" xfId="24041"/>
    <cellStyle name="20 % - Accent4 3 5 2 3 3 5" xfId="37021"/>
    <cellStyle name="20 % - Accent4 3 5 2 3 3 6" xfId="53250"/>
    <cellStyle name="20 % - Accent4 3 5 2 3 4" xfId="7813"/>
    <cellStyle name="20 % - Accent4 3 5 2 3 4 2" xfId="27286"/>
    <cellStyle name="20 % - Accent4 3 5 2 3 4 3" xfId="40266"/>
    <cellStyle name="20 % - Accent4 3 5 2 3 4 4" xfId="56495"/>
    <cellStyle name="20 % - Accent4 3 5 2 3 5" xfId="14306"/>
    <cellStyle name="20 % - Accent4 3 5 2 3 5 2" xfId="50005"/>
    <cellStyle name="20 % - Accent4 3 5 2 3 6" xfId="20796"/>
    <cellStyle name="20 % - Accent4 3 5 2 3 7" xfId="33776"/>
    <cellStyle name="20 % - Accent4 3 5 2 3 8" xfId="46759"/>
    <cellStyle name="20 % - Accent4 3 5 2 4" xfId="2429"/>
    <cellStyle name="20 % - Accent4 3 5 2 4 2" xfId="5674"/>
    <cellStyle name="20 % - Accent4 3 5 2 4 2 2" xfId="12206"/>
    <cellStyle name="20 % - Accent4 3 5 2 4 2 2 2" xfId="31679"/>
    <cellStyle name="20 % - Accent4 3 5 2 4 2 2 3" xfId="44659"/>
    <cellStyle name="20 % - Accent4 3 5 2 4 2 2 4" xfId="60888"/>
    <cellStyle name="20 % - Accent4 3 5 2 4 2 3" xfId="18699"/>
    <cellStyle name="20 % - Accent4 3 5 2 4 2 4" xfId="25189"/>
    <cellStyle name="20 % - Accent4 3 5 2 4 2 5" xfId="38169"/>
    <cellStyle name="20 % - Accent4 3 5 2 4 2 6" xfId="54398"/>
    <cellStyle name="20 % - Accent4 3 5 2 4 3" xfId="8961"/>
    <cellStyle name="20 % - Accent4 3 5 2 4 3 2" xfId="28434"/>
    <cellStyle name="20 % - Accent4 3 5 2 4 3 3" xfId="41414"/>
    <cellStyle name="20 % - Accent4 3 5 2 4 3 4" xfId="57643"/>
    <cellStyle name="20 % - Accent4 3 5 2 4 4" xfId="15454"/>
    <cellStyle name="20 % - Accent4 3 5 2 4 4 2" xfId="51153"/>
    <cellStyle name="20 % - Accent4 3 5 2 4 5" xfId="21944"/>
    <cellStyle name="20 % - Accent4 3 5 2 4 6" xfId="34924"/>
    <cellStyle name="20 % - Accent4 3 5 2 4 7" xfId="47907"/>
    <cellStyle name="20 % - Accent4 3 5 2 5" xfId="4051"/>
    <cellStyle name="20 % - Accent4 3 5 2 5 2" xfId="10583"/>
    <cellStyle name="20 % - Accent4 3 5 2 5 2 2" xfId="30056"/>
    <cellStyle name="20 % - Accent4 3 5 2 5 2 3" xfId="43036"/>
    <cellStyle name="20 % - Accent4 3 5 2 5 2 4" xfId="59265"/>
    <cellStyle name="20 % - Accent4 3 5 2 5 3" xfId="17076"/>
    <cellStyle name="20 % - Accent4 3 5 2 5 4" xfId="23566"/>
    <cellStyle name="20 % - Accent4 3 5 2 5 5" xfId="36546"/>
    <cellStyle name="20 % - Accent4 3 5 2 5 6" xfId="52775"/>
    <cellStyle name="20 % - Accent4 3 5 2 6" xfId="7338"/>
    <cellStyle name="20 % - Accent4 3 5 2 6 2" xfId="26811"/>
    <cellStyle name="20 % - Accent4 3 5 2 6 3" xfId="39791"/>
    <cellStyle name="20 % - Accent4 3 5 2 6 4" xfId="56020"/>
    <cellStyle name="20 % - Accent4 3 5 2 7" xfId="13831"/>
    <cellStyle name="20 % - Accent4 3 5 2 7 2" xfId="49530"/>
    <cellStyle name="20 % - Accent4 3 5 2 8" xfId="20321"/>
    <cellStyle name="20 % - Accent4 3 5 2 9" xfId="33301"/>
    <cellStyle name="20 % - Accent4 3 5 3" xfId="531"/>
    <cellStyle name="20 % - Accent4 3 5 3 2" xfId="1480"/>
    <cellStyle name="20 % - Accent4 3 5 3 2 2" xfId="3147"/>
    <cellStyle name="20 % - Accent4 3 5 3 2 2 2" xfId="6392"/>
    <cellStyle name="20 % - Accent4 3 5 3 2 2 2 2" xfId="12924"/>
    <cellStyle name="20 % - Accent4 3 5 3 2 2 2 2 2" xfId="32397"/>
    <cellStyle name="20 % - Accent4 3 5 3 2 2 2 2 3" xfId="45377"/>
    <cellStyle name="20 % - Accent4 3 5 3 2 2 2 2 4" xfId="61606"/>
    <cellStyle name="20 % - Accent4 3 5 3 2 2 2 3" xfId="19417"/>
    <cellStyle name="20 % - Accent4 3 5 3 2 2 2 4" xfId="25907"/>
    <cellStyle name="20 % - Accent4 3 5 3 2 2 2 5" xfId="38887"/>
    <cellStyle name="20 % - Accent4 3 5 3 2 2 2 6" xfId="55116"/>
    <cellStyle name="20 % - Accent4 3 5 3 2 2 3" xfId="9679"/>
    <cellStyle name="20 % - Accent4 3 5 3 2 2 3 2" xfId="29152"/>
    <cellStyle name="20 % - Accent4 3 5 3 2 2 3 3" xfId="42132"/>
    <cellStyle name="20 % - Accent4 3 5 3 2 2 3 4" xfId="58361"/>
    <cellStyle name="20 % - Accent4 3 5 3 2 2 4" xfId="16172"/>
    <cellStyle name="20 % - Accent4 3 5 3 2 2 4 2" xfId="51871"/>
    <cellStyle name="20 % - Accent4 3 5 3 2 2 5" xfId="22662"/>
    <cellStyle name="20 % - Accent4 3 5 3 2 2 6" xfId="35642"/>
    <cellStyle name="20 % - Accent4 3 5 3 2 2 7" xfId="48625"/>
    <cellStyle name="20 % - Accent4 3 5 3 2 3" xfId="4769"/>
    <cellStyle name="20 % - Accent4 3 5 3 2 3 2" xfId="11301"/>
    <cellStyle name="20 % - Accent4 3 5 3 2 3 2 2" xfId="30774"/>
    <cellStyle name="20 % - Accent4 3 5 3 2 3 2 3" xfId="43754"/>
    <cellStyle name="20 % - Accent4 3 5 3 2 3 2 4" xfId="59983"/>
    <cellStyle name="20 % - Accent4 3 5 3 2 3 3" xfId="17794"/>
    <cellStyle name="20 % - Accent4 3 5 3 2 3 4" xfId="24284"/>
    <cellStyle name="20 % - Accent4 3 5 3 2 3 5" xfId="37264"/>
    <cellStyle name="20 % - Accent4 3 5 3 2 3 6" xfId="53493"/>
    <cellStyle name="20 % - Accent4 3 5 3 2 4" xfId="8056"/>
    <cellStyle name="20 % - Accent4 3 5 3 2 4 2" xfId="27529"/>
    <cellStyle name="20 % - Accent4 3 5 3 2 4 3" xfId="40509"/>
    <cellStyle name="20 % - Accent4 3 5 3 2 4 4" xfId="56738"/>
    <cellStyle name="20 % - Accent4 3 5 3 2 5" xfId="14549"/>
    <cellStyle name="20 % - Accent4 3 5 3 2 5 2" xfId="50248"/>
    <cellStyle name="20 % - Accent4 3 5 3 2 6" xfId="21039"/>
    <cellStyle name="20 % - Accent4 3 5 3 2 7" xfId="34019"/>
    <cellStyle name="20 % - Accent4 3 5 3 2 8" xfId="47002"/>
    <cellStyle name="20 % - Accent4 3 5 3 3" xfId="2199"/>
    <cellStyle name="20 % - Accent4 3 5 3 3 2" xfId="5444"/>
    <cellStyle name="20 % - Accent4 3 5 3 3 2 2" xfId="11976"/>
    <cellStyle name="20 % - Accent4 3 5 3 3 2 2 2" xfId="31449"/>
    <cellStyle name="20 % - Accent4 3 5 3 3 2 2 3" xfId="44429"/>
    <cellStyle name="20 % - Accent4 3 5 3 3 2 2 4" xfId="60658"/>
    <cellStyle name="20 % - Accent4 3 5 3 3 2 3" xfId="18469"/>
    <cellStyle name="20 % - Accent4 3 5 3 3 2 4" xfId="24959"/>
    <cellStyle name="20 % - Accent4 3 5 3 3 2 5" xfId="37939"/>
    <cellStyle name="20 % - Accent4 3 5 3 3 2 6" xfId="54168"/>
    <cellStyle name="20 % - Accent4 3 5 3 3 3" xfId="8731"/>
    <cellStyle name="20 % - Accent4 3 5 3 3 3 2" xfId="28204"/>
    <cellStyle name="20 % - Accent4 3 5 3 3 3 3" xfId="41184"/>
    <cellStyle name="20 % - Accent4 3 5 3 3 3 4" xfId="57413"/>
    <cellStyle name="20 % - Accent4 3 5 3 3 4" xfId="15224"/>
    <cellStyle name="20 % - Accent4 3 5 3 3 4 2" xfId="50923"/>
    <cellStyle name="20 % - Accent4 3 5 3 3 5" xfId="21714"/>
    <cellStyle name="20 % - Accent4 3 5 3 3 6" xfId="34694"/>
    <cellStyle name="20 % - Accent4 3 5 3 3 7" xfId="47677"/>
    <cellStyle name="20 % - Accent4 3 5 3 4" xfId="3821"/>
    <cellStyle name="20 % - Accent4 3 5 3 4 2" xfId="10353"/>
    <cellStyle name="20 % - Accent4 3 5 3 4 2 2" xfId="29826"/>
    <cellStyle name="20 % - Accent4 3 5 3 4 2 3" xfId="42806"/>
    <cellStyle name="20 % - Accent4 3 5 3 4 2 4" xfId="59035"/>
    <cellStyle name="20 % - Accent4 3 5 3 4 3" xfId="16846"/>
    <cellStyle name="20 % - Accent4 3 5 3 4 4" xfId="23336"/>
    <cellStyle name="20 % - Accent4 3 5 3 4 5" xfId="36316"/>
    <cellStyle name="20 % - Accent4 3 5 3 4 6" xfId="52545"/>
    <cellStyle name="20 % - Accent4 3 5 3 5" xfId="7108"/>
    <cellStyle name="20 % - Accent4 3 5 3 5 2" xfId="26581"/>
    <cellStyle name="20 % - Accent4 3 5 3 5 3" xfId="39561"/>
    <cellStyle name="20 % - Accent4 3 5 3 5 4" xfId="55790"/>
    <cellStyle name="20 % - Accent4 3 5 3 6" xfId="13601"/>
    <cellStyle name="20 % - Accent4 3 5 3 6 2" xfId="49300"/>
    <cellStyle name="20 % - Accent4 3 5 3 7" xfId="20091"/>
    <cellStyle name="20 % - Accent4 3 5 3 8" xfId="33071"/>
    <cellStyle name="20 % - Accent4 3 5 3 9" xfId="46054"/>
    <cellStyle name="20 % - Accent4 3 5 4" xfId="1017"/>
    <cellStyle name="20 % - Accent4 3 5 4 2" xfId="2684"/>
    <cellStyle name="20 % - Accent4 3 5 4 2 2" xfId="5929"/>
    <cellStyle name="20 % - Accent4 3 5 4 2 2 2" xfId="12461"/>
    <cellStyle name="20 % - Accent4 3 5 4 2 2 2 2" xfId="31934"/>
    <cellStyle name="20 % - Accent4 3 5 4 2 2 2 3" xfId="44914"/>
    <cellStyle name="20 % - Accent4 3 5 4 2 2 2 4" xfId="61143"/>
    <cellStyle name="20 % - Accent4 3 5 4 2 2 3" xfId="18954"/>
    <cellStyle name="20 % - Accent4 3 5 4 2 2 4" xfId="25444"/>
    <cellStyle name="20 % - Accent4 3 5 4 2 2 5" xfId="38424"/>
    <cellStyle name="20 % - Accent4 3 5 4 2 2 6" xfId="54653"/>
    <cellStyle name="20 % - Accent4 3 5 4 2 3" xfId="9216"/>
    <cellStyle name="20 % - Accent4 3 5 4 2 3 2" xfId="28689"/>
    <cellStyle name="20 % - Accent4 3 5 4 2 3 3" xfId="41669"/>
    <cellStyle name="20 % - Accent4 3 5 4 2 3 4" xfId="57898"/>
    <cellStyle name="20 % - Accent4 3 5 4 2 4" xfId="15709"/>
    <cellStyle name="20 % - Accent4 3 5 4 2 4 2" xfId="51408"/>
    <cellStyle name="20 % - Accent4 3 5 4 2 5" xfId="22199"/>
    <cellStyle name="20 % - Accent4 3 5 4 2 6" xfId="35179"/>
    <cellStyle name="20 % - Accent4 3 5 4 2 7" xfId="48162"/>
    <cellStyle name="20 % - Accent4 3 5 4 3" xfId="4306"/>
    <cellStyle name="20 % - Accent4 3 5 4 3 2" xfId="10838"/>
    <cellStyle name="20 % - Accent4 3 5 4 3 2 2" xfId="30311"/>
    <cellStyle name="20 % - Accent4 3 5 4 3 2 3" xfId="43291"/>
    <cellStyle name="20 % - Accent4 3 5 4 3 2 4" xfId="59520"/>
    <cellStyle name="20 % - Accent4 3 5 4 3 3" xfId="17331"/>
    <cellStyle name="20 % - Accent4 3 5 4 3 4" xfId="23821"/>
    <cellStyle name="20 % - Accent4 3 5 4 3 5" xfId="36801"/>
    <cellStyle name="20 % - Accent4 3 5 4 3 6" xfId="53030"/>
    <cellStyle name="20 % - Accent4 3 5 4 4" xfId="7593"/>
    <cellStyle name="20 % - Accent4 3 5 4 4 2" xfId="27066"/>
    <cellStyle name="20 % - Accent4 3 5 4 4 3" xfId="40046"/>
    <cellStyle name="20 % - Accent4 3 5 4 4 4" xfId="56275"/>
    <cellStyle name="20 % - Accent4 3 5 4 5" xfId="14086"/>
    <cellStyle name="20 % - Accent4 3 5 4 5 2" xfId="49785"/>
    <cellStyle name="20 % - Accent4 3 5 4 6" xfId="20576"/>
    <cellStyle name="20 % - Accent4 3 5 4 7" xfId="33556"/>
    <cellStyle name="20 % - Accent4 3 5 4 8" xfId="46539"/>
    <cellStyle name="20 % - Accent4 3 5 5" xfId="1970"/>
    <cellStyle name="20 % - Accent4 3 5 5 2" xfId="5215"/>
    <cellStyle name="20 % - Accent4 3 5 5 2 2" xfId="11747"/>
    <cellStyle name="20 % - Accent4 3 5 5 2 2 2" xfId="31220"/>
    <cellStyle name="20 % - Accent4 3 5 5 2 2 3" xfId="44200"/>
    <cellStyle name="20 % - Accent4 3 5 5 2 2 4" xfId="60429"/>
    <cellStyle name="20 % - Accent4 3 5 5 2 3" xfId="18240"/>
    <cellStyle name="20 % - Accent4 3 5 5 2 4" xfId="24730"/>
    <cellStyle name="20 % - Accent4 3 5 5 2 5" xfId="37710"/>
    <cellStyle name="20 % - Accent4 3 5 5 2 6" xfId="53939"/>
    <cellStyle name="20 % - Accent4 3 5 5 3" xfId="8502"/>
    <cellStyle name="20 % - Accent4 3 5 5 3 2" xfId="27975"/>
    <cellStyle name="20 % - Accent4 3 5 5 3 3" xfId="40955"/>
    <cellStyle name="20 % - Accent4 3 5 5 3 4" xfId="57184"/>
    <cellStyle name="20 % - Accent4 3 5 5 4" xfId="14995"/>
    <cellStyle name="20 % - Accent4 3 5 5 4 2" xfId="50694"/>
    <cellStyle name="20 % - Accent4 3 5 5 5" xfId="21485"/>
    <cellStyle name="20 % - Accent4 3 5 5 6" xfId="34465"/>
    <cellStyle name="20 % - Accent4 3 5 5 7" xfId="47448"/>
    <cellStyle name="20 % - Accent4 3 5 6" xfId="3591"/>
    <cellStyle name="20 % - Accent4 3 5 6 2" xfId="10123"/>
    <cellStyle name="20 % - Accent4 3 5 6 2 2" xfId="29596"/>
    <cellStyle name="20 % - Accent4 3 5 6 2 3" xfId="42576"/>
    <cellStyle name="20 % - Accent4 3 5 6 2 4" xfId="58805"/>
    <cellStyle name="20 % - Accent4 3 5 6 3" xfId="16616"/>
    <cellStyle name="20 % - Accent4 3 5 6 4" xfId="23106"/>
    <cellStyle name="20 % - Accent4 3 5 6 5" xfId="36086"/>
    <cellStyle name="20 % - Accent4 3 5 6 6" xfId="52315"/>
    <cellStyle name="20 % - Accent4 3 5 7" xfId="6878"/>
    <cellStyle name="20 % - Accent4 3 5 7 2" xfId="26351"/>
    <cellStyle name="20 % - Accent4 3 5 7 3" xfId="39331"/>
    <cellStyle name="20 % - Accent4 3 5 7 4" xfId="55560"/>
    <cellStyle name="20 % - Accent4 3 5 8" xfId="13371"/>
    <cellStyle name="20 % - Accent4 3 5 8 2" xfId="49070"/>
    <cellStyle name="20 % - Accent4 3 5 9" xfId="19861"/>
    <cellStyle name="20 % - Accent4 3 6" xfId="629"/>
    <cellStyle name="20 % - Accent4 3 6 10" xfId="46152"/>
    <cellStyle name="20 % - Accent4 3 6 2" xfId="1348"/>
    <cellStyle name="20 % - Accent4 3 6 2 2" xfId="3015"/>
    <cellStyle name="20 % - Accent4 3 6 2 2 2" xfId="6260"/>
    <cellStyle name="20 % - Accent4 3 6 2 2 2 2" xfId="12792"/>
    <cellStyle name="20 % - Accent4 3 6 2 2 2 2 2" xfId="32265"/>
    <cellStyle name="20 % - Accent4 3 6 2 2 2 2 3" xfId="45245"/>
    <cellStyle name="20 % - Accent4 3 6 2 2 2 2 4" xfId="61474"/>
    <cellStyle name="20 % - Accent4 3 6 2 2 2 3" xfId="19285"/>
    <cellStyle name="20 % - Accent4 3 6 2 2 2 4" xfId="25775"/>
    <cellStyle name="20 % - Accent4 3 6 2 2 2 5" xfId="38755"/>
    <cellStyle name="20 % - Accent4 3 6 2 2 2 6" xfId="54984"/>
    <cellStyle name="20 % - Accent4 3 6 2 2 3" xfId="9547"/>
    <cellStyle name="20 % - Accent4 3 6 2 2 3 2" xfId="29020"/>
    <cellStyle name="20 % - Accent4 3 6 2 2 3 3" xfId="42000"/>
    <cellStyle name="20 % - Accent4 3 6 2 2 3 4" xfId="58229"/>
    <cellStyle name="20 % - Accent4 3 6 2 2 4" xfId="16040"/>
    <cellStyle name="20 % - Accent4 3 6 2 2 4 2" xfId="51739"/>
    <cellStyle name="20 % - Accent4 3 6 2 2 5" xfId="22530"/>
    <cellStyle name="20 % - Accent4 3 6 2 2 6" xfId="35510"/>
    <cellStyle name="20 % - Accent4 3 6 2 2 7" xfId="48493"/>
    <cellStyle name="20 % - Accent4 3 6 2 3" xfId="4637"/>
    <cellStyle name="20 % - Accent4 3 6 2 3 2" xfId="11169"/>
    <cellStyle name="20 % - Accent4 3 6 2 3 2 2" xfId="30642"/>
    <cellStyle name="20 % - Accent4 3 6 2 3 2 3" xfId="43622"/>
    <cellStyle name="20 % - Accent4 3 6 2 3 2 4" xfId="59851"/>
    <cellStyle name="20 % - Accent4 3 6 2 3 3" xfId="17662"/>
    <cellStyle name="20 % - Accent4 3 6 2 3 4" xfId="24152"/>
    <cellStyle name="20 % - Accent4 3 6 2 3 5" xfId="37132"/>
    <cellStyle name="20 % - Accent4 3 6 2 3 6" xfId="53361"/>
    <cellStyle name="20 % - Accent4 3 6 2 4" xfId="7924"/>
    <cellStyle name="20 % - Accent4 3 6 2 4 2" xfId="27397"/>
    <cellStyle name="20 % - Accent4 3 6 2 4 3" xfId="40377"/>
    <cellStyle name="20 % - Accent4 3 6 2 4 4" xfId="56606"/>
    <cellStyle name="20 % - Accent4 3 6 2 5" xfId="14417"/>
    <cellStyle name="20 % - Accent4 3 6 2 5 2" xfId="50116"/>
    <cellStyle name="20 % - Accent4 3 6 2 6" xfId="20907"/>
    <cellStyle name="20 % - Accent4 3 6 2 7" xfId="33887"/>
    <cellStyle name="20 % - Accent4 3 6 2 8" xfId="46870"/>
    <cellStyle name="20 % - Accent4 3 6 3" xfId="884"/>
    <cellStyle name="20 % - Accent4 3 6 3 2" xfId="2552"/>
    <cellStyle name="20 % - Accent4 3 6 3 2 2" xfId="5797"/>
    <cellStyle name="20 % - Accent4 3 6 3 2 2 2" xfId="12329"/>
    <cellStyle name="20 % - Accent4 3 6 3 2 2 2 2" xfId="31802"/>
    <cellStyle name="20 % - Accent4 3 6 3 2 2 2 3" xfId="44782"/>
    <cellStyle name="20 % - Accent4 3 6 3 2 2 2 4" xfId="61011"/>
    <cellStyle name="20 % - Accent4 3 6 3 2 2 3" xfId="18822"/>
    <cellStyle name="20 % - Accent4 3 6 3 2 2 4" xfId="25312"/>
    <cellStyle name="20 % - Accent4 3 6 3 2 2 5" xfId="38292"/>
    <cellStyle name="20 % - Accent4 3 6 3 2 2 6" xfId="54521"/>
    <cellStyle name="20 % - Accent4 3 6 3 2 3" xfId="9084"/>
    <cellStyle name="20 % - Accent4 3 6 3 2 3 2" xfId="28557"/>
    <cellStyle name="20 % - Accent4 3 6 3 2 3 3" xfId="41537"/>
    <cellStyle name="20 % - Accent4 3 6 3 2 3 4" xfId="57766"/>
    <cellStyle name="20 % - Accent4 3 6 3 2 4" xfId="15577"/>
    <cellStyle name="20 % - Accent4 3 6 3 2 4 2" xfId="51276"/>
    <cellStyle name="20 % - Accent4 3 6 3 2 5" xfId="22067"/>
    <cellStyle name="20 % - Accent4 3 6 3 2 6" xfId="35047"/>
    <cellStyle name="20 % - Accent4 3 6 3 2 7" xfId="48030"/>
    <cellStyle name="20 % - Accent4 3 6 3 3" xfId="4174"/>
    <cellStyle name="20 % - Accent4 3 6 3 3 2" xfId="10706"/>
    <cellStyle name="20 % - Accent4 3 6 3 3 2 2" xfId="30179"/>
    <cellStyle name="20 % - Accent4 3 6 3 3 2 3" xfId="43159"/>
    <cellStyle name="20 % - Accent4 3 6 3 3 2 4" xfId="59388"/>
    <cellStyle name="20 % - Accent4 3 6 3 3 3" xfId="17199"/>
    <cellStyle name="20 % - Accent4 3 6 3 3 4" xfId="23689"/>
    <cellStyle name="20 % - Accent4 3 6 3 3 5" xfId="36669"/>
    <cellStyle name="20 % - Accent4 3 6 3 3 6" xfId="52898"/>
    <cellStyle name="20 % - Accent4 3 6 3 4" xfId="7461"/>
    <cellStyle name="20 % - Accent4 3 6 3 4 2" xfId="26934"/>
    <cellStyle name="20 % - Accent4 3 6 3 4 3" xfId="39914"/>
    <cellStyle name="20 % - Accent4 3 6 3 4 4" xfId="56143"/>
    <cellStyle name="20 % - Accent4 3 6 3 5" xfId="13954"/>
    <cellStyle name="20 % - Accent4 3 6 3 5 2" xfId="49653"/>
    <cellStyle name="20 % - Accent4 3 6 3 6" xfId="20444"/>
    <cellStyle name="20 % - Accent4 3 6 3 7" xfId="33424"/>
    <cellStyle name="20 % - Accent4 3 6 3 8" xfId="46407"/>
    <cellStyle name="20 % - Accent4 3 6 4" xfId="2297"/>
    <cellStyle name="20 % - Accent4 3 6 4 2" xfId="5542"/>
    <cellStyle name="20 % - Accent4 3 6 4 2 2" xfId="12074"/>
    <cellStyle name="20 % - Accent4 3 6 4 2 2 2" xfId="31547"/>
    <cellStyle name="20 % - Accent4 3 6 4 2 2 3" xfId="44527"/>
    <cellStyle name="20 % - Accent4 3 6 4 2 2 4" xfId="60756"/>
    <cellStyle name="20 % - Accent4 3 6 4 2 3" xfId="18567"/>
    <cellStyle name="20 % - Accent4 3 6 4 2 4" xfId="25057"/>
    <cellStyle name="20 % - Accent4 3 6 4 2 5" xfId="38037"/>
    <cellStyle name="20 % - Accent4 3 6 4 2 6" xfId="54266"/>
    <cellStyle name="20 % - Accent4 3 6 4 3" xfId="8829"/>
    <cellStyle name="20 % - Accent4 3 6 4 3 2" xfId="28302"/>
    <cellStyle name="20 % - Accent4 3 6 4 3 3" xfId="41282"/>
    <cellStyle name="20 % - Accent4 3 6 4 3 4" xfId="57511"/>
    <cellStyle name="20 % - Accent4 3 6 4 4" xfId="15322"/>
    <cellStyle name="20 % - Accent4 3 6 4 4 2" xfId="51021"/>
    <cellStyle name="20 % - Accent4 3 6 4 5" xfId="21812"/>
    <cellStyle name="20 % - Accent4 3 6 4 6" xfId="34792"/>
    <cellStyle name="20 % - Accent4 3 6 4 7" xfId="47775"/>
    <cellStyle name="20 % - Accent4 3 6 5" xfId="3919"/>
    <cellStyle name="20 % - Accent4 3 6 5 2" xfId="10451"/>
    <cellStyle name="20 % - Accent4 3 6 5 2 2" xfId="29924"/>
    <cellStyle name="20 % - Accent4 3 6 5 2 3" xfId="42904"/>
    <cellStyle name="20 % - Accent4 3 6 5 2 4" xfId="59133"/>
    <cellStyle name="20 % - Accent4 3 6 5 3" xfId="16944"/>
    <cellStyle name="20 % - Accent4 3 6 5 4" xfId="23434"/>
    <cellStyle name="20 % - Accent4 3 6 5 5" xfId="36414"/>
    <cellStyle name="20 % - Accent4 3 6 5 6" xfId="52643"/>
    <cellStyle name="20 % - Accent4 3 6 6" xfId="7206"/>
    <cellStyle name="20 % - Accent4 3 6 6 2" xfId="26679"/>
    <cellStyle name="20 % - Accent4 3 6 6 3" xfId="39659"/>
    <cellStyle name="20 % - Accent4 3 6 6 4" xfId="55888"/>
    <cellStyle name="20 % - Accent4 3 6 7" xfId="13699"/>
    <cellStyle name="20 % - Accent4 3 6 7 2" xfId="49398"/>
    <cellStyle name="20 % - Accent4 3 6 8" xfId="20189"/>
    <cellStyle name="20 % - Accent4 3 6 9" xfId="33169"/>
    <cellStyle name="20 % - Accent4 3 7" xfId="399"/>
    <cellStyle name="20 % - Accent4 3 7 10" xfId="45922"/>
    <cellStyle name="20 % - Accent4 3 7 2" xfId="1568"/>
    <cellStyle name="20 % - Accent4 3 7 2 2" xfId="3235"/>
    <cellStyle name="20 % - Accent4 3 7 2 2 2" xfId="6480"/>
    <cellStyle name="20 % - Accent4 3 7 2 2 2 2" xfId="13012"/>
    <cellStyle name="20 % - Accent4 3 7 2 2 2 2 2" xfId="32485"/>
    <cellStyle name="20 % - Accent4 3 7 2 2 2 2 3" xfId="45465"/>
    <cellStyle name="20 % - Accent4 3 7 2 2 2 2 4" xfId="61694"/>
    <cellStyle name="20 % - Accent4 3 7 2 2 2 3" xfId="19505"/>
    <cellStyle name="20 % - Accent4 3 7 2 2 2 4" xfId="25995"/>
    <cellStyle name="20 % - Accent4 3 7 2 2 2 5" xfId="38975"/>
    <cellStyle name="20 % - Accent4 3 7 2 2 2 6" xfId="55204"/>
    <cellStyle name="20 % - Accent4 3 7 2 2 3" xfId="9767"/>
    <cellStyle name="20 % - Accent4 3 7 2 2 3 2" xfId="29240"/>
    <cellStyle name="20 % - Accent4 3 7 2 2 3 3" xfId="42220"/>
    <cellStyle name="20 % - Accent4 3 7 2 2 3 4" xfId="58449"/>
    <cellStyle name="20 % - Accent4 3 7 2 2 4" xfId="16260"/>
    <cellStyle name="20 % - Accent4 3 7 2 2 4 2" xfId="51959"/>
    <cellStyle name="20 % - Accent4 3 7 2 2 5" xfId="22750"/>
    <cellStyle name="20 % - Accent4 3 7 2 2 6" xfId="35730"/>
    <cellStyle name="20 % - Accent4 3 7 2 2 7" xfId="48713"/>
    <cellStyle name="20 % - Accent4 3 7 2 3" xfId="4857"/>
    <cellStyle name="20 % - Accent4 3 7 2 3 2" xfId="11389"/>
    <cellStyle name="20 % - Accent4 3 7 2 3 2 2" xfId="30862"/>
    <cellStyle name="20 % - Accent4 3 7 2 3 2 3" xfId="43842"/>
    <cellStyle name="20 % - Accent4 3 7 2 3 2 4" xfId="60071"/>
    <cellStyle name="20 % - Accent4 3 7 2 3 3" xfId="17882"/>
    <cellStyle name="20 % - Accent4 3 7 2 3 4" xfId="24372"/>
    <cellStyle name="20 % - Accent4 3 7 2 3 5" xfId="37352"/>
    <cellStyle name="20 % - Accent4 3 7 2 3 6" xfId="53581"/>
    <cellStyle name="20 % - Accent4 3 7 2 4" xfId="8144"/>
    <cellStyle name="20 % - Accent4 3 7 2 4 2" xfId="27617"/>
    <cellStyle name="20 % - Accent4 3 7 2 4 3" xfId="40597"/>
    <cellStyle name="20 % - Accent4 3 7 2 4 4" xfId="56826"/>
    <cellStyle name="20 % - Accent4 3 7 2 5" xfId="14637"/>
    <cellStyle name="20 % - Accent4 3 7 2 5 2" xfId="50336"/>
    <cellStyle name="20 % - Accent4 3 7 2 6" xfId="21127"/>
    <cellStyle name="20 % - Accent4 3 7 2 7" xfId="34107"/>
    <cellStyle name="20 % - Accent4 3 7 2 8" xfId="47090"/>
    <cellStyle name="20 % - Accent4 3 7 3" xfId="1105"/>
    <cellStyle name="20 % - Accent4 3 7 3 2" xfId="2772"/>
    <cellStyle name="20 % - Accent4 3 7 3 2 2" xfId="6017"/>
    <cellStyle name="20 % - Accent4 3 7 3 2 2 2" xfId="12549"/>
    <cellStyle name="20 % - Accent4 3 7 3 2 2 2 2" xfId="32022"/>
    <cellStyle name="20 % - Accent4 3 7 3 2 2 2 3" xfId="45002"/>
    <cellStyle name="20 % - Accent4 3 7 3 2 2 2 4" xfId="61231"/>
    <cellStyle name="20 % - Accent4 3 7 3 2 2 3" xfId="19042"/>
    <cellStyle name="20 % - Accent4 3 7 3 2 2 4" xfId="25532"/>
    <cellStyle name="20 % - Accent4 3 7 3 2 2 5" xfId="38512"/>
    <cellStyle name="20 % - Accent4 3 7 3 2 2 6" xfId="54741"/>
    <cellStyle name="20 % - Accent4 3 7 3 2 3" xfId="9304"/>
    <cellStyle name="20 % - Accent4 3 7 3 2 3 2" xfId="28777"/>
    <cellStyle name="20 % - Accent4 3 7 3 2 3 3" xfId="41757"/>
    <cellStyle name="20 % - Accent4 3 7 3 2 3 4" xfId="57986"/>
    <cellStyle name="20 % - Accent4 3 7 3 2 4" xfId="15797"/>
    <cellStyle name="20 % - Accent4 3 7 3 2 4 2" xfId="51496"/>
    <cellStyle name="20 % - Accent4 3 7 3 2 5" xfId="22287"/>
    <cellStyle name="20 % - Accent4 3 7 3 2 6" xfId="35267"/>
    <cellStyle name="20 % - Accent4 3 7 3 2 7" xfId="48250"/>
    <cellStyle name="20 % - Accent4 3 7 3 3" xfId="4394"/>
    <cellStyle name="20 % - Accent4 3 7 3 3 2" xfId="10926"/>
    <cellStyle name="20 % - Accent4 3 7 3 3 2 2" xfId="30399"/>
    <cellStyle name="20 % - Accent4 3 7 3 3 2 3" xfId="43379"/>
    <cellStyle name="20 % - Accent4 3 7 3 3 2 4" xfId="59608"/>
    <cellStyle name="20 % - Accent4 3 7 3 3 3" xfId="17419"/>
    <cellStyle name="20 % - Accent4 3 7 3 3 4" xfId="23909"/>
    <cellStyle name="20 % - Accent4 3 7 3 3 5" xfId="36889"/>
    <cellStyle name="20 % - Accent4 3 7 3 3 6" xfId="53118"/>
    <cellStyle name="20 % - Accent4 3 7 3 4" xfId="7681"/>
    <cellStyle name="20 % - Accent4 3 7 3 4 2" xfId="27154"/>
    <cellStyle name="20 % - Accent4 3 7 3 4 3" xfId="40134"/>
    <cellStyle name="20 % - Accent4 3 7 3 4 4" xfId="56363"/>
    <cellStyle name="20 % - Accent4 3 7 3 5" xfId="14174"/>
    <cellStyle name="20 % - Accent4 3 7 3 5 2" xfId="49873"/>
    <cellStyle name="20 % - Accent4 3 7 3 6" xfId="20664"/>
    <cellStyle name="20 % - Accent4 3 7 3 7" xfId="33644"/>
    <cellStyle name="20 % - Accent4 3 7 3 8" xfId="46627"/>
    <cellStyle name="20 % - Accent4 3 7 4" xfId="2067"/>
    <cellStyle name="20 % - Accent4 3 7 4 2" xfId="5312"/>
    <cellStyle name="20 % - Accent4 3 7 4 2 2" xfId="11844"/>
    <cellStyle name="20 % - Accent4 3 7 4 2 2 2" xfId="31317"/>
    <cellStyle name="20 % - Accent4 3 7 4 2 2 3" xfId="44297"/>
    <cellStyle name="20 % - Accent4 3 7 4 2 2 4" xfId="60526"/>
    <cellStyle name="20 % - Accent4 3 7 4 2 3" xfId="18337"/>
    <cellStyle name="20 % - Accent4 3 7 4 2 4" xfId="24827"/>
    <cellStyle name="20 % - Accent4 3 7 4 2 5" xfId="37807"/>
    <cellStyle name="20 % - Accent4 3 7 4 2 6" xfId="54036"/>
    <cellStyle name="20 % - Accent4 3 7 4 3" xfId="8599"/>
    <cellStyle name="20 % - Accent4 3 7 4 3 2" xfId="28072"/>
    <cellStyle name="20 % - Accent4 3 7 4 3 3" xfId="41052"/>
    <cellStyle name="20 % - Accent4 3 7 4 3 4" xfId="57281"/>
    <cellStyle name="20 % - Accent4 3 7 4 4" xfId="15092"/>
    <cellStyle name="20 % - Accent4 3 7 4 4 2" xfId="50791"/>
    <cellStyle name="20 % - Accent4 3 7 4 5" xfId="21582"/>
    <cellStyle name="20 % - Accent4 3 7 4 6" xfId="34562"/>
    <cellStyle name="20 % - Accent4 3 7 4 7" xfId="47545"/>
    <cellStyle name="20 % - Accent4 3 7 5" xfId="3689"/>
    <cellStyle name="20 % - Accent4 3 7 5 2" xfId="10221"/>
    <cellStyle name="20 % - Accent4 3 7 5 2 2" xfId="29694"/>
    <cellStyle name="20 % - Accent4 3 7 5 2 3" xfId="42674"/>
    <cellStyle name="20 % - Accent4 3 7 5 2 4" xfId="58903"/>
    <cellStyle name="20 % - Accent4 3 7 5 3" xfId="16714"/>
    <cellStyle name="20 % - Accent4 3 7 5 4" xfId="23204"/>
    <cellStyle name="20 % - Accent4 3 7 5 5" xfId="36184"/>
    <cellStyle name="20 % - Accent4 3 7 5 6" xfId="52413"/>
    <cellStyle name="20 % - Accent4 3 7 6" xfId="6976"/>
    <cellStyle name="20 % - Accent4 3 7 6 2" xfId="26449"/>
    <cellStyle name="20 % - Accent4 3 7 6 3" xfId="39429"/>
    <cellStyle name="20 % - Accent4 3 7 6 4" xfId="55658"/>
    <cellStyle name="20 % - Accent4 3 7 7" xfId="13469"/>
    <cellStyle name="20 % - Accent4 3 7 7 2" xfId="49168"/>
    <cellStyle name="20 % - Accent4 3 7 8" xfId="19959"/>
    <cellStyle name="20 % - Accent4 3 7 9" xfId="32939"/>
    <cellStyle name="20 % - Accent4 3 8" xfId="1325"/>
    <cellStyle name="20 % - Accent4 3 8 2" xfId="2992"/>
    <cellStyle name="20 % - Accent4 3 8 2 2" xfId="6237"/>
    <cellStyle name="20 % - Accent4 3 8 2 2 2" xfId="12769"/>
    <cellStyle name="20 % - Accent4 3 8 2 2 2 2" xfId="32242"/>
    <cellStyle name="20 % - Accent4 3 8 2 2 2 3" xfId="45222"/>
    <cellStyle name="20 % - Accent4 3 8 2 2 2 4" xfId="61451"/>
    <cellStyle name="20 % - Accent4 3 8 2 2 3" xfId="19262"/>
    <cellStyle name="20 % - Accent4 3 8 2 2 4" xfId="25752"/>
    <cellStyle name="20 % - Accent4 3 8 2 2 5" xfId="38732"/>
    <cellStyle name="20 % - Accent4 3 8 2 2 6" xfId="54961"/>
    <cellStyle name="20 % - Accent4 3 8 2 3" xfId="9524"/>
    <cellStyle name="20 % - Accent4 3 8 2 3 2" xfId="28997"/>
    <cellStyle name="20 % - Accent4 3 8 2 3 3" xfId="41977"/>
    <cellStyle name="20 % - Accent4 3 8 2 3 4" xfId="58206"/>
    <cellStyle name="20 % - Accent4 3 8 2 4" xfId="16017"/>
    <cellStyle name="20 % - Accent4 3 8 2 4 2" xfId="51716"/>
    <cellStyle name="20 % - Accent4 3 8 2 5" xfId="22507"/>
    <cellStyle name="20 % - Accent4 3 8 2 6" xfId="35487"/>
    <cellStyle name="20 % - Accent4 3 8 2 7" xfId="48470"/>
    <cellStyle name="20 % - Accent4 3 8 3" xfId="4614"/>
    <cellStyle name="20 % - Accent4 3 8 3 2" xfId="11146"/>
    <cellStyle name="20 % - Accent4 3 8 3 2 2" xfId="30619"/>
    <cellStyle name="20 % - Accent4 3 8 3 2 3" xfId="43599"/>
    <cellStyle name="20 % - Accent4 3 8 3 2 4" xfId="59828"/>
    <cellStyle name="20 % - Accent4 3 8 3 3" xfId="17639"/>
    <cellStyle name="20 % - Accent4 3 8 3 4" xfId="24129"/>
    <cellStyle name="20 % - Accent4 3 8 3 5" xfId="37109"/>
    <cellStyle name="20 % - Accent4 3 8 3 6" xfId="53338"/>
    <cellStyle name="20 % - Accent4 3 8 4" xfId="7901"/>
    <cellStyle name="20 % - Accent4 3 8 4 2" xfId="27374"/>
    <cellStyle name="20 % - Accent4 3 8 4 3" xfId="40354"/>
    <cellStyle name="20 % - Accent4 3 8 4 4" xfId="56583"/>
    <cellStyle name="20 % - Accent4 3 8 5" xfId="14394"/>
    <cellStyle name="20 % - Accent4 3 8 5 2" xfId="50093"/>
    <cellStyle name="20 % - Accent4 3 8 6" xfId="20884"/>
    <cellStyle name="20 % - Accent4 3 8 7" xfId="33864"/>
    <cellStyle name="20 % - Accent4 3 8 8" xfId="46847"/>
    <cellStyle name="20 % - Accent4 3 9" xfId="861"/>
    <cellStyle name="20 % - Accent4 3 9 2" xfId="2529"/>
    <cellStyle name="20 % - Accent4 3 9 2 2" xfId="5774"/>
    <cellStyle name="20 % - Accent4 3 9 2 2 2" xfId="12306"/>
    <cellStyle name="20 % - Accent4 3 9 2 2 2 2" xfId="31779"/>
    <cellStyle name="20 % - Accent4 3 9 2 2 2 3" xfId="44759"/>
    <cellStyle name="20 % - Accent4 3 9 2 2 2 4" xfId="60988"/>
    <cellStyle name="20 % - Accent4 3 9 2 2 3" xfId="18799"/>
    <cellStyle name="20 % - Accent4 3 9 2 2 4" xfId="25289"/>
    <cellStyle name="20 % - Accent4 3 9 2 2 5" xfId="38269"/>
    <cellStyle name="20 % - Accent4 3 9 2 2 6" xfId="54498"/>
    <cellStyle name="20 % - Accent4 3 9 2 3" xfId="9061"/>
    <cellStyle name="20 % - Accent4 3 9 2 3 2" xfId="28534"/>
    <cellStyle name="20 % - Accent4 3 9 2 3 3" xfId="41514"/>
    <cellStyle name="20 % - Accent4 3 9 2 3 4" xfId="57743"/>
    <cellStyle name="20 % - Accent4 3 9 2 4" xfId="15554"/>
    <cellStyle name="20 % - Accent4 3 9 2 4 2" xfId="51253"/>
    <cellStyle name="20 % - Accent4 3 9 2 5" xfId="22044"/>
    <cellStyle name="20 % - Accent4 3 9 2 6" xfId="35024"/>
    <cellStyle name="20 % - Accent4 3 9 2 7" xfId="48007"/>
    <cellStyle name="20 % - Accent4 3 9 3" xfId="4151"/>
    <cellStyle name="20 % - Accent4 3 9 3 2" xfId="10683"/>
    <cellStyle name="20 % - Accent4 3 9 3 2 2" xfId="30156"/>
    <cellStyle name="20 % - Accent4 3 9 3 2 3" xfId="43136"/>
    <cellStyle name="20 % - Accent4 3 9 3 2 4" xfId="59365"/>
    <cellStyle name="20 % - Accent4 3 9 3 3" xfId="17176"/>
    <cellStyle name="20 % - Accent4 3 9 3 4" xfId="23666"/>
    <cellStyle name="20 % - Accent4 3 9 3 5" xfId="36646"/>
    <cellStyle name="20 % - Accent4 3 9 3 6" xfId="52875"/>
    <cellStyle name="20 % - Accent4 3 9 4" xfId="7438"/>
    <cellStyle name="20 % - Accent4 3 9 4 2" xfId="26911"/>
    <cellStyle name="20 % - Accent4 3 9 4 3" xfId="39891"/>
    <cellStyle name="20 % - Accent4 3 9 4 4" xfId="56120"/>
    <cellStyle name="20 % - Accent4 3 9 5" xfId="13931"/>
    <cellStyle name="20 % - Accent4 3 9 5 2" xfId="49630"/>
    <cellStyle name="20 % - Accent4 3 9 6" xfId="20421"/>
    <cellStyle name="20 % - Accent4 3 9 7" xfId="33401"/>
    <cellStyle name="20 % - Accent4 3 9 8" xfId="46384"/>
    <cellStyle name="20 % - Accent4 4" xfId="1788"/>
    <cellStyle name="20 % - Accent4 5" xfId="6697"/>
    <cellStyle name="20 % - Accent4 6" xfId="61917"/>
    <cellStyle name="20 % - Accent4 7" xfId="61935"/>
    <cellStyle name="20 % - Accent4 8" xfId="61947"/>
    <cellStyle name="20 % - Accent4 9" xfId="44"/>
    <cellStyle name="20 % - Accent5 2" xfId="88"/>
    <cellStyle name="20 % - Accent5 3" xfId="162"/>
    <cellStyle name="20 % - Accent5 3 10" xfId="1839"/>
    <cellStyle name="20 % - Accent5 3 10 2" xfId="5085"/>
    <cellStyle name="20 % - Accent5 3 10 2 2" xfId="11617"/>
    <cellStyle name="20 % - Accent5 3 10 2 2 2" xfId="31090"/>
    <cellStyle name="20 % - Accent5 3 10 2 2 3" xfId="44070"/>
    <cellStyle name="20 % - Accent5 3 10 2 2 4" xfId="60299"/>
    <cellStyle name="20 % - Accent5 3 10 2 3" xfId="18110"/>
    <cellStyle name="20 % - Accent5 3 10 2 4" xfId="24600"/>
    <cellStyle name="20 % - Accent5 3 10 2 5" xfId="37580"/>
    <cellStyle name="20 % - Accent5 3 10 2 6" xfId="53809"/>
    <cellStyle name="20 % - Accent5 3 10 3" xfId="8372"/>
    <cellStyle name="20 % - Accent5 3 10 3 2" xfId="27845"/>
    <cellStyle name="20 % - Accent5 3 10 3 3" xfId="40825"/>
    <cellStyle name="20 % - Accent5 3 10 3 4" xfId="57054"/>
    <cellStyle name="20 % - Accent5 3 10 4" xfId="14865"/>
    <cellStyle name="20 % - Accent5 3 10 4 2" xfId="50564"/>
    <cellStyle name="20 % - Accent5 3 10 5" xfId="21355"/>
    <cellStyle name="20 % - Accent5 3 10 6" xfId="34335"/>
    <cellStyle name="20 % - Accent5 3 10 7" xfId="47318"/>
    <cellStyle name="20 % - Accent5 3 11" xfId="3461"/>
    <cellStyle name="20 % - Accent5 3 11 2" xfId="9993"/>
    <cellStyle name="20 % - Accent5 3 11 2 2" xfId="29466"/>
    <cellStyle name="20 % - Accent5 3 11 2 3" xfId="42446"/>
    <cellStyle name="20 % - Accent5 3 11 2 4" xfId="58675"/>
    <cellStyle name="20 % - Accent5 3 11 3" xfId="16486"/>
    <cellStyle name="20 % - Accent5 3 11 4" xfId="22976"/>
    <cellStyle name="20 % - Accent5 3 11 5" xfId="35956"/>
    <cellStyle name="20 % - Accent5 3 11 6" xfId="52185"/>
    <cellStyle name="20 % - Accent5 3 12" xfId="6748"/>
    <cellStyle name="20 % - Accent5 3 12 2" xfId="26221"/>
    <cellStyle name="20 % - Accent5 3 12 3" xfId="39201"/>
    <cellStyle name="20 % - Accent5 3 12 4" xfId="55430"/>
    <cellStyle name="20 % - Accent5 3 13" xfId="13241"/>
    <cellStyle name="20 % - Accent5 3 13 2" xfId="48940"/>
    <cellStyle name="20 % - Accent5 3 14" xfId="19731"/>
    <cellStyle name="20 % - Accent5 3 15" xfId="32711"/>
    <cellStyle name="20 % - Accent5 3 16" xfId="45694"/>
    <cellStyle name="20 % - Accent5 3 2" xfId="188"/>
    <cellStyle name="20 % - Accent5 3 2 10" xfId="6770"/>
    <cellStyle name="20 % - Accent5 3 2 10 2" xfId="26243"/>
    <cellStyle name="20 % - Accent5 3 2 10 3" xfId="39223"/>
    <cellStyle name="20 % - Accent5 3 2 10 4" xfId="55452"/>
    <cellStyle name="20 % - Accent5 3 2 11" xfId="13263"/>
    <cellStyle name="20 % - Accent5 3 2 11 2" xfId="48962"/>
    <cellStyle name="20 % - Accent5 3 2 12" xfId="19753"/>
    <cellStyle name="20 % - Accent5 3 2 13" xfId="32733"/>
    <cellStyle name="20 % - Accent5 3 2 14" xfId="45716"/>
    <cellStyle name="20 % - Accent5 3 2 2" xfId="277"/>
    <cellStyle name="20 % - Accent5 3 2 2 10" xfId="19841"/>
    <cellStyle name="20 % - Accent5 3 2 2 11" xfId="32821"/>
    <cellStyle name="20 % - Accent5 3 2 2 12" xfId="45804"/>
    <cellStyle name="20 % - Accent5 3 2 2 2" xfId="365"/>
    <cellStyle name="20 % - Accent5 3 2 2 2 10" xfId="32909"/>
    <cellStyle name="20 % - Accent5 3 2 2 2 11" xfId="45892"/>
    <cellStyle name="20 % - Accent5 3 2 2 2 2" xfId="829"/>
    <cellStyle name="20 % - Accent5 3 2 2 2 2 10" xfId="46352"/>
    <cellStyle name="20 % - Accent5 3 2 2 2 2 2" xfId="1768"/>
    <cellStyle name="20 % - Accent5 3 2 2 2 2 2 2" xfId="3435"/>
    <cellStyle name="20 % - Accent5 3 2 2 2 2 2 2 2" xfId="6680"/>
    <cellStyle name="20 % - Accent5 3 2 2 2 2 2 2 2 2" xfId="13212"/>
    <cellStyle name="20 % - Accent5 3 2 2 2 2 2 2 2 2 2" xfId="32685"/>
    <cellStyle name="20 % - Accent5 3 2 2 2 2 2 2 2 2 3" xfId="45665"/>
    <cellStyle name="20 % - Accent5 3 2 2 2 2 2 2 2 2 4" xfId="61894"/>
    <cellStyle name="20 % - Accent5 3 2 2 2 2 2 2 2 3" xfId="19705"/>
    <cellStyle name="20 % - Accent5 3 2 2 2 2 2 2 2 4" xfId="26195"/>
    <cellStyle name="20 % - Accent5 3 2 2 2 2 2 2 2 5" xfId="39175"/>
    <cellStyle name="20 % - Accent5 3 2 2 2 2 2 2 2 6" xfId="55404"/>
    <cellStyle name="20 % - Accent5 3 2 2 2 2 2 2 3" xfId="9967"/>
    <cellStyle name="20 % - Accent5 3 2 2 2 2 2 2 3 2" xfId="29440"/>
    <cellStyle name="20 % - Accent5 3 2 2 2 2 2 2 3 3" xfId="42420"/>
    <cellStyle name="20 % - Accent5 3 2 2 2 2 2 2 3 4" xfId="58649"/>
    <cellStyle name="20 % - Accent5 3 2 2 2 2 2 2 4" xfId="16460"/>
    <cellStyle name="20 % - Accent5 3 2 2 2 2 2 2 4 2" xfId="52159"/>
    <cellStyle name="20 % - Accent5 3 2 2 2 2 2 2 5" xfId="22950"/>
    <cellStyle name="20 % - Accent5 3 2 2 2 2 2 2 6" xfId="35930"/>
    <cellStyle name="20 % - Accent5 3 2 2 2 2 2 2 7" xfId="48913"/>
    <cellStyle name="20 % - Accent5 3 2 2 2 2 2 3" xfId="5057"/>
    <cellStyle name="20 % - Accent5 3 2 2 2 2 2 3 2" xfId="11589"/>
    <cellStyle name="20 % - Accent5 3 2 2 2 2 2 3 2 2" xfId="31062"/>
    <cellStyle name="20 % - Accent5 3 2 2 2 2 2 3 2 3" xfId="44042"/>
    <cellStyle name="20 % - Accent5 3 2 2 2 2 2 3 2 4" xfId="60271"/>
    <cellStyle name="20 % - Accent5 3 2 2 2 2 2 3 3" xfId="18082"/>
    <cellStyle name="20 % - Accent5 3 2 2 2 2 2 3 4" xfId="24572"/>
    <cellStyle name="20 % - Accent5 3 2 2 2 2 2 3 5" xfId="37552"/>
    <cellStyle name="20 % - Accent5 3 2 2 2 2 2 3 6" xfId="53781"/>
    <cellStyle name="20 % - Accent5 3 2 2 2 2 2 4" xfId="8344"/>
    <cellStyle name="20 % - Accent5 3 2 2 2 2 2 4 2" xfId="27817"/>
    <cellStyle name="20 % - Accent5 3 2 2 2 2 2 4 3" xfId="40797"/>
    <cellStyle name="20 % - Accent5 3 2 2 2 2 2 4 4" xfId="57026"/>
    <cellStyle name="20 % - Accent5 3 2 2 2 2 2 5" xfId="14837"/>
    <cellStyle name="20 % - Accent5 3 2 2 2 2 2 5 2" xfId="50536"/>
    <cellStyle name="20 % - Accent5 3 2 2 2 2 2 6" xfId="21327"/>
    <cellStyle name="20 % - Accent5 3 2 2 2 2 2 7" xfId="34307"/>
    <cellStyle name="20 % - Accent5 3 2 2 2 2 2 8" xfId="47290"/>
    <cellStyle name="20 % - Accent5 3 2 2 2 2 3" xfId="1305"/>
    <cellStyle name="20 % - Accent5 3 2 2 2 2 3 2" xfId="2972"/>
    <cellStyle name="20 % - Accent5 3 2 2 2 2 3 2 2" xfId="6217"/>
    <cellStyle name="20 % - Accent5 3 2 2 2 2 3 2 2 2" xfId="12749"/>
    <cellStyle name="20 % - Accent5 3 2 2 2 2 3 2 2 2 2" xfId="32222"/>
    <cellStyle name="20 % - Accent5 3 2 2 2 2 3 2 2 2 3" xfId="45202"/>
    <cellStyle name="20 % - Accent5 3 2 2 2 2 3 2 2 2 4" xfId="61431"/>
    <cellStyle name="20 % - Accent5 3 2 2 2 2 3 2 2 3" xfId="19242"/>
    <cellStyle name="20 % - Accent5 3 2 2 2 2 3 2 2 4" xfId="25732"/>
    <cellStyle name="20 % - Accent5 3 2 2 2 2 3 2 2 5" xfId="38712"/>
    <cellStyle name="20 % - Accent5 3 2 2 2 2 3 2 2 6" xfId="54941"/>
    <cellStyle name="20 % - Accent5 3 2 2 2 2 3 2 3" xfId="9504"/>
    <cellStyle name="20 % - Accent5 3 2 2 2 2 3 2 3 2" xfId="28977"/>
    <cellStyle name="20 % - Accent5 3 2 2 2 2 3 2 3 3" xfId="41957"/>
    <cellStyle name="20 % - Accent5 3 2 2 2 2 3 2 3 4" xfId="58186"/>
    <cellStyle name="20 % - Accent5 3 2 2 2 2 3 2 4" xfId="15997"/>
    <cellStyle name="20 % - Accent5 3 2 2 2 2 3 2 4 2" xfId="51696"/>
    <cellStyle name="20 % - Accent5 3 2 2 2 2 3 2 5" xfId="22487"/>
    <cellStyle name="20 % - Accent5 3 2 2 2 2 3 2 6" xfId="35467"/>
    <cellStyle name="20 % - Accent5 3 2 2 2 2 3 2 7" xfId="48450"/>
    <cellStyle name="20 % - Accent5 3 2 2 2 2 3 3" xfId="4594"/>
    <cellStyle name="20 % - Accent5 3 2 2 2 2 3 3 2" xfId="11126"/>
    <cellStyle name="20 % - Accent5 3 2 2 2 2 3 3 2 2" xfId="30599"/>
    <cellStyle name="20 % - Accent5 3 2 2 2 2 3 3 2 3" xfId="43579"/>
    <cellStyle name="20 % - Accent5 3 2 2 2 2 3 3 2 4" xfId="59808"/>
    <cellStyle name="20 % - Accent5 3 2 2 2 2 3 3 3" xfId="17619"/>
    <cellStyle name="20 % - Accent5 3 2 2 2 2 3 3 4" xfId="24109"/>
    <cellStyle name="20 % - Accent5 3 2 2 2 2 3 3 5" xfId="37089"/>
    <cellStyle name="20 % - Accent5 3 2 2 2 2 3 3 6" xfId="53318"/>
    <cellStyle name="20 % - Accent5 3 2 2 2 2 3 4" xfId="7881"/>
    <cellStyle name="20 % - Accent5 3 2 2 2 2 3 4 2" xfId="27354"/>
    <cellStyle name="20 % - Accent5 3 2 2 2 2 3 4 3" xfId="40334"/>
    <cellStyle name="20 % - Accent5 3 2 2 2 2 3 4 4" xfId="56563"/>
    <cellStyle name="20 % - Accent5 3 2 2 2 2 3 5" xfId="14374"/>
    <cellStyle name="20 % - Accent5 3 2 2 2 2 3 5 2" xfId="50073"/>
    <cellStyle name="20 % - Accent5 3 2 2 2 2 3 6" xfId="20864"/>
    <cellStyle name="20 % - Accent5 3 2 2 2 2 3 7" xfId="33844"/>
    <cellStyle name="20 % - Accent5 3 2 2 2 2 3 8" xfId="46827"/>
    <cellStyle name="20 % - Accent5 3 2 2 2 2 4" xfId="2497"/>
    <cellStyle name="20 % - Accent5 3 2 2 2 2 4 2" xfId="5742"/>
    <cellStyle name="20 % - Accent5 3 2 2 2 2 4 2 2" xfId="12274"/>
    <cellStyle name="20 % - Accent5 3 2 2 2 2 4 2 2 2" xfId="31747"/>
    <cellStyle name="20 % - Accent5 3 2 2 2 2 4 2 2 3" xfId="44727"/>
    <cellStyle name="20 % - Accent5 3 2 2 2 2 4 2 2 4" xfId="60956"/>
    <cellStyle name="20 % - Accent5 3 2 2 2 2 4 2 3" xfId="18767"/>
    <cellStyle name="20 % - Accent5 3 2 2 2 2 4 2 4" xfId="25257"/>
    <cellStyle name="20 % - Accent5 3 2 2 2 2 4 2 5" xfId="38237"/>
    <cellStyle name="20 % - Accent5 3 2 2 2 2 4 2 6" xfId="54466"/>
    <cellStyle name="20 % - Accent5 3 2 2 2 2 4 3" xfId="9029"/>
    <cellStyle name="20 % - Accent5 3 2 2 2 2 4 3 2" xfId="28502"/>
    <cellStyle name="20 % - Accent5 3 2 2 2 2 4 3 3" xfId="41482"/>
    <cellStyle name="20 % - Accent5 3 2 2 2 2 4 3 4" xfId="57711"/>
    <cellStyle name="20 % - Accent5 3 2 2 2 2 4 4" xfId="15522"/>
    <cellStyle name="20 % - Accent5 3 2 2 2 2 4 4 2" xfId="51221"/>
    <cellStyle name="20 % - Accent5 3 2 2 2 2 4 5" xfId="22012"/>
    <cellStyle name="20 % - Accent5 3 2 2 2 2 4 6" xfId="34992"/>
    <cellStyle name="20 % - Accent5 3 2 2 2 2 4 7" xfId="47975"/>
    <cellStyle name="20 % - Accent5 3 2 2 2 2 5" xfId="4119"/>
    <cellStyle name="20 % - Accent5 3 2 2 2 2 5 2" xfId="10651"/>
    <cellStyle name="20 % - Accent5 3 2 2 2 2 5 2 2" xfId="30124"/>
    <cellStyle name="20 % - Accent5 3 2 2 2 2 5 2 3" xfId="43104"/>
    <cellStyle name="20 % - Accent5 3 2 2 2 2 5 2 4" xfId="59333"/>
    <cellStyle name="20 % - Accent5 3 2 2 2 2 5 3" xfId="17144"/>
    <cellStyle name="20 % - Accent5 3 2 2 2 2 5 4" xfId="23634"/>
    <cellStyle name="20 % - Accent5 3 2 2 2 2 5 5" xfId="36614"/>
    <cellStyle name="20 % - Accent5 3 2 2 2 2 5 6" xfId="52843"/>
    <cellStyle name="20 % - Accent5 3 2 2 2 2 6" xfId="7406"/>
    <cellStyle name="20 % - Accent5 3 2 2 2 2 6 2" xfId="26879"/>
    <cellStyle name="20 % - Accent5 3 2 2 2 2 6 3" xfId="39859"/>
    <cellStyle name="20 % - Accent5 3 2 2 2 2 6 4" xfId="56088"/>
    <cellStyle name="20 % - Accent5 3 2 2 2 2 7" xfId="13899"/>
    <cellStyle name="20 % - Accent5 3 2 2 2 2 7 2" xfId="49598"/>
    <cellStyle name="20 % - Accent5 3 2 2 2 2 8" xfId="20389"/>
    <cellStyle name="20 % - Accent5 3 2 2 2 2 9" xfId="33369"/>
    <cellStyle name="20 % - Accent5 3 2 2 2 3" xfId="599"/>
    <cellStyle name="20 % - Accent5 3 2 2 2 3 2" xfId="1548"/>
    <cellStyle name="20 % - Accent5 3 2 2 2 3 2 2" xfId="3215"/>
    <cellStyle name="20 % - Accent5 3 2 2 2 3 2 2 2" xfId="6460"/>
    <cellStyle name="20 % - Accent5 3 2 2 2 3 2 2 2 2" xfId="12992"/>
    <cellStyle name="20 % - Accent5 3 2 2 2 3 2 2 2 2 2" xfId="32465"/>
    <cellStyle name="20 % - Accent5 3 2 2 2 3 2 2 2 2 3" xfId="45445"/>
    <cellStyle name="20 % - Accent5 3 2 2 2 3 2 2 2 2 4" xfId="61674"/>
    <cellStyle name="20 % - Accent5 3 2 2 2 3 2 2 2 3" xfId="19485"/>
    <cellStyle name="20 % - Accent5 3 2 2 2 3 2 2 2 4" xfId="25975"/>
    <cellStyle name="20 % - Accent5 3 2 2 2 3 2 2 2 5" xfId="38955"/>
    <cellStyle name="20 % - Accent5 3 2 2 2 3 2 2 2 6" xfId="55184"/>
    <cellStyle name="20 % - Accent5 3 2 2 2 3 2 2 3" xfId="9747"/>
    <cellStyle name="20 % - Accent5 3 2 2 2 3 2 2 3 2" xfId="29220"/>
    <cellStyle name="20 % - Accent5 3 2 2 2 3 2 2 3 3" xfId="42200"/>
    <cellStyle name="20 % - Accent5 3 2 2 2 3 2 2 3 4" xfId="58429"/>
    <cellStyle name="20 % - Accent5 3 2 2 2 3 2 2 4" xfId="16240"/>
    <cellStyle name="20 % - Accent5 3 2 2 2 3 2 2 4 2" xfId="51939"/>
    <cellStyle name="20 % - Accent5 3 2 2 2 3 2 2 5" xfId="22730"/>
    <cellStyle name="20 % - Accent5 3 2 2 2 3 2 2 6" xfId="35710"/>
    <cellStyle name="20 % - Accent5 3 2 2 2 3 2 2 7" xfId="48693"/>
    <cellStyle name="20 % - Accent5 3 2 2 2 3 2 3" xfId="4837"/>
    <cellStyle name="20 % - Accent5 3 2 2 2 3 2 3 2" xfId="11369"/>
    <cellStyle name="20 % - Accent5 3 2 2 2 3 2 3 2 2" xfId="30842"/>
    <cellStyle name="20 % - Accent5 3 2 2 2 3 2 3 2 3" xfId="43822"/>
    <cellStyle name="20 % - Accent5 3 2 2 2 3 2 3 2 4" xfId="60051"/>
    <cellStyle name="20 % - Accent5 3 2 2 2 3 2 3 3" xfId="17862"/>
    <cellStyle name="20 % - Accent5 3 2 2 2 3 2 3 4" xfId="24352"/>
    <cellStyle name="20 % - Accent5 3 2 2 2 3 2 3 5" xfId="37332"/>
    <cellStyle name="20 % - Accent5 3 2 2 2 3 2 3 6" xfId="53561"/>
    <cellStyle name="20 % - Accent5 3 2 2 2 3 2 4" xfId="8124"/>
    <cellStyle name="20 % - Accent5 3 2 2 2 3 2 4 2" xfId="27597"/>
    <cellStyle name="20 % - Accent5 3 2 2 2 3 2 4 3" xfId="40577"/>
    <cellStyle name="20 % - Accent5 3 2 2 2 3 2 4 4" xfId="56806"/>
    <cellStyle name="20 % - Accent5 3 2 2 2 3 2 5" xfId="14617"/>
    <cellStyle name="20 % - Accent5 3 2 2 2 3 2 5 2" xfId="50316"/>
    <cellStyle name="20 % - Accent5 3 2 2 2 3 2 6" xfId="21107"/>
    <cellStyle name="20 % - Accent5 3 2 2 2 3 2 7" xfId="34087"/>
    <cellStyle name="20 % - Accent5 3 2 2 2 3 2 8" xfId="47070"/>
    <cellStyle name="20 % - Accent5 3 2 2 2 3 3" xfId="2267"/>
    <cellStyle name="20 % - Accent5 3 2 2 2 3 3 2" xfId="5512"/>
    <cellStyle name="20 % - Accent5 3 2 2 2 3 3 2 2" xfId="12044"/>
    <cellStyle name="20 % - Accent5 3 2 2 2 3 3 2 2 2" xfId="31517"/>
    <cellStyle name="20 % - Accent5 3 2 2 2 3 3 2 2 3" xfId="44497"/>
    <cellStyle name="20 % - Accent5 3 2 2 2 3 3 2 2 4" xfId="60726"/>
    <cellStyle name="20 % - Accent5 3 2 2 2 3 3 2 3" xfId="18537"/>
    <cellStyle name="20 % - Accent5 3 2 2 2 3 3 2 4" xfId="25027"/>
    <cellStyle name="20 % - Accent5 3 2 2 2 3 3 2 5" xfId="38007"/>
    <cellStyle name="20 % - Accent5 3 2 2 2 3 3 2 6" xfId="54236"/>
    <cellStyle name="20 % - Accent5 3 2 2 2 3 3 3" xfId="8799"/>
    <cellStyle name="20 % - Accent5 3 2 2 2 3 3 3 2" xfId="28272"/>
    <cellStyle name="20 % - Accent5 3 2 2 2 3 3 3 3" xfId="41252"/>
    <cellStyle name="20 % - Accent5 3 2 2 2 3 3 3 4" xfId="57481"/>
    <cellStyle name="20 % - Accent5 3 2 2 2 3 3 4" xfId="15292"/>
    <cellStyle name="20 % - Accent5 3 2 2 2 3 3 4 2" xfId="50991"/>
    <cellStyle name="20 % - Accent5 3 2 2 2 3 3 5" xfId="21782"/>
    <cellStyle name="20 % - Accent5 3 2 2 2 3 3 6" xfId="34762"/>
    <cellStyle name="20 % - Accent5 3 2 2 2 3 3 7" xfId="47745"/>
    <cellStyle name="20 % - Accent5 3 2 2 2 3 4" xfId="3889"/>
    <cellStyle name="20 % - Accent5 3 2 2 2 3 4 2" xfId="10421"/>
    <cellStyle name="20 % - Accent5 3 2 2 2 3 4 2 2" xfId="29894"/>
    <cellStyle name="20 % - Accent5 3 2 2 2 3 4 2 3" xfId="42874"/>
    <cellStyle name="20 % - Accent5 3 2 2 2 3 4 2 4" xfId="59103"/>
    <cellStyle name="20 % - Accent5 3 2 2 2 3 4 3" xfId="16914"/>
    <cellStyle name="20 % - Accent5 3 2 2 2 3 4 4" xfId="23404"/>
    <cellStyle name="20 % - Accent5 3 2 2 2 3 4 5" xfId="36384"/>
    <cellStyle name="20 % - Accent5 3 2 2 2 3 4 6" xfId="52613"/>
    <cellStyle name="20 % - Accent5 3 2 2 2 3 5" xfId="7176"/>
    <cellStyle name="20 % - Accent5 3 2 2 2 3 5 2" xfId="26649"/>
    <cellStyle name="20 % - Accent5 3 2 2 2 3 5 3" xfId="39629"/>
    <cellStyle name="20 % - Accent5 3 2 2 2 3 5 4" xfId="55858"/>
    <cellStyle name="20 % - Accent5 3 2 2 2 3 6" xfId="13669"/>
    <cellStyle name="20 % - Accent5 3 2 2 2 3 6 2" xfId="49368"/>
    <cellStyle name="20 % - Accent5 3 2 2 2 3 7" xfId="20159"/>
    <cellStyle name="20 % - Accent5 3 2 2 2 3 8" xfId="33139"/>
    <cellStyle name="20 % - Accent5 3 2 2 2 3 9" xfId="46122"/>
    <cellStyle name="20 % - Accent5 3 2 2 2 4" xfId="1085"/>
    <cellStyle name="20 % - Accent5 3 2 2 2 4 2" xfId="2752"/>
    <cellStyle name="20 % - Accent5 3 2 2 2 4 2 2" xfId="5997"/>
    <cellStyle name="20 % - Accent5 3 2 2 2 4 2 2 2" xfId="12529"/>
    <cellStyle name="20 % - Accent5 3 2 2 2 4 2 2 2 2" xfId="32002"/>
    <cellStyle name="20 % - Accent5 3 2 2 2 4 2 2 2 3" xfId="44982"/>
    <cellStyle name="20 % - Accent5 3 2 2 2 4 2 2 2 4" xfId="61211"/>
    <cellStyle name="20 % - Accent5 3 2 2 2 4 2 2 3" xfId="19022"/>
    <cellStyle name="20 % - Accent5 3 2 2 2 4 2 2 4" xfId="25512"/>
    <cellStyle name="20 % - Accent5 3 2 2 2 4 2 2 5" xfId="38492"/>
    <cellStyle name="20 % - Accent5 3 2 2 2 4 2 2 6" xfId="54721"/>
    <cellStyle name="20 % - Accent5 3 2 2 2 4 2 3" xfId="9284"/>
    <cellStyle name="20 % - Accent5 3 2 2 2 4 2 3 2" xfId="28757"/>
    <cellStyle name="20 % - Accent5 3 2 2 2 4 2 3 3" xfId="41737"/>
    <cellStyle name="20 % - Accent5 3 2 2 2 4 2 3 4" xfId="57966"/>
    <cellStyle name="20 % - Accent5 3 2 2 2 4 2 4" xfId="15777"/>
    <cellStyle name="20 % - Accent5 3 2 2 2 4 2 4 2" xfId="51476"/>
    <cellStyle name="20 % - Accent5 3 2 2 2 4 2 5" xfId="22267"/>
    <cellStyle name="20 % - Accent5 3 2 2 2 4 2 6" xfId="35247"/>
    <cellStyle name="20 % - Accent5 3 2 2 2 4 2 7" xfId="48230"/>
    <cellStyle name="20 % - Accent5 3 2 2 2 4 3" xfId="4374"/>
    <cellStyle name="20 % - Accent5 3 2 2 2 4 3 2" xfId="10906"/>
    <cellStyle name="20 % - Accent5 3 2 2 2 4 3 2 2" xfId="30379"/>
    <cellStyle name="20 % - Accent5 3 2 2 2 4 3 2 3" xfId="43359"/>
    <cellStyle name="20 % - Accent5 3 2 2 2 4 3 2 4" xfId="59588"/>
    <cellStyle name="20 % - Accent5 3 2 2 2 4 3 3" xfId="17399"/>
    <cellStyle name="20 % - Accent5 3 2 2 2 4 3 4" xfId="23889"/>
    <cellStyle name="20 % - Accent5 3 2 2 2 4 3 5" xfId="36869"/>
    <cellStyle name="20 % - Accent5 3 2 2 2 4 3 6" xfId="53098"/>
    <cellStyle name="20 % - Accent5 3 2 2 2 4 4" xfId="7661"/>
    <cellStyle name="20 % - Accent5 3 2 2 2 4 4 2" xfId="27134"/>
    <cellStyle name="20 % - Accent5 3 2 2 2 4 4 3" xfId="40114"/>
    <cellStyle name="20 % - Accent5 3 2 2 2 4 4 4" xfId="56343"/>
    <cellStyle name="20 % - Accent5 3 2 2 2 4 5" xfId="14154"/>
    <cellStyle name="20 % - Accent5 3 2 2 2 4 5 2" xfId="49853"/>
    <cellStyle name="20 % - Accent5 3 2 2 2 4 6" xfId="20644"/>
    <cellStyle name="20 % - Accent5 3 2 2 2 4 7" xfId="33624"/>
    <cellStyle name="20 % - Accent5 3 2 2 2 4 8" xfId="46607"/>
    <cellStyle name="20 % - Accent5 3 2 2 2 5" xfId="2038"/>
    <cellStyle name="20 % - Accent5 3 2 2 2 5 2" xfId="5283"/>
    <cellStyle name="20 % - Accent5 3 2 2 2 5 2 2" xfId="11815"/>
    <cellStyle name="20 % - Accent5 3 2 2 2 5 2 2 2" xfId="31288"/>
    <cellStyle name="20 % - Accent5 3 2 2 2 5 2 2 3" xfId="44268"/>
    <cellStyle name="20 % - Accent5 3 2 2 2 5 2 2 4" xfId="60497"/>
    <cellStyle name="20 % - Accent5 3 2 2 2 5 2 3" xfId="18308"/>
    <cellStyle name="20 % - Accent5 3 2 2 2 5 2 4" xfId="24798"/>
    <cellStyle name="20 % - Accent5 3 2 2 2 5 2 5" xfId="37778"/>
    <cellStyle name="20 % - Accent5 3 2 2 2 5 2 6" xfId="54007"/>
    <cellStyle name="20 % - Accent5 3 2 2 2 5 3" xfId="8570"/>
    <cellStyle name="20 % - Accent5 3 2 2 2 5 3 2" xfId="28043"/>
    <cellStyle name="20 % - Accent5 3 2 2 2 5 3 3" xfId="41023"/>
    <cellStyle name="20 % - Accent5 3 2 2 2 5 3 4" xfId="57252"/>
    <cellStyle name="20 % - Accent5 3 2 2 2 5 4" xfId="15063"/>
    <cellStyle name="20 % - Accent5 3 2 2 2 5 4 2" xfId="50762"/>
    <cellStyle name="20 % - Accent5 3 2 2 2 5 5" xfId="21553"/>
    <cellStyle name="20 % - Accent5 3 2 2 2 5 6" xfId="34533"/>
    <cellStyle name="20 % - Accent5 3 2 2 2 5 7" xfId="47516"/>
    <cellStyle name="20 % - Accent5 3 2 2 2 6" xfId="3659"/>
    <cellStyle name="20 % - Accent5 3 2 2 2 6 2" xfId="10191"/>
    <cellStyle name="20 % - Accent5 3 2 2 2 6 2 2" xfId="29664"/>
    <cellStyle name="20 % - Accent5 3 2 2 2 6 2 3" xfId="42644"/>
    <cellStyle name="20 % - Accent5 3 2 2 2 6 2 4" xfId="58873"/>
    <cellStyle name="20 % - Accent5 3 2 2 2 6 3" xfId="16684"/>
    <cellStyle name="20 % - Accent5 3 2 2 2 6 4" xfId="23174"/>
    <cellStyle name="20 % - Accent5 3 2 2 2 6 5" xfId="36154"/>
    <cellStyle name="20 % - Accent5 3 2 2 2 6 6" xfId="52383"/>
    <cellStyle name="20 % - Accent5 3 2 2 2 7" xfId="6946"/>
    <cellStyle name="20 % - Accent5 3 2 2 2 7 2" xfId="26419"/>
    <cellStyle name="20 % - Accent5 3 2 2 2 7 3" xfId="39399"/>
    <cellStyle name="20 % - Accent5 3 2 2 2 7 4" xfId="55628"/>
    <cellStyle name="20 % - Accent5 3 2 2 2 8" xfId="13439"/>
    <cellStyle name="20 % - Accent5 3 2 2 2 8 2" xfId="49138"/>
    <cellStyle name="20 % - Accent5 3 2 2 2 9" xfId="19929"/>
    <cellStyle name="20 % - Accent5 3 2 2 3" xfId="741"/>
    <cellStyle name="20 % - Accent5 3 2 2 3 10" xfId="46264"/>
    <cellStyle name="20 % - Accent5 3 2 2 3 2" xfId="1680"/>
    <cellStyle name="20 % - Accent5 3 2 2 3 2 2" xfId="3347"/>
    <cellStyle name="20 % - Accent5 3 2 2 3 2 2 2" xfId="6592"/>
    <cellStyle name="20 % - Accent5 3 2 2 3 2 2 2 2" xfId="13124"/>
    <cellStyle name="20 % - Accent5 3 2 2 3 2 2 2 2 2" xfId="32597"/>
    <cellStyle name="20 % - Accent5 3 2 2 3 2 2 2 2 3" xfId="45577"/>
    <cellStyle name="20 % - Accent5 3 2 2 3 2 2 2 2 4" xfId="61806"/>
    <cellStyle name="20 % - Accent5 3 2 2 3 2 2 2 3" xfId="19617"/>
    <cellStyle name="20 % - Accent5 3 2 2 3 2 2 2 4" xfId="26107"/>
    <cellStyle name="20 % - Accent5 3 2 2 3 2 2 2 5" xfId="39087"/>
    <cellStyle name="20 % - Accent5 3 2 2 3 2 2 2 6" xfId="55316"/>
    <cellStyle name="20 % - Accent5 3 2 2 3 2 2 3" xfId="9879"/>
    <cellStyle name="20 % - Accent5 3 2 2 3 2 2 3 2" xfId="29352"/>
    <cellStyle name="20 % - Accent5 3 2 2 3 2 2 3 3" xfId="42332"/>
    <cellStyle name="20 % - Accent5 3 2 2 3 2 2 3 4" xfId="58561"/>
    <cellStyle name="20 % - Accent5 3 2 2 3 2 2 4" xfId="16372"/>
    <cellStyle name="20 % - Accent5 3 2 2 3 2 2 4 2" xfId="52071"/>
    <cellStyle name="20 % - Accent5 3 2 2 3 2 2 5" xfId="22862"/>
    <cellStyle name="20 % - Accent5 3 2 2 3 2 2 6" xfId="35842"/>
    <cellStyle name="20 % - Accent5 3 2 2 3 2 2 7" xfId="48825"/>
    <cellStyle name="20 % - Accent5 3 2 2 3 2 3" xfId="4969"/>
    <cellStyle name="20 % - Accent5 3 2 2 3 2 3 2" xfId="11501"/>
    <cellStyle name="20 % - Accent5 3 2 2 3 2 3 2 2" xfId="30974"/>
    <cellStyle name="20 % - Accent5 3 2 2 3 2 3 2 3" xfId="43954"/>
    <cellStyle name="20 % - Accent5 3 2 2 3 2 3 2 4" xfId="60183"/>
    <cellStyle name="20 % - Accent5 3 2 2 3 2 3 3" xfId="17994"/>
    <cellStyle name="20 % - Accent5 3 2 2 3 2 3 4" xfId="24484"/>
    <cellStyle name="20 % - Accent5 3 2 2 3 2 3 5" xfId="37464"/>
    <cellStyle name="20 % - Accent5 3 2 2 3 2 3 6" xfId="53693"/>
    <cellStyle name="20 % - Accent5 3 2 2 3 2 4" xfId="8256"/>
    <cellStyle name="20 % - Accent5 3 2 2 3 2 4 2" xfId="27729"/>
    <cellStyle name="20 % - Accent5 3 2 2 3 2 4 3" xfId="40709"/>
    <cellStyle name="20 % - Accent5 3 2 2 3 2 4 4" xfId="56938"/>
    <cellStyle name="20 % - Accent5 3 2 2 3 2 5" xfId="14749"/>
    <cellStyle name="20 % - Accent5 3 2 2 3 2 5 2" xfId="50448"/>
    <cellStyle name="20 % - Accent5 3 2 2 3 2 6" xfId="21239"/>
    <cellStyle name="20 % - Accent5 3 2 2 3 2 7" xfId="34219"/>
    <cellStyle name="20 % - Accent5 3 2 2 3 2 8" xfId="47202"/>
    <cellStyle name="20 % - Accent5 3 2 2 3 3" xfId="1217"/>
    <cellStyle name="20 % - Accent5 3 2 2 3 3 2" xfId="2884"/>
    <cellStyle name="20 % - Accent5 3 2 2 3 3 2 2" xfId="6129"/>
    <cellStyle name="20 % - Accent5 3 2 2 3 3 2 2 2" xfId="12661"/>
    <cellStyle name="20 % - Accent5 3 2 2 3 3 2 2 2 2" xfId="32134"/>
    <cellStyle name="20 % - Accent5 3 2 2 3 3 2 2 2 3" xfId="45114"/>
    <cellStyle name="20 % - Accent5 3 2 2 3 3 2 2 2 4" xfId="61343"/>
    <cellStyle name="20 % - Accent5 3 2 2 3 3 2 2 3" xfId="19154"/>
    <cellStyle name="20 % - Accent5 3 2 2 3 3 2 2 4" xfId="25644"/>
    <cellStyle name="20 % - Accent5 3 2 2 3 3 2 2 5" xfId="38624"/>
    <cellStyle name="20 % - Accent5 3 2 2 3 3 2 2 6" xfId="54853"/>
    <cellStyle name="20 % - Accent5 3 2 2 3 3 2 3" xfId="9416"/>
    <cellStyle name="20 % - Accent5 3 2 2 3 3 2 3 2" xfId="28889"/>
    <cellStyle name="20 % - Accent5 3 2 2 3 3 2 3 3" xfId="41869"/>
    <cellStyle name="20 % - Accent5 3 2 2 3 3 2 3 4" xfId="58098"/>
    <cellStyle name="20 % - Accent5 3 2 2 3 3 2 4" xfId="15909"/>
    <cellStyle name="20 % - Accent5 3 2 2 3 3 2 4 2" xfId="51608"/>
    <cellStyle name="20 % - Accent5 3 2 2 3 3 2 5" xfId="22399"/>
    <cellStyle name="20 % - Accent5 3 2 2 3 3 2 6" xfId="35379"/>
    <cellStyle name="20 % - Accent5 3 2 2 3 3 2 7" xfId="48362"/>
    <cellStyle name="20 % - Accent5 3 2 2 3 3 3" xfId="4506"/>
    <cellStyle name="20 % - Accent5 3 2 2 3 3 3 2" xfId="11038"/>
    <cellStyle name="20 % - Accent5 3 2 2 3 3 3 2 2" xfId="30511"/>
    <cellStyle name="20 % - Accent5 3 2 2 3 3 3 2 3" xfId="43491"/>
    <cellStyle name="20 % - Accent5 3 2 2 3 3 3 2 4" xfId="59720"/>
    <cellStyle name="20 % - Accent5 3 2 2 3 3 3 3" xfId="17531"/>
    <cellStyle name="20 % - Accent5 3 2 2 3 3 3 4" xfId="24021"/>
    <cellStyle name="20 % - Accent5 3 2 2 3 3 3 5" xfId="37001"/>
    <cellStyle name="20 % - Accent5 3 2 2 3 3 3 6" xfId="53230"/>
    <cellStyle name="20 % - Accent5 3 2 2 3 3 4" xfId="7793"/>
    <cellStyle name="20 % - Accent5 3 2 2 3 3 4 2" xfId="27266"/>
    <cellStyle name="20 % - Accent5 3 2 2 3 3 4 3" xfId="40246"/>
    <cellStyle name="20 % - Accent5 3 2 2 3 3 4 4" xfId="56475"/>
    <cellStyle name="20 % - Accent5 3 2 2 3 3 5" xfId="14286"/>
    <cellStyle name="20 % - Accent5 3 2 2 3 3 5 2" xfId="49985"/>
    <cellStyle name="20 % - Accent5 3 2 2 3 3 6" xfId="20776"/>
    <cellStyle name="20 % - Accent5 3 2 2 3 3 7" xfId="33756"/>
    <cellStyle name="20 % - Accent5 3 2 2 3 3 8" xfId="46739"/>
    <cellStyle name="20 % - Accent5 3 2 2 3 4" xfId="2409"/>
    <cellStyle name="20 % - Accent5 3 2 2 3 4 2" xfId="5654"/>
    <cellStyle name="20 % - Accent5 3 2 2 3 4 2 2" xfId="12186"/>
    <cellStyle name="20 % - Accent5 3 2 2 3 4 2 2 2" xfId="31659"/>
    <cellStyle name="20 % - Accent5 3 2 2 3 4 2 2 3" xfId="44639"/>
    <cellStyle name="20 % - Accent5 3 2 2 3 4 2 2 4" xfId="60868"/>
    <cellStyle name="20 % - Accent5 3 2 2 3 4 2 3" xfId="18679"/>
    <cellStyle name="20 % - Accent5 3 2 2 3 4 2 4" xfId="25169"/>
    <cellStyle name="20 % - Accent5 3 2 2 3 4 2 5" xfId="38149"/>
    <cellStyle name="20 % - Accent5 3 2 2 3 4 2 6" xfId="54378"/>
    <cellStyle name="20 % - Accent5 3 2 2 3 4 3" xfId="8941"/>
    <cellStyle name="20 % - Accent5 3 2 2 3 4 3 2" xfId="28414"/>
    <cellStyle name="20 % - Accent5 3 2 2 3 4 3 3" xfId="41394"/>
    <cellStyle name="20 % - Accent5 3 2 2 3 4 3 4" xfId="57623"/>
    <cellStyle name="20 % - Accent5 3 2 2 3 4 4" xfId="15434"/>
    <cellStyle name="20 % - Accent5 3 2 2 3 4 4 2" xfId="51133"/>
    <cellStyle name="20 % - Accent5 3 2 2 3 4 5" xfId="21924"/>
    <cellStyle name="20 % - Accent5 3 2 2 3 4 6" xfId="34904"/>
    <cellStyle name="20 % - Accent5 3 2 2 3 4 7" xfId="47887"/>
    <cellStyle name="20 % - Accent5 3 2 2 3 5" xfId="4031"/>
    <cellStyle name="20 % - Accent5 3 2 2 3 5 2" xfId="10563"/>
    <cellStyle name="20 % - Accent5 3 2 2 3 5 2 2" xfId="30036"/>
    <cellStyle name="20 % - Accent5 3 2 2 3 5 2 3" xfId="43016"/>
    <cellStyle name="20 % - Accent5 3 2 2 3 5 2 4" xfId="59245"/>
    <cellStyle name="20 % - Accent5 3 2 2 3 5 3" xfId="17056"/>
    <cellStyle name="20 % - Accent5 3 2 2 3 5 4" xfId="23546"/>
    <cellStyle name="20 % - Accent5 3 2 2 3 5 5" xfId="36526"/>
    <cellStyle name="20 % - Accent5 3 2 2 3 5 6" xfId="52755"/>
    <cellStyle name="20 % - Accent5 3 2 2 3 6" xfId="7318"/>
    <cellStyle name="20 % - Accent5 3 2 2 3 6 2" xfId="26791"/>
    <cellStyle name="20 % - Accent5 3 2 2 3 6 3" xfId="39771"/>
    <cellStyle name="20 % - Accent5 3 2 2 3 6 4" xfId="56000"/>
    <cellStyle name="20 % - Accent5 3 2 2 3 7" xfId="13811"/>
    <cellStyle name="20 % - Accent5 3 2 2 3 7 2" xfId="49510"/>
    <cellStyle name="20 % - Accent5 3 2 2 3 8" xfId="20301"/>
    <cellStyle name="20 % - Accent5 3 2 2 3 9" xfId="33281"/>
    <cellStyle name="20 % - Accent5 3 2 2 4" xfId="511"/>
    <cellStyle name="20 % - Accent5 3 2 2 4 2" xfId="1460"/>
    <cellStyle name="20 % - Accent5 3 2 2 4 2 2" xfId="3127"/>
    <cellStyle name="20 % - Accent5 3 2 2 4 2 2 2" xfId="6372"/>
    <cellStyle name="20 % - Accent5 3 2 2 4 2 2 2 2" xfId="12904"/>
    <cellStyle name="20 % - Accent5 3 2 2 4 2 2 2 2 2" xfId="32377"/>
    <cellStyle name="20 % - Accent5 3 2 2 4 2 2 2 2 3" xfId="45357"/>
    <cellStyle name="20 % - Accent5 3 2 2 4 2 2 2 2 4" xfId="61586"/>
    <cellStyle name="20 % - Accent5 3 2 2 4 2 2 2 3" xfId="19397"/>
    <cellStyle name="20 % - Accent5 3 2 2 4 2 2 2 4" xfId="25887"/>
    <cellStyle name="20 % - Accent5 3 2 2 4 2 2 2 5" xfId="38867"/>
    <cellStyle name="20 % - Accent5 3 2 2 4 2 2 2 6" xfId="55096"/>
    <cellStyle name="20 % - Accent5 3 2 2 4 2 2 3" xfId="9659"/>
    <cellStyle name="20 % - Accent5 3 2 2 4 2 2 3 2" xfId="29132"/>
    <cellStyle name="20 % - Accent5 3 2 2 4 2 2 3 3" xfId="42112"/>
    <cellStyle name="20 % - Accent5 3 2 2 4 2 2 3 4" xfId="58341"/>
    <cellStyle name="20 % - Accent5 3 2 2 4 2 2 4" xfId="16152"/>
    <cellStyle name="20 % - Accent5 3 2 2 4 2 2 4 2" xfId="51851"/>
    <cellStyle name="20 % - Accent5 3 2 2 4 2 2 5" xfId="22642"/>
    <cellStyle name="20 % - Accent5 3 2 2 4 2 2 6" xfId="35622"/>
    <cellStyle name="20 % - Accent5 3 2 2 4 2 2 7" xfId="48605"/>
    <cellStyle name="20 % - Accent5 3 2 2 4 2 3" xfId="4749"/>
    <cellStyle name="20 % - Accent5 3 2 2 4 2 3 2" xfId="11281"/>
    <cellStyle name="20 % - Accent5 3 2 2 4 2 3 2 2" xfId="30754"/>
    <cellStyle name="20 % - Accent5 3 2 2 4 2 3 2 3" xfId="43734"/>
    <cellStyle name="20 % - Accent5 3 2 2 4 2 3 2 4" xfId="59963"/>
    <cellStyle name="20 % - Accent5 3 2 2 4 2 3 3" xfId="17774"/>
    <cellStyle name="20 % - Accent5 3 2 2 4 2 3 4" xfId="24264"/>
    <cellStyle name="20 % - Accent5 3 2 2 4 2 3 5" xfId="37244"/>
    <cellStyle name="20 % - Accent5 3 2 2 4 2 3 6" xfId="53473"/>
    <cellStyle name="20 % - Accent5 3 2 2 4 2 4" xfId="8036"/>
    <cellStyle name="20 % - Accent5 3 2 2 4 2 4 2" xfId="27509"/>
    <cellStyle name="20 % - Accent5 3 2 2 4 2 4 3" xfId="40489"/>
    <cellStyle name="20 % - Accent5 3 2 2 4 2 4 4" xfId="56718"/>
    <cellStyle name="20 % - Accent5 3 2 2 4 2 5" xfId="14529"/>
    <cellStyle name="20 % - Accent5 3 2 2 4 2 5 2" xfId="50228"/>
    <cellStyle name="20 % - Accent5 3 2 2 4 2 6" xfId="21019"/>
    <cellStyle name="20 % - Accent5 3 2 2 4 2 7" xfId="33999"/>
    <cellStyle name="20 % - Accent5 3 2 2 4 2 8" xfId="46982"/>
    <cellStyle name="20 % - Accent5 3 2 2 4 3" xfId="2179"/>
    <cellStyle name="20 % - Accent5 3 2 2 4 3 2" xfId="5424"/>
    <cellStyle name="20 % - Accent5 3 2 2 4 3 2 2" xfId="11956"/>
    <cellStyle name="20 % - Accent5 3 2 2 4 3 2 2 2" xfId="31429"/>
    <cellStyle name="20 % - Accent5 3 2 2 4 3 2 2 3" xfId="44409"/>
    <cellStyle name="20 % - Accent5 3 2 2 4 3 2 2 4" xfId="60638"/>
    <cellStyle name="20 % - Accent5 3 2 2 4 3 2 3" xfId="18449"/>
    <cellStyle name="20 % - Accent5 3 2 2 4 3 2 4" xfId="24939"/>
    <cellStyle name="20 % - Accent5 3 2 2 4 3 2 5" xfId="37919"/>
    <cellStyle name="20 % - Accent5 3 2 2 4 3 2 6" xfId="54148"/>
    <cellStyle name="20 % - Accent5 3 2 2 4 3 3" xfId="8711"/>
    <cellStyle name="20 % - Accent5 3 2 2 4 3 3 2" xfId="28184"/>
    <cellStyle name="20 % - Accent5 3 2 2 4 3 3 3" xfId="41164"/>
    <cellStyle name="20 % - Accent5 3 2 2 4 3 3 4" xfId="57393"/>
    <cellStyle name="20 % - Accent5 3 2 2 4 3 4" xfId="15204"/>
    <cellStyle name="20 % - Accent5 3 2 2 4 3 4 2" xfId="50903"/>
    <cellStyle name="20 % - Accent5 3 2 2 4 3 5" xfId="21694"/>
    <cellStyle name="20 % - Accent5 3 2 2 4 3 6" xfId="34674"/>
    <cellStyle name="20 % - Accent5 3 2 2 4 3 7" xfId="47657"/>
    <cellStyle name="20 % - Accent5 3 2 2 4 4" xfId="3801"/>
    <cellStyle name="20 % - Accent5 3 2 2 4 4 2" xfId="10333"/>
    <cellStyle name="20 % - Accent5 3 2 2 4 4 2 2" xfId="29806"/>
    <cellStyle name="20 % - Accent5 3 2 2 4 4 2 3" xfId="42786"/>
    <cellStyle name="20 % - Accent5 3 2 2 4 4 2 4" xfId="59015"/>
    <cellStyle name="20 % - Accent5 3 2 2 4 4 3" xfId="16826"/>
    <cellStyle name="20 % - Accent5 3 2 2 4 4 4" xfId="23316"/>
    <cellStyle name="20 % - Accent5 3 2 2 4 4 5" xfId="36296"/>
    <cellStyle name="20 % - Accent5 3 2 2 4 4 6" xfId="52525"/>
    <cellStyle name="20 % - Accent5 3 2 2 4 5" xfId="7088"/>
    <cellStyle name="20 % - Accent5 3 2 2 4 5 2" xfId="26561"/>
    <cellStyle name="20 % - Accent5 3 2 2 4 5 3" xfId="39541"/>
    <cellStyle name="20 % - Accent5 3 2 2 4 5 4" xfId="55770"/>
    <cellStyle name="20 % - Accent5 3 2 2 4 6" xfId="13581"/>
    <cellStyle name="20 % - Accent5 3 2 2 4 6 2" xfId="49280"/>
    <cellStyle name="20 % - Accent5 3 2 2 4 7" xfId="20071"/>
    <cellStyle name="20 % - Accent5 3 2 2 4 8" xfId="33051"/>
    <cellStyle name="20 % - Accent5 3 2 2 4 9" xfId="46034"/>
    <cellStyle name="20 % - Accent5 3 2 2 5" xfId="997"/>
    <cellStyle name="20 % - Accent5 3 2 2 5 2" xfId="2664"/>
    <cellStyle name="20 % - Accent5 3 2 2 5 2 2" xfId="5909"/>
    <cellStyle name="20 % - Accent5 3 2 2 5 2 2 2" xfId="12441"/>
    <cellStyle name="20 % - Accent5 3 2 2 5 2 2 2 2" xfId="31914"/>
    <cellStyle name="20 % - Accent5 3 2 2 5 2 2 2 3" xfId="44894"/>
    <cellStyle name="20 % - Accent5 3 2 2 5 2 2 2 4" xfId="61123"/>
    <cellStyle name="20 % - Accent5 3 2 2 5 2 2 3" xfId="18934"/>
    <cellStyle name="20 % - Accent5 3 2 2 5 2 2 4" xfId="25424"/>
    <cellStyle name="20 % - Accent5 3 2 2 5 2 2 5" xfId="38404"/>
    <cellStyle name="20 % - Accent5 3 2 2 5 2 2 6" xfId="54633"/>
    <cellStyle name="20 % - Accent5 3 2 2 5 2 3" xfId="9196"/>
    <cellStyle name="20 % - Accent5 3 2 2 5 2 3 2" xfId="28669"/>
    <cellStyle name="20 % - Accent5 3 2 2 5 2 3 3" xfId="41649"/>
    <cellStyle name="20 % - Accent5 3 2 2 5 2 3 4" xfId="57878"/>
    <cellStyle name="20 % - Accent5 3 2 2 5 2 4" xfId="15689"/>
    <cellStyle name="20 % - Accent5 3 2 2 5 2 4 2" xfId="51388"/>
    <cellStyle name="20 % - Accent5 3 2 2 5 2 5" xfId="22179"/>
    <cellStyle name="20 % - Accent5 3 2 2 5 2 6" xfId="35159"/>
    <cellStyle name="20 % - Accent5 3 2 2 5 2 7" xfId="48142"/>
    <cellStyle name="20 % - Accent5 3 2 2 5 3" xfId="4286"/>
    <cellStyle name="20 % - Accent5 3 2 2 5 3 2" xfId="10818"/>
    <cellStyle name="20 % - Accent5 3 2 2 5 3 2 2" xfId="30291"/>
    <cellStyle name="20 % - Accent5 3 2 2 5 3 2 3" xfId="43271"/>
    <cellStyle name="20 % - Accent5 3 2 2 5 3 2 4" xfId="59500"/>
    <cellStyle name="20 % - Accent5 3 2 2 5 3 3" xfId="17311"/>
    <cellStyle name="20 % - Accent5 3 2 2 5 3 4" xfId="23801"/>
    <cellStyle name="20 % - Accent5 3 2 2 5 3 5" xfId="36781"/>
    <cellStyle name="20 % - Accent5 3 2 2 5 3 6" xfId="53010"/>
    <cellStyle name="20 % - Accent5 3 2 2 5 4" xfId="7573"/>
    <cellStyle name="20 % - Accent5 3 2 2 5 4 2" xfId="27046"/>
    <cellStyle name="20 % - Accent5 3 2 2 5 4 3" xfId="40026"/>
    <cellStyle name="20 % - Accent5 3 2 2 5 4 4" xfId="56255"/>
    <cellStyle name="20 % - Accent5 3 2 2 5 5" xfId="14066"/>
    <cellStyle name="20 % - Accent5 3 2 2 5 5 2" xfId="49765"/>
    <cellStyle name="20 % - Accent5 3 2 2 5 6" xfId="20556"/>
    <cellStyle name="20 % - Accent5 3 2 2 5 7" xfId="33536"/>
    <cellStyle name="20 % - Accent5 3 2 2 5 8" xfId="46519"/>
    <cellStyle name="20 % - Accent5 3 2 2 6" xfId="1950"/>
    <cellStyle name="20 % - Accent5 3 2 2 6 2" xfId="5195"/>
    <cellStyle name="20 % - Accent5 3 2 2 6 2 2" xfId="11727"/>
    <cellStyle name="20 % - Accent5 3 2 2 6 2 2 2" xfId="31200"/>
    <cellStyle name="20 % - Accent5 3 2 2 6 2 2 3" xfId="44180"/>
    <cellStyle name="20 % - Accent5 3 2 2 6 2 2 4" xfId="60409"/>
    <cellStyle name="20 % - Accent5 3 2 2 6 2 3" xfId="18220"/>
    <cellStyle name="20 % - Accent5 3 2 2 6 2 4" xfId="24710"/>
    <cellStyle name="20 % - Accent5 3 2 2 6 2 5" xfId="37690"/>
    <cellStyle name="20 % - Accent5 3 2 2 6 2 6" xfId="53919"/>
    <cellStyle name="20 % - Accent5 3 2 2 6 3" xfId="8482"/>
    <cellStyle name="20 % - Accent5 3 2 2 6 3 2" xfId="27955"/>
    <cellStyle name="20 % - Accent5 3 2 2 6 3 3" xfId="40935"/>
    <cellStyle name="20 % - Accent5 3 2 2 6 3 4" xfId="57164"/>
    <cellStyle name="20 % - Accent5 3 2 2 6 4" xfId="14975"/>
    <cellStyle name="20 % - Accent5 3 2 2 6 4 2" xfId="50674"/>
    <cellStyle name="20 % - Accent5 3 2 2 6 5" xfId="21465"/>
    <cellStyle name="20 % - Accent5 3 2 2 6 6" xfId="34445"/>
    <cellStyle name="20 % - Accent5 3 2 2 6 7" xfId="47428"/>
    <cellStyle name="20 % - Accent5 3 2 2 7" xfId="3571"/>
    <cellStyle name="20 % - Accent5 3 2 2 7 2" xfId="10103"/>
    <cellStyle name="20 % - Accent5 3 2 2 7 2 2" xfId="29576"/>
    <cellStyle name="20 % - Accent5 3 2 2 7 2 3" xfId="42556"/>
    <cellStyle name="20 % - Accent5 3 2 2 7 2 4" xfId="58785"/>
    <cellStyle name="20 % - Accent5 3 2 2 7 3" xfId="16596"/>
    <cellStyle name="20 % - Accent5 3 2 2 7 4" xfId="23086"/>
    <cellStyle name="20 % - Accent5 3 2 2 7 5" xfId="36066"/>
    <cellStyle name="20 % - Accent5 3 2 2 7 6" xfId="52295"/>
    <cellStyle name="20 % - Accent5 3 2 2 8" xfId="6858"/>
    <cellStyle name="20 % - Accent5 3 2 2 8 2" xfId="26331"/>
    <cellStyle name="20 % - Accent5 3 2 2 8 3" xfId="39311"/>
    <cellStyle name="20 % - Accent5 3 2 2 8 4" xfId="55540"/>
    <cellStyle name="20 % - Accent5 3 2 2 9" xfId="13351"/>
    <cellStyle name="20 % - Accent5 3 2 2 9 2" xfId="49050"/>
    <cellStyle name="20 % - Accent5 3 2 3" xfId="233"/>
    <cellStyle name="20 % - Accent5 3 2 3 10" xfId="32777"/>
    <cellStyle name="20 % - Accent5 3 2 3 11" xfId="45760"/>
    <cellStyle name="20 % - Accent5 3 2 3 2" xfId="697"/>
    <cellStyle name="20 % - Accent5 3 2 3 2 10" xfId="46220"/>
    <cellStyle name="20 % - Accent5 3 2 3 2 2" xfId="1636"/>
    <cellStyle name="20 % - Accent5 3 2 3 2 2 2" xfId="3303"/>
    <cellStyle name="20 % - Accent5 3 2 3 2 2 2 2" xfId="6548"/>
    <cellStyle name="20 % - Accent5 3 2 3 2 2 2 2 2" xfId="13080"/>
    <cellStyle name="20 % - Accent5 3 2 3 2 2 2 2 2 2" xfId="32553"/>
    <cellStyle name="20 % - Accent5 3 2 3 2 2 2 2 2 3" xfId="45533"/>
    <cellStyle name="20 % - Accent5 3 2 3 2 2 2 2 2 4" xfId="61762"/>
    <cellStyle name="20 % - Accent5 3 2 3 2 2 2 2 3" xfId="19573"/>
    <cellStyle name="20 % - Accent5 3 2 3 2 2 2 2 4" xfId="26063"/>
    <cellStyle name="20 % - Accent5 3 2 3 2 2 2 2 5" xfId="39043"/>
    <cellStyle name="20 % - Accent5 3 2 3 2 2 2 2 6" xfId="55272"/>
    <cellStyle name="20 % - Accent5 3 2 3 2 2 2 3" xfId="9835"/>
    <cellStyle name="20 % - Accent5 3 2 3 2 2 2 3 2" xfId="29308"/>
    <cellStyle name="20 % - Accent5 3 2 3 2 2 2 3 3" xfId="42288"/>
    <cellStyle name="20 % - Accent5 3 2 3 2 2 2 3 4" xfId="58517"/>
    <cellStyle name="20 % - Accent5 3 2 3 2 2 2 4" xfId="16328"/>
    <cellStyle name="20 % - Accent5 3 2 3 2 2 2 4 2" xfId="52027"/>
    <cellStyle name="20 % - Accent5 3 2 3 2 2 2 5" xfId="22818"/>
    <cellStyle name="20 % - Accent5 3 2 3 2 2 2 6" xfId="35798"/>
    <cellStyle name="20 % - Accent5 3 2 3 2 2 2 7" xfId="48781"/>
    <cellStyle name="20 % - Accent5 3 2 3 2 2 3" xfId="4925"/>
    <cellStyle name="20 % - Accent5 3 2 3 2 2 3 2" xfId="11457"/>
    <cellStyle name="20 % - Accent5 3 2 3 2 2 3 2 2" xfId="30930"/>
    <cellStyle name="20 % - Accent5 3 2 3 2 2 3 2 3" xfId="43910"/>
    <cellStyle name="20 % - Accent5 3 2 3 2 2 3 2 4" xfId="60139"/>
    <cellStyle name="20 % - Accent5 3 2 3 2 2 3 3" xfId="17950"/>
    <cellStyle name="20 % - Accent5 3 2 3 2 2 3 4" xfId="24440"/>
    <cellStyle name="20 % - Accent5 3 2 3 2 2 3 5" xfId="37420"/>
    <cellStyle name="20 % - Accent5 3 2 3 2 2 3 6" xfId="53649"/>
    <cellStyle name="20 % - Accent5 3 2 3 2 2 4" xfId="8212"/>
    <cellStyle name="20 % - Accent5 3 2 3 2 2 4 2" xfId="27685"/>
    <cellStyle name="20 % - Accent5 3 2 3 2 2 4 3" xfId="40665"/>
    <cellStyle name="20 % - Accent5 3 2 3 2 2 4 4" xfId="56894"/>
    <cellStyle name="20 % - Accent5 3 2 3 2 2 5" xfId="14705"/>
    <cellStyle name="20 % - Accent5 3 2 3 2 2 5 2" xfId="50404"/>
    <cellStyle name="20 % - Accent5 3 2 3 2 2 6" xfId="21195"/>
    <cellStyle name="20 % - Accent5 3 2 3 2 2 7" xfId="34175"/>
    <cellStyle name="20 % - Accent5 3 2 3 2 2 8" xfId="47158"/>
    <cellStyle name="20 % - Accent5 3 2 3 2 3" xfId="1173"/>
    <cellStyle name="20 % - Accent5 3 2 3 2 3 2" xfId="2840"/>
    <cellStyle name="20 % - Accent5 3 2 3 2 3 2 2" xfId="6085"/>
    <cellStyle name="20 % - Accent5 3 2 3 2 3 2 2 2" xfId="12617"/>
    <cellStyle name="20 % - Accent5 3 2 3 2 3 2 2 2 2" xfId="32090"/>
    <cellStyle name="20 % - Accent5 3 2 3 2 3 2 2 2 3" xfId="45070"/>
    <cellStyle name="20 % - Accent5 3 2 3 2 3 2 2 2 4" xfId="61299"/>
    <cellStyle name="20 % - Accent5 3 2 3 2 3 2 2 3" xfId="19110"/>
    <cellStyle name="20 % - Accent5 3 2 3 2 3 2 2 4" xfId="25600"/>
    <cellStyle name="20 % - Accent5 3 2 3 2 3 2 2 5" xfId="38580"/>
    <cellStyle name="20 % - Accent5 3 2 3 2 3 2 2 6" xfId="54809"/>
    <cellStyle name="20 % - Accent5 3 2 3 2 3 2 3" xfId="9372"/>
    <cellStyle name="20 % - Accent5 3 2 3 2 3 2 3 2" xfId="28845"/>
    <cellStyle name="20 % - Accent5 3 2 3 2 3 2 3 3" xfId="41825"/>
    <cellStyle name="20 % - Accent5 3 2 3 2 3 2 3 4" xfId="58054"/>
    <cellStyle name="20 % - Accent5 3 2 3 2 3 2 4" xfId="15865"/>
    <cellStyle name="20 % - Accent5 3 2 3 2 3 2 4 2" xfId="51564"/>
    <cellStyle name="20 % - Accent5 3 2 3 2 3 2 5" xfId="22355"/>
    <cellStyle name="20 % - Accent5 3 2 3 2 3 2 6" xfId="35335"/>
    <cellStyle name="20 % - Accent5 3 2 3 2 3 2 7" xfId="48318"/>
    <cellStyle name="20 % - Accent5 3 2 3 2 3 3" xfId="4462"/>
    <cellStyle name="20 % - Accent5 3 2 3 2 3 3 2" xfId="10994"/>
    <cellStyle name="20 % - Accent5 3 2 3 2 3 3 2 2" xfId="30467"/>
    <cellStyle name="20 % - Accent5 3 2 3 2 3 3 2 3" xfId="43447"/>
    <cellStyle name="20 % - Accent5 3 2 3 2 3 3 2 4" xfId="59676"/>
    <cellStyle name="20 % - Accent5 3 2 3 2 3 3 3" xfId="17487"/>
    <cellStyle name="20 % - Accent5 3 2 3 2 3 3 4" xfId="23977"/>
    <cellStyle name="20 % - Accent5 3 2 3 2 3 3 5" xfId="36957"/>
    <cellStyle name="20 % - Accent5 3 2 3 2 3 3 6" xfId="53186"/>
    <cellStyle name="20 % - Accent5 3 2 3 2 3 4" xfId="7749"/>
    <cellStyle name="20 % - Accent5 3 2 3 2 3 4 2" xfId="27222"/>
    <cellStyle name="20 % - Accent5 3 2 3 2 3 4 3" xfId="40202"/>
    <cellStyle name="20 % - Accent5 3 2 3 2 3 4 4" xfId="56431"/>
    <cellStyle name="20 % - Accent5 3 2 3 2 3 5" xfId="14242"/>
    <cellStyle name="20 % - Accent5 3 2 3 2 3 5 2" xfId="49941"/>
    <cellStyle name="20 % - Accent5 3 2 3 2 3 6" xfId="20732"/>
    <cellStyle name="20 % - Accent5 3 2 3 2 3 7" xfId="33712"/>
    <cellStyle name="20 % - Accent5 3 2 3 2 3 8" xfId="46695"/>
    <cellStyle name="20 % - Accent5 3 2 3 2 4" xfId="2365"/>
    <cellStyle name="20 % - Accent5 3 2 3 2 4 2" xfId="5610"/>
    <cellStyle name="20 % - Accent5 3 2 3 2 4 2 2" xfId="12142"/>
    <cellStyle name="20 % - Accent5 3 2 3 2 4 2 2 2" xfId="31615"/>
    <cellStyle name="20 % - Accent5 3 2 3 2 4 2 2 3" xfId="44595"/>
    <cellStyle name="20 % - Accent5 3 2 3 2 4 2 2 4" xfId="60824"/>
    <cellStyle name="20 % - Accent5 3 2 3 2 4 2 3" xfId="18635"/>
    <cellStyle name="20 % - Accent5 3 2 3 2 4 2 4" xfId="25125"/>
    <cellStyle name="20 % - Accent5 3 2 3 2 4 2 5" xfId="38105"/>
    <cellStyle name="20 % - Accent5 3 2 3 2 4 2 6" xfId="54334"/>
    <cellStyle name="20 % - Accent5 3 2 3 2 4 3" xfId="8897"/>
    <cellStyle name="20 % - Accent5 3 2 3 2 4 3 2" xfId="28370"/>
    <cellStyle name="20 % - Accent5 3 2 3 2 4 3 3" xfId="41350"/>
    <cellStyle name="20 % - Accent5 3 2 3 2 4 3 4" xfId="57579"/>
    <cellStyle name="20 % - Accent5 3 2 3 2 4 4" xfId="15390"/>
    <cellStyle name="20 % - Accent5 3 2 3 2 4 4 2" xfId="51089"/>
    <cellStyle name="20 % - Accent5 3 2 3 2 4 5" xfId="21880"/>
    <cellStyle name="20 % - Accent5 3 2 3 2 4 6" xfId="34860"/>
    <cellStyle name="20 % - Accent5 3 2 3 2 4 7" xfId="47843"/>
    <cellStyle name="20 % - Accent5 3 2 3 2 5" xfId="3987"/>
    <cellStyle name="20 % - Accent5 3 2 3 2 5 2" xfId="10519"/>
    <cellStyle name="20 % - Accent5 3 2 3 2 5 2 2" xfId="29992"/>
    <cellStyle name="20 % - Accent5 3 2 3 2 5 2 3" xfId="42972"/>
    <cellStyle name="20 % - Accent5 3 2 3 2 5 2 4" xfId="59201"/>
    <cellStyle name="20 % - Accent5 3 2 3 2 5 3" xfId="17012"/>
    <cellStyle name="20 % - Accent5 3 2 3 2 5 4" xfId="23502"/>
    <cellStyle name="20 % - Accent5 3 2 3 2 5 5" xfId="36482"/>
    <cellStyle name="20 % - Accent5 3 2 3 2 5 6" xfId="52711"/>
    <cellStyle name="20 % - Accent5 3 2 3 2 6" xfId="7274"/>
    <cellStyle name="20 % - Accent5 3 2 3 2 6 2" xfId="26747"/>
    <cellStyle name="20 % - Accent5 3 2 3 2 6 3" xfId="39727"/>
    <cellStyle name="20 % - Accent5 3 2 3 2 6 4" xfId="55956"/>
    <cellStyle name="20 % - Accent5 3 2 3 2 7" xfId="13767"/>
    <cellStyle name="20 % - Accent5 3 2 3 2 7 2" xfId="49466"/>
    <cellStyle name="20 % - Accent5 3 2 3 2 8" xfId="20257"/>
    <cellStyle name="20 % - Accent5 3 2 3 2 9" xfId="33237"/>
    <cellStyle name="20 % - Accent5 3 2 3 3" xfId="467"/>
    <cellStyle name="20 % - Accent5 3 2 3 3 2" xfId="1416"/>
    <cellStyle name="20 % - Accent5 3 2 3 3 2 2" xfId="3083"/>
    <cellStyle name="20 % - Accent5 3 2 3 3 2 2 2" xfId="6328"/>
    <cellStyle name="20 % - Accent5 3 2 3 3 2 2 2 2" xfId="12860"/>
    <cellStyle name="20 % - Accent5 3 2 3 3 2 2 2 2 2" xfId="32333"/>
    <cellStyle name="20 % - Accent5 3 2 3 3 2 2 2 2 3" xfId="45313"/>
    <cellStyle name="20 % - Accent5 3 2 3 3 2 2 2 2 4" xfId="61542"/>
    <cellStyle name="20 % - Accent5 3 2 3 3 2 2 2 3" xfId="19353"/>
    <cellStyle name="20 % - Accent5 3 2 3 3 2 2 2 4" xfId="25843"/>
    <cellStyle name="20 % - Accent5 3 2 3 3 2 2 2 5" xfId="38823"/>
    <cellStyle name="20 % - Accent5 3 2 3 3 2 2 2 6" xfId="55052"/>
    <cellStyle name="20 % - Accent5 3 2 3 3 2 2 3" xfId="9615"/>
    <cellStyle name="20 % - Accent5 3 2 3 3 2 2 3 2" xfId="29088"/>
    <cellStyle name="20 % - Accent5 3 2 3 3 2 2 3 3" xfId="42068"/>
    <cellStyle name="20 % - Accent5 3 2 3 3 2 2 3 4" xfId="58297"/>
    <cellStyle name="20 % - Accent5 3 2 3 3 2 2 4" xfId="16108"/>
    <cellStyle name="20 % - Accent5 3 2 3 3 2 2 4 2" xfId="51807"/>
    <cellStyle name="20 % - Accent5 3 2 3 3 2 2 5" xfId="22598"/>
    <cellStyle name="20 % - Accent5 3 2 3 3 2 2 6" xfId="35578"/>
    <cellStyle name="20 % - Accent5 3 2 3 3 2 2 7" xfId="48561"/>
    <cellStyle name="20 % - Accent5 3 2 3 3 2 3" xfId="4705"/>
    <cellStyle name="20 % - Accent5 3 2 3 3 2 3 2" xfId="11237"/>
    <cellStyle name="20 % - Accent5 3 2 3 3 2 3 2 2" xfId="30710"/>
    <cellStyle name="20 % - Accent5 3 2 3 3 2 3 2 3" xfId="43690"/>
    <cellStyle name="20 % - Accent5 3 2 3 3 2 3 2 4" xfId="59919"/>
    <cellStyle name="20 % - Accent5 3 2 3 3 2 3 3" xfId="17730"/>
    <cellStyle name="20 % - Accent5 3 2 3 3 2 3 4" xfId="24220"/>
    <cellStyle name="20 % - Accent5 3 2 3 3 2 3 5" xfId="37200"/>
    <cellStyle name="20 % - Accent5 3 2 3 3 2 3 6" xfId="53429"/>
    <cellStyle name="20 % - Accent5 3 2 3 3 2 4" xfId="7992"/>
    <cellStyle name="20 % - Accent5 3 2 3 3 2 4 2" xfId="27465"/>
    <cellStyle name="20 % - Accent5 3 2 3 3 2 4 3" xfId="40445"/>
    <cellStyle name="20 % - Accent5 3 2 3 3 2 4 4" xfId="56674"/>
    <cellStyle name="20 % - Accent5 3 2 3 3 2 5" xfId="14485"/>
    <cellStyle name="20 % - Accent5 3 2 3 3 2 5 2" xfId="50184"/>
    <cellStyle name="20 % - Accent5 3 2 3 3 2 6" xfId="20975"/>
    <cellStyle name="20 % - Accent5 3 2 3 3 2 7" xfId="33955"/>
    <cellStyle name="20 % - Accent5 3 2 3 3 2 8" xfId="46938"/>
    <cellStyle name="20 % - Accent5 3 2 3 3 3" xfId="2135"/>
    <cellStyle name="20 % - Accent5 3 2 3 3 3 2" xfId="5380"/>
    <cellStyle name="20 % - Accent5 3 2 3 3 3 2 2" xfId="11912"/>
    <cellStyle name="20 % - Accent5 3 2 3 3 3 2 2 2" xfId="31385"/>
    <cellStyle name="20 % - Accent5 3 2 3 3 3 2 2 3" xfId="44365"/>
    <cellStyle name="20 % - Accent5 3 2 3 3 3 2 2 4" xfId="60594"/>
    <cellStyle name="20 % - Accent5 3 2 3 3 3 2 3" xfId="18405"/>
    <cellStyle name="20 % - Accent5 3 2 3 3 3 2 4" xfId="24895"/>
    <cellStyle name="20 % - Accent5 3 2 3 3 3 2 5" xfId="37875"/>
    <cellStyle name="20 % - Accent5 3 2 3 3 3 2 6" xfId="54104"/>
    <cellStyle name="20 % - Accent5 3 2 3 3 3 3" xfId="8667"/>
    <cellStyle name="20 % - Accent5 3 2 3 3 3 3 2" xfId="28140"/>
    <cellStyle name="20 % - Accent5 3 2 3 3 3 3 3" xfId="41120"/>
    <cellStyle name="20 % - Accent5 3 2 3 3 3 3 4" xfId="57349"/>
    <cellStyle name="20 % - Accent5 3 2 3 3 3 4" xfId="15160"/>
    <cellStyle name="20 % - Accent5 3 2 3 3 3 4 2" xfId="50859"/>
    <cellStyle name="20 % - Accent5 3 2 3 3 3 5" xfId="21650"/>
    <cellStyle name="20 % - Accent5 3 2 3 3 3 6" xfId="34630"/>
    <cellStyle name="20 % - Accent5 3 2 3 3 3 7" xfId="47613"/>
    <cellStyle name="20 % - Accent5 3 2 3 3 4" xfId="3757"/>
    <cellStyle name="20 % - Accent5 3 2 3 3 4 2" xfId="10289"/>
    <cellStyle name="20 % - Accent5 3 2 3 3 4 2 2" xfId="29762"/>
    <cellStyle name="20 % - Accent5 3 2 3 3 4 2 3" xfId="42742"/>
    <cellStyle name="20 % - Accent5 3 2 3 3 4 2 4" xfId="58971"/>
    <cellStyle name="20 % - Accent5 3 2 3 3 4 3" xfId="16782"/>
    <cellStyle name="20 % - Accent5 3 2 3 3 4 4" xfId="23272"/>
    <cellStyle name="20 % - Accent5 3 2 3 3 4 5" xfId="36252"/>
    <cellStyle name="20 % - Accent5 3 2 3 3 4 6" xfId="52481"/>
    <cellStyle name="20 % - Accent5 3 2 3 3 5" xfId="7044"/>
    <cellStyle name="20 % - Accent5 3 2 3 3 5 2" xfId="26517"/>
    <cellStyle name="20 % - Accent5 3 2 3 3 5 3" xfId="39497"/>
    <cellStyle name="20 % - Accent5 3 2 3 3 5 4" xfId="55726"/>
    <cellStyle name="20 % - Accent5 3 2 3 3 6" xfId="13537"/>
    <cellStyle name="20 % - Accent5 3 2 3 3 6 2" xfId="49236"/>
    <cellStyle name="20 % - Accent5 3 2 3 3 7" xfId="20027"/>
    <cellStyle name="20 % - Accent5 3 2 3 3 8" xfId="33007"/>
    <cellStyle name="20 % - Accent5 3 2 3 3 9" xfId="45990"/>
    <cellStyle name="20 % - Accent5 3 2 3 4" xfId="953"/>
    <cellStyle name="20 % - Accent5 3 2 3 4 2" xfId="2620"/>
    <cellStyle name="20 % - Accent5 3 2 3 4 2 2" xfId="5865"/>
    <cellStyle name="20 % - Accent5 3 2 3 4 2 2 2" xfId="12397"/>
    <cellStyle name="20 % - Accent5 3 2 3 4 2 2 2 2" xfId="31870"/>
    <cellStyle name="20 % - Accent5 3 2 3 4 2 2 2 3" xfId="44850"/>
    <cellStyle name="20 % - Accent5 3 2 3 4 2 2 2 4" xfId="61079"/>
    <cellStyle name="20 % - Accent5 3 2 3 4 2 2 3" xfId="18890"/>
    <cellStyle name="20 % - Accent5 3 2 3 4 2 2 4" xfId="25380"/>
    <cellStyle name="20 % - Accent5 3 2 3 4 2 2 5" xfId="38360"/>
    <cellStyle name="20 % - Accent5 3 2 3 4 2 2 6" xfId="54589"/>
    <cellStyle name="20 % - Accent5 3 2 3 4 2 3" xfId="9152"/>
    <cellStyle name="20 % - Accent5 3 2 3 4 2 3 2" xfId="28625"/>
    <cellStyle name="20 % - Accent5 3 2 3 4 2 3 3" xfId="41605"/>
    <cellStyle name="20 % - Accent5 3 2 3 4 2 3 4" xfId="57834"/>
    <cellStyle name="20 % - Accent5 3 2 3 4 2 4" xfId="15645"/>
    <cellStyle name="20 % - Accent5 3 2 3 4 2 4 2" xfId="51344"/>
    <cellStyle name="20 % - Accent5 3 2 3 4 2 5" xfId="22135"/>
    <cellStyle name="20 % - Accent5 3 2 3 4 2 6" xfId="35115"/>
    <cellStyle name="20 % - Accent5 3 2 3 4 2 7" xfId="48098"/>
    <cellStyle name="20 % - Accent5 3 2 3 4 3" xfId="4242"/>
    <cellStyle name="20 % - Accent5 3 2 3 4 3 2" xfId="10774"/>
    <cellStyle name="20 % - Accent5 3 2 3 4 3 2 2" xfId="30247"/>
    <cellStyle name="20 % - Accent5 3 2 3 4 3 2 3" xfId="43227"/>
    <cellStyle name="20 % - Accent5 3 2 3 4 3 2 4" xfId="59456"/>
    <cellStyle name="20 % - Accent5 3 2 3 4 3 3" xfId="17267"/>
    <cellStyle name="20 % - Accent5 3 2 3 4 3 4" xfId="23757"/>
    <cellStyle name="20 % - Accent5 3 2 3 4 3 5" xfId="36737"/>
    <cellStyle name="20 % - Accent5 3 2 3 4 3 6" xfId="52966"/>
    <cellStyle name="20 % - Accent5 3 2 3 4 4" xfId="7529"/>
    <cellStyle name="20 % - Accent5 3 2 3 4 4 2" xfId="27002"/>
    <cellStyle name="20 % - Accent5 3 2 3 4 4 3" xfId="39982"/>
    <cellStyle name="20 % - Accent5 3 2 3 4 4 4" xfId="56211"/>
    <cellStyle name="20 % - Accent5 3 2 3 4 5" xfId="14022"/>
    <cellStyle name="20 % - Accent5 3 2 3 4 5 2" xfId="49721"/>
    <cellStyle name="20 % - Accent5 3 2 3 4 6" xfId="20512"/>
    <cellStyle name="20 % - Accent5 3 2 3 4 7" xfId="33492"/>
    <cellStyle name="20 % - Accent5 3 2 3 4 8" xfId="46475"/>
    <cellStyle name="20 % - Accent5 3 2 3 5" xfId="1906"/>
    <cellStyle name="20 % - Accent5 3 2 3 5 2" xfId="5151"/>
    <cellStyle name="20 % - Accent5 3 2 3 5 2 2" xfId="11683"/>
    <cellStyle name="20 % - Accent5 3 2 3 5 2 2 2" xfId="31156"/>
    <cellStyle name="20 % - Accent5 3 2 3 5 2 2 3" xfId="44136"/>
    <cellStyle name="20 % - Accent5 3 2 3 5 2 2 4" xfId="60365"/>
    <cellStyle name="20 % - Accent5 3 2 3 5 2 3" xfId="18176"/>
    <cellStyle name="20 % - Accent5 3 2 3 5 2 4" xfId="24666"/>
    <cellStyle name="20 % - Accent5 3 2 3 5 2 5" xfId="37646"/>
    <cellStyle name="20 % - Accent5 3 2 3 5 2 6" xfId="53875"/>
    <cellStyle name="20 % - Accent5 3 2 3 5 3" xfId="8438"/>
    <cellStyle name="20 % - Accent5 3 2 3 5 3 2" xfId="27911"/>
    <cellStyle name="20 % - Accent5 3 2 3 5 3 3" xfId="40891"/>
    <cellStyle name="20 % - Accent5 3 2 3 5 3 4" xfId="57120"/>
    <cellStyle name="20 % - Accent5 3 2 3 5 4" xfId="14931"/>
    <cellStyle name="20 % - Accent5 3 2 3 5 4 2" xfId="50630"/>
    <cellStyle name="20 % - Accent5 3 2 3 5 5" xfId="21421"/>
    <cellStyle name="20 % - Accent5 3 2 3 5 6" xfId="34401"/>
    <cellStyle name="20 % - Accent5 3 2 3 5 7" xfId="47384"/>
    <cellStyle name="20 % - Accent5 3 2 3 6" xfId="3527"/>
    <cellStyle name="20 % - Accent5 3 2 3 6 2" xfId="10059"/>
    <cellStyle name="20 % - Accent5 3 2 3 6 2 2" xfId="29532"/>
    <cellStyle name="20 % - Accent5 3 2 3 6 2 3" xfId="42512"/>
    <cellStyle name="20 % - Accent5 3 2 3 6 2 4" xfId="58741"/>
    <cellStyle name="20 % - Accent5 3 2 3 6 3" xfId="16552"/>
    <cellStyle name="20 % - Accent5 3 2 3 6 4" xfId="23042"/>
    <cellStyle name="20 % - Accent5 3 2 3 6 5" xfId="36022"/>
    <cellStyle name="20 % - Accent5 3 2 3 6 6" xfId="52251"/>
    <cellStyle name="20 % - Accent5 3 2 3 7" xfId="6814"/>
    <cellStyle name="20 % - Accent5 3 2 3 7 2" xfId="26287"/>
    <cellStyle name="20 % - Accent5 3 2 3 7 3" xfId="39267"/>
    <cellStyle name="20 % - Accent5 3 2 3 7 4" xfId="55496"/>
    <cellStyle name="20 % - Accent5 3 2 3 8" xfId="13307"/>
    <cellStyle name="20 % - Accent5 3 2 3 8 2" xfId="49006"/>
    <cellStyle name="20 % - Accent5 3 2 3 9" xfId="19797"/>
    <cellStyle name="20 % - Accent5 3 2 4" xfId="321"/>
    <cellStyle name="20 % - Accent5 3 2 4 10" xfId="32865"/>
    <cellStyle name="20 % - Accent5 3 2 4 11" xfId="45848"/>
    <cellStyle name="20 % - Accent5 3 2 4 2" xfId="785"/>
    <cellStyle name="20 % - Accent5 3 2 4 2 10" xfId="46308"/>
    <cellStyle name="20 % - Accent5 3 2 4 2 2" xfId="1724"/>
    <cellStyle name="20 % - Accent5 3 2 4 2 2 2" xfId="3391"/>
    <cellStyle name="20 % - Accent5 3 2 4 2 2 2 2" xfId="6636"/>
    <cellStyle name="20 % - Accent5 3 2 4 2 2 2 2 2" xfId="13168"/>
    <cellStyle name="20 % - Accent5 3 2 4 2 2 2 2 2 2" xfId="32641"/>
    <cellStyle name="20 % - Accent5 3 2 4 2 2 2 2 2 3" xfId="45621"/>
    <cellStyle name="20 % - Accent5 3 2 4 2 2 2 2 2 4" xfId="61850"/>
    <cellStyle name="20 % - Accent5 3 2 4 2 2 2 2 3" xfId="19661"/>
    <cellStyle name="20 % - Accent5 3 2 4 2 2 2 2 4" xfId="26151"/>
    <cellStyle name="20 % - Accent5 3 2 4 2 2 2 2 5" xfId="39131"/>
    <cellStyle name="20 % - Accent5 3 2 4 2 2 2 2 6" xfId="55360"/>
    <cellStyle name="20 % - Accent5 3 2 4 2 2 2 3" xfId="9923"/>
    <cellStyle name="20 % - Accent5 3 2 4 2 2 2 3 2" xfId="29396"/>
    <cellStyle name="20 % - Accent5 3 2 4 2 2 2 3 3" xfId="42376"/>
    <cellStyle name="20 % - Accent5 3 2 4 2 2 2 3 4" xfId="58605"/>
    <cellStyle name="20 % - Accent5 3 2 4 2 2 2 4" xfId="16416"/>
    <cellStyle name="20 % - Accent5 3 2 4 2 2 2 4 2" xfId="52115"/>
    <cellStyle name="20 % - Accent5 3 2 4 2 2 2 5" xfId="22906"/>
    <cellStyle name="20 % - Accent5 3 2 4 2 2 2 6" xfId="35886"/>
    <cellStyle name="20 % - Accent5 3 2 4 2 2 2 7" xfId="48869"/>
    <cellStyle name="20 % - Accent5 3 2 4 2 2 3" xfId="5013"/>
    <cellStyle name="20 % - Accent5 3 2 4 2 2 3 2" xfId="11545"/>
    <cellStyle name="20 % - Accent5 3 2 4 2 2 3 2 2" xfId="31018"/>
    <cellStyle name="20 % - Accent5 3 2 4 2 2 3 2 3" xfId="43998"/>
    <cellStyle name="20 % - Accent5 3 2 4 2 2 3 2 4" xfId="60227"/>
    <cellStyle name="20 % - Accent5 3 2 4 2 2 3 3" xfId="18038"/>
    <cellStyle name="20 % - Accent5 3 2 4 2 2 3 4" xfId="24528"/>
    <cellStyle name="20 % - Accent5 3 2 4 2 2 3 5" xfId="37508"/>
    <cellStyle name="20 % - Accent5 3 2 4 2 2 3 6" xfId="53737"/>
    <cellStyle name="20 % - Accent5 3 2 4 2 2 4" xfId="8300"/>
    <cellStyle name="20 % - Accent5 3 2 4 2 2 4 2" xfId="27773"/>
    <cellStyle name="20 % - Accent5 3 2 4 2 2 4 3" xfId="40753"/>
    <cellStyle name="20 % - Accent5 3 2 4 2 2 4 4" xfId="56982"/>
    <cellStyle name="20 % - Accent5 3 2 4 2 2 5" xfId="14793"/>
    <cellStyle name="20 % - Accent5 3 2 4 2 2 5 2" xfId="50492"/>
    <cellStyle name="20 % - Accent5 3 2 4 2 2 6" xfId="21283"/>
    <cellStyle name="20 % - Accent5 3 2 4 2 2 7" xfId="34263"/>
    <cellStyle name="20 % - Accent5 3 2 4 2 2 8" xfId="47246"/>
    <cellStyle name="20 % - Accent5 3 2 4 2 3" xfId="1261"/>
    <cellStyle name="20 % - Accent5 3 2 4 2 3 2" xfId="2928"/>
    <cellStyle name="20 % - Accent5 3 2 4 2 3 2 2" xfId="6173"/>
    <cellStyle name="20 % - Accent5 3 2 4 2 3 2 2 2" xfId="12705"/>
    <cellStyle name="20 % - Accent5 3 2 4 2 3 2 2 2 2" xfId="32178"/>
    <cellStyle name="20 % - Accent5 3 2 4 2 3 2 2 2 3" xfId="45158"/>
    <cellStyle name="20 % - Accent5 3 2 4 2 3 2 2 2 4" xfId="61387"/>
    <cellStyle name="20 % - Accent5 3 2 4 2 3 2 2 3" xfId="19198"/>
    <cellStyle name="20 % - Accent5 3 2 4 2 3 2 2 4" xfId="25688"/>
    <cellStyle name="20 % - Accent5 3 2 4 2 3 2 2 5" xfId="38668"/>
    <cellStyle name="20 % - Accent5 3 2 4 2 3 2 2 6" xfId="54897"/>
    <cellStyle name="20 % - Accent5 3 2 4 2 3 2 3" xfId="9460"/>
    <cellStyle name="20 % - Accent5 3 2 4 2 3 2 3 2" xfId="28933"/>
    <cellStyle name="20 % - Accent5 3 2 4 2 3 2 3 3" xfId="41913"/>
    <cellStyle name="20 % - Accent5 3 2 4 2 3 2 3 4" xfId="58142"/>
    <cellStyle name="20 % - Accent5 3 2 4 2 3 2 4" xfId="15953"/>
    <cellStyle name="20 % - Accent5 3 2 4 2 3 2 4 2" xfId="51652"/>
    <cellStyle name="20 % - Accent5 3 2 4 2 3 2 5" xfId="22443"/>
    <cellStyle name="20 % - Accent5 3 2 4 2 3 2 6" xfId="35423"/>
    <cellStyle name="20 % - Accent5 3 2 4 2 3 2 7" xfId="48406"/>
    <cellStyle name="20 % - Accent5 3 2 4 2 3 3" xfId="4550"/>
    <cellStyle name="20 % - Accent5 3 2 4 2 3 3 2" xfId="11082"/>
    <cellStyle name="20 % - Accent5 3 2 4 2 3 3 2 2" xfId="30555"/>
    <cellStyle name="20 % - Accent5 3 2 4 2 3 3 2 3" xfId="43535"/>
    <cellStyle name="20 % - Accent5 3 2 4 2 3 3 2 4" xfId="59764"/>
    <cellStyle name="20 % - Accent5 3 2 4 2 3 3 3" xfId="17575"/>
    <cellStyle name="20 % - Accent5 3 2 4 2 3 3 4" xfId="24065"/>
    <cellStyle name="20 % - Accent5 3 2 4 2 3 3 5" xfId="37045"/>
    <cellStyle name="20 % - Accent5 3 2 4 2 3 3 6" xfId="53274"/>
    <cellStyle name="20 % - Accent5 3 2 4 2 3 4" xfId="7837"/>
    <cellStyle name="20 % - Accent5 3 2 4 2 3 4 2" xfId="27310"/>
    <cellStyle name="20 % - Accent5 3 2 4 2 3 4 3" xfId="40290"/>
    <cellStyle name="20 % - Accent5 3 2 4 2 3 4 4" xfId="56519"/>
    <cellStyle name="20 % - Accent5 3 2 4 2 3 5" xfId="14330"/>
    <cellStyle name="20 % - Accent5 3 2 4 2 3 5 2" xfId="50029"/>
    <cellStyle name="20 % - Accent5 3 2 4 2 3 6" xfId="20820"/>
    <cellStyle name="20 % - Accent5 3 2 4 2 3 7" xfId="33800"/>
    <cellStyle name="20 % - Accent5 3 2 4 2 3 8" xfId="46783"/>
    <cellStyle name="20 % - Accent5 3 2 4 2 4" xfId="2453"/>
    <cellStyle name="20 % - Accent5 3 2 4 2 4 2" xfId="5698"/>
    <cellStyle name="20 % - Accent5 3 2 4 2 4 2 2" xfId="12230"/>
    <cellStyle name="20 % - Accent5 3 2 4 2 4 2 2 2" xfId="31703"/>
    <cellStyle name="20 % - Accent5 3 2 4 2 4 2 2 3" xfId="44683"/>
    <cellStyle name="20 % - Accent5 3 2 4 2 4 2 2 4" xfId="60912"/>
    <cellStyle name="20 % - Accent5 3 2 4 2 4 2 3" xfId="18723"/>
    <cellStyle name="20 % - Accent5 3 2 4 2 4 2 4" xfId="25213"/>
    <cellStyle name="20 % - Accent5 3 2 4 2 4 2 5" xfId="38193"/>
    <cellStyle name="20 % - Accent5 3 2 4 2 4 2 6" xfId="54422"/>
    <cellStyle name="20 % - Accent5 3 2 4 2 4 3" xfId="8985"/>
    <cellStyle name="20 % - Accent5 3 2 4 2 4 3 2" xfId="28458"/>
    <cellStyle name="20 % - Accent5 3 2 4 2 4 3 3" xfId="41438"/>
    <cellStyle name="20 % - Accent5 3 2 4 2 4 3 4" xfId="57667"/>
    <cellStyle name="20 % - Accent5 3 2 4 2 4 4" xfId="15478"/>
    <cellStyle name="20 % - Accent5 3 2 4 2 4 4 2" xfId="51177"/>
    <cellStyle name="20 % - Accent5 3 2 4 2 4 5" xfId="21968"/>
    <cellStyle name="20 % - Accent5 3 2 4 2 4 6" xfId="34948"/>
    <cellStyle name="20 % - Accent5 3 2 4 2 4 7" xfId="47931"/>
    <cellStyle name="20 % - Accent5 3 2 4 2 5" xfId="4075"/>
    <cellStyle name="20 % - Accent5 3 2 4 2 5 2" xfId="10607"/>
    <cellStyle name="20 % - Accent5 3 2 4 2 5 2 2" xfId="30080"/>
    <cellStyle name="20 % - Accent5 3 2 4 2 5 2 3" xfId="43060"/>
    <cellStyle name="20 % - Accent5 3 2 4 2 5 2 4" xfId="59289"/>
    <cellStyle name="20 % - Accent5 3 2 4 2 5 3" xfId="17100"/>
    <cellStyle name="20 % - Accent5 3 2 4 2 5 4" xfId="23590"/>
    <cellStyle name="20 % - Accent5 3 2 4 2 5 5" xfId="36570"/>
    <cellStyle name="20 % - Accent5 3 2 4 2 5 6" xfId="52799"/>
    <cellStyle name="20 % - Accent5 3 2 4 2 6" xfId="7362"/>
    <cellStyle name="20 % - Accent5 3 2 4 2 6 2" xfId="26835"/>
    <cellStyle name="20 % - Accent5 3 2 4 2 6 3" xfId="39815"/>
    <cellStyle name="20 % - Accent5 3 2 4 2 6 4" xfId="56044"/>
    <cellStyle name="20 % - Accent5 3 2 4 2 7" xfId="13855"/>
    <cellStyle name="20 % - Accent5 3 2 4 2 7 2" xfId="49554"/>
    <cellStyle name="20 % - Accent5 3 2 4 2 8" xfId="20345"/>
    <cellStyle name="20 % - Accent5 3 2 4 2 9" xfId="33325"/>
    <cellStyle name="20 % - Accent5 3 2 4 3" xfId="555"/>
    <cellStyle name="20 % - Accent5 3 2 4 3 2" xfId="1504"/>
    <cellStyle name="20 % - Accent5 3 2 4 3 2 2" xfId="3171"/>
    <cellStyle name="20 % - Accent5 3 2 4 3 2 2 2" xfId="6416"/>
    <cellStyle name="20 % - Accent5 3 2 4 3 2 2 2 2" xfId="12948"/>
    <cellStyle name="20 % - Accent5 3 2 4 3 2 2 2 2 2" xfId="32421"/>
    <cellStyle name="20 % - Accent5 3 2 4 3 2 2 2 2 3" xfId="45401"/>
    <cellStyle name="20 % - Accent5 3 2 4 3 2 2 2 2 4" xfId="61630"/>
    <cellStyle name="20 % - Accent5 3 2 4 3 2 2 2 3" xfId="19441"/>
    <cellStyle name="20 % - Accent5 3 2 4 3 2 2 2 4" xfId="25931"/>
    <cellStyle name="20 % - Accent5 3 2 4 3 2 2 2 5" xfId="38911"/>
    <cellStyle name="20 % - Accent5 3 2 4 3 2 2 2 6" xfId="55140"/>
    <cellStyle name="20 % - Accent5 3 2 4 3 2 2 3" xfId="9703"/>
    <cellStyle name="20 % - Accent5 3 2 4 3 2 2 3 2" xfId="29176"/>
    <cellStyle name="20 % - Accent5 3 2 4 3 2 2 3 3" xfId="42156"/>
    <cellStyle name="20 % - Accent5 3 2 4 3 2 2 3 4" xfId="58385"/>
    <cellStyle name="20 % - Accent5 3 2 4 3 2 2 4" xfId="16196"/>
    <cellStyle name="20 % - Accent5 3 2 4 3 2 2 4 2" xfId="51895"/>
    <cellStyle name="20 % - Accent5 3 2 4 3 2 2 5" xfId="22686"/>
    <cellStyle name="20 % - Accent5 3 2 4 3 2 2 6" xfId="35666"/>
    <cellStyle name="20 % - Accent5 3 2 4 3 2 2 7" xfId="48649"/>
    <cellStyle name="20 % - Accent5 3 2 4 3 2 3" xfId="4793"/>
    <cellStyle name="20 % - Accent5 3 2 4 3 2 3 2" xfId="11325"/>
    <cellStyle name="20 % - Accent5 3 2 4 3 2 3 2 2" xfId="30798"/>
    <cellStyle name="20 % - Accent5 3 2 4 3 2 3 2 3" xfId="43778"/>
    <cellStyle name="20 % - Accent5 3 2 4 3 2 3 2 4" xfId="60007"/>
    <cellStyle name="20 % - Accent5 3 2 4 3 2 3 3" xfId="17818"/>
    <cellStyle name="20 % - Accent5 3 2 4 3 2 3 4" xfId="24308"/>
    <cellStyle name="20 % - Accent5 3 2 4 3 2 3 5" xfId="37288"/>
    <cellStyle name="20 % - Accent5 3 2 4 3 2 3 6" xfId="53517"/>
    <cellStyle name="20 % - Accent5 3 2 4 3 2 4" xfId="8080"/>
    <cellStyle name="20 % - Accent5 3 2 4 3 2 4 2" xfId="27553"/>
    <cellStyle name="20 % - Accent5 3 2 4 3 2 4 3" xfId="40533"/>
    <cellStyle name="20 % - Accent5 3 2 4 3 2 4 4" xfId="56762"/>
    <cellStyle name="20 % - Accent5 3 2 4 3 2 5" xfId="14573"/>
    <cellStyle name="20 % - Accent5 3 2 4 3 2 5 2" xfId="50272"/>
    <cellStyle name="20 % - Accent5 3 2 4 3 2 6" xfId="21063"/>
    <cellStyle name="20 % - Accent5 3 2 4 3 2 7" xfId="34043"/>
    <cellStyle name="20 % - Accent5 3 2 4 3 2 8" xfId="47026"/>
    <cellStyle name="20 % - Accent5 3 2 4 3 3" xfId="2223"/>
    <cellStyle name="20 % - Accent5 3 2 4 3 3 2" xfId="5468"/>
    <cellStyle name="20 % - Accent5 3 2 4 3 3 2 2" xfId="12000"/>
    <cellStyle name="20 % - Accent5 3 2 4 3 3 2 2 2" xfId="31473"/>
    <cellStyle name="20 % - Accent5 3 2 4 3 3 2 2 3" xfId="44453"/>
    <cellStyle name="20 % - Accent5 3 2 4 3 3 2 2 4" xfId="60682"/>
    <cellStyle name="20 % - Accent5 3 2 4 3 3 2 3" xfId="18493"/>
    <cellStyle name="20 % - Accent5 3 2 4 3 3 2 4" xfId="24983"/>
    <cellStyle name="20 % - Accent5 3 2 4 3 3 2 5" xfId="37963"/>
    <cellStyle name="20 % - Accent5 3 2 4 3 3 2 6" xfId="54192"/>
    <cellStyle name="20 % - Accent5 3 2 4 3 3 3" xfId="8755"/>
    <cellStyle name="20 % - Accent5 3 2 4 3 3 3 2" xfId="28228"/>
    <cellStyle name="20 % - Accent5 3 2 4 3 3 3 3" xfId="41208"/>
    <cellStyle name="20 % - Accent5 3 2 4 3 3 3 4" xfId="57437"/>
    <cellStyle name="20 % - Accent5 3 2 4 3 3 4" xfId="15248"/>
    <cellStyle name="20 % - Accent5 3 2 4 3 3 4 2" xfId="50947"/>
    <cellStyle name="20 % - Accent5 3 2 4 3 3 5" xfId="21738"/>
    <cellStyle name="20 % - Accent5 3 2 4 3 3 6" xfId="34718"/>
    <cellStyle name="20 % - Accent5 3 2 4 3 3 7" xfId="47701"/>
    <cellStyle name="20 % - Accent5 3 2 4 3 4" xfId="3845"/>
    <cellStyle name="20 % - Accent5 3 2 4 3 4 2" xfId="10377"/>
    <cellStyle name="20 % - Accent5 3 2 4 3 4 2 2" xfId="29850"/>
    <cellStyle name="20 % - Accent5 3 2 4 3 4 2 3" xfId="42830"/>
    <cellStyle name="20 % - Accent5 3 2 4 3 4 2 4" xfId="59059"/>
    <cellStyle name="20 % - Accent5 3 2 4 3 4 3" xfId="16870"/>
    <cellStyle name="20 % - Accent5 3 2 4 3 4 4" xfId="23360"/>
    <cellStyle name="20 % - Accent5 3 2 4 3 4 5" xfId="36340"/>
    <cellStyle name="20 % - Accent5 3 2 4 3 4 6" xfId="52569"/>
    <cellStyle name="20 % - Accent5 3 2 4 3 5" xfId="7132"/>
    <cellStyle name="20 % - Accent5 3 2 4 3 5 2" xfId="26605"/>
    <cellStyle name="20 % - Accent5 3 2 4 3 5 3" xfId="39585"/>
    <cellStyle name="20 % - Accent5 3 2 4 3 5 4" xfId="55814"/>
    <cellStyle name="20 % - Accent5 3 2 4 3 6" xfId="13625"/>
    <cellStyle name="20 % - Accent5 3 2 4 3 6 2" xfId="49324"/>
    <cellStyle name="20 % - Accent5 3 2 4 3 7" xfId="20115"/>
    <cellStyle name="20 % - Accent5 3 2 4 3 8" xfId="33095"/>
    <cellStyle name="20 % - Accent5 3 2 4 3 9" xfId="46078"/>
    <cellStyle name="20 % - Accent5 3 2 4 4" xfId="1041"/>
    <cellStyle name="20 % - Accent5 3 2 4 4 2" xfId="2708"/>
    <cellStyle name="20 % - Accent5 3 2 4 4 2 2" xfId="5953"/>
    <cellStyle name="20 % - Accent5 3 2 4 4 2 2 2" xfId="12485"/>
    <cellStyle name="20 % - Accent5 3 2 4 4 2 2 2 2" xfId="31958"/>
    <cellStyle name="20 % - Accent5 3 2 4 4 2 2 2 3" xfId="44938"/>
    <cellStyle name="20 % - Accent5 3 2 4 4 2 2 2 4" xfId="61167"/>
    <cellStyle name="20 % - Accent5 3 2 4 4 2 2 3" xfId="18978"/>
    <cellStyle name="20 % - Accent5 3 2 4 4 2 2 4" xfId="25468"/>
    <cellStyle name="20 % - Accent5 3 2 4 4 2 2 5" xfId="38448"/>
    <cellStyle name="20 % - Accent5 3 2 4 4 2 2 6" xfId="54677"/>
    <cellStyle name="20 % - Accent5 3 2 4 4 2 3" xfId="9240"/>
    <cellStyle name="20 % - Accent5 3 2 4 4 2 3 2" xfId="28713"/>
    <cellStyle name="20 % - Accent5 3 2 4 4 2 3 3" xfId="41693"/>
    <cellStyle name="20 % - Accent5 3 2 4 4 2 3 4" xfId="57922"/>
    <cellStyle name="20 % - Accent5 3 2 4 4 2 4" xfId="15733"/>
    <cellStyle name="20 % - Accent5 3 2 4 4 2 4 2" xfId="51432"/>
    <cellStyle name="20 % - Accent5 3 2 4 4 2 5" xfId="22223"/>
    <cellStyle name="20 % - Accent5 3 2 4 4 2 6" xfId="35203"/>
    <cellStyle name="20 % - Accent5 3 2 4 4 2 7" xfId="48186"/>
    <cellStyle name="20 % - Accent5 3 2 4 4 3" xfId="4330"/>
    <cellStyle name="20 % - Accent5 3 2 4 4 3 2" xfId="10862"/>
    <cellStyle name="20 % - Accent5 3 2 4 4 3 2 2" xfId="30335"/>
    <cellStyle name="20 % - Accent5 3 2 4 4 3 2 3" xfId="43315"/>
    <cellStyle name="20 % - Accent5 3 2 4 4 3 2 4" xfId="59544"/>
    <cellStyle name="20 % - Accent5 3 2 4 4 3 3" xfId="17355"/>
    <cellStyle name="20 % - Accent5 3 2 4 4 3 4" xfId="23845"/>
    <cellStyle name="20 % - Accent5 3 2 4 4 3 5" xfId="36825"/>
    <cellStyle name="20 % - Accent5 3 2 4 4 3 6" xfId="53054"/>
    <cellStyle name="20 % - Accent5 3 2 4 4 4" xfId="7617"/>
    <cellStyle name="20 % - Accent5 3 2 4 4 4 2" xfId="27090"/>
    <cellStyle name="20 % - Accent5 3 2 4 4 4 3" xfId="40070"/>
    <cellStyle name="20 % - Accent5 3 2 4 4 4 4" xfId="56299"/>
    <cellStyle name="20 % - Accent5 3 2 4 4 5" xfId="14110"/>
    <cellStyle name="20 % - Accent5 3 2 4 4 5 2" xfId="49809"/>
    <cellStyle name="20 % - Accent5 3 2 4 4 6" xfId="20600"/>
    <cellStyle name="20 % - Accent5 3 2 4 4 7" xfId="33580"/>
    <cellStyle name="20 % - Accent5 3 2 4 4 8" xfId="46563"/>
    <cellStyle name="20 % - Accent5 3 2 4 5" xfId="1994"/>
    <cellStyle name="20 % - Accent5 3 2 4 5 2" xfId="5239"/>
    <cellStyle name="20 % - Accent5 3 2 4 5 2 2" xfId="11771"/>
    <cellStyle name="20 % - Accent5 3 2 4 5 2 2 2" xfId="31244"/>
    <cellStyle name="20 % - Accent5 3 2 4 5 2 2 3" xfId="44224"/>
    <cellStyle name="20 % - Accent5 3 2 4 5 2 2 4" xfId="60453"/>
    <cellStyle name="20 % - Accent5 3 2 4 5 2 3" xfId="18264"/>
    <cellStyle name="20 % - Accent5 3 2 4 5 2 4" xfId="24754"/>
    <cellStyle name="20 % - Accent5 3 2 4 5 2 5" xfId="37734"/>
    <cellStyle name="20 % - Accent5 3 2 4 5 2 6" xfId="53963"/>
    <cellStyle name="20 % - Accent5 3 2 4 5 3" xfId="8526"/>
    <cellStyle name="20 % - Accent5 3 2 4 5 3 2" xfId="27999"/>
    <cellStyle name="20 % - Accent5 3 2 4 5 3 3" xfId="40979"/>
    <cellStyle name="20 % - Accent5 3 2 4 5 3 4" xfId="57208"/>
    <cellStyle name="20 % - Accent5 3 2 4 5 4" xfId="15019"/>
    <cellStyle name="20 % - Accent5 3 2 4 5 4 2" xfId="50718"/>
    <cellStyle name="20 % - Accent5 3 2 4 5 5" xfId="21509"/>
    <cellStyle name="20 % - Accent5 3 2 4 5 6" xfId="34489"/>
    <cellStyle name="20 % - Accent5 3 2 4 5 7" xfId="47472"/>
    <cellStyle name="20 % - Accent5 3 2 4 6" xfId="3615"/>
    <cellStyle name="20 % - Accent5 3 2 4 6 2" xfId="10147"/>
    <cellStyle name="20 % - Accent5 3 2 4 6 2 2" xfId="29620"/>
    <cellStyle name="20 % - Accent5 3 2 4 6 2 3" xfId="42600"/>
    <cellStyle name="20 % - Accent5 3 2 4 6 2 4" xfId="58829"/>
    <cellStyle name="20 % - Accent5 3 2 4 6 3" xfId="16640"/>
    <cellStyle name="20 % - Accent5 3 2 4 6 4" xfId="23130"/>
    <cellStyle name="20 % - Accent5 3 2 4 6 5" xfId="36110"/>
    <cellStyle name="20 % - Accent5 3 2 4 6 6" xfId="52339"/>
    <cellStyle name="20 % - Accent5 3 2 4 7" xfId="6902"/>
    <cellStyle name="20 % - Accent5 3 2 4 7 2" xfId="26375"/>
    <cellStyle name="20 % - Accent5 3 2 4 7 3" xfId="39355"/>
    <cellStyle name="20 % - Accent5 3 2 4 7 4" xfId="55584"/>
    <cellStyle name="20 % - Accent5 3 2 4 8" xfId="13395"/>
    <cellStyle name="20 % - Accent5 3 2 4 8 2" xfId="49094"/>
    <cellStyle name="20 % - Accent5 3 2 4 9" xfId="19885"/>
    <cellStyle name="20 % - Accent5 3 2 5" xfId="653"/>
    <cellStyle name="20 % - Accent5 3 2 5 10" xfId="46176"/>
    <cellStyle name="20 % - Accent5 3 2 5 2" xfId="1592"/>
    <cellStyle name="20 % - Accent5 3 2 5 2 2" xfId="3259"/>
    <cellStyle name="20 % - Accent5 3 2 5 2 2 2" xfId="6504"/>
    <cellStyle name="20 % - Accent5 3 2 5 2 2 2 2" xfId="13036"/>
    <cellStyle name="20 % - Accent5 3 2 5 2 2 2 2 2" xfId="32509"/>
    <cellStyle name="20 % - Accent5 3 2 5 2 2 2 2 3" xfId="45489"/>
    <cellStyle name="20 % - Accent5 3 2 5 2 2 2 2 4" xfId="61718"/>
    <cellStyle name="20 % - Accent5 3 2 5 2 2 2 3" xfId="19529"/>
    <cellStyle name="20 % - Accent5 3 2 5 2 2 2 4" xfId="26019"/>
    <cellStyle name="20 % - Accent5 3 2 5 2 2 2 5" xfId="38999"/>
    <cellStyle name="20 % - Accent5 3 2 5 2 2 2 6" xfId="55228"/>
    <cellStyle name="20 % - Accent5 3 2 5 2 2 3" xfId="9791"/>
    <cellStyle name="20 % - Accent5 3 2 5 2 2 3 2" xfId="29264"/>
    <cellStyle name="20 % - Accent5 3 2 5 2 2 3 3" xfId="42244"/>
    <cellStyle name="20 % - Accent5 3 2 5 2 2 3 4" xfId="58473"/>
    <cellStyle name="20 % - Accent5 3 2 5 2 2 4" xfId="16284"/>
    <cellStyle name="20 % - Accent5 3 2 5 2 2 4 2" xfId="51983"/>
    <cellStyle name="20 % - Accent5 3 2 5 2 2 5" xfId="22774"/>
    <cellStyle name="20 % - Accent5 3 2 5 2 2 6" xfId="35754"/>
    <cellStyle name="20 % - Accent5 3 2 5 2 2 7" xfId="48737"/>
    <cellStyle name="20 % - Accent5 3 2 5 2 3" xfId="4881"/>
    <cellStyle name="20 % - Accent5 3 2 5 2 3 2" xfId="11413"/>
    <cellStyle name="20 % - Accent5 3 2 5 2 3 2 2" xfId="30886"/>
    <cellStyle name="20 % - Accent5 3 2 5 2 3 2 3" xfId="43866"/>
    <cellStyle name="20 % - Accent5 3 2 5 2 3 2 4" xfId="60095"/>
    <cellStyle name="20 % - Accent5 3 2 5 2 3 3" xfId="17906"/>
    <cellStyle name="20 % - Accent5 3 2 5 2 3 4" xfId="24396"/>
    <cellStyle name="20 % - Accent5 3 2 5 2 3 5" xfId="37376"/>
    <cellStyle name="20 % - Accent5 3 2 5 2 3 6" xfId="53605"/>
    <cellStyle name="20 % - Accent5 3 2 5 2 4" xfId="8168"/>
    <cellStyle name="20 % - Accent5 3 2 5 2 4 2" xfId="27641"/>
    <cellStyle name="20 % - Accent5 3 2 5 2 4 3" xfId="40621"/>
    <cellStyle name="20 % - Accent5 3 2 5 2 4 4" xfId="56850"/>
    <cellStyle name="20 % - Accent5 3 2 5 2 5" xfId="14661"/>
    <cellStyle name="20 % - Accent5 3 2 5 2 5 2" xfId="50360"/>
    <cellStyle name="20 % - Accent5 3 2 5 2 6" xfId="21151"/>
    <cellStyle name="20 % - Accent5 3 2 5 2 7" xfId="34131"/>
    <cellStyle name="20 % - Accent5 3 2 5 2 8" xfId="47114"/>
    <cellStyle name="20 % - Accent5 3 2 5 3" xfId="1129"/>
    <cellStyle name="20 % - Accent5 3 2 5 3 2" xfId="2796"/>
    <cellStyle name="20 % - Accent5 3 2 5 3 2 2" xfId="6041"/>
    <cellStyle name="20 % - Accent5 3 2 5 3 2 2 2" xfId="12573"/>
    <cellStyle name="20 % - Accent5 3 2 5 3 2 2 2 2" xfId="32046"/>
    <cellStyle name="20 % - Accent5 3 2 5 3 2 2 2 3" xfId="45026"/>
    <cellStyle name="20 % - Accent5 3 2 5 3 2 2 2 4" xfId="61255"/>
    <cellStyle name="20 % - Accent5 3 2 5 3 2 2 3" xfId="19066"/>
    <cellStyle name="20 % - Accent5 3 2 5 3 2 2 4" xfId="25556"/>
    <cellStyle name="20 % - Accent5 3 2 5 3 2 2 5" xfId="38536"/>
    <cellStyle name="20 % - Accent5 3 2 5 3 2 2 6" xfId="54765"/>
    <cellStyle name="20 % - Accent5 3 2 5 3 2 3" xfId="9328"/>
    <cellStyle name="20 % - Accent5 3 2 5 3 2 3 2" xfId="28801"/>
    <cellStyle name="20 % - Accent5 3 2 5 3 2 3 3" xfId="41781"/>
    <cellStyle name="20 % - Accent5 3 2 5 3 2 3 4" xfId="58010"/>
    <cellStyle name="20 % - Accent5 3 2 5 3 2 4" xfId="15821"/>
    <cellStyle name="20 % - Accent5 3 2 5 3 2 4 2" xfId="51520"/>
    <cellStyle name="20 % - Accent5 3 2 5 3 2 5" xfId="22311"/>
    <cellStyle name="20 % - Accent5 3 2 5 3 2 6" xfId="35291"/>
    <cellStyle name="20 % - Accent5 3 2 5 3 2 7" xfId="48274"/>
    <cellStyle name="20 % - Accent5 3 2 5 3 3" xfId="4418"/>
    <cellStyle name="20 % - Accent5 3 2 5 3 3 2" xfId="10950"/>
    <cellStyle name="20 % - Accent5 3 2 5 3 3 2 2" xfId="30423"/>
    <cellStyle name="20 % - Accent5 3 2 5 3 3 2 3" xfId="43403"/>
    <cellStyle name="20 % - Accent5 3 2 5 3 3 2 4" xfId="59632"/>
    <cellStyle name="20 % - Accent5 3 2 5 3 3 3" xfId="17443"/>
    <cellStyle name="20 % - Accent5 3 2 5 3 3 4" xfId="23933"/>
    <cellStyle name="20 % - Accent5 3 2 5 3 3 5" xfId="36913"/>
    <cellStyle name="20 % - Accent5 3 2 5 3 3 6" xfId="53142"/>
    <cellStyle name="20 % - Accent5 3 2 5 3 4" xfId="7705"/>
    <cellStyle name="20 % - Accent5 3 2 5 3 4 2" xfId="27178"/>
    <cellStyle name="20 % - Accent5 3 2 5 3 4 3" xfId="40158"/>
    <cellStyle name="20 % - Accent5 3 2 5 3 4 4" xfId="56387"/>
    <cellStyle name="20 % - Accent5 3 2 5 3 5" xfId="14198"/>
    <cellStyle name="20 % - Accent5 3 2 5 3 5 2" xfId="49897"/>
    <cellStyle name="20 % - Accent5 3 2 5 3 6" xfId="20688"/>
    <cellStyle name="20 % - Accent5 3 2 5 3 7" xfId="33668"/>
    <cellStyle name="20 % - Accent5 3 2 5 3 8" xfId="46651"/>
    <cellStyle name="20 % - Accent5 3 2 5 4" xfId="2321"/>
    <cellStyle name="20 % - Accent5 3 2 5 4 2" xfId="5566"/>
    <cellStyle name="20 % - Accent5 3 2 5 4 2 2" xfId="12098"/>
    <cellStyle name="20 % - Accent5 3 2 5 4 2 2 2" xfId="31571"/>
    <cellStyle name="20 % - Accent5 3 2 5 4 2 2 3" xfId="44551"/>
    <cellStyle name="20 % - Accent5 3 2 5 4 2 2 4" xfId="60780"/>
    <cellStyle name="20 % - Accent5 3 2 5 4 2 3" xfId="18591"/>
    <cellStyle name="20 % - Accent5 3 2 5 4 2 4" xfId="25081"/>
    <cellStyle name="20 % - Accent5 3 2 5 4 2 5" xfId="38061"/>
    <cellStyle name="20 % - Accent5 3 2 5 4 2 6" xfId="54290"/>
    <cellStyle name="20 % - Accent5 3 2 5 4 3" xfId="8853"/>
    <cellStyle name="20 % - Accent5 3 2 5 4 3 2" xfId="28326"/>
    <cellStyle name="20 % - Accent5 3 2 5 4 3 3" xfId="41306"/>
    <cellStyle name="20 % - Accent5 3 2 5 4 3 4" xfId="57535"/>
    <cellStyle name="20 % - Accent5 3 2 5 4 4" xfId="15346"/>
    <cellStyle name="20 % - Accent5 3 2 5 4 4 2" xfId="51045"/>
    <cellStyle name="20 % - Accent5 3 2 5 4 5" xfId="21836"/>
    <cellStyle name="20 % - Accent5 3 2 5 4 6" xfId="34816"/>
    <cellStyle name="20 % - Accent5 3 2 5 4 7" xfId="47799"/>
    <cellStyle name="20 % - Accent5 3 2 5 5" xfId="3943"/>
    <cellStyle name="20 % - Accent5 3 2 5 5 2" xfId="10475"/>
    <cellStyle name="20 % - Accent5 3 2 5 5 2 2" xfId="29948"/>
    <cellStyle name="20 % - Accent5 3 2 5 5 2 3" xfId="42928"/>
    <cellStyle name="20 % - Accent5 3 2 5 5 2 4" xfId="59157"/>
    <cellStyle name="20 % - Accent5 3 2 5 5 3" xfId="16968"/>
    <cellStyle name="20 % - Accent5 3 2 5 5 4" xfId="23458"/>
    <cellStyle name="20 % - Accent5 3 2 5 5 5" xfId="36438"/>
    <cellStyle name="20 % - Accent5 3 2 5 5 6" xfId="52667"/>
    <cellStyle name="20 % - Accent5 3 2 5 6" xfId="7230"/>
    <cellStyle name="20 % - Accent5 3 2 5 6 2" xfId="26703"/>
    <cellStyle name="20 % - Accent5 3 2 5 6 3" xfId="39683"/>
    <cellStyle name="20 % - Accent5 3 2 5 6 4" xfId="55912"/>
    <cellStyle name="20 % - Accent5 3 2 5 7" xfId="13723"/>
    <cellStyle name="20 % - Accent5 3 2 5 7 2" xfId="49422"/>
    <cellStyle name="20 % - Accent5 3 2 5 8" xfId="20213"/>
    <cellStyle name="20 % - Accent5 3 2 5 9" xfId="33193"/>
    <cellStyle name="20 % - Accent5 3 2 6" xfId="423"/>
    <cellStyle name="20 % - Accent5 3 2 6 2" xfId="1372"/>
    <cellStyle name="20 % - Accent5 3 2 6 2 2" xfId="3039"/>
    <cellStyle name="20 % - Accent5 3 2 6 2 2 2" xfId="6284"/>
    <cellStyle name="20 % - Accent5 3 2 6 2 2 2 2" xfId="12816"/>
    <cellStyle name="20 % - Accent5 3 2 6 2 2 2 2 2" xfId="32289"/>
    <cellStyle name="20 % - Accent5 3 2 6 2 2 2 2 3" xfId="45269"/>
    <cellStyle name="20 % - Accent5 3 2 6 2 2 2 2 4" xfId="61498"/>
    <cellStyle name="20 % - Accent5 3 2 6 2 2 2 3" xfId="19309"/>
    <cellStyle name="20 % - Accent5 3 2 6 2 2 2 4" xfId="25799"/>
    <cellStyle name="20 % - Accent5 3 2 6 2 2 2 5" xfId="38779"/>
    <cellStyle name="20 % - Accent5 3 2 6 2 2 2 6" xfId="55008"/>
    <cellStyle name="20 % - Accent5 3 2 6 2 2 3" xfId="9571"/>
    <cellStyle name="20 % - Accent5 3 2 6 2 2 3 2" xfId="29044"/>
    <cellStyle name="20 % - Accent5 3 2 6 2 2 3 3" xfId="42024"/>
    <cellStyle name="20 % - Accent5 3 2 6 2 2 3 4" xfId="58253"/>
    <cellStyle name="20 % - Accent5 3 2 6 2 2 4" xfId="16064"/>
    <cellStyle name="20 % - Accent5 3 2 6 2 2 4 2" xfId="51763"/>
    <cellStyle name="20 % - Accent5 3 2 6 2 2 5" xfId="22554"/>
    <cellStyle name="20 % - Accent5 3 2 6 2 2 6" xfId="35534"/>
    <cellStyle name="20 % - Accent5 3 2 6 2 2 7" xfId="48517"/>
    <cellStyle name="20 % - Accent5 3 2 6 2 3" xfId="4661"/>
    <cellStyle name="20 % - Accent5 3 2 6 2 3 2" xfId="11193"/>
    <cellStyle name="20 % - Accent5 3 2 6 2 3 2 2" xfId="30666"/>
    <cellStyle name="20 % - Accent5 3 2 6 2 3 2 3" xfId="43646"/>
    <cellStyle name="20 % - Accent5 3 2 6 2 3 2 4" xfId="59875"/>
    <cellStyle name="20 % - Accent5 3 2 6 2 3 3" xfId="17686"/>
    <cellStyle name="20 % - Accent5 3 2 6 2 3 4" xfId="24176"/>
    <cellStyle name="20 % - Accent5 3 2 6 2 3 5" xfId="37156"/>
    <cellStyle name="20 % - Accent5 3 2 6 2 3 6" xfId="53385"/>
    <cellStyle name="20 % - Accent5 3 2 6 2 4" xfId="7948"/>
    <cellStyle name="20 % - Accent5 3 2 6 2 4 2" xfId="27421"/>
    <cellStyle name="20 % - Accent5 3 2 6 2 4 3" xfId="40401"/>
    <cellStyle name="20 % - Accent5 3 2 6 2 4 4" xfId="56630"/>
    <cellStyle name="20 % - Accent5 3 2 6 2 5" xfId="14441"/>
    <cellStyle name="20 % - Accent5 3 2 6 2 5 2" xfId="50140"/>
    <cellStyle name="20 % - Accent5 3 2 6 2 6" xfId="20931"/>
    <cellStyle name="20 % - Accent5 3 2 6 2 7" xfId="33911"/>
    <cellStyle name="20 % - Accent5 3 2 6 2 8" xfId="46894"/>
    <cellStyle name="20 % - Accent5 3 2 6 3" xfId="2091"/>
    <cellStyle name="20 % - Accent5 3 2 6 3 2" xfId="5336"/>
    <cellStyle name="20 % - Accent5 3 2 6 3 2 2" xfId="11868"/>
    <cellStyle name="20 % - Accent5 3 2 6 3 2 2 2" xfId="31341"/>
    <cellStyle name="20 % - Accent5 3 2 6 3 2 2 3" xfId="44321"/>
    <cellStyle name="20 % - Accent5 3 2 6 3 2 2 4" xfId="60550"/>
    <cellStyle name="20 % - Accent5 3 2 6 3 2 3" xfId="18361"/>
    <cellStyle name="20 % - Accent5 3 2 6 3 2 4" xfId="24851"/>
    <cellStyle name="20 % - Accent5 3 2 6 3 2 5" xfId="37831"/>
    <cellStyle name="20 % - Accent5 3 2 6 3 2 6" xfId="54060"/>
    <cellStyle name="20 % - Accent5 3 2 6 3 3" xfId="8623"/>
    <cellStyle name="20 % - Accent5 3 2 6 3 3 2" xfId="28096"/>
    <cellStyle name="20 % - Accent5 3 2 6 3 3 3" xfId="41076"/>
    <cellStyle name="20 % - Accent5 3 2 6 3 3 4" xfId="57305"/>
    <cellStyle name="20 % - Accent5 3 2 6 3 4" xfId="15116"/>
    <cellStyle name="20 % - Accent5 3 2 6 3 4 2" xfId="50815"/>
    <cellStyle name="20 % - Accent5 3 2 6 3 5" xfId="21606"/>
    <cellStyle name="20 % - Accent5 3 2 6 3 6" xfId="34586"/>
    <cellStyle name="20 % - Accent5 3 2 6 3 7" xfId="47569"/>
    <cellStyle name="20 % - Accent5 3 2 6 4" xfId="3713"/>
    <cellStyle name="20 % - Accent5 3 2 6 4 2" xfId="10245"/>
    <cellStyle name="20 % - Accent5 3 2 6 4 2 2" xfId="29718"/>
    <cellStyle name="20 % - Accent5 3 2 6 4 2 3" xfId="42698"/>
    <cellStyle name="20 % - Accent5 3 2 6 4 2 4" xfId="58927"/>
    <cellStyle name="20 % - Accent5 3 2 6 4 3" xfId="16738"/>
    <cellStyle name="20 % - Accent5 3 2 6 4 4" xfId="23228"/>
    <cellStyle name="20 % - Accent5 3 2 6 4 5" xfId="36208"/>
    <cellStyle name="20 % - Accent5 3 2 6 4 6" xfId="52437"/>
    <cellStyle name="20 % - Accent5 3 2 6 5" xfId="7000"/>
    <cellStyle name="20 % - Accent5 3 2 6 5 2" xfId="26473"/>
    <cellStyle name="20 % - Accent5 3 2 6 5 3" xfId="39453"/>
    <cellStyle name="20 % - Accent5 3 2 6 5 4" xfId="55682"/>
    <cellStyle name="20 % - Accent5 3 2 6 6" xfId="13493"/>
    <cellStyle name="20 % - Accent5 3 2 6 6 2" xfId="49192"/>
    <cellStyle name="20 % - Accent5 3 2 6 7" xfId="19983"/>
    <cellStyle name="20 % - Accent5 3 2 6 8" xfId="32963"/>
    <cellStyle name="20 % - Accent5 3 2 6 9" xfId="45946"/>
    <cellStyle name="20 % - Accent5 3 2 7" xfId="909"/>
    <cellStyle name="20 % - Accent5 3 2 7 2" xfId="2576"/>
    <cellStyle name="20 % - Accent5 3 2 7 2 2" xfId="5821"/>
    <cellStyle name="20 % - Accent5 3 2 7 2 2 2" xfId="12353"/>
    <cellStyle name="20 % - Accent5 3 2 7 2 2 2 2" xfId="31826"/>
    <cellStyle name="20 % - Accent5 3 2 7 2 2 2 3" xfId="44806"/>
    <cellStyle name="20 % - Accent5 3 2 7 2 2 2 4" xfId="61035"/>
    <cellStyle name="20 % - Accent5 3 2 7 2 2 3" xfId="18846"/>
    <cellStyle name="20 % - Accent5 3 2 7 2 2 4" xfId="25336"/>
    <cellStyle name="20 % - Accent5 3 2 7 2 2 5" xfId="38316"/>
    <cellStyle name="20 % - Accent5 3 2 7 2 2 6" xfId="54545"/>
    <cellStyle name="20 % - Accent5 3 2 7 2 3" xfId="9108"/>
    <cellStyle name="20 % - Accent5 3 2 7 2 3 2" xfId="28581"/>
    <cellStyle name="20 % - Accent5 3 2 7 2 3 3" xfId="41561"/>
    <cellStyle name="20 % - Accent5 3 2 7 2 3 4" xfId="57790"/>
    <cellStyle name="20 % - Accent5 3 2 7 2 4" xfId="15601"/>
    <cellStyle name="20 % - Accent5 3 2 7 2 4 2" xfId="51300"/>
    <cellStyle name="20 % - Accent5 3 2 7 2 5" xfId="22091"/>
    <cellStyle name="20 % - Accent5 3 2 7 2 6" xfId="35071"/>
    <cellStyle name="20 % - Accent5 3 2 7 2 7" xfId="48054"/>
    <cellStyle name="20 % - Accent5 3 2 7 3" xfId="4198"/>
    <cellStyle name="20 % - Accent5 3 2 7 3 2" xfId="10730"/>
    <cellStyle name="20 % - Accent5 3 2 7 3 2 2" xfId="30203"/>
    <cellStyle name="20 % - Accent5 3 2 7 3 2 3" xfId="43183"/>
    <cellStyle name="20 % - Accent5 3 2 7 3 2 4" xfId="59412"/>
    <cellStyle name="20 % - Accent5 3 2 7 3 3" xfId="17223"/>
    <cellStyle name="20 % - Accent5 3 2 7 3 4" xfId="23713"/>
    <cellStyle name="20 % - Accent5 3 2 7 3 5" xfId="36693"/>
    <cellStyle name="20 % - Accent5 3 2 7 3 6" xfId="52922"/>
    <cellStyle name="20 % - Accent5 3 2 7 4" xfId="7485"/>
    <cellStyle name="20 % - Accent5 3 2 7 4 2" xfId="26958"/>
    <cellStyle name="20 % - Accent5 3 2 7 4 3" xfId="39938"/>
    <cellStyle name="20 % - Accent5 3 2 7 4 4" xfId="56167"/>
    <cellStyle name="20 % - Accent5 3 2 7 5" xfId="13978"/>
    <cellStyle name="20 % - Accent5 3 2 7 5 2" xfId="49677"/>
    <cellStyle name="20 % - Accent5 3 2 7 6" xfId="20468"/>
    <cellStyle name="20 % - Accent5 3 2 7 7" xfId="33448"/>
    <cellStyle name="20 % - Accent5 3 2 7 8" xfId="46431"/>
    <cellStyle name="20 % - Accent5 3 2 8" xfId="1862"/>
    <cellStyle name="20 % - Accent5 3 2 8 2" xfId="5107"/>
    <cellStyle name="20 % - Accent5 3 2 8 2 2" xfId="11639"/>
    <cellStyle name="20 % - Accent5 3 2 8 2 2 2" xfId="31112"/>
    <cellStyle name="20 % - Accent5 3 2 8 2 2 3" xfId="44092"/>
    <cellStyle name="20 % - Accent5 3 2 8 2 2 4" xfId="60321"/>
    <cellStyle name="20 % - Accent5 3 2 8 2 3" xfId="18132"/>
    <cellStyle name="20 % - Accent5 3 2 8 2 4" xfId="24622"/>
    <cellStyle name="20 % - Accent5 3 2 8 2 5" xfId="37602"/>
    <cellStyle name="20 % - Accent5 3 2 8 2 6" xfId="53831"/>
    <cellStyle name="20 % - Accent5 3 2 8 3" xfId="8394"/>
    <cellStyle name="20 % - Accent5 3 2 8 3 2" xfId="27867"/>
    <cellStyle name="20 % - Accent5 3 2 8 3 3" xfId="40847"/>
    <cellStyle name="20 % - Accent5 3 2 8 3 4" xfId="57076"/>
    <cellStyle name="20 % - Accent5 3 2 8 4" xfId="14887"/>
    <cellStyle name="20 % - Accent5 3 2 8 4 2" xfId="50586"/>
    <cellStyle name="20 % - Accent5 3 2 8 5" xfId="21377"/>
    <cellStyle name="20 % - Accent5 3 2 8 6" xfId="34357"/>
    <cellStyle name="20 % - Accent5 3 2 8 7" xfId="47340"/>
    <cellStyle name="20 % - Accent5 3 2 9" xfId="3483"/>
    <cellStyle name="20 % - Accent5 3 2 9 2" xfId="10015"/>
    <cellStyle name="20 % - Accent5 3 2 9 2 2" xfId="29488"/>
    <cellStyle name="20 % - Accent5 3 2 9 2 3" xfId="42468"/>
    <cellStyle name="20 % - Accent5 3 2 9 2 4" xfId="58697"/>
    <cellStyle name="20 % - Accent5 3 2 9 3" xfId="16508"/>
    <cellStyle name="20 % - Accent5 3 2 9 4" xfId="22998"/>
    <cellStyle name="20 % - Accent5 3 2 9 5" xfId="35978"/>
    <cellStyle name="20 % - Accent5 3 2 9 6" xfId="52207"/>
    <cellStyle name="20 % - Accent5 3 3" xfId="255"/>
    <cellStyle name="20 % - Accent5 3 3 10" xfId="19819"/>
    <cellStyle name="20 % - Accent5 3 3 11" xfId="32799"/>
    <cellStyle name="20 % - Accent5 3 3 12" xfId="45782"/>
    <cellStyle name="20 % - Accent5 3 3 2" xfId="343"/>
    <cellStyle name="20 % - Accent5 3 3 2 10" xfId="32887"/>
    <cellStyle name="20 % - Accent5 3 3 2 11" xfId="45870"/>
    <cellStyle name="20 % - Accent5 3 3 2 2" xfId="807"/>
    <cellStyle name="20 % - Accent5 3 3 2 2 10" xfId="46330"/>
    <cellStyle name="20 % - Accent5 3 3 2 2 2" xfId="1746"/>
    <cellStyle name="20 % - Accent5 3 3 2 2 2 2" xfId="3413"/>
    <cellStyle name="20 % - Accent5 3 3 2 2 2 2 2" xfId="6658"/>
    <cellStyle name="20 % - Accent5 3 3 2 2 2 2 2 2" xfId="13190"/>
    <cellStyle name="20 % - Accent5 3 3 2 2 2 2 2 2 2" xfId="32663"/>
    <cellStyle name="20 % - Accent5 3 3 2 2 2 2 2 2 3" xfId="45643"/>
    <cellStyle name="20 % - Accent5 3 3 2 2 2 2 2 2 4" xfId="61872"/>
    <cellStyle name="20 % - Accent5 3 3 2 2 2 2 2 3" xfId="19683"/>
    <cellStyle name="20 % - Accent5 3 3 2 2 2 2 2 4" xfId="26173"/>
    <cellStyle name="20 % - Accent5 3 3 2 2 2 2 2 5" xfId="39153"/>
    <cellStyle name="20 % - Accent5 3 3 2 2 2 2 2 6" xfId="55382"/>
    <cellStyle name="20 % - Accent5 3 3 2 2 2 2 3" xfId="9945"/>
    <cellStyle name="20 % - Accent5 3 3 2 2 2 2 3 2" xfId="29418"/>
    <cellStyle name="20 % - Accent5 3 3 2 2 2 2 3 3" xfId="42398"/>
    <cellStyle name="20 % - Accent5 3 3 2 2 2 2 3 4" xfId="58627"/>
    <cellStyle name="20 % - Accent5 3 3 2 2 2 2 4" xfId="16438"/>
    <cellStyle name="20 % - Accent5 3 3 2 2 2 2 4 2" xfId="52137"/>
    <cellStyle name="20 % - Accent5 3 3 2 2 2 2 5" xfId="22928"/>
    <cellStyle name="20 % - Accent5 3 3 2 2 2 2 6" xfId="35908"/>
    <cellStyle name="20 % - Accent5 3 3 2 2 2 2 7" xfId="48891"/>
    <cellStyle name="20 % - Accent5 3 3 2 2 2 3" xfId="5035"/>
    <cellStyle name="20 % - Accent5 3 3 2 2 2 3 2" xfId="11567"/>
    <cellStyle name="20 % - Accent5 3 3 2 2 2 3 2 2" xfId="31040"/>
    <cellStyle name="20 % - Accent5 3 3 2 2 2 3 2 3" xfId="44020"/>
    <cellStyle name="20 % - Accent5 3 3 2 2 2 3 2 4" xfId="60249"/>
    <cellStyle name="20 % - Accent5 3 3 2 2 2 3 3" xfId="18060"/>
    <cellStyle name="20 % - Accent5 3 3 2 2 2 3 4" xfId="24550"/>
    <cellStyle name="20 % - Accent5 3 3 2 2 2 3 5" xfId="37530"/>
    <cellStyle name="20 % - Accent5 3 3 2 2 2 3 6" xfId="53759"/>
    <cellStyle name="20 % - Accent5 3 3 2 2 2 4" xfId="8322"/>
    <cellStyle name="20 % - Accent5 3 3 2 2 2 4 2" xfId="27795"/>
    <cellStyle name="20 % - Accent5 3 3 2 2 2 4 3" xfId="40775"/>
    <cellStyle name="20 % - Accent5 3 3 2 2 2 4 4" xfId="57004"/>
    <cellStyle name="20 % - Accent5 3 3 2 2 2 5" xfId="14815"/>
    <cellStyle name="20 % - Accent5 3 3 2 2 2 5 2" xfId="50514"/>
    <cellStyle name="20 % - Accent5 3 3 2 2 2 6" xfId="21305"/>
    <cellStyle name="20 % - Accent5 3 3 2 2 2 7" xfId="34285"/>
    <cellStyle name="20 % - Accent5 3 3 2 2 2 8" xfId="47268"/>
    <cellStyle name="20 % - Accent5 3 3 2 2 3" xfId="1283"/>
    <cellStyle name="20 % - Accent5 3 3 2 2 3 2" xfId="2950"/>
    <cellStyle name="20 % - Accent5 3 3 2 2 3 2 2" xfId="6195"/>
    <cellStyle name="20 % - Accent5 3 3 2 2 3 2 2 2" xfId="12727"/>
    <cellStyle name="20 % - Accent5 3 3 2 2 3 2 2 2 2" xfId="32200"/>
    <cellStyle name="20 % - Accent5 3 3 2 2 3 2 2 2 3" xfId="45180"/>
    <cellStyle name="20 % - Accent5 3 3 2 2 3 2 2 2 4" xfId="61409"/>
    <cellStyle name="20 % - Accent5 3 3 2 2 3 2 2 3" xfId="19220"/>
    <cellStyle name="20 % - Accent5 3 3 2 2 3 2 2 4" xfId="25710"/>
    <cellStyle name="20 % - Accent5 3 3 2 2 3 2 2 5" xfId="38690"/>
    <cellStyle name="20 % - Accent5 3 3 2 2 3 2 2 6" xfId="54919"/>
    <cellStyle name="20 % - Accent5 3 3 2 2 3 2 3" xfId="9482"/>
    <cellStyle name="20 % - Accent5 3 3 2 2 3 2 3 2" xfId="28955"/>
    <cellStyle name="20 % - Accent5 3 3 2 2 3 2 3 3" xfId="41935"/>
    <cellStyle name="20 % - Accent5 3 3 2 2 3 2 3 4" xfId="58164"/>
    <cellStyle name="20 % - Accent5 3 3 2 2 3 2 4" xfId="15975"/>
    <cellStyle name="20 % - Accent5 3 3 2 2 3 2 4 2" xfId="51674"/>
    <cellStyle name="20 % - Accent5 3 3 2 2 3 2 5" xfId="22465"/>
    <cellStyle name="20 % - Accent5 3 3 2 2 3 2 6" xfId="35445"/>
    <cellStyle name="20 % - Accent5 3 3 2 2 3 2 7" xfId="48428"/>
    <cellStyle name="20 % - Accent5 3 3 2 2 3 3" xfId="4572"/>
    <cellStyle name="20 % - Accent5 3 3 2 2 3 3 2" xfId="11104"/>
    <cellStyle name="20 % - Accent5 3 3 2 2 3 3 2 2" xfId="30577"/>
    <cellStyle name="20 % - Accent5 3 3 2 2 3 3 2 3" xfId="43557"/>
    <cellStyle name="20 % - Accent5 3 3 2 2 3 3 2 4" xfId="59786"/>
    <cellStyle name="20 % - Accent5 3 3 2 2 3 3 3" xfId="17597"/>
    <cellStyle name="20 % - Accent5 3 3 2 2 3 3 4" xfId="24087"/>
    <cellStyle name="20 % - Accent5 3 3 2 2 3 3 5" xfId="37067"/>
    <cellStyle name="20 % - Accent5 3 3 2 2 3 3 6" xfId="53296"/>
    <cellStyle name="20 % - Accent5 3 3 2 2 3 4" xfId="7859"/>
    <cellStyle name="20 % - Accent5 3 3 2 2 3 4 2" xfId="27332"/>
    <cellStyle name="20 % - Accent5 3 3 2 2 3 4 3" xfId="40312"/>
    <cellStyle name="20 % - Accent5 3 3 2 2 3 4 4" xfId="56541"/>
    <cellStyle name="20 % - Accent5 3 3 2 2 3 5" xfId="14352"/>
    <cellStyle name="20 % - Accent5 3 3 2 2 3 5 2" xfId="50051"/>
    <cellStyle name="20 % - Accent5 3 3 2 2 3 6" xfId="20842"/>
    <cellStyle name="20 % - Accent5 3 3 2 2 3 7" xfId="33822"/>
    <cellStyle name="20 % - Accent5 3 3 2 2 3 8" xfId="46805"/>
    <cellStyle name="20 % - Accent5 3 3 2 2 4" xfId="2475"/>
    <cellStyle name="20 % - Accent5 3 3 2 2 4 2" xfId="5720"/>
    <cellStyle name="20 % - Accent5 3 3 2 2 4 2 2" xfId="12252"/>
    <cellStyle name="20 % - Accent5 3 3 2 2 4 2 2 2" xfId="31725"/>
    <cellStyle name="20 % - Accent5 3 3 2 2 4 2 2 3" xfId="44705"/>
    <cellStyle name="20 % - Accent5 3 3 2 2 4 2 2 4" xfId="60934"/>
    <cellStyle name="20 % - Accent5 3 3 2 2 4 2 3" xfId="18745"/>
    <cellStyle name="20 % - Accent5 3 3 2 2 4 2 4" xfId="25235"/>
    <cellStyle name="20 % - Accent5 3 3 2 2 4 2 5" xfId="38215"/>
    <cellStyle name="20 % - Accent5 3 3 2 2 4 2 6" xfId="54444"/>
    <cellStyle name="20 % - Accent5 3 3 2 2 4 3" xfId="9007"/>
    <cellStyle name="20 % - Accent5 3 3 2 2 4 3 2" xfId="28480"/>
    <cellStyle name="20 % - Accent5 3 3 2 2 4 3 3" xfId="41460"/>
    <cellStyle name="20 % - Accent5 3 3 2 2 4 3 4" xfId="57689"/>
    <cellStyle name="20 % - Accent5 3 3 2 2 4 4" xfId="15500"/>
    <cellStyle name="20 % - Accent5 3 3 2 2 4 4 2" xfId="51199"/>
    <cellStyle name="20 % - Accent5 3 3 2 2 4 5" xfId="21990"/>
    <cellStyle name="20 % - Accent5 3 3 2 2 4 6" xfId="34970"/>
    <cellStyle name="20 % - Accent5 3 3 2 2 4 7" xfId="47953"/>
    <cellStyle name="20 % - Accent5 3 3 2 2 5" xfId="4097"/>
    <cellStyle name="20 % - Accent5 3 3 2 2 5 2" xfId="10629"/>
    <cellStyle name="20 % - Accent5 3 3 2 2 5 2 2" xfId="30102"/>
    <cellStyle name="20 % - Accent5 3 3 2 2 5 2 3" xfId="43082"/>
    <cellStyle name="20 % - Accent5 3 3 2 2 5 2 4" xfId="59311"/>
    <cellStyle name="20 % - Accent5 3 3 2 2 5 3" xfId="17122"/>
    <cellStyle name="20 % - Accent5 3 3 2 2 5 4" xfId="23612"/>
    <cellStyle name="20 % - Accent5 3 3 2 2 5 5" xfId="36592"/>
    <cellStyle name="20 % - Accent5 3 3 2 2 5 6" xfId="52821"/>
    <cellStyle name="20 % - Accent5 3 3 2 2 6" xfId="7384"/>
    <cellStyle name="20 % - Accent5 3 3 2 2 6 2" xfId="26857"/>
    <cellStyle name="20 % - Accent5 3 3 2 2 6 3" xfId="39837"/>
    <cellStyle name="20 % - Accent5 3 3 2 2 6 4" xfId="56066"/>
    <cellStyle name="20 % - Accent5 3 3 2 2 7" xfId="13877"/>
    <cellStyle name="20 % - Accent5 3 3 2 2 7 2" xfId="49576"/>
    <cellStyle name="20 % - Accent5 3 3 2 2 8" xfId="20367"/>
    <cellStyle name="20 % - Accent5 3 3 2 2 9" xfId="33347"/>
    <cellStyle name="20 % - Accent5 3 3 2 3" xfId="577"/>
    <cellStyle name="20 % - Accent5 3 3 2 3 2" xfId="1526"/>
    <cellStyle name="20 % - Accent5 3 3 2 3 2 2" xfId="3193"/>
    <cellStyle name="20 % - Accent5 3 3 2 3 2 2 2" xfId="6438"/>
    <cellStyle name="20 % - Accent5 3 3 2 3 2 2 2 2" xfId="12970"/>
    <cellStyle name="20 % - Accent5 3 3 2 3 2 2 2 2 2" xfId="32443"/>
    <cellStyle name="20 % - Accent5 3 3 2 3 2 2 2 2 3" xfId="45423"/>
    <cellStyle name="20 % - Accent5 3 3 2 3 2 2 2 2 4" xfId="61652"/>
    <cellStyle name="20 % - Accent5 3 3 2 3 2 2 2 3" xfId="19463"/>
    <cellStyle name="20 % - Accent5 3 3 2 3 2 2 2 4" xfId="25953"/>
    <cellStyle name="20 % - Accent5 3 3 2 3 2 2 2 5" xfId="38933"/>
    <cellStyle name="20 % - Accent5 3 3 2 3 2 2 2 6" xfId="55162"/>
    <cellStyle name="20 % - Accent5 3 3 2 3 2 2 3" xfId="9725"/>
    <cellStyle name="20 % - Accent5 3 3 2 3 2 2 3 2" xfId="29198"/>
    <cellStyle name="20 % - Accent5 3 3 2 3 2 2 3 3" xfId="42178"/>
    <cellStyle name="20 % - Accent5 3 3 2 3 2 2 3 4" xfId="58407"/>
    <cellStyle name="20 % - Accent5 3 3 2 3 2 2 4" xfId="16218"/>
    <cellStyle name="20 % - Accent5 3 3 2 3 2 2 4 2" xfId="51917"/>
    <cellStyle name="20 % - Accent5 3 3 2 3 2 2 5" xfId="22708"/>
    <cellStyle name="20 % - Accent5 3 3 2 3 2 2 6" xfId="35688"/>
    <cellStyle name="20 % - Accent5 3 3 2 3 2 2 7" xfId="48671"/>
    <cellStyle name="20 % - Accent5 3 3 2 3 2 3" xfId="4815"/>
    <cellStyle name="20 % - Accent5 3 3 2 3 2 3 2" xfId="11347"/>
    <cellStyle name="20 % - Accent5 3 3 2 3 2 3 2 2" xfId="30820"/>
    <cellStyle name="20 % - Accent5 3 3 2 3 2 3 2 3" xfId="43800"/>
    <cellStyle name="20 % - Accent5 3 3 2 3 2 3 2 4" xfId="60029"/>
    <cellStyle name="20 % - Accent5 3 3 2 3 2 3 3" xfId="17840"/>
    <cellStyle name="20 % - Accent5 3 3 2 3 2 3 4" xfId="24330"/>
    <cellStyle name="20 % - Accent5 3 3 2 3 2 3 5" xfId="37310"/>
    <cellStyle name="20 % - Accent5 3 3 2 3 2 3 6" xfId="53539"/>
    <cellStyle name="20 % - Accent5 3 3 2 3 2 4" xfId="8102"/>
    <cellStyle name="20 % - Accent5 3 3 2 3 2 4 2" xfId="27575"/>
    <cellStyle name="20 % - Accent5 3 3 2 3 2 4 3" xfId="40555"/>
    <cellStyle name="20 % - Accent5 3 3 2 3 2 4 4" xfId="56784"/>
    <cellStyle name="20 % - Accent5 3 3 2 3 2 5" xfId="14595"/>
    <cellStyle name="20 % - Accent5 3 3 2 3 2 5 2" xfId="50294"/>
    <cellStyle name="20 % - Accent5 3 3 2 3 2 6" xfId="21085"/>
    <cellStyle name="20 % - Accent5 3 3 2 3 2 7" xfId="34065"/>
    <cellStyle name="20 % - Accent5 3 3 2 3 2 8" xfId="47048"/>
    <cellStyle name="20 % - Accent5 3 3 2 3 3" xfId="2245"/>
    <cellStyle name="20 % - Accent5 3 3 2 3 3 2" xfId="5490"/>
    <cellStyle name="20 % - Accent5 3 3 2 3 3 2 2" xfId="12022"/>
    <cellStyle name="20 % - Accent5 3 3 2 3 3 2 2 2" xfId="31495"/>
    <cellStyle name="20 % - Accent5 3 3 2 3 3 2 2 3" xfId="44475"/>
    <cellStyle name="20 % - Accent5 3 3 2 3 3 2 2 4" xfId="60704"/>
    <cellStyle name="20 % - Accent5 3 3 2 3 3 2 3" xfId="18515"/>
    <cellStyle name="20 % - Accent5 3 3 2 3 3 2 4" xfId="25005"/>
    <cellStyle name="20 % - Accent5 3 3 2 3 3 2 5" xfId="37985"/>
    <cellStyle name="20 % - Accent5 3 3 2 3 3 2 6" xfId="54214"/>
    <cellStyle name="20 % - Accent5 3 3 2 3 3 3" xfId="8777"/>
    <cellStyle name="20 % - Accent5 3 3 2 3 3 3 2" xfId="28250"/>
    <cellStyle name="20 % - Accent5 3 3 2 3 3 3 3" xfId="41230"/>
    <cellStyle name="20 % - Accent5 3 3 2 3 3 3 4" xfId="57459"/>
    <cellStyle name="20 % - Accent5 3 3 2 3 3 4" xfId="15270"/>
    <cellStyle name="20 % - Accent5 3 3 2 3 3 4 2" xfId="50969"/>
    <cellStyle name="20 % - Accent5 3 3 2 3 3 5" xfId="21760"/>
    <cellStyle name="20 % - Accent5 3 3 2 3 3 6" xfId="34740"/>
    <cellStyle name="20 % - Accent5 3 3 2 3 3 7" xfId="47723"/>
    <cellStyle name="20 % - Accent5 3 3 2 3 4" xfId="3867"/>
    <cellStyle name="20 % - Accent5 3 3 2 3 4 2" xfId="10399"/>
    <cellStyle name="20 % - Accent5 3 3 2 3 4 2 2" xfId="29872"/>
    <cellStyle name="20 % - Accent5 3 3 2 3 4 2 3" xfId="42852"/>
    <cellStyle name="20 % - Accent5 3 3 2 3 4 2 4" xfId="59081"/>
    <cellStyle name="20 % - Accent5 3 3 2 3 4 3" xfId="16892"/>
    <cellStyle name="20 % - Accent5 3 3 2 3 4 4" xfId="23382"/>
    <cellStyle name="20 % - Accent5 3 3 2 3 4 5" xfId="36362"/>
    <cellStyle name="20 % - Accent5 3 3 2 3 4 6" xfId="52591"/>
    <cellStyle name="20 % - Accent5 3 3 2 3 5" xfId="7154"/>
    <cellStyle name="20 % - Accent5 3 3 2 3 5 2" xfId="26627"/>
    <cellStyle name="20 % - Accent5 3 3 2 3 5 3" xfId="39607"/>
    <cellStyle name="20 % - Accent5 3 3 2 3 5 4" xfId="55836"/>
    <cellStyle name="20 % - Accent5 3 3 2 3 6" xfId="13647"/>
    <cellStyle name="20 % - Accent5 3 3 2 3 6 2" xfId="49346"/>
    <cellStyle name="20 % - Accent5 3 3 2 3 7" xfId="20137"/>
    <cellStyle name="20 % - Accent5 3 3 2 3 8" xfId="33117"/>
    <cellStyle name="20 % - Accent5 3 3 2 3 9" xfId="46100"/>
    <cellStyle name="20 % - Accent5 3 3 2 4" xfId="1063"/>
    <cellStyle name="20 % - Accent5 3 3 2 4 2" xfId="2730"/>
    <cellStyle name="20 % - Accent5 3 3 2 4 2 2" xfId="5975"/>
    <cellStyle name="20 % - Accent5 3 3 2 4 2 2 2" xfId="12507"/>
    <cellStyle name="20 % - Accent5 3 3 2 4 2 2 2 2" xfId="31980"/>
    <cellStyle name="20 % - Accent5 3 3 2 4 2 2 2 3" xfId="44960"/>
    <cellStyle name="20 % - Accent5 3 3 2 4 2 2 2 4" xfId="61189"/>
    <cellStyle name="20 % - Accent5 3 3 2 4 2 2 3" xfId="19000"/>
    <cellStyle name="20 % - Accent5 3 3 2 4 2 2 4" xfId="25490"/>
    <cellStyle name="20 % - Accent5 3 3 2 4 2 2 5" xfId="38470"/>
    <cellStyle name="20 % - Accent5 3 3 2 4 2 2 6" xfId="54699"/>
    <cellStyle name="20 % - Accent5 3 3 2 4 2 3" xfId="9262"/>
    <cellStyle name="20 % - Accent5 3 3 2 4 2 3 2" xfId="28735"/>
    <cellStyle name="20 % - Accent5 3 3 2 4 2 3 3" xfId="41715"/>
    <cellStyle name="20 % - Accent5 3 3 2 4 2 3 4" xfId="57944"/>
    <cellStyle name="20 % - Accent5 3 3 2 4 2 4" xfId="15755"/>
    <cellStyle name="20 % - Accent5 3 3 2 4 2 4 2" xfId="51454"/>
    <cellStyle name="20 % - Accent5 3 3 2 4 2 5" xfId="22245"/>
    <cellStyle name="20 % - Accent5 3 3 2 4 2 6" xfId="35225"/>
    <cellStyle name="20 % - Accent5 3 3 2 4 2 7" xfId="48208"/>
    <cellStyle name="20 % - Accent5 3 3 2 4 3" xfId="4352"/>
    <cellStyle name="20 % - Accent5 3 3 2 4 3 2" xfId="10884"/>
    <cellStyle name="20 % - Accent5 3 3 2 4 3 2 2" xfId="30357"/>
    <cellStyle name="20 % - Accent5 3 3 2 4 3 2 3" xfId="43337"/>
    <cellStyle name="20 % - Accent5 3 3 2 4 3 2 4" xfId="59566"/>
    <cellStyle name="20 % - Accent5 3 3 2 4 3 3" xfId="17377"/>
    <cellStyle name="20 % - Accent5 3 3 2 4 3 4" xfId="23867"/>
    <cellStyle name="20 % - Accent5 3 3 2 4 3 5" xfId="36847"/>
    <cellStyle name="20 % - Accent5 3 3 2 4 3 6" xfId="53076"/>
    <cellStyle name="20 % - Accent5 3 3 2 4 4" xfId="7639"/>
    <cellStyle name="20 % - Accent5 3 3 2 4 4 2" xfId="27112"/>
    <cellStyle name="20 % - Accent5 3 3 2 4 4 3" xfId="40092"/>
    <cellStyle name="20 % - Accent5 3 3 2 4 4 4" xfId="56321"/>
    <cellStyle name="20 % - Accent5 3 3 2 4 5" xfId="14132"/>
    <cellStyle name="20 % - Accent5 3 3 2 4 5 2" xfId="49831"/>
    <cellStyle name="20 % - Accent5 3 3 2 4 6" xfId="20622"/>
    <cellStyle name="20 % - Accent5 3 3 2 4 7" xfId="33602"/>
    <cellStyle name="20 % - Accent5 3 3 2 4 8" xfId="46585"/>
    <cellStyle name="20 % - Accent5 3 3 2 5" xfId="2016"/>
    <cellStyle name="20 % - Accent5 3 3 2 5 2" xfId="5261"/>
    <cellStyle name="20 % - Accent5 3 3 2 5 2 2" xfId="11793"/>
    <cellStyle name="20 % - Accent5 3 3 2 5 2 2 2" xfId="31266"/>
    <cellStyle name="20 % - Accent5 3 3 2 5 2 2 3" xfId="44246"/>
    <cellStyle name="20 % - Accent5 3 3 2 5 2 2 4" xfId="60475"/>
    <cellStyle name="20 % - Accent5 3 3 2 5 2 3" xfId="18286"/>
    <cellStyle name="20 % - Accent5 3 3 2 5 2 4" xfId="24776"/>
    <cellStyle name="20 % - Accent5 3 3 2 5 2 5" xfId="37756"/>
    <cellStyle name="20 % - Accent5 3 3 2 5 2 6" xfId="53985"/>
    <cellStyle name="20 % - Accent5 3 3 2 5 3" xfId="8548"/>
    <cellStyle name="20 % - Accent5 3 3 2 5 3 2" xfId="28021"/>
    <cellStyle name="20 % - Accent5 3 3 2 5 3 3" xfId="41001"/>
    <cellStyle name="20 % - Accent5 3 3 2 5 3 4" xfId="57230"/>
    <cellStyle name="20 % - Accent5 3 3 2 5 4" xfId="15041"/>
    <cellStyle name="20 % - Accent5 3 3 2 5 4 2" xfId="50740"/>
    <cellStyle name="20 % - Accent5 3 3 2 5 5" xfId="21531"/>
    <cellStyle name="20 % - Accent5 3 3 2 5 6" xfId="34511"/>
    <cellStyle name="20 % - Accent5 3 3 2 5 7" xfId="47494"/>
    <cellStyle name="20 % - Accent5 3 3 2 6" xfId="3637"/>
    <cellStyle name="20 % - Accent5 3 3 2 6 2" xfId="10169"/>
    <cellStyle name="20 % - Accent5 3 3 2 6 2 2" xfId="29642"/>
    <cellStyle name="20 % - Accent5 3 3 2 6 2 3" xfId="42622"/>
    <cellStyle name="20 % - Accent5 3 3 2 6 2 4" xfId="58851"/>
    <cellStyle name="20 % - Accent5 3 3 2 6 3" xfId="16662"/>
    <cellStyle name="20 % - Accent5 3 3 2 6 4" xfId="23152"/>
    <cellStyle name="20 % - Accent5 3 3 2 6 5" xfId="36132"/>
    <cellStyle name="20 % - Accent5 3 3 2 6 6" xfId="52361"/>
    <cellStyle name="20 % - Accent5 3 3 2 7" xfId="6924"/>
    <cellStyle name="20 % - Accent5 3 3 2 7 2" xfId="26397"/>
    <cellStyle name="20 % - Accent5 3 3 2 7 3" xfId="39377"/>
    <cellStyle name="20 % - Accent5 3 3 2 7 4" xfId="55606"/>
    <cellStyle name="20 % - Accent5 3 3 2 8" xfId="13417"/>
    <cellStyle name="20 % - Accent5 3 3 2 8 2" xfId="49116"/>
    <cellStyle name="20 % - Accent5 3 3 2 9" xfId="19907"/>
    <cellStyle name="20 % - Accent5 3 3 3" xfId="719"/>
    <cellStyle name="20 % - Accent5 3 3 3 10" xfId="46242"/>
    <cellStyle name="20 % - Accent5 3 3 3 2" xfId="1658"/>
    <cellStyle name="20 % - Accent5 3 3 3 2 2" xfId="3325"/>
    <cellStyle name="20 % - Accent5 3 3 3 2 2 2" xfId="6570"/>
    <cellStyle name="20 % - Accent5 3 3 3 2 2 2 2" xfId="13102"/>
    <cellStyle name="20 % - Accent5 3 3 3 2 2 2 2 2" xfId="32575"/>
    <cellStyle name="20 % - Accent5 3 3 3 2 2 2 2 3" xfId="45555"/>
    <cellStyle name="20 % - Accent5 3 3 3 2 2 2 2 4" xfId="61784"/>
    <cellStyle name="20 % - Accent5 3 3 3 2 2 2 3" xfId="19595"/>
    <cellStyle name="20 % - Accent5 3 3 3 2 2 2 4" xfId="26085"/>
    <cellStyle name="20 % - Accent5 3 3 3 2 2 2 5" xfId="39065"/>
    <cellStyle name="20 % - Accent5 3 3 3 2 2 2 6" xfId="55294"/>
    <cellStyle name="20 % - Accent5 3 3 3 2 2 3" xfId="9857"/>
    <cellStyle name="20 % - Accent5 3 3 3 2 2 3 2" xfId="29330"/>
    <cellStyle name="20 % - Accent5 3 3 3 2 2 3 3" xfId="42310"/>
    <cellStyle name="20 % - Accent5 3 3 3 2 2 3 4" xfId="58539"/>
    <cellStyle name="20 % - Accent5 3 3 3 2 2 4" xfId="16350"/>
    <cellStyle name="20 % - Accent5 3 3 3 2 2 4 2" xfId="52049"/>
    <cellStyle name="20 % - Accent5 3 3 3 2 2 5" xfId="22840"/>
    <cellStyle name="20 % - Accent5 3 3 3 2 2 6" xfId="35820"/>
    <cellStyle name="20 % - Accent5 3 3 3 2 2 7" xfId="48803"/>
    <cellStyle name="20 % - Accent5 3 3 3 2 3" xfId="4947"/>
    <cellStyle name="20 % - Accent5 3 3 3 2 3 2" xfId="11479"/>
    <cellStyle name="20 % - Accent5 3 3 3 2 3 2 2" xfId="30952"/>
    <cellStyle name="20 % - Accent5 3 3 3 2 3 2 3" xfId="43932"/>
    <cellStyle name="20 % - Accent5 3 3 3 2 3 2 4" xfId="60161"/>
    <cellStyle name="20 % - Accent5 3 3 3 2 3 3" xfId="17972"/>
    <cellStyle name="20 % - Accent5 3 3 3 2 3 4" xfId="24462"/>
    <cellStyle name="20 % - Accent5 3 3 3 2 3 5" xfId="37442"/>
    <cellStyle name="20 % - Accent5 3 3 3 2 3 6" xfId="53671"/>
    <cellStyle name="20 % - Accent5 3 3 3 2 4" xfId="8234"/>
    <cellStyle name="20 % - Accent5 3 3 3 2 4 2" xfId="27707"/>
    <cellStyle name="20 % - Accent5 3 3 3 2 4 3" xfId="40687"/>
    <cellStyle name="20 % - Accent5 3 3 3 2 4 4" xfId="56916"/>
    <cellStyle name="20 % - Accent5 3 3 3 2 5" xfId="14727"/>
    <cellStyle name="20 % - Accent5 3 3 3 2 5 2" xfId="50426"/>
    <cellStyle name="20 % - Accent5 3 3 3 2 6" xfId="21217"/>
    <cellStyle name="20 % - Accent5 3 3 3 2 7" xfId="34197"/>
    <cellStyle name="20 % - Accent5 3 3 3 2 8" xfId="47180"/>
    <cellStyle name="20 % - Accent5 3 3 3 3" xfId="1195"/>
    <cellStyle name="20 % - Accent5 3 3 3 3 2" xfId="2862"/>
    <cellStyle name="20 % - Accent5 3 3 3 3 2 2" xfId="6107"/>
    <cellStyle name="20 % - Accent5 3 3 3 3 2 2 2" xfId="12639"/>
    <cellStyle name="20 % - Accent5 3 3 3 3 2 2 2 2" xfId="32112"/>
    <cellStyle name="20 % - Accent5 3 3 3 3 2 2 2 3" xfId="45092"/>
    <cellStyle name="20 % - Accent5 3 3 3 3 2 2 2 4" xfId="61321"/>
    <cellStyle name="20 % - Accent5 3 3 3 3 2 2 3" xfId="19132"/>
    <cellStyle name="20 % - Accent5 3 3 3 3 2 2 4" xfId="25622"/>
    <cellStyle name="20 % - Accent5 3 3 3 3 2 2 5" xfId="38602"/>
    <cellStyle name="20 % - Accent5 3 3 3 3 2 2 6" xfId="54831"/>
    <cellStyle name="20 % - Accent5 3 3 3 3 2 3" xfId="9394"/>
    <cellStyle name="20 % - Accent5 3 3 3 3 2 3 2" xfId="28867"/>
    <cellStyle name="20 % - Accent5 3 3 3 3 2 3 3" xfId="41847"/>
    <cellStyle name="20 % - Accent5 3 3 3 3 2 3 4" xfId="58076"/>
    <cellStyle name="20 % - Accent5 3 3 3 3 2 4" xfId="15887"/>
    <cellStyle name="20 % - Accent5 3 3 3 3 2 4 2" xfId="51586"/>
    <cellStyle name="20 % - Accent5 3 3 3 3 2 5" xfId="22377"/>
    <cellStyle name="20 % - Accent5 3 3 3 3 2 6" xfId="35357"/>
    <cellStyle name="20 % - Accent5 3 3 3 3 2 7" xfId="48340"/>
    <cellStyle name="20 % - Accent5 3 3 3 3 3" xfId="4484"/>
    <cellStyle name="20 % - Accent5 3 3 3 3 3 2" xfId="11016"/>
    <cellStyle name="20 % - Accent5 3 3 3 3 3 2 2" xfId="30489"/>
    <cellStyle name="20 % - Accent5 3 3 3 3 3 2 3" xfId="43469"/>
    <cellStyle name="20 % - Accent5 3 3 3 3 3 2 4" xfId="59698"/>
    <cellStyle name="20 % - Accent5 3 3 3 3 3 3" xfId="17509"/>
    <cellStyle name="20 % - Accent5 3 3 3 3 3 4" xfId="23999"/>
    <cellStyle name="20 % - Accent5 3 3 3 3 3 5" xfId="36979"/>
    <cellStyle name="20 % - Accent5 3 3 3 3 3 6" xfId="53208"/>
    <cellStyle name="20 % - Accent5 3 3 3 3 4" xfId="7771"/>
    <cellStyle name="20 % - Accent5 3 3 3 3 4 2" xfId="27244"/>
    <cellStyle name="20 % - Accent5 3 3 3 3 4 3" xfId="40224"/>
    <cellStyle name="20 % - Accent5 3 3 3 3 4 4" xfId="56453"/>
    <cellStyle name="20 % - Accent5 3 3 3 3 5" xfId="14264"/>
    <cellStyle name="20 % - Accent5 3 3 3 3 5 2" xfId="49963"/>
    <cellStyle name="20 % - Accent5 3 3 3 3 6" xfId="20754"/>
    <cellStyle name="20 % - Accent5 3 3 3 3 7" xfId="33734"/>
    <cellStyle name="20 % - Accent5 3 3 3 3 8" xfId="46717"/>
    <cellStyle name="20 % - Accent5 3 3 3 4" xfId="2387"/>
    <cellStyle name="20 % - Accent5 3 3 3 4 2" xfId="5632"/>
    <cellStyle name="20 % - Accent5 3 3 3 4 2 2" xfId="12164"/>
    <cellStyle name="20 % - Accent5 3 3 3 4 2 2 2" xfId="31637"/>
    <cellStyle name="20 % - Accent5 3 3 3 4 2 2 3" xfId="44617"/>
    <cellStyle name="20 % - Accent5 3 3 3 4 2 2 4" xfId="60846"/>
    <cellStyle name="20 % - Accent5 3 3 3 4 2 3" xfId="18657"/>
    <cellStyle name="20 % - Accent5 3 3 3 4 2 4" xfId="25147"/>
    <cellStyle name="20 % - Accent5 3 3 3 4 2 5" xfId="38127"/>
    <cellStyle name="20 % - Accent5 3 3 3 4 2 6" xfId="54356"/>
    <cellStyle name="20 % - Accent5 3 3 3 4 3" xfId="8919"/>
    <cellStyle name="20 % - Accent5 3 3 3 4 3 2" xfId="28392"/>
    <cellStyle name="20 % - Accent5 3 3 3 4 3 3" xfId="41372"/>
    <cellStyle name="20 % - Accent5 3 3 3 4 3 4" xfId="57601"/>
    <cellStyle name="20 % - Accent5 3 3 3 4 4" xfId="15412"/>
    <cellStyle name="20 % - Accent5 3 3 3 4 4 2" xfId="51111"/>
    <cellStyle name="20 % - Accent5 3 3 3 4 5" xfId="21902"/>
    <cellStyle name="20 % - Accent5 3 3 3 4 6" xfId="34882"/>
    <cellStyle name="20 % - Accent5 3 3 3 4 7" xfId="47865"/>
    <cellStyle name="20 % - Accent5 3 3 3 5" xfId="4009"/>
    <cellStyle name="20 % - Accent5 3 3 3 5 2" xfId="10541"/>
    <cellStyle name="20 % - Accent5 3 3 3 5 2 2" xfId="30014"/>
    <cellStyle name="20 % - Accent5 3 3 3 5 2 3" xfId="42994"/>
    <cellStyle name="20 % - Accent5 3 3 3 5 2 4" xfId="59223"/>
    <cellStyle name="20 % - Accent5 3 3 3 5 3" xfId="17034"/>
    <cellStyle name="20 % - Accent5 3 3 3 5 4" xfId="23524"/>
    <cellStyle name="20 % - Accent5 3 3 3 5 5" xfId="36504"/>
    <cellStyle name="20 % - Accent5 3 3 3 5 6" xfId="52733"/>
    <cellStyle name="20 % - Accent5 3 3 3 6" xfId="7296"/>
    <cellStyle name="20 % - Accent5 3 3 3 6 2" xfId="26769"/>
    <cellStyle name="20 % - Accent5 3 3 3 6 3" xfId="39749"/>
    <cellStyle name="20 % - Accent5 3 3 3 6 4" xfId="55978"/>
    <cellStyle name="20 % - Accent5 3 3 3 7" xfId="13789"/>
    <cellStyle name="20 % - Accent5 3 3 3 7 2" xfId="49488"/>
    <cellStyle name="20 % - Accent5 3 3 3 8" xfId="20279"/>
    <cellStyle name="20 % - Accent5 3 3 3 9" xfId="33259"/>
    <cellStyle name="20 % - Accent5 3 3 4" xfId="489"/>
    <cellStyle name="20 % - Accent5 3 3 4 2" xfId="1438"/>
    <cellStyle name="20 % - Accent5 3 3 4 2 2" xfId="3105"/>
    <cellStyle name="20 % - Accent5 3 3 4 2 2 2" xfId="6350"/>
    <cellStyle name="20 % - Accent5 3 3 4 2 2 2 2" xfId="12882"/>
    <cellStyle name="20 % - Accent5 3 3 4 2 2 2 2 2" xfId="32355"/>
    <cellStyle name="20 % - Accent5 3 3 4 2 2 2 2 3" xfId="45335"/>
    <cellStyle name="20 % - Accent5 3 3 4 2 2 2 2 4" xfId="61564"/>
    <cellStyle name="20 % - Accent5 3 3 4 2 2 2 3" xfId="19375"/>
    <cellStyle name="20 % - Accent5 3 3 4 2 2 2 4" xfId="25865"/>
    <cellStyle name="20 % - Accent5 3 3 4 2 2 2 5" xfId="38845"/>
    <cellStyle name="20 % - Accent5 3 3 4 2 2 2 6" xfId="55074"/>
    <cellStyle name="20 % - Accent5 3 3 4 2 2 3" xfId="9637"/>
    <cellStyle name="20 % - Accent5 3 3 4 2 2 3 2" xfId="29110"/>
    <cellStyle name="20 % - Accent5 3 3 4 2 2 3 3" xfId="42090"/>
    <cellStyle name="20 % - Accent5 3 3 4 2 2 3 4" xfId="58319"/>
    <cellStyle name="20 % - Accent5 3 3 4 2 2 4" xfId="16130"/>
    <cellStyle name="20 % - Accent5 3 3 4 2 2 4 2" xfId="51829"/>
    <cellStyle name="20 % - Accent5 3 3 4 2 2 5" xfId="22620"/>
    <cellStyle name="20 % - Accent5 3 3 4 2 2 6" xfId="35600"/>
    <cellStyle name="20 % - Accent5 3 3 4 2 2 7" xfId="48583"/>
    <cellStyle name="20 % - Accent5 3 3 4 2 3" xfId="4727"/>
    <cellStyle name="20 % - Accent5 3 3 4 2 3 2" xfId="11259"/>
    <cellStyle name="20 % - Accent5 3 3 4 2 3 2 2" xfId="30732"/>
    <cellStyle name="20 % - Accent5 3 3 4 2 3 2 3" xfId="43712"/>
    <cellStyle name="20 % - Accent5 3 3 4 2 3 2 4" xfId="59941"/>
    <cellStyle name="20 % - Accent5 3 3 4 2 3 3" xfId="17752"/>
    <cellStyle name="20 % - Accent5 3 3 4 2 3 4" xfId="24242"/>
    <cellStyle name="20 % - Accent5 3 3 4 2 3 5" xfId="37222"/>
    <cellStyle name="20 % - Accent5 3 3 4 2 3 6" xfId="53451"/>
    <cellStyle name="20 % - Accent5 3 3 4 2 4" xfId="8014"/>
    <cellStyle name="20 % - Accent5 3 3 4 2 4 2" xfId="27487"/>
    <cellStyle name="20 % - Accent5 3 3 4 2 4 3" xfId="40467"/>
    <cellStyle name="20 % - Accent5 3 3 4 2 4 4" xfId="56696"/>
    <cellStyle name="20 % - Accent5 3 3 4 2 5" xfId="14507"/>
    <cellStyle name="20 % - Accent5 3 3 4 2 5 2" xfId="50206"/>
    <cellStyle name="20 % - Accent5 3 3 4 2 6" xfId="20997"/>
    <cellStyle name="20 % - Accent5 3 3 4 2 7" xfId="33977"/>
    <cellStyle name="20 % - Accent5 3 3 4 2 8" xfId="46960"/>
    <cellStyle name="20 % - Accent5 3 3 4 3" xfId="2157"/>
    <cellStyle name="20 % - Accent5 3 3 4 3 2" xfId="5402"/>
    <cellStyle name="20 % - Accent5 3 3 4 3 2 2" xfId="11934"/>
    <cellStyle name="20 % - Accent5 3 3 4 3 2 2 2" xfId="31407"/>
    <cellStyle name="20 % - Accent5 3 3 4 3 2 2 3" xfId="44387"/>
    <cellStyle name="20 % - Accent5 3 3 4 3 2 2 4" xfId="60616"/>
    <cellStyle name="20 % - Accent5 3 3 4 3 2 3" xfId="18427"/>
    <cellStyle name="20 % - Accent5 3 3 4 3 2 4" xfId="24917"/>
    <cellStyle name="20 % - Accent5 3 3 4 3 2 5" xfId="37897"/>
    <cellStyle name="20 % - Accent5 3 3 4 3 2 6" xfId="54126"/>
    <cellStyle name="20 % - Accent5 3 3 4 3 3" xfId="8689"/>
    <cellStyle name="20 % - Accent5 3 3 4 3 3 2" xfId="28162"/>
    <cellStyle name="20 % - Accent5 3 3 4 3 3 3" xfId="41142"/>
    <cellStyle name="20 % - Accent5 3 3 4 3 3 4" xfId="57371"/>
    <cellStyle name="20 % - Accent5 3 3 4 3 4" xfId="15182"/>
    <cellStyle name="20 % - Accent5 3 3 4 3 4 2" xfId="50881"/>
    <cellStyle name="20 % - Accent5 3 3 4 3 5" xfId="21672"/>
    <cellStyle name="20 % - Accent5 3 3 4 3 6" xfId="34652"/>
    <cellStyle name="20 % - Accent5 3 3 4 3 7" xfId="47635"/>
    <cellStyle name="20 % - Accent5 3 3 4 4" xfId="3779"/>
    <cellStyle name="20 % - Accent5 3 3 4 4 2" xfId="10311"/>
    <cellStyle name="20 % - Accent5 3 3 4 4 2 2" xfId="29784"/>
    <cellStyle name="20 % - Accent5 3 3 4 4 2 3" xfId="42764"/>
    <cellStyle name="20 % - Accent5 3 3 4 4 2 4" xfId="58993"/>
    <cellStyle name="20 % - Accent5 3 3 4 4 3" xfId="16804"/>
    <cellStyle name="20 % - Accent5 3 3 4 4 4" xfId="23294"/>
    <cellStyle name="20 % - Accent5 3 3 4 4 5" xfId="36274"/>
    <cellStyle name="20 % - Accent5 3 3 4 4 6" xfId="52503"/>
    <cellStyle name="20 % - Accent5 3 3 4 5" xfId="7066"/>
    <cellStyle name="20 % - Accent5 3 3 4 5 2" xfId="26539"/>
    <cellStyle name="20 % - Accent5 3 3 4 5 3" xfId="39519"/>
    <cellStyle name="20 % - Accent5 3 3 4 5 4" xfId="55748"/>
    <cellStyle name="20 % - Accent5 3 3 4 6" xfId="13559"/>
    <cellStyle name="20 % - Accent5 3 3 4 6 2" xfId="49258"/>
    <cellStyle name="20 % - Accent5 3 3 4 7" xfId="20049"/>
    <cellStyle name="20 % - Accent5 3 3 4 8" xfId="33029"/>
    <cellStyle name="20 % - Accent5 3 3 4 9" xfId="46012"/>
    <cellStyle name="20 % - Accent5 3 3 5" xfId="975"/>
    <cellStyle name="20 % - Accent5 3 3 5 2" xfId="2642"/>
    <cellStyle name="20 % - Accent5 3 3 5 2 2" xfId="5887"/>
    <cellStyle name="20 % - Accent5 3 3 5 2 2 2" xfId="12419"/>
    <cellStyle name="20 % - Accent5 3 3 5 2 2 2 2" xfId="31892"/>
    <cellStyle name="20 % - Accent5 3 3 5 2 2 2 3" xfId="44872"/>
    <cellStyle name="20 % - Accent5 3 3 5 2 2 2 4" xfId="61101"/>
    <cellStyle name="20 % - Accent5 3 3 5 2 2 3" xfId="18912"/>
    <cellStyle name="20 % - Accent5 3 3 5 2 2 4" xfId="25402"/>
    <cellStyle name="20 % - Accent5 3 3 5 2 2 5" xfId="38382"/>
    <cellStyle name="20 % - Accent5 3 3 5 2 2 6" xfId="54611"/>
    <cellStyle name="20 % - Accent5 3 3 5 2 3" xfId="9174"/>
    <cellStyle name="20 % - Accent5 3 3 5 2 3 2" xfId="28647"/>
    <cellStyle name="20 % - Accent5 3 3 5 2 3 3" xfId="41627"/>
    <cellStyle name="20 % - Accent5 3 3 5 2 3 4" xfId="57856"/>
    <cellStyle name="20 % - Accent5 3 3 5 2 4" xfId="15667"/>
    <cellStyle name="20 % - Accent5 3 3 5 2 4 2" xfId="51366"/>
    <cellStyle name="20 % - Accent5 3 3 5 2 5" xfId="22157"/>
    <cellStyle name="20 % - Accent5 3 3 5 2 6" xfId="35137"/>
    <cellStyle name="20 % - Accent5 3 3 5 2 7" xfId="48120"/>
    <cellStyle name="20 % - Accent5 3 3 5 3" xfId="4264"/>
    <cellStyle name="20 % - Accent5 3 3 5 3 2" xfId="10796"/>
    <cellStyle name="20 % - Accent5 3 3 5 3 2 2" xfId="30269"/>
    <cellStyle name="20 % - Accent5 3 3 5 3 2 3" xfId="43249"/>
    <cellStyle name="20 % - Accent5 3 3 5 3 2 4" xfId="59478"/>
    <cellStyle name="20 % - Accent5 3 3 5 3 3" xfId="17289"/>
    <cellStyle name="20 % - Accent5 3 3 5 3 4" xfId="23779"/>
    <cellStyle name="20 % - Accent5 3 3 5 3 5" xfId="36759"/>
    <cellStyle name="20 % - Accent5 3 3 5 3 6" xfId="52988"/>
    <cellStyle name="20 % - Accent5 3 3 5 4" xfId="7551"/>
    <cellStyle name="20 % - Accent5 3 3 5 4 2" xfId="27024"/>
    <cellStyle name="20 % - Accent5 3 3 5 4 3" xfId="40004"/>
    <cellStyle name="20 % - Accent5 3 3 5 4 4" xfId="56233"/>
    <cellStyle name="20 % - Accent5 3 3 5 5" xfId="14044"/>
    <cellStyle name="20 % - Accent5 3 3 5 5 2" xfId="49743"/>
    <cellStyle name="20 % - Accent5 3 3 5 6" xfId="20534"/>
    <cellStyle name="20 % - Accent5 3 3 5 7" xfId="33514"/>
    <cellStyle name="20 % - Accent5 3 3 5 8" xfId="46497"/>
    <cellStyle name="20 % - Accent5 3 3 6" xfId="1928"/>
    <cellStyle name="20 % - Accent5 3 3 6 2" xfId="5173"/>
    <cellStyle name="20 % - Accent5 3 3 6 2 2" xfId="11705"/>
    <cellStyle name="20 % - Accent5 3 3 6 2 2 2" xfId="31178"/>
    <cellStyle name="20 % - Accent5 3 3 6 2 2 3" xfId="44158"/>
    <cellStyle name="20 % - Accent5 3 3 6 2 2 4" xfId="60387"/>
    <cellStyle name="20 % - Accent5 3 3 6 2 3" xfId="18198"/>
    <cellStyle name="20 % - Accent5 3 3 6 2 4" xfId="24688"/>
    <cellStyle name="20 % - Accent5 3 3 6 2 5" xfId="37668"/>
    <cellStyle name="20 % - Accent5 3 3 6 2 6" xfId="53897"/>
    <cellStyle name="20 % - Accent5 3 3 6 3" xfId="8460"/>
    <cellStyle name="20 % - Accent5 3 3 6 3 2" xfId="27933"/>
    <cellStyle name="20 % - Accent5 3 3 6 3 3" xfId="40913"/>
    <cellStyle name="20 % - Accent5 3 3 6 3 4" xfId="57142"/>
    <cellStyle name="20 % - Accent5 3 3 6 4" xfId="14953"/>
    <cellStyle name="20 % - Accent5 3 3 6 4 2" xfId="50652"/>
    <cellStyle name="20 % - Accent5 3 3 6 5" xfId="21443"/>
    <cellStyle name="20 % - Accent5 3 3 6 6" xfId="34423"/>
    <cellStyle name="20 % - Accent5 3 3 6 7" xfId="47406"/>
    <cellStyle name="20 % - Accent5 3 3 7" xfId="3549"/>
    <cellStyle name="20 % - Accent5 3 3 7 2" xfId="10081"/>
    <cellStyle name="20 % - Accent5 3 3 7 2 2" xfId="29554"/>
    <cellStyle name="20 % - Accent5 3 3 7 2 3" xfId="42534"/>
    <cellStyle name="20 % - Accent5 3 3 7 2 4" xfId="58763"/>
    <cellStyle name="20 % - Accent5 3 3 7 3" xfId="16574"/>
    <cellStyle name="20 % - Accent5 3 3 7 4" xfId="23064"/>
    <cellStyle name="20 % - Accent5 3 3 7 5" xfId="36044"/>
    <cellStyle name="20 % - Accent5 3 3 7 6" xfId="52273"/>
    <cellStyle name="20 % - Accent5 3 3 8" xfId="6836"/>
    <cellStyle name="20 % - Accent5 3 3 8 2" xfId="26309"/>
    <cellStyle name="20 % - Accent5 3 3 8 3" xfId="39289"/>
    <cellStyle name="20 % - Accent5 3 3 8 4" xfId="55518"/>
    <cellStyle name="20 % - Accent5 3 3 9" xfId="13329"/>
    <cellStyle name="20 % - Accent5 3 3 9 2" xfId="49028"/>
    <cellStyle name="20 % - Accent5 3 4" xfId="211"/>
    <cellStyle name="20 % - Accent5 3 4 10" xfId="32755"/>
    <cellStyle name="20 % - Accent5 3 4 11" xfId="45738"/>
    <cellStyle name="20 % - Accent5 3 4 2" xfId="675"/>
    <cellStyle name="20 % - Accent5 3 4 2 10" xfId="46198"/>
    <cellStyle name="20 % - Accent5 3 4 2 2" xfId="1614"/>
    <cellStyle name="20 % - Accent5 3 4 2 2 2" xfId="3281"/>
    <cellStyle name="20 % - Accent5 3 4 2 2 2 2" xfId="6526"/>
    <cellStyle name="20 % - Accent5 3 4 2 2 2 2 2" xfId="13058"/>
    <cellStyle name="20 % - Accent5 3 4 2 2 2 2 2 2" xfId="32531"/>
    <cellStyle name="20 % - Accent5 3 4 2 2 2 2 2 3" xfId="45511"/>
    <cellStyle name="20 % - Accent5 3 4 2 2 2 2 2 4" xfId="61740"/>
    <cellStyle name="20 % - Accent5 3 4 2 2 2 2 3" xfId="19551"/>
    <cellStyle name="20 % - Accent5 3 4 2 2 2 2 4" xfId="26041"/>
    <cellStyle name="20 % - Accent5 3 4 2 2 2 2 5" xfId="39021"/>
    <cellStyle name="20 % - Accent5 3 4 2 2 2 2 6" xfId="55250"/>
    <cellStyle name="20 % - Accent5 3 4 2 2 2 3" xfId="9813"/>
    <cellStyle name="20 % - Accent5 3 4 2 2 2 3 2" xfId="29286"/>
    <cellStyle name="20 % - Accent5 3 4 2 2 2 3 3" xfId="42266"/>
    <cellStyle name="20 % - Accent5 3 4 2 2 2 3 4" xfId="58495"/>
    <cellStyle name="20 % - Accent5 3 4 2 2 2 4" xfId="16306"/>
    <cellStyle name="20 % - Accent5 3 4 2 2 2 4 2" xfId="52005"/>
    <cellStyle name="20 % - Accent5 3 4 2 2 2 5" xfId="22796"/>
    <cellStyle name="20 % - Accent5 3 4 2 2 2 6" xfId="35776"/>
    <cellStyle name="20 % - Accent5 3 4 2 2 2 7" xfId="48759"/>
    <cellStyle name="20 % - Accent5 3 4 2 2 3" xfId="4903"/>
    <cellStyle name="20 % - Accent5 3 4 2 2 3 2" xfId="11435"/>
    <cellStyle name="20 % - Accent5 3 4 2 2 3 2 2" xfId="30908"/>
    <cellStyle name="20 % - Accent5 3 4 2 2 3 2 3" xfId="43888"/>
    <cellStyle name="20 % - Accent5 3 4 2 2 3 2 4" xfId="60117"/>
    <cellStyle name="20 % - Accent5 3 4 2 2 3 3" xfId="17928"/>
    <cellStyle name="20 % - Accent5 3 4 2 2 3 4" xfId="24418"/>
    <cellStyle name="20 % - Accent5 3 4 2 2 3 5" xfId="37398"/>
    <cellStyle name="20 % - Accent5 3 4 2 2 3 6" xfId="53627"/>
    <cellStyle name="20 % - Accent5 3 4 2 2 4" xfId="8190"/>
    <cellStyle name="20 % - Accent5 3 4 2 2 4 2" xfId="27663"/>
    <cellStyle name="20 % - Accent5 3 4 2 2 4 3" xfId="40643"/>
    <cellStyle name="20 % - Accent5 3 4 2 2 4 4" xfId="56872"/>
    <cellStyle name="20 % - Accent5 3 4 2 2 5" xfId="14683"/>
    <cellStyle name="20 % - Accent5 3 4 2 2 5 2" xfId="50382"/>
    <cellStyle name="20 % - Accent5 3 4 2 2 6" xfId="21173"/>
    <cellStyle name="20 % - Accent5 3 4 2 2 7" xfId="34153"/>
    <cellStyle name="20 % - Accent5 3 4 2 2 8" xfId="47136"/>
    <cellStyle name="20 % - Accent5 3 4 2 3" xfId="1151"/>
    <cellStyle name="20 % - Accent5 3 4 2 3 2" xfId="2818"/>
    <cellStyle name="20 % - Accent5 3 4 2 3 2 2" xfId="6063"/>
    <cellStyle name="20 % - Accent5 3 4 2 3 2 2 2" xfId="12595"/>
    <cellStyle name="20 % - Accent5 3 4 2 3 2 2 2 2" xfId="32068"/>
    <cellStyle name="20 % - Accent5 3 4 2 3 2 2 2 3" xfId="45048"/>
    <cellStyle name="20 % - Accent5 3 4 2 3 2 2 2 4" xfId="61277"/>
    <cellStyle name="20 % - Accent5 3 4 2 3 2 2 3" xfId="19088"/>
    <cellStyle name="20 % - Accent5 3 4 2 3 2 2 4" xfId="25578"/>
    <cellStyle name="20 % - Accent5 3 4 2 3 2 2 5" xfId="38558"/>
    <cellStyle name="20 % - Accent5 3 4 2 3 2 2 6" xfId="54787"/>
    <cellStyle name="20 % - Accent5 3 4 2 3 2 3" xfId="9350"/>
    <cellStyle name="20 % - Accent5 3 4 2 3 2 3 2" xfId="28823"/>
    <cellStyle name="20 % - Accent5 3 4 2 3 2 3 3" xfId="41803"/>
    <cellStyle name="20 % - Accent5 3 4 2 3 2 3 4" xfId="58032"/>
    <cellStyle name="20 % - Accent5 3 4 2 3 2 4" xfId="15843"/>
    <cellStyle name="20 % - Accent5 3 4 2 3 2 4 2" xfId="51542"/>
    <cellStyle name="20 % - Accent5 3 4 2 3 2 5" xfId="22333"/>
    <cellStyle name="20 % - Accent5 3 4 2 3 2 6" xfId="35313"/>
    <cellStyle name="20 % - Accent5 3 4 2 3 2 7" xfId="48296"/>
    <cellStyle name="20 % - Accent5 3 4 2 3 3" xfId="4440"/>
    <cellStyle name="20 % - Accent5 3 4 2 3 3 2" xfId="10972"/>
    <cellStyle name="20 % - Accent5 3 4 2 3 3 2 2" xfId="30445"/>
    <cellStyle name="20 % - Accent5 3 4 2 3 3 2 3" xfId="43425"/>
    <cellStyle name="20 % - Accent5 3 4 2 3 3 2 4" xfId="59654"/>
    <cellStyle name="20 % - Accent5 3 4 2 3 3 3" xfId="17465"/>
    <cellStyle name="20 % - Accent5 3 4 2 3 3 4" xfId="23955"/>
    <cellStyle name="20 % - Accent5 3 4 2 3 3 5" xfId="36935"/>
    <cellStyle name="20 % - Accent5 3 4 2 3 3 6" xfId="53164"/>
    <cellStyle name="20 % - Accent5 3 4 2 3 4" xfId="7727"/>
    <cellStyle name="20 % - Accent5 3 4 2 3 4 2" xfId="27200"/>
    <cellStyle name="20 % - Accent5 3 4 2 3 4 3" xfId="40180"/>
    <cellStyle name="20 % - Accent5 3 4 2 3 4 4" xfId="56409"/>
    <cellStyle name="20 % - Accent5 3 4 2 3 5" xfId="14220"/>
    <cellStyle name="20 % - Accent5 3 4 2 3 5 2" xfId="49919"/>
    <cellStyle name="20 % - Accent5 3 4 2 3 6" xfId="20710"/>
    <cellStyle name="20 % - Accent5 3 4 2 3 7" xfId="33690"/>
    <cellStyle name="20 % - Accent5 3 4 2 3 8" xfId="46673"/>
    <cellStyle name="20 % - Accent5 3 4 2 4" xfId="2343"/>
    <cellStyle name="20 % - Accent5 3 4 2 4 2" xfId="5588"/>
    <cellStyle name="20 % - Accent5 3 4 2 4 2 2" xfId="12120"/>
    <cellStyle name="20 % - Accent5 3 4 2 4 2 2 2" xfId="31593"/>
    <cellStyle name="20 % - Accent5 3 4 2 4 2 2 3" xfId="44573"/>
    <cellStyle name="20 % - Accent5 3 4 2 4 2 2 4" xfId="60802"/>
    <cellStyle name="20 % - Accent5 3 4 2 4 2 3" xfId="18613"/>
    <cellStyle name="20 % - Accent5 3 4 2 4 2 4" xfId="25103"/>
    <cellStyle name="20 % - Accent5 3 4 2 4 2 5" xfId="38083"/>
    <cellStyle name="20 % - Accent5 3 4 2 4 2 6" xfId="54312"/>
    <cellStyle name="20 % - Accent5 3 4 2 4 3" xfId="8875"/>
    <cellStyle name="20 % - Accent5 3 4 2 4 3 2" xfId="28348"/>
    <cellStyle name="20 % - Accent5 3 4 2 4 3 3" xfId="41328"/>
    <cellStyle name="20 % - Accent5 3 4 2 4 3 4" xfId="57557"/>
    <cellStyle name="20 % - Accent5 3 4 2 4 4" xfId="15368"/>
    <cellStyle name="20 % - Accent5 3 4 2 4 4 2" xfId="51067"/>
    <cellStyle name="20 % - Accent5 3 4 2 4 5" xfId="21858"/>
    <cellStyle name="20 % - Accent5 3 4 2 4 6" xfId="34838"/>
    <cellStyle name="20 % - Accent5 3 4 2 4 7" xfId="47821"/>
    <cellStyle name="20 % - Accent5 3 4 2 5" xfId="3965"/>
    <cellStyle name="20 % - Accent5 3 4 2 5 2" xfId="10497"/>
    <cellStyle name="20 % - Accent5 3 4 2 5 2 2" xfId="29970"/>
    <cellStyle name="20 % - Accent5 3 4 2 5 2 3" xfId="42950"/>
    <cellStyle name="20 % - Accent5 3 4 2 5 2 4" xfId="59179"/>
    <cellStyle name="20 % - Accent5 3 4 2 5 3" xfId="16990"/>
    <cellStyle name="20 % - Accent5 3 4 2 5 4" xfId="23480"/>
    <cellStyle name="20 % - Accent5 3 4 2 5 5" xfId="36460"/>
    <cellStyle name="20 % - Accent5 3 4 2 5 6" xfId="52689"/>
    <cellStyle name="20 % - Accent5 3 4 2 6" xfId="7252"/>
    <cellStyle name="20 % - Accent5 3 4 2 6 2" xfId="26725"/>
    <cellStyle name="20 % - Accent5 3 4 2 6 3" xfId="39705"/>
    <cellStyle name="20 % - Accent5 3 4 2 6 4" xfId="55934"/>
    <cellStyle name="20 % - Accent5 3 4 2 7" xfId="13745"/>
    <cellStyle name="20 % - Accent5 3 4 2 7 2" xfId="49444"/>
    <cellStyle name="20 % - Accent5 3 4 2 8" xfId="20235"/>
    <cellStyle name="20 % - Accent5 3 4 2 9" xfId="33215"/>
    <cellStyle name="20 % - Accent5 3 4 3" xfId="445"/>
    <cellStyle name="20 % - Accent5 3 4 3 2" xfId="1394"/>
    <cellStyle name="20 % - Accent5 3 4 3 2 2" xfId="3061"/>
    <cellStyle name="20 % - Accent5 3 4 3 2 2 2" xfId="6306"/>
    <cellStyle name="20 % - Accent5 3 4 3 2 2 2 2" xfId="12838"/>
    <cellStyle name="20 % - Accent5 3 4 3 2 2 2 2 2" xfId="32311"/>
    <cellStyle name="20 % - Accent5 3 4 3 2 2 2 2 3" xfId="45291"/>
    <cellStyle name="20 % - Accent5 3 4 3 2 2 2 2 4" xfId="61520"/>
    <cellStyle name="20 % - Accent5 3 4 3 2 2 2 3" xfId="19331"/>
    <cellStyle name="20 % - Accent5 3 4 3 2 2 2 4" xfId="25821"/>
    <cellStyle name="20 % - Accent5 3 4 3 2 2 2 5" xfId="38801"/>
    <cellStyle name="20 % - Accent5 3 4 3 2 2 2 6" xfId="55030"/>
    <cellStyle name="20 % - Accent5 3 4 3 2 2 3" xfId="9593"/>
    <cellStyle name="20 % - Accent5 3 4 3 2 2 3 2" xfId="29066"/>
    <cellStyle name="20 % - Accent5 3 4 3 2 2 3 3" xfId="42046"/>
    <cellStyle name="20 % - Accent5 3 4 3 2 2 3 4" xfId="58275"/>
    <cellStyle name="20 % - Accent5 3 4 3 2 2 4" xfId="16086"/>
    <cellStyle name="20 % - Accent5 3 4 3 2 2 4 2" xfId="51785"/>
    <cellStyle name="20 % - Accent5 3 4 3 2 2 5" xfId="22576"/>
    <cellStyle name="20 % - Accent5 3 4 3 2 2 6" xfId="35556"/>
    <cellStyle name="20 % - Accent5 3 4 3 2 2 7" xfId="48539"/>
    <cellStyle name="20 % - Accent5 3 4 3 2 3" xfId="4683"/>
    <cellStyle name="20 % - Accent5 3 4 3 2 3 2" xfId="11215"/>
    <cellStyle name="20 % - Accent5 3 4 3 2 3 2 2" xfId="30688"/>
    <cellStyle name="20 % - Accent5 3 4 3 2 3 2 3" xfId="43668"/>
    <cellStyle name="20 % - Accent5 3 4 3 2 3 2 4" xfId="59897"/>
    <cellStyle name="20 % - Accent5 3 4 3 2 3 3" xfId="17708"/>
    <cellStyle name="20 % - Accent5 3 4 3 2 3 4" xfId="24198"/>
    <cellStyle name="20 % - Accent5 3 4 3 2 3 5" xfId="37178"/>
    <cellStyle name="20 % - Accent5 3 4 3 2 3 6" xfId="53407"/>
    <cellStyle name="20 % - Accent5 3 4 3 2 4" xfId="7970"/>
    <cellStyle name="20 % - Accent5 3 4 3 2 4 2" xfId="27443"/>
    <cellStyle name="20 % - Accent5 3 4 3 2 4 3" xfId="40423"/>
    <cellStyle name="20 % - Accent5 3 4 3 2 4 4" xfId="56652"/>
    <cellStyle name="20 % - Accent5 3 4 3 2 5" xfId="14463"/>
    <cellStyle name="20 % - Accent5 3 4 3 2 5 2" xfId="50162"/>
    <cellStyle name="20 % - Accent5 3 4 3 2 6" xfId="20953"/>
    <cellStyle name="20 % - Accent5 3 4 3 2 7" xfId="33933"/>
    <cellStyle name="20 % - Accent5 3 4 3 2 8" xfId="46916"/>
    <cellStyle name="20 % - Accent5 3 4 3 3" xfId="2113"/>
    <cellStyle name="20 % - Accent5 3 4 3 3 2" xfId="5358"/>
    <cellStyle name="20 % - Accent5 3 4 3 3 2 2" xfId="11890"/>
    <cellStyle name="20 % - Accent5 3 4 3 3 2 2 2" xfId="31363"/>
    <cellStyle name="20 % - Accent5 3 4 3 3 2 2 3" xfId="44343"/>
    <cellStyle name="20 % - Accent5 3 4 3 3 2 2 4" xfId="60572"/>
    <cellStyle name="20 % - Accent5 3 4 3 3 2 3" xfId="18383"/>
    <cellStyle name="20 % - Accent5 3 4 3 3 2 4" xfId="24873"/>
    <cellStyle name="20 % - Accent5 3 4 3 3 2 5" xfId="37853"/>
    <cellStyle name="20 % - Accent5 3 4 3 3 2 6" xfId="54082"/>
    <cellStyle name="20 % - Accent5 3 4 3 3 3" xfId="8645"/>
    <cellStyle name="20 % - Accent5 3 4 3 3 3 2" xfId="28118"/>
    <cellStyle name="20 % - Accent5 3 4 3 3 3 3" xfId="41098"/>
    <cellStyle name="20 % - Accent5 3 4 3 3 3 4" xfId="57327"/>
    <cellStyle name="20 % - Accent5 3 4 3 3 4" xfId="15138"/>
    <cellStyle name="20 % - Accent5 3 4 3 3 4 2" xfId="50837"/>
    <cellStyle name="20 % - Accent5 3 4 3 3 5" xfId="21628"/>
    <cellStyle name="20 % - Accent5 3 4 3 3 6" xfId="34608"/>
    <cellStyle name="20 % - Accent5 3 4 3 3 7" xfId="47591"/>
    <cellStyle name="20 % - Accent5 3 4 3 4" xfId="3735"/>
    <cellStyle name="20 % - Accent5 3 4 3 4 2" xfId="10267"/>
    <cellStyle name="20 % - Accent5 3 4 3 4 2 2" xfId="29740"/>
    <cellStyle name="20 % - Accent5 3 4 3 4 2 3" xfId="42720"/>
    <cellStyle name="20 % - Accent5 3 4 3 4 2 4" xfId="58949"/>
    <cellStyle name="20 % - Accent5 3 4 3 4 3" xfId="16760"/>
    <cellStyle name="20 % - Accent5 3 4 3 4 4" xfId="23250"/>
    <cellStyle name="20 % - Accent5 3 4 3 4 5" xfId="36230"/>
    <cellStyle name="20 % - Accent5 3 4 3 4 6" xfId="52459"/>
    <cellStyle name="20 % - Accent5 3 4 3 5" xfId="7022"/>
    <cellStyle name="20 % - Accent5 3 4 3 5 2" xfId="26495"/>
    <cellStyle name="20 % - Accent5 3 4 3 5 3" xfId="39475"/>
    <cellStyle name="20 % - Accent5 3 4 3 5 4" xfId="55704"/>
    <cellStyle name="20 % - Accent5 3 4 3 6" xfId="13515"/>
    <cellStyle name="20 % - Accent5 3 4 3 6 2" xfId="49214"/>
    <cellStyle name="20 % - Accent5 3 4 3 7" xfId="20005"/>
    <cellStyle name="20 % - Accent5 3 4 3 8" xfId="32985"/>
    <cellStyle name="20 % - Accent5 3 4 3 9" xfId="45968"/>
    <cellStyle name="20 % - Accent5 3 4 4" xfId="931"/>
    <cellStyle name="20 % - Accent5 3 4 4 2" xfId="2598"/>
    <cellStyle name="20 % - Accent5 3 4 4 2 2" xfId="5843"/>
    <cellStyle name="20 % - Accent5 3 4 4 2 2 2" xfId="12375"/>
    <cellStyle name="20 % - Accent5 3 4 4 2 2 2 2" xfId="31848"/>
    <cellStyle name="20 % - Accent5 3 4 4 2 2 2 3" xfId="44828"/>
    <cellStyle name="20 % - Accent5 3 4 4 2 2 2 4" xfId="61057"/>
    <cellStyle name="20 % - Accent5 3 4 4 2 2 3" xfId="18868"/>
    <cellStyle name="20 % - Accent5 3 4 4 2 2 4" xfId="25358"/>
    <cellStyle name="20 % - Accent5 3 4 4 2 2 5" xfId="38338"/>
    <cellStyle name="20 % - Accent5 3 4 4 2 2 6" xfId="54567"/>
    <cellStyle name="20 % - Accent5 3 4 4 2 3" xfId="9130"/>
    <cellStyle name="20 % - Accent5 3 4 4 2 3 2" xfId="28603"/>
    <cellStyle name="20 % - Accent5 3 4 4 2 3 3" xfId="41583"/>
    <cellStyle name="20 % - Accent5 3 4 4 2 3 4" xfId="57812"/>
    <cellStyle name="20 % - Accent5 3 4 4 2 4" xfId="15623"/>
    <cellStyle name="20 % - Accent5 3 4 4 2 4 2" xfId="51322"/>
    <cellStyle name="20 % - Accent5 3 4 4 2 5" xfId="22113"/>
    <cellStyle name="20 % - Accent5 3 4 4 2 6" xfId="35093"/>
    <cellStyle name="20 % - Accent5 3 4 4 2 7" xfId="48076"/>
    <cellStyle name="20 % - Accent5 3 4 4 3" xfId="4220"/>
    <cellStyle name="20 % - Accent5 3 4 4 3 2" xfId="10752"/>
    <cellStyle name="20 % - Accent5 3 4 4 3 2 2" xfId="30225"/>
    <cellStyle name="20 % - Accent5 3 4 4 3 2 3" xfId="43205"/>
    <cellStyle name="20 % - Accent5 3 4 4 3 2 4" xfId="59434"/>
    <cellStyle name="20 % - Accent5 3 4 4 3 3" xfId="17245"/>
    <cellStyle name="20 % - Accent5 3 4 4 3 4" xfId="23735"/>
    <cellStyle name="20 % - Accent5 3 4 4 3 5" xfId="36715"/>
    <cellStyle name="20 % - Accent5 3 4 4 3 6" xfId="52944"/>
    <cellStyle name="20 % - Accent5 3 4 4 4" xfId="7507"/>
    <cellStyle name="20 % - Accent5 3 4 4 4 2" xfId="26980"/>
    <cellStyle name="20 % - Accent5 3 4 4 4 3" xfId="39960"/>
    <cellStyle name="20 % - Accent5 3 4 4 4 4" xfId="56189"/>
    <cellStyle name="20 % - Accent5 3 4 4 5" xfId="14000"/>
    <cellStyle name="20 % - Accent5 3 4 4 5 2" xfId="49699"/>
    <cellStyle name="20 % - Accent5 3 4 4 6" xfId="20490"/>
    <cellStyle name="20 % - Accent5 3 4 4 7" xfId="33470"/>
    <cellStyle name="20 % - Accent5 3 4 4 8" xfId="46453"/>
    <cellStyle name="20 % - Accent5 3 4 5" xfId="1884"/>
    <cellStyle name="20 % - Accent5 3 4 5 2" xfId="5129"/>
    <cellStyle name="20 % - Accent5 3 4 5 2 2" xfId="11661"/>
    <cellStyle name="20 % - Accent5 3 4 5 2 2 2" xfId="31134"/>
    <cellStyle name="20 % - Accent5 3 4 5 2 2 3" xfId="44114"/>
    <cellStyle name="20 % - Accent5 3 4 5 2 2 4" xfId="60343"/>
    <cellStyle name="20 % - Accent5 3 4 5 2 3" xfId="18154"/>
    <cellStyle name="20 % - Accent5 3 4 5 2 4" xfId="24644"/>
    <cellStyle name="20 % - Accent5 3 4 5 2 5" xfId="37624"/>
    <cellStyle name="20 % - Accent5 3 4 5 2 6" xfId="53853"/>
    <cellStyle name="20 % - Accent5 3 4 5 3" xfId="8416"/>
    <cellStyle name="20 % - Accent5 3 4 5 3 2" xfId="27889"/>
    <cellStyle name="20 % - Accent5 3 4 5 3 3" xfId="40869"/>
    <cellStyle name="20 % - Accent5 3 4 5 3 4" xfId="57098"/>
    <cellStyle name="20 % - Accent5 3 4 5 4" xfId="14909"/>
    <cellStyle name="20 % - Accent5 3 4 5 4 2" xfId="50608"/>
    <cellStyle name="20 % - Accent5 3 4 5 5" xfId="21399"/>
    <cellStyle name="20 % - Accent5 3 4 5 6" xfId="34379"/>
    <cellStyle name="20 % - Accent5 3 4 5 7" xfId="47362"/>
    <cellStyle name="20 % - Accent5 3 4 6" xfId="3505"/>
    <cellStyle name="20 % - Accent5 3 4 6 2" xfId="10037"/>
    <cellStyle name="20 % - Accent5 3 4 6 2 2" xfId="29510"/>
    <cellStyle name="20 % - Accent5 3 4 6 2 3" xfId="42490"/>
    <cellStyle name="20 % - Accent5 3 4 6 2 4" xfId="58719"/>
    <cellStyle name="20 % - Accent5 3 4 6 3" xfId="16530"/>
    <cellStyle name="20 % - Accent5 3 4 6 4" xfId="23020"/>
    <cellStyle name="20 % - Accent5 3 4 6 5" xfId="36000"/>
    <cellStyle name="20 % - Accent5 3 4 6 6" xfId="52229"/>
    <cellStyle name="20 % - Accent5 3 4 7" xfId="6792"/>
    <cellStyle name="20 % - Accent5 3 4 7 2" xfId="26265"/>
    <cellStyle name="20 % - Accent5 3 4 7 3" xfId="39245"/>
    <cellStyle name="20 % - Accent5 3 4 7 4" xfId="55474"/>
    <cellStyle name="20 % - Accent5 3 4 8" xfId="13285"/>
    <cellStyle name="20 % - Accent5 3 4 8 2" xfId="48984"/>
    <cellStyle name="20 % - Accent5 3 4 9" xfId="19775"/>
    <cellStyle name="20 % - Accent5 3 5" xfId="299"/>
    <cellStyle name="20 % - Accent5 3 5 10" xfId="32843"/>
    <cellStyle name="20 % - Accent5 3 5 11" xfId="45826"/>
    <cellStyle name="20 % - Accent5 3 5 2" xfId="763"/>
    <cellStyle name="20 % - Accent5 3 5 2 10" xfId="46286"/>
    <cellStyle name="20 % - Accent5 3 5 2 2" xfId="1702"/>
    <cellStyle name="20 % - Accent5 3 5 2 2 2" xfId="3369"/>
    <cellStyle name="20 % - Accent5 3 5 2 2 2 2" xfId="6614"/>
    <cellStyle name="20 % - Accent5 3 5 2 2 2 2 2" xfId="13146"/>
    <cellStyle name="20 % - Accent5 3 5 2 2 2 2 2 2" xfId="32619"/>
    <cellStyle name="20 % - Accent5 3 5 2 2 2 2 2 3" xfId="45599"/>
    <cellStyle name="20 % - Accent5 3 5 2 2 2 2 2 4" xfId="61828"/>
    <cellStyle name="20 % - Accent5 3 5 2 2 2 2 3" xfId="19639"/>
    <cellStyle name="20 % - Accent5 3 5 2 2 2 2 4" xfId="26129"/>
    <cellStyle name="20 % - Accent5 3 5 2 2 2 2 5" xfId="39109"/>
    <cellStyle name="20 % - Accent5 3 5 2 2 2 2 6" xfId="55338"/>
    <cellStyle name="20 % - Accent5 3 5 2 2 2 3" xfId="9901"/>
    <cellStyle name="20 % - Accent5 3 5 2 2 2 3 2" xfId="29374"/>
    <cellStyle name="20 % - Accent5 3 5 2 2 2 3 3" xfId="42354"/>
    <cellStyle name="20 % - Accent5 3 5 2 2 2 3 4" xfId="58583"/>
    <cellStyle name="20 % - Accent5 3 5 2 2 2 4" xfId="16394"/>
    <cellStyle name="20 % - Accent5 3 5 2 2 2 4 2" xfId="52093"/>
    <cellStyle name="20 % - Accent5 3 5 2 2 2 5" xfId="22884"/>
    <cellStyle name="20 % - Accent5 3 5 2 2 2 6" xfId="35864"/>
    <cellStyle name="20 % - Accent5 3 5 2 2 2 7" xfId="48847"/>
    <cellStyle name="20 % - Accent5 3 5 2 2 3" xfId="4991"/>
    <cellStyle name="20 % - Accent5 3 5 2 2 3 2" xfId="11523"/>
    <cellStyle name="20 % - Accent5 3 5 2 2 3 2 2" xfId="30996"/>
    <cellStyle name="20 % - Accent5 3 5 2 2 3 2 3" xfId="43976"/>
    <cellStyle name="20 % - Accent5 3 5 2 2 3 2 4" xfId="60205"/>
    <cellStyle name="20 % - Accent5 3 5 2 2 3 3" xfId="18016"/>
    <cellStyle name="20 % - Accent5 3 5 2 2 3 4" xfId="24506"/>
    <cellStyle name="20 % - Accent5 3 5 2 2 3 5" xfId="37486"/>
    <cellStyle name="20 % - Accent5 3 5 2 2 3 6" xfId="53715"/>
    <cellStyle name="20 % - Accent5 3 5 2 2 4" xfId="8278"/>
    <cellStyle name="20 % - Accent5 3 5 2 2 4 2" xfId="27751"/>
    <cellStyle name="20 % - Accent5 3 5 2 2 4 3" xfId="40731"/>
    <cellStyle name="20 % - Accent5 3 5 2 2 4 4" xfId="56960"/>
    <cellStyle name="20 % - Accent5 3 5 2 2 5" xfId="14771"/>
    <cellStyle name="20 % - Accent5 3 5 2 2 5 2" xfId="50470"/>
    <cellStyle name="20 % - Accent5 3 5 2 2 6" xfId="21261"/>
    <cellStyle name="20 % - Accent5 3 5 2 2 7" xfId="34241"/>
    <cellStyle name="20 % - Accent5 3 5 2 2 8" xfId="47224"/>
    <cellStyle name="20 % - Accent5 3 5 2 3" xfId="1239"/>
    <cellStyle name="20 % - Accent5 3 5 2 3 2" xfId="2906"/>
    <cellStyle name="20 % - Accent5 3 5 2 3 2 2" xfId="6151"/>
    <cellStyle name="20 % - Accent5 3 5 2 3 2 2 2" xfId="12683"/>
    <cellStyle name="20 % - Accent5 3 5 2 3 2 2 2 2" xfId="32156"/>
    <cellStyle name="20 % - Accent5 3 5 2 3 2 2 2 3" xfId="45136"/>
    <cellStyle name="20 % - Accent5 3 5 2 3 2 2 2 4" xfId="61365"/>
    <cellStyle name="20 % - Accent5 3 5 2 3 2 2 3" xfId="19176"/>
    <cellStyle name="20 % - Accent5 3 5 2 3 2 2 4" xfId="25666"/>
    <cellStyle name="20 % - Accent5 3 5 2 3 2 2 5" xfId="38646"/>
    <cellStyle name="20 % - Accent5 3 5 2 3 2 2 6" xfId="54875"/>
    <cellStyle name="20 % - Accent5 3 5 2 3 2 3" xfId="9438"/>
    <cellStyle name="20 % - Accent5 3 5 2 3 2 3 2" xfId="28911"/>
    <cellStyle name="20 % - Accent5 3 5 2 3 2 3 3" xfId="41891"/>
    <cellStyle name="20 % - Accent5 3 5 2 3 2 3 4" xfId="58120"/>
    <cellStyle name="20 % - Accent5 3 5 2 3 2 4" xfId="15931"/>
    <cellStyle name="20 % - Accent5 3 5 2 3 2 4 2" xfId="51630"/>
    <cellStyle name="20 % - Accent5 3 5 2 3 2 5" xfId="22421"/>
    <cellStyle name="20 % - Accent5 3 5 2 3 2 6" xfId="35401"/>
    <cellStyle name="20 % - Accent5 3 5 2 3 2 7" xfId="48384"/>
    <cellStyle name="20 % - Accent5 3 5 2 3 3" xfId="4528"/>
    <cellStyle name="20 % - Accent5 3 5 2 3 3 2" xfId="11060"/>
    <cellStyle name="20 % - Accent5 3 5 2 3 3 2 2" xfId="30533"/>
    <cellStyle name="20 % - Accent5 3 5 2 3 3 2 3" xfId="43513"/>
    <cellStyle name="20 % - Accent5 3 5 2 3 3 2 4" xfId="59742"/>
    <cellStyle name="20 % - Accent5 3 5 2 3 3 3" xfId="17553"/>
    <cellStyle name="20 % - Accent5 3 5 2 3 3 4" xfId="24043"/>
    <cellStyle name="20 % - Accent5 3 5 2 3 3 5" xfId="37023"/>
    <cellStyle name="20 % - Accent5 3 5 2 3 3 6" xfId="53252"/>
    <cellStyle name="20 % - Accent5 3 5 2 3 4" xfId="7815"/>
    <cellStyle name="20 % - Accent5 3 5 2 3 4 2" xfId="27288"/>
    <cellStyle name="20 % - Accent5 3 5 2 3 4 3" xfId="40268"/>
    <cellStyle name="20 % - Accent5 3 5 2 3 4 4" xfId="56497"/>
    <cellStyle name="20 % - Accent5 3 5 2 3 5" xfId="14308"/>
    <cellStyle name="20 % - Accent5 3 5 2 3 5 2" xfId="50007"/>
    <cellStyle name="20 % - Accent5 3 5 2 3 6" xfId="20798"/>
    <cellStyle name="20 % - Accent5 3 5 2 3 7" xfId="33778"/>
    <cellStyle name="20 % - Accent5 3 5 2 3 8" xfId="46761"/>
    <cellStyle name="20 % - Accent5 3 5 2 4" xfId="2431"/>
    <cellStyle name="20 % - Accent5 3 5 2 4 2" xfId="5676"/>
    <cellStyle name="20 % - Accent5 3 5 2 4 2 2" xfId="12208"/>
    <cellStyle name="20 % - Accent5 3 5 2 4 2 2 2" xfId="31681"/>
    <cellStyle name="20 % - Accent5 3 5 2 4 2 2 3" xfId="44661"/>
    <cellStyle name="20 % - Accent5 3 5 2 4 2 2 4" xfId="60890"/>
    <cellStyle name="20 % - Accent5 3 5 2 4 2 3" xfId="18701"/>
    <cellStyle name="20 % - Accent5 3 5 2 4 2 4" xfId="25191"/>
    <cellStyle name="20 % - Accent5 3 5 2 4 2 5" xfId="38171"/>
    <cellStyle name="20 % - Accent5 3 5 2 4 2 6" xfId="54400"/>
    <cellStyle name="20 % - Accent5 3 5 2 4 3" xfId="8963"/>
    <cellStyle name="20 % - Accent5 3 5 2 4 3 2" xfId="28436"/>
    <cellStyle name="20 % - Accent5 3 5 2 4 3 3" xfId="41416"/>
    <cellStyle name="20 % - Accent5 3 5 2 4 3 4" xfId="57645"/>
    <cellStyle name="20 % - Accent5 3 5 2 4 4" xfId="15456"/>
    <cellStyle name="20 % - Accent5 3 5 2 4 4 2" xfId="51155"/>
    <cellStyle name="20 % - Accent5 3 5 2 4 5" xfId="21946"/>
    <cellStyle name="20 % - Accent5 3 5 2 4 6" xfId="34926"/>
    <cellStyle name="20 % - Accent5 3 5 2 4 7" xfId="47909"/>
    <cellStyle name="20 % - Accent5 3 5 2 5" xfId="4053"/>
    <cellStyle name="20 % - Accent5 3 5 2 5 2" xfId="10585"/>
    <cellStyle name="20 % - Accent5 3 5 2 5 2 2" xfId="30058"/>
    <cellStyle name="20 % - Accent5 3 5 2 5 2 3" xfId="43038"/>
    <cellStyle name="20 % - Accent5 3 5 2 5 2 4" xfId="59267"/>
    <cellStyle name="20 % - Accent5 3 5 2 5 3" xfId="17078"/>
    <cellStyle name="20 % - Accent5 3 5 2 5 4" xfId="23568"/>
    <cellStyle name="20 % - Accent5 3 5 2 5 5" xfId="36548"/>
    <cellStyle name="20 % - Accent5 3 5 2 5 6" xfId="52777"/>
    <cellStyle name="20 % - Accent5 3 5 2 6" xfId="7340"/>
    <cellStyle name="20 % - Accent5 3 5 2 6 2" xfId="26813"/>
    <cellStyle name="20 % - Accent5 3 5 2 6 3" xfId="39793"/>
    <cellStyle name="20 % - Accent5 3 5 2 6 4" xfId="56022"/>
    <cellStyle name="20 % - Accent5 3 5 2 7" xfId="13833"/>
    <cellStyle name="20 % - Accent5 3 5 2 7 2" xfId="49532"/>
    <cellStyle name="20 % - Accent5 3 5 2 8" xfId="20323"/>
    <cellStyle name="20 % - Accent5 3 5 2 9" xfId="33303"/>
    <cellStyle name="20 % - Accent5 3 5 3" xfId="533"/>
    <cellStyle name="20 % - Accent5 3 5 3 2" xfId="1482"/>
    <cellStyle name="20 % - Accent5 3 5 3 2 2" xfId="3149"/>
    <cellStyle name="20 % - Accent5 3 5 3 2 2 2" xfId="6394"/>
    <cellStyle name="20 % - Accent5 3 5 3 2 2 2 2" xfId="12926"/>
    <cellStyle name="20 % - Accent5 3 5 3 2 2 2 2 2" xfId="32399"/>
    <cellStyle name="20 % - Accent5 3 5 3 2 2 2 2 3" xfId="45379"/>
    <cellStyle name="20 % - Accent5 3 5 3 2 2 2 2 4" xfId="61608"/>
    <cellStyle name="20 % - Accent5 3 5 3 2 2 2 3" xfId="19419"/>
    <cellStyle name="20 % - Accent5 3 5 3 2 2 2 4" xfId="25909"/>
    <cellStyle name="20 % - Accent5 3 5 3 2 2 2 5" xfId="38889"/>
    <cellStyle name="20 % - Accent5 3 5 3 2 2 2 6" xfId="55118"/>
    <cellStyle name="20 % - Accent5 3 5 3 2 2 3" xfId="9681"/>
    <cellStyle name="20 % - Accent5 3 5 3 2 2 3 2" xfId="29154"/>
    <cellStyle name="20 % - Accent5 3 5 3 2 2 3 3" xfId="42134"/>
    <cellStyle name="20 % - Accent5 3 5 3 2 2 3 4" xfId="58363"/>
    <cellStyle name="20 % - Accent5 3 5 3 2 2 4" xfId="16174"/>
    <cellStyle name="20 % - Accent5 3 5 3 2 2 4 2" xfId="51873"/>
    <cellStyle name="20 % - Accent5 3 5 3 2 2 5" xfId="22664"/>
    <cellStyle name="20 % - Accent5 3 5 3 2 2 6" xfId="35644"/>
    <cellStyle name="20 % - Accent5 3 5 3 2 2 7" xfId="48627"/>
    <cellStyle name="20 % - Accent5 3 5 3 2 3" xfId="4771"/>
    <cellStyle name="20 % - Accent5 3 5 3 2 3 2" xfId="11303"/>
    <cellStyle name="20 % - Accent5 3 5 3 2 3 2 2" xfId="30776"/>
    <cellStyle name="20 % - Accent5 3 5 3 2 3 2 3" xfId="43756"/>
    <cellStyle name="20 % - Accent5 3 5 3 2 3 2 4" xfId="59985"/>
    <cellStyle name="20 % - Accent5 3 5 3 2 3 3" xfId="17796"/>
    <cellStyle name="20 % - Accent5 3 5 3 2 3 4" xfId="24286"/>
    <cellStyle name="20 % - Accent5 3 5 3 2 3 5" xfId="37266"/>
    <cellStyle name="20 % - Accent5 3 5 3 2 3 6" xfId="53495"/>
    <cellStyle name="20 % - Accent5 3 5 3 2 4" xfId="8058"/>
    <cellStyle name="20 % - Accent5 3 5 3 2 4 2" xfId="27531"/>
    <cellStyle name="20 % - Accent5 3 5 3 2 4 3" xfId="40511"/>
    <cellStyle name="20 % - Accent5 3 5 3 2 4 4" xfId="56740"/>
    <cellStyle name="20 % - Accent5 3 5 3 2 5" xfId="14551"/>
    <cellStyle name="20 % - Accent5 3 5 3 2 5 2" xfId="50250"/>
    <cellStyle name="20 % - Accent5 3 5 3 2 6" xfId="21041"/>
    <cellStyle name="20 % - Accent5 3 5 3 2 7" xfId="34021"/>
    <cellStyle name="20 % - Accent5 3 5 3 2 8" xfId="47004"/>
    <cellStyle name="20 % - Accent5 3 5 3 3" xfId="2201"/>
    <cellStyle name="20 % - Accent5 3 5 3 3 2" xfId="5446"/>
    <cellStyle name="20 % - Accent5 3 5 3 3 2 2" xfId="11978"/>
    <cellStyle name="20 % - Accent5 3 5 3 3 2 2 2" xfId="31451"/>
    <cellStyle name="20 % - Accent5 3 5 3 3 2 2 3" xfId="44431"/>
    <cellStyle name="20 % - Accent5 3 5 3 3 2 2 4" xfId="60660"/>
    <cellStyle name="20 % - Accent5 3 5 3 3 2 3" xfId="18471"/>
    <cellStyle name="20 % - Accent5 3 5 3 3 2 4" xfId="24961"/>
    <cellStyle name="20 % - Accent5 3 5 3 3 2 5" xfId="37941"/>
    <cellStyle name="20 % - Accent5 3 5 3 3 2 6" xfId="54170"/>
    <cellStyle name="20 % - Accent5 3 5 3 3 3" xfId="8733"/>
    <cellStyle name="20 % - Accent5 3 5 3 3 3 2" xfId="28206"/>
    <cellStyle name="20 % - Accent5 3 5 3 3 3 3" xfId="41186"/>
    <cellStyle name="20 % - Accent5 3 5 3 3 3 4" xfId="57415"/>
    <cellStyle name="20 % - Accent5 3 5 3 3 4" xfId="15226"/>
    <cellStyle name="20 % - Accent5 3 5 3 3 4 2" xfId="50925"/>
    <cellStyle name="20 % - Accent5 3 5 3 3 5" xfId="21716"/>
    <cellStyle name="20 % - Accent5 3 5 3 3 6" xfId="34696"/>
    <cellStyle name="20 % - Accent5 3 5 3 3 7" xfId="47679"/>
    <cellStyle name="20 % - Accent5 3 5 3 4" xfId="3823"/>
    <cellStyle name="20 % - Accent5 3 5 3 4 2" xfId="10355"/>
    <cellStyle name="20 % - Accent5 3 5 3 4 2 2" xfId="29828"/>
    <cellStyle name="20 % - Accent5 3 5 3 4 2 3" xfId="42808"/>
    <cellStyle name="20 % - Accent5 3 5 3 4 2 4" xfId="59037"/>
    <cellStyle name="20 % - Accent5 3 5 3 4 3" xfId="16848"/>
    <cellStyle name="20 % - Accent5 3 5 3 4 4" xfId="23338"/>
    <cellStyle name="20 % - Accent5 3 5 3 4 5" xfId="36318"/>
    <cellStyle name="20 % - Accent5 3 5 3 4 6" xfId="52547"/>
    <cellStyle name="20 % - Accent5 3 5 3 5" xfId="7110"/>
    <cellStyle name="20 % - Accent5 3 5 3 5 2" xfId="26583"/>
    <cellStyle name="20 % - Accent5 3 5 3 5 3" xfId="39563"/>
    <cellStyle name="20 % - Accent5 3 5 3 5 4" xfId="55792"/>
    <cellStyle name="20 % - Accent5 3 5 3 6" xfId="13603"/>
    <cellStyle name="20 % - Accent5 3 5 3 6 2" xfId="49302"/>
    <cellStyle name="20 % - Accent5 3 5 3 7" xfId="20093"/>
    <cellStyle name="20 % - Accent5 3 5 3 8" xfId="33073"/>
    <cellStyle name="20 % - Accent5 3 5 3 9" xfId="46056"/>
    <cellStyle name="20 % - Accent5 3 5 4" xfId="1019"/>
    <cellStyle name="20 % - Accent5 3 5 4 2" xfId="2686"/>
    <cellStyle name="20 % - Accent5 3 5 4 2 2" xfId="5931"/>
    <cellStyle name="20 % - Accent5 3 5 4 2 2 2" xfId="12463"/>
    <cellStyle name="20 % - Accent5 3 5 4 2 2 2 2" xfId="31936"/>
    <cellStyle name="20 % - Accent5 3 5 4 2 2 2 3" xfId="44916"/>
    <cellStyle name="20 % - Accent5 3 5 4 2 2 2 4" xfId="61145"/>
    <cellStyle name="20 % - Accent5 3 5 4 2 2 3" xfId="18956"/>
    <cellStyle name="20 % - Accent5 3 5 4 2 2 4" xfId="25446"/>
    <cellStyle name="20 % - Accent5 3 5 4 2 2 5" xfId="38426"/>
    <cellStyle name="20 % - Accent5 3 5 4 2 2 6" xfId="54655"/>
    <cellStyle name="20 % - Accent5 3 5 4 2 3" xfId="9218"/>
    <cellStyle name="20 % - Accent5 3 5 4 2 3 2" xfId="28691"/>
    <cellStyle name="20 % - Accent5 3 5 4 2 3 3" xfId="41671"/>
    <cellStyle name="20 % - Accent5 3 5 4 2 3 4" xfId="57900"/>
    <cellStyle name="20 % - Accent5 3 5 4 2 4" xfId="15711"/>
    <cellStyle name="20 % - Accent5 3 5 4 2 4 2" xfId="51410"/>
    <cellStyle name="20 % - Accent5 3 5 4 2 5" xfId="22201"/>
    <cellStyle name="20 % - Accent5 3 5 4 2 6" xfId="35181"/>
    <cellStyle name="20 % - Accent5 3 5 4 2 7" xfId="48164"/>
    <cellStyle name="20 % - Accent5 3 5 4 3" xfId="4308"/>
    <cellStyle name="20 % - Accent5 3 5 4 3 2" xfId="10840"/>
    <cellStyle name="20 % - Accent5 3 5 4 3 2 2" xfId="30313"/>
    <cellStyle name="20 % - Accent5 3 5 4 3 2 3" xfId="43293"/>
    <cellStyle name="20 % - Accent5 3 5 4 3 2 4" xfId="59522"/>
    <cellStyle name="20 % - Accent5 3 5 4 3 3" xfId="17333"/>
    <cellStyle name="20 % - Accent5 3 5 4 3 4" xfId="23823"/>
    <cellStyle name="20 % - Accent5 3 5 4 3 5" xfId="36803"/>
    <cellStyle name="20 % - Accent5 3 5 4 3 6" xfId="53032"/>
    <cellStyle name="20 % - Accent5 3 5 4 4" xfId="7595"/>
    <cellStyle name="20 % - Accent5 3 5 4 4 2" xfId="27068"/>
    <cellStyle name="20 % - Accent5 3 5 4 4 3" xfId="40048"/>
    <cellStyle name="20 % - Accent5 3 5 4 4 4" xfId="56277"/>
    <cellStyle name="20 % - Accent5 3 5 4 5" xfId="14088"/>
    <cellStyle name="20 % - Accent5 3 5 4 5 2" xfId="49787"/>
    <cellStyle name="20 % - Accent5 3 5 4 6" xfId="20578"/>
    <cellStyle name="20 % - Accent5 3 5 4 7" xfId="33558"/>
    <cellStyle name="20 % - Accent5 3 5 4 8" xfId="46541"/>
    <cellStyle name="20 % - Accent5 3 5 5" xfId="1972"/>
    <cellStyle name="20 % - Accent5 3 5 5 2" xfId="5217"/>
    <cellStyle name="20 % - Accent5 3 5 5 2 2" xfId="11749"/>
    <cellStyle name="20 % - Accent5 3 5 5 2 2 2" xfId="31222"/>
    <cellStyle name="20 % - Accent5 3 5 5 2 2 3" xfId="44202"/>
    <cellStyle name="20 % - Accent5 3 5 5 2 2 4" xfId="60431"/>
    <cellStyle name="20 % - Accent5 3 5 5 2 3" xfId="18242"/>
    <cellStyle name="20 % - Accent5 3 5 5 2 4" xfId="24732"/>
    <cellStyle name="20 % - Accent5 3 5 5 2 5" xfId="37712"/>
    <cellStyle name="20 % - Accent5 3 5 5 2 6" xfId="53941"/>
    <cellStyle name="20 % - Accent5 3 5 5 3" xfId="8504"/>
    <cellStyle name="20 % - Accent5 3 5 5 3 2" xfId="27977"/>
    <cellStyle name="20 % - Accent5 3 5 5 3 3" xfId="40957"/>
    <cellStyle name="20 % - Accent5 3 5 5 3 4" xfId="57186"/>
    <cellStyle name="20 % - Accent5 3 5 5 4" xfId="14997"/>
    <cellStyle name="20 % - Accent5 3 5 5 4 2" xfId="50696"/>
    <cellStyle name="20 % - Accent5 3 5 5 5" xfId="21487"/>
    <cellStyle name="20 % - Accent5 3 5 5 6" xfId="34467"/>
    <cellStyle name="20 % - Accent5 3 5 5 7" xfId="47450"/>
    <cellStyle name="20 % - Accent5 3 5 6" xfId="3593"/>
    <cellStyle name="20 % - Accent5 3 5 6 2" xfId="10125"/>
    <cellStyle name="20 % - Accent5 3 5 6 2 2" xfId="29598"/>
    <cellStyle name="20 % - Accent5 3 5 6 2 3" xfId="42578"/>
    <cellStyle name="20 % - Accent5 3 5 6 2 4" xfId="58807"/>
    <cellStyle name="20 % - Accent5 3 5 6 3" xfId="16618"/>
    <cellStyle name="20 % - Accent5 3 5 6 4" xfId="23108"/>
    <cellStyle name="20 % - Accent5 3 5 6 5" xfId="36088"/>
    <cellStyle name="20 % - Accent5 3 5 6 6" xfId="52317"/>
    <cellStyle name="20 % - Accent5 3 5 7" xfId="6880"/>
    <cellStyle name="20 % - Accent5 3 5 7 2" xfId="26353"/>
    <cellStyle name="20 % - Accent5 3 5 7 3" xfId="39333"/>
    <cellStyle name="20 % - Accent5 3 5 7 4" xfId="55562"/>
    <cellStyle name="20 % - Accent5 3 5 8" xfId="13373"/>
    <cellStyle name="20 % - Accent5 3 5 8 2" xfId="49072"/>
    <cellStyle name="20 % - Accent5 3 5 9" xfId="19863"/>
    <cellStyle name="20 % - Accent5 3 6" xfId="631"/>
    <cellStyle name="20 % - Accent5 3 6 10" xfId="46154"/>
    <cellStyle name="20 % - Accent5 3 6 2" xfId="1350"/>
    <cellStyle name="20 % - Accent5 3 6 2 2" xfId="3017"/>
    <cellStyle name="20 % - Accent5 3 6 2 2 2" xfId="6262"/>
    <cellStyle name="20 % - Accent5 3 6 2 2 2 2" xfId="12794"/>
    <cellStyle name="20 % - Accent5 3 6 2 2 2 2 2" xfId="32267"/>
    <cellStyle name="20 % - Accent5 3 6 2 2 2 2 3" xfId="45247"/>
    <cellStyle name="20 % - Accent5 3 6 2 2 2 2 4" xfId="61476"/>
    <cellStyle name="20 % - Accent5 3 6 2 2 2 3" xfId="19287"/>
    <cellStyle name="20 % - Accent5 3 6 2 2 2 4" xfId="25777"/>
    <cellStyle name="20 % - Accent5 3 6 2 2 2 5" xfId="38757"/>
    <cellStyle name="20 % - Accent5 3 6 2 2 2 6" xfId="54986"/>
    <cellStyle name="20 % - Accent5 3 6 2 2 3" xfId="9549"/>
    <cellStyle name="20 % - Accent5 3 6 2 2 3 2" xfId="29022"/>
    <cellStyle name="20 % - Accent5 3 6 2 2 3 3" xfId="42002"/>
    <cellStyle name="20 % - Accent5 3 6 2 2 3 4" xfId="58231"/>
    <cellStyle name="20 % - Accent5 3 6 2 2 4" xfId="16042"/>
    <cellStyle name="20 % - Accent5 3 6 2 2 4 2" xfId="51741"/>
    <cellStyle name="20 % - Accent5 3 6 2 2 5" xfId="22532"/>
    <cellStyle name="20 % - Accent5 3 6 2 2 6" xfId="35512"/>
    <cellStyle name="20 % - Accent5 3 6 2 2 7" xfId="48495"/>
    <cellStyle name="20 % - Accent5 3 6 2 3" xfId="4639"/>
    <cellStyle name="20 % - Accent5 3 6 2 3 2" xfId="11171"/>
    <cellStyle name="20 % - Accent5 3 6 2 3 2 2" xfId="30644"/>
    <cellStyle name="20 % - Accent5 3 6 2 3 2 3" xfId="43624"/>
    <cellStyle name="20 % - Accent5 3 6 2 3 2 4" xfId="59853"/>
    <cellStyle name="20 % - Accent5 3 6 2 3 3" xfId="17664"/>
    <cellStyle name="20 % - Accent5 3 6 2 3 4" xfId="24154"/>
    <cellStyle name="20 % - Accent5 3 6 2 3 5" xfId="37134"/>
    <cellStyle name="20 % - Accent5 3 6 2 3 6" xfId="53363"/>
    <cellStyle name="20 % - Accent5 3 6 2 4" xfId="7926"/>
    <cellStyle name="20 % - Accent5 3 6 2 4 2" xfId="27399"/>
    <cellStyle name="20 % - Accent5 3 6 2 4 3" xfId="40379"/>
    <cellStyle name="20 % - Accent5 3 6 2 4 4" xfId="56608"/>
    <cellStyle name="20 % - Accent5 3 6 2 5" xfId="14419"/>
    <cellStyle name="20 % - Accent5 3 6 2 5 2" xfId="50118"/>
    <cellStyle name="20 % - Accent5 3 6 2 6" xfId="20909"/>
    <cellStyle name="20 % - Accent5 3 6 2 7" xfId="33889"/>
    <cellStyle name="20 % - Accent5 3 6 2 8" xfId="46872"/>
    <cellStyle name="20 % - Accent5 3 6 3" xfId="886"/>
    <cellStyle name="20 % - Accent5 3 6 3 2" xfId="2554"/>
    <cellStyle name="20 % - Accent5 3 6 3 2 2" xfId="5799"/>
    <cellStyle name="20 % - Accent5 3 6 3 2 2 2" xfId="12331"/>
    <cellStyle name="20 % - Accent5 3 6 3 2 2 2 2" xfId="31804"/>
    <cellStyle name="20 % - Accent5 3 6 3 2 2 2 3" xfId="44784"/>
    <cellStyle name="20 % - Accent5 3 6 3 2 2 2 4" xfId="61013"/>
    <cellStyle name="20 % - Accent5 3 6 3 2 2 3" xfId="18824"/>
    <cellStyle name="20 % - Accent5 3 6 3 2 2 4" xfId="25314"/>
    <cellStyle name="20 % - Accent5 3 6 3 2 2 5" xfId="38294"/>
    <cellStyle name="20 % - Accent5 3 6 3 2 2 6" xfId="54523"/>
    <cellStyle name="20 % - Accent5 3 6 3 2 3" xfId="9086"/>
    <cellStyle name="20 % - Accent5 3 6 3 2 3 2" xfId="28559"/>
    <cellStyle name="20 % - Accent5 3 6 3 2 3 3" xfId="41539"/>
    <cellStyle name="20 % - Accent5 3 6 3 2 3 4" xfId="57768"/>
    <cellStyle name="20 % - Accent5 3 6 3 2 4" xfId="15579"/>
    <cellStyle name="20 % - Accent5 3 6 3 2 4 2" xfId="51278"/>
    <cellStyle name="20 % - Accent5 3 6 3 2 5" xfId="22069"/>
    <cellStyle name="20 % - Accent5 3 6 3 2 6" xfId="35049"/>
    <cellStyle name="20 % - Accent5 3 6 3 2 7" xfId="48032"/>
    <cellStyle name="20 % - Accent5 3 6 3 3" xfId="4176"/>
    <cellStyle name="20 % - Accent5 3 6 3 3 2" xfId="10708"/>
    <cellStyle name="20 % - Accent5 3 6 3 3 2 2" xfId="30181"/>
    <cellStyle name="20 % - Accent5 3 6 3 3 2 3" xfId="43161"/>
    <cellStyle name="20 % - Accent5 3 6 3 3 2 4" xfId="59390"/>
    <cellStyle name="20 % - Accent5 3 6 3 3 3" xfId="17201"/>
    <cellStyle name="20 % - Accent5 3 6 3 3 4" xfId="23691"/>
    <cellStyle name="20 % - Accent5 3 6 3 3 5" xfId="36671"/>
    <cellStyle name="20 % - Accent5 3 6 3 3 6" xfId="52900"/>
    <cellStyle name="20 % - Accent5 3 6 3 4" xfId="7463"/>
    <cellStyle name="20 % - Accent5 3 6 3 4 2" xfId="26936"/>
    <cellStyle name="20 % - Accent5 3 6 3 4 3" xfId="39916"/>
    <cellStyle name="20 % - Accent5 3 6 3 4 4" xfId="56145"/>
    <cellStyle name="20 % - Accent5 3 6 3 5" xfId="13956"/>
    <cellStyle name="20 % - Accent5 3 6 3 5 2" xfId="49655"/>
    <cellStyle name="20 % - Accent5 3 6 3 6" xfId="20446"/>
    <cellStyle name="20 % - Accent5 3 6 3 7" xfId="33426"/>
    <cellStyle name="20 % - Accent5 3 6 3 8" xfId="46409"/>
    <cellStyle name="20 % - Accent5 3 6 4" xfId="2299"/>
    <cellStyle name="20 % - Accent5 3 6 4 2" xfId="5544"/>
    <cellStyle name="20 % - Accent5 3 6 4 2 2" xfId="12076"/>
    <cellStyle name="20 % - Accent5 3 6 4 2 2 2" xfId="31549"/>
    <cellStyle name="20 % - Accent5 3 6 4 2 2 3" xfId="44529"/>
    <cellStyle name="20 % - Accent5 3 6 4 2 2 4" xfId="60758"/>
    <cellStyle name="20 % - Accent5 3 6 4 2 3" xfId="18569"/>
    <cellStyle name="20 % - Accent5 3 6 4 2 4" xfId="25059"/>
    <cellStyle name="20 % - Accent5 3 6 4 2 5" xfId="38039"/>
    <cellStyle name="20 % - Accent5 3 6 4 2 6" xfId="54268"/>
    <cellStyle name="20 % - Accent5 3 6 4 3" xfId="8831"/>
    <cellStyle name="20 % - Accent5 3 6 4 3 2" xfId="28304"/>
    <cellStyle name="20 % - Accent5 3 6 4 3 3" xfId="41284"/>
    <cellStyle name="20 % - Accent5 3 6 4 3 4" xfId="57513"/>
    <cellStyle name="20 % - Accent5 3 6 4 4" xfId="15324"/>
    <cellStyle name="20 % - Accent5 3 6 4 4 2" xfId="51023"/>
    <cellStyle name="20 % - Accent5 3 6 4 5" xfId="21814"/>
    <cellStyle name="20 % - Accent5 3 6 4 6" xfId="34794"/>
    <cellStyle name="20 % - Accent5 3 6 4 7" xfId="47777"/>
    <cellStyle name="20 % - Accent5 3 6 5" xfId="3921"/>
    <cellStyle name="20 % - Accent5 3 6 5 2" xfId="10453"/>
    <cellStyle name="20 % - Accent5 3 6 5 2 2" xfId="29926"/>
    <cellStyle name="20 % - Accent5 3 6 5 2 3" xfId="42906"/>
    <cellStyle name="20 % - Accent5 3 6 5 2 4" xfId="59135"/>
    <cellStyle name="20 % - Accent5 3 6 5 3" xfId="16946"/>
    <cellStyle name="20 % - Accent5 3 6 5 4" xfId="23436"/>
    <cellStyle name="20 % - Accent5 3 6 5 5" xfId="36416"/>
    <cellStyle name="20 % - Accent5 3 6 5 6" xfId="52645"/>
    <cellStyle name="20 % - Accent5 3 6 6" xfId="7208"/>
    <cellStyle name="20 % - Accent5 3 6 6 2" xfId="26681"/>
    <cellStyle name="20 % - Accent5 3 6 6 3" xfId="39661"/>
    <cellStyle name="20 % - Accent5 3 6 6 4" xfId="55890"/>
    <cellStyle name="20 % - Accent5 3 6 7" xfId="13701"/>
    <cellStyle name="20 % - Accent5 3 6 7 2" xfId="49400"/>
    <cellStyle name="20 % - Accent5 3 6 8" xfId="20191"/>
    <cellStyle name="20 % - Accent5 3 6 9" xfId="33171"/>
    <cellStyle name="20 % - Accent5 3 7" xfId="401"/>
    <cellStyle name="20 % - Accent5 3 7 10" xfId="45924"/>
    <cellStyle name="20 % - Accent5 3 7 2" xfId="1570"/>
    <cellStyle name="20 % - Accent5 3 7 2 2" xfId="3237"/>
    <cellStyle name="20 % - Accent5 3 7 2 2 2" xfId="6482"/>
    <cellStyle name="20 % - Accent5 3 7 2 2 2 2" xfId="13014"/>
    <cellStyle name="20 % - Accent5 3 7 2 2 2 2 2" xfId="32487"/>
    <cellStyle name="20 % - Accent5 3 7 2 2 2 2 3" xfId="45467"/>
    <cellStyle name="20 % - Accent5 3 7 2 2 2 2 4" xfId="61696"/>
    <cellStyle name="20 % - Accent5 3 7 2 2 2 3" xfId="19507"/>
    <cellStyle name="20 % - Accent5 3 7 2 2 2 4" xfId="25997"/>
    <cellStyle name="20 % - Accent5 3 7 2 2 2 5" xfId="38977"/>
    <cellStyle name="20 % - Accent5 3 7 2 2 2 6" xfId="55206"/>
    <cellStyle name="20 % - Accent5 3 7 2 2 3" xfId="9769"/>
    <cellStyle name="20 % - Accent5 3 7 2 2 3 2" xfId="29242"/>
    <cellStyle name="20 % - Accent5 3 7 2 2 3 3" xfId="42222"/>
    <cellStyle name="20 % - Accent5 3 7 2 2 3 4" xfId="58451"/>
    <cellStyle name="20 % - Accent5 3 7 2 2 4" xfId="16262"/>
    <cellStyle name="20 % - Accent5 3 7 2 2 4 2" xfId="51961"/>
    <cellStyle name="20 % - Accent5 3 7 2 2 5" xfId="22752"/>
    <cellStyle name="20 % - Accent5 3 7 2 2 6" xfId="35732"/>
    <cellStyle name="20 % - Accent5 3 7 2 2 7" xfId="48715"/>
    <cellStyle name="20 % - Accent5 3 7 2 3" xfId="4859"/>
    <cellStyle name="20 % - Accent5 3 7 2 3 2" xfId="11391"/>
    <cellStyle name="20 % - Accent5 3 7 2 3 2 2" xfId="30864"/>
    <cellStyle name="20 % - Accent5 3 7 2 3 2 3" xfId="43844"/>
    <cellStyle name="20 % - Accent5 3 7 2 3 2 4" xfId="60073"/>
    <cellStyle name="20 % - Accent5 3 7 2 3 3" xfId="17884"/>
    <cellStyle name="20 % - Accent5 3 7 2 3 4" xfId="24374"/>
    <cellStyle name="20 % - Accent5 3 7 2 3 5" xfId="37354"/>
    <cellStyle name="20 % - Accent5 3 7 2 3 6" xfId="53583"/>
    <cellStyle name="20 % - Accent5 3 7 2 4" xfId="8146"/>
    <cellStyle name="20 % - Accent5 3 7 2 4 2" xfId="27619"/>
    <cellStyle name="20 % - Accent5 3 7 2 4 3" xfId="40599"/>
    <cellStyle name="20 % - Accent5 3 7 2 4 4" xfId="56828"/>
    <cellStyle name="20 % - Accent5 3 7 2 5" xfId="14639"/>
    <cellStyle name="20 % - Accent5 3 7 2 5 2" xfId="50338"/>
    <cellStyle name="20 % - Accent5 3 7 2 6" xfId="21129"/>
    <cellStyle name="20 % - Accent5 3 7 2 7" xfId="34109"/>
    <cellStyle name="20 % - Accent5 3 7 2 8" xfId="47092"/>
    <cellStyle name="20 % - Accent5 3 7 3" xfId="1107"/>
    <cellStyle name="20 % - Accent5 3 7 3 2" xfId="2774"/>
    <cellStyle name="20 % - Accent5 3 7 3 2 2" xfId="6019"/>
    <cellStyle name="20 % - Accent5 3 7 3 2 2 2" xfId="12551"/>
    <cellStyle name="20 % - Accent5 3 7 3 2 2 2 2" xfId="32024"/>
    <cellStyle name="20 % - Accent5 3 7 3 2 2 2 3" xfId="45004"/>
    <cellStyle name="20 % - Accent5 3 7 3 2 2 2 4" xfId="61233"/>
    <cellStyle name="20 % - Accent5 3 7 3 2 2 3" xfId="19044"/>
    <cellStyle name="20 % - Accent5 3 7 3 2 2 4" xfId="25534"/>
    <cellStyle name="20 % - Accent5 3 7 3 2 2 5" xfId="38514"/>
    <cellStyle name="20 % - Accent5 3 7 3 2 2 6" xfId="54743"/>
    <cellStyle name="20 % - Accent5 3 7 3 2 3" xfId="9306"/>
    <cellStyle name="20 % - Accent5 3 7 3 2 3 2" xfId="28779"/>
    <cellStyle name="20 % - Accent5 3 7 3 2 3 3" xfId="41759"/>
    <cellStyle name="20 % - Accent5 3 7 3 2 3 4" xfId="57988"/>
    <cellStyle name="20 % - Accent5 3 7 3 2 4" xfId="15799"/>
    <cellStyle name="20 % - Accent5 3 7 3 2 4 2" xfId="51498"/>
    <cellStyle name="20 % - Accent5 3 7 3 2 5" xfId="22289"/>
    <cellStyle name="20 % - Accent5 3 7 3 2 6" xfId="35269"/>
    <cellStyle name="20 % - Accent5 3 7 3 2 7" xfId="48252"/>
    <cellStyle name="20 % - Accent5 3 7 3 3" xfId="4396"/>
    <cellStyle name="20 % - Accent5 3 7 3 3 2" xfId="10928"/>
    <cellStyle name="20 % - Accent5 3 7 3 3 2 2" xfId="30401"/>
    <cellStyle name="20 % - Accent5 3 7 3 3 2 3" xfId="43381"/>
    <cellStyle name="20 % - Accent5 3 7 3 3 2 4" xfId="59610"/>
    <cellStyle name="20 % - Accent5 3 7 3 3 3" xfId="17421"/>
    <cellStyle name="20 % - Accent5 3 7 3 3 4" xfId="23911"/>
    <cellStyle name="20 % - Accent5 3 7 3 3 5" xfId="36891"/>
    <cellStyle name="20 % - Accent5 3 7 3 3 6" xfId="53120"/>
    <cellStyle name="20 % - Accent5 3 7 3 4" xfId="7683"/>
    <cellStyle name="20 % - Accent5 3 7 3 4 2" xfId="27156"/>
    <cellStyle name="20 % - Accent5 3 7 3 4 3" xfId="40136"/>
    <cellStyle name="20 % - Accent5 3 7 3 4 4" xfId="56365"/>
    <cellStyle name="20 % - Accent5 3 7 3 5" xfId="14176"/>
    <cellStyle name="20 % - Accent5 3 7 3 5 2" xfId="49875"/>
    <cellStyle name="20 % - Accent5 3 7 3 6" xfId="20666"/>
    <cellStyle name="20 % - Accent5 3 7 3 7" xfId="33646"/>
    <cellStyle name="20 % - Accent5 3 7 3 8" xfId="46629"/>
    <cellStyle name="20 % - Accent5 3 7 4" xfId="2069"/>
    <cellStyle name="20 % - Accent5 3 7 4 2" xfId="5314"/>
    <cellStyle name="20 % - Accent5 3 7 4 2 2" xfId="11846"/>
    <cellStyle name="20 % - Accent5 3 7 4 2 2 2" xfId="31319"/>
    <cellStyle name="20 % - Accent5 3 7 4 2 2 3" xfId="44299"/>
    <cellStyle name="20 % - Accent5 3 7 4 2 2 4" xfId="60528"/>
    <cellStyle name="20 % - Accent5 3 7 4 2 3" xfId="18339"/>
    <cellStyle name="20 % - Accent5 3 7 4 2 4" xfId="24829"/>
    <cellStyle name="20 % - Accent5 3 7 4 2 5" xfId="37809"/>
    <cellStyle name="20 % - Accent5 3 7 4 2 6" xfId="54038"/>
    <cellStyle name="20 % - Accent5 3 7 4 3" xfId="8601"/>
    <cellStyle name="20 % - Accent5 3 7 4 3 2" xfId="28074"/>
    <cellStyle name="20 % - Accent5 3 7 4 3 3" xfId="41054"/>
    <cellStyle name="20 % - Accent5 3 7 4 3 4" xfId="57283"/>
    <cellStyle name="20 % - Accent5 3 7 4 4" xfId="15094"/>
    <cellStyle name="20 % - Accent5 3 7 4 4 2" xfId="50793"/>
    <cellStyle name="20 % - Accent5 3 7 4 5" xfId="21584"/>
    <cellStyle name="20 % - Accent5 3 7 4 6" xfId="34564"/>
    <cellStyle name="20 % - Accent5 3 7 4 7" xfId="47547"/>
    <cellStyle name="20 % - Accent5 3 7 5" xfId="3691"/>
    <cellStyle name="20 % - Accent5 3 7 5 2" xfId="10223"/>
    <cellStyle name="20 % - Accent5 3 7 5 2 2" xfId="29696"/>
    <cellStyle name="20 % - Accent5 3 7 5 2 3" xfId="42676"/>
    <cellStyle name="20 % - Accent5 3 7 5 2 4" xfId="58905"/>
    <cellStyle name="20 % - Accent5 3 7 5 3" xfId="16716"/>
    <cellStyle name="20 % - Accent5 3 7 5 4" xfId="23206"/>
    <cellStyle name="20 % - Accent5 3 7 5 5" xfId="36186"/>
    <cellStyle name="20 % - Accent5 3 7 5 6" xfId="52415"/>
    <cellStyle name="20 % - Accent5 3 7 6" xfId="6978"/>
    <cellStyle name="20 % - Accent5 3 7 6 2" xfId="26451"/>
    <cellStyle name="20 % - Accent5 3 7 6 3" xfId="39431"/>
    <cellStyle name="20 % - Accent5 3 7 6 4" xfId="55660"/>
    <cellStyle name="20 % - Accent5 3 7 7" xfId="13471"/>
    <cellStyle name="20 % - Accent5 3 7 7 2" xfId="49170"/>
    <cellStyle name="20 % - Accent5 3 7 8" xfId="19961"/>
    <cellStyle name="20 % - Accent5 3 7 9" xfId="32941"/>
    <cellStyle name="20 % - Accent5 3 8" xfId="1327"/>
    <cellStyle name="20 % - Accent5 3 8 2" xfId="2994"/>
    <cellStyle name="20 % - Accent5 3 8 2 2" xfId="6239"/>
    <cellStyle name="20 % - Accent5 3 8 2 2 2" xfId="12771"/>
    <cellStyle name="20 % - Accent5 3 8 2 2 2 2" xfId="32244"/>
    <cellStyle name="20 % - Accent5 3 8 2 2 2 3" xfId="45224"/>
    <cellStyle name="20 % - Accent5 3 8 2 2 2 4" xfId="61453"/>
    <cellStyle name="20 % - Accent5 3 8 2 2 3" xfId="19264"/>
    <cellStyle name="20 % - Accent5 3 8 2 2 4" xfId="25754"/>
    <cellStyle name="20 % - Accent5 3 8 2 2 5" xfId="38734"/>
    <cellStyle name="20 % - Accent5 3 8 2 2 6" xfId="54963"/>
    <cellStyle name="20 % - Accent5 3 8 2 3" xfId="9526"/>
    <cellStyle name="20 % - Accent5 3 8 2 3 2" xfId="28999"/>
    <cellStyle name="20 % - Accent5 3 8 2 3 3" xfId="41979"/>
    <cellStyle name="20 % - Accent5 3 8 2 3 4" xfId="58208"/>
    <cellStyle name="20 % - Accent5 3 8 2 4" xfId="16019"/>
    <cellStyle name="20 % - Accent5 3 8 2 4 2" xfId="51718"/>
    <cellStyle name="20 % - Accent5 3 8 2 5" xfId="22509"/>
    <cellStyle name="20 % - Accent5 3 8 2 6" xfId="35489"/>
    <cellStyle name="20 % - Accent5 3 8 2 7" xfId="48472"/>
    <cellStyle name="20 % - Accent5 3 8 3" xfId="4616"/>
    <cellStyle name="20 % - Accent5 3 8 3 2" xfId="11148"/>
    <cellStyle name="20 % - Accent5 3 8 3 2 2" xfId="30621"/>
    <cellStyle name="20 % - Accent5 3 8 3 2 3" xfId="43601"/>
    <cellStyle name="20 % - Accent5 3 8 3 2 4" xfId="59830"/>
    <cellStyle name="20 % - Accent5 3 8 3 3" xfId="17641"/>
    <cellStyle name="20 % - Accent5 3 8 3 4" xfId="24131"/>
    <cellStyle name="20 % - Accent5 3 8 3 5" xfId="37111"/>
    <cellStyle name="20 % - Accent5 3 8 3 6" xfId="53340"/>
    <cellStyle name="20 % - Accent5 3 8 4" xfId="7903"/>
    <cellStyle name="20 % - Accent5 3 8 4 2" xfId="27376"/>
    <cellStyle name="20 % - Accent5 3 8 4 3" xfId="40356"/>
    <cellStyle name="20 % - Accent5 3 8 4 4" xfId="56585"/>
    <cellStyle name="20 % - Accent5 3 8 5" xfId="14396"/>
    <cellStyle name="20 % - Accent5 3 8 5 2" xfId="50095"/>
    <cellStyle name="20 % - Accent5 3 8 6" xfId="20886"/>
    <cellStyle name="20 % - Accent5 3 8 7" xfId="33866"/>
    <cellStyle name="20 % - Accent5 3 8 8" xfId="46849"/>
    <cellStyle name="20 % - Accent5 3 9" xfId="863"/>
    <cellStyle name="20 % - Accent5 3 9 2" xfId="2531"/>
    <cellStyle name="20 % - Accent5 3 9 2 2" xfId="5776"/>
    <cellStyle name="20 % - Accent5 3 9 2 2 2" xfId="12308"/>
    <cellStyle name="20 % - Accent5 3 9 2 2 2 2" xfId="31781"/>
    <cellStyle name="20 % - Accent5 3 9 2 2 2 3" xfId="44761"/>
    <cellStyle name="20 % - Accent5 3 9 2 2 2 4" xfId="60990"/>
    <cellStyle name="20 % - Accent5 3 9 2 2 3" xfId="18801"/>
    <cellStyle name="20 % - Accent5 3 9 2 2 4" xfId="25291"/>
    <cellStyle name="20 % - Accent5 3 9 2 2 5" xfId="38271"/>
    <cellStyle name="20 % - Accent5 3 9 2 2 6" xfId="54500"/>
    <cellStyle name="20 % - Accent5 3 9 2 3" xfId="9063"/>
    <cellStyle name="20 % - Accent5 3 9 2 3 2" xfId="28536"/>
    <cellStyle name="20 % - Accent5 3 9 2 3 3" xfId="41516"/>
    <cellStyle name="20 % - Accent5 3 9 2 3 4" xfId="57745"/>
    <cellStyle name="20 % - Accent5 3 9 2 4" xfId="15556"/>
    <cellStyle name="20 % - Accent5 3 9 2 4 2" xfId="51255"/>
    <cellStyle name="20 % - Accent5 3 9 2 5" xfId="22046"/>
    <cellStyle name="20 % - Accent5 3 9 2 6" xfId="35026"/>
    <cellStyle name="20 % - Accent5 3 9 2 7" xfId="48009"/>
    <cellStyle name="20 % - Accent5 3 9 3" xfId="4153"/>
    <cellStyle name="20 % - Accent5 3 9 3 2" xfId="10685"/>
    <cellStyle name="20 % - Accent5 3 9 3 2 2" xfId="30158"/>
    <cellStyle name="20 % - Accent5 3 9 3 2 3" xfId="43138"/>
    <cellStyle name="20 % - Accent5 3 9 3 2 4" xfId="59367"/>
    <cellStyle name="20 % - Accent5 3 9 3 3" xfId="17178"/>
    <cellStyle name="20 % - Accent5 3 9 3 4" xfId="23668"/>
    <cellStyle name="20 % - Accent5 3 9 3 5" xfId="36648"/>
    <cellStyle name="20 % - Accent5 3 9 3 6" xfId="52877"/>
    <cellStyle name="20 % - Accent5 3 9 4" xfId="7440"/>
    <cellStyle name="20 % - Accent5 3 9 4 2" xfId="26913"/>
    <cellStyle name="20 % - Accent5 3 9 4 3" xfId="39893"/>
    <cellStyle name="20 % - Accent5 3 9 4 4" xfId="56122"/>
    <cellStyle name="20 % - Accent5 3 9 5" xfId="13933"/>
    <cellStyle name="20 % - Accent5 3 9 5 2" xfId="49632"/>
    <cellStyle name="20 % - Accent5 3 9 6" xfId="20423"/>
    <cellStyle name="20 % - Accent5 3 9 7" xfId="33403"/>
    <cellStyle name="20 % - Accent5 3 9 8" xfId="46386"/>
    <cellStyle name="20 % - Accent5 4" xfId="1789"/>
    <cellStyle name="20 % - Accent5 5" xfId="6698"/>
    <cellStyle name="20 % - Accent5 6" xfId="61919"/>
    <cellStyle name="20 % - Accent5 7" xfId="61937"/>
    <cellStyle name="20 % - Accent5 8" xfId="61949"/>
    <cellStyle name="20 % - Accent5 9" xfId="45"/>
    <cellStyle name="20 % - Accent6 2" xfId="89"/>
    <cellStyle name="20 % - Accent6 3" xfId="166"/>
    <cellStyle name="20 % - Accent6 3 10" xfId="1841"/>
    <cellStyle name="20 % - Accent6 3 10 2" xfId="5087"/>
    <cellStyle name="20 % - Accent6 3 10 2 2" xfId="11619"/>
    <cellStyle name="20 % - Accent6 3 10 2 2 2" xfId="31092"/>
    <cellStyle name="20 % - Accent6 3 10 2 2 3" xfId="44072"/>
    <cellStyle name="20 % - Accent6 3 10 2 2 4" xfId="60301"/>
    <cellStyle name="20 % - Accent6 3 10 2 3" xfId="18112"/>
    <cellStyle name="20 % - Accent6 3 10 2 4" xfId="24602"/>
    <cellStyle name="20 % - Accent6 3 10 2 5" xfId="37582"/>
    <cellStyle name="20 % - Accent6 3 10 2 6" xfId="53811"/>
    <cellStyle name="20 % - Accent6 3 10 3" xfId="8374"/>
    <cellStyle name="20 % - Accent6 3 10 3 2" xfId="27847"/>
    <cellStyle name="20 % - Accent6 3 10 3 3" xfId="40827"/>
    <cellStyle name="20 % - Accent6 3 10 3 4" xfId="57056"/>
    <cellStyle name="20 % - Accent6 3 10 4" xfId="14867"/>
    <cellStyle name="20 % - Accent6 3 10 4 2" xfId="50566"/>
    <cellStyle name="20 % - Accent6 3 10 5" xfId="21357"/>
    <cellStyle name="20 % - Accent6 3 10 6" xfId="34337"/>
    <cellStyle name="20 % - Accent6 3 10 7" xfId="47320"/>
    <cellStyle name="20 % - Accent6 3 11" xfId="3463"/>
    <cellStyle name="20 % - Accent6 3 11 2" xfId="9995"/>
    <cellStyle name="20 % - Accent6 3 11 2 2" xfId="29468"/>
    <cellStyle name="20 % - Accent6 3 11 2 3" xfId="42448"/>
    <cellStyle name="20 % - Accent6 3 11 2 4" xfId="58677"/>
    <cellStyle name="20 % - Accent6 3 11 3" xfId="16488"/>
    <cellStyle name="20 % - Accent6 3 11 4" xfId="22978"/>
    <cellStyle name="20 % - Accent6 3 11 5" xfId="35958"/>
    <cellStyle name="20 % - Accent6 3 11 6" xfId="52187"/>
    <cellStyle name="20 % - Accent6 3 12" xfId="6750"/>
    <cellStyle name="20 % - Accent6 3 12 2" xfId="26223"/>
    <cellStyle name="20 % - Accent6 3 12 3" xfId="39203"/>
    <cellStyle name="20 % - Accent6 3 12 4" xfId="55432"/>
    <cellStyle name="20 % - Accent6 3 13" xfId="13243"/>
    <cellStyle name="20 % - Accent6 3 13 2" xfId="48942"/>
    <cellStyle name="20 % - Accent6 3 14" xfId="19733"/>
    <cellStyle name="20 % - Accent6 3 15" xfId="32713"/>
    <cellStyle name="20 % - Accent6 3 16" xfId="45696"/>
    <cellStyle name="20 % - Accent6 3 2" xfId="190"/>
    <cellStyle name="20 % - Accent6 3 2 10" xfId="6772"/>
    <cellStyle name="20 % - Accent6 3 2 10 2" xfId="26245"/>
    <cellStyle name="20 % - Accent6 3 2 10 3" xfId="39225"/>
    <cellStyle name="20 % - Accent6 3 2 10 4" xfId="55454"/>
    <cellStyle name="20 % - Accent6 3 2 11" xfId="13265"/>
    <cellStyle name="20 % - Accent6 3 2 11 2" xfId="48964"/>
    <cellStyle name="20 % - Accent6 3 2 12" xfId="19755"/>
    <cellStyle name="20 % - Accent6 3 2 13" xfId="32735"/>
    <cellStyle name="20 % - Accent6 3 2 14" xfId="45718"/>
    <cellStyle name="20 % - Accent6 3 2 2" xfId="279"/>
    <cellStyle name="20 % - Accent6 3 2 2 10" xfId="19843"/>
    <cellStyle name="20 % - Accent6 3 2 2 11" xfId="32823"/>
    <cellStyle name="20 % - Accent6 3 2 2 12" xfId="45806"/>
    <cellStyle name="20 % - Accent6 3 2 2 2" xfId="367"/>
    <cellStyle name="20 % - Accent6 3 2 2 2 10" xfId="32911"/>
    <cellStyle name="20 % - Accent6 3 2 2 2 11" xfId="45894"/>
    <cellStyle name="20 % - Accent6 3 2 2 2 2" xfId="831"/>
    <cellStyle name="20 % - Accent6 3 2 2 2 2 10" xfId="46354"/>
    <cellStyle name="20 % - Accent6 3 2 2 2 2 2" xfId="1770"/>
    <cellStyle name="20 % - Accent6 3 2 2 2 2 2 2" xfId="3437"/>
    <cellStyle name="20 % - Accent6 3 2 2 2 2 2 2 2" xfId="6682"/>
    <cellStyle name="20 % - Accent6 3 2 2 2 2 2 2 2 2" xfId="13214"/>
    <cellStyle name="20 % - Accent6 3 2 2 2 2 2 2 2 2 2" xfId="32687"/>
    <cellStyle name="20 % - Accent6 3 2 2 2 2 2 2 2 2 3" xfId="45667"/>
    <cellStyle name="20 % - Accent6 3 2 2 2 2 2 2 2 2 4" xfId="61896"/>
    <cellStyle name="20 % - Accent6 3 2 2 2 2 2 2 2 3" xfId="19707"/>
    <cellStyle name="20 % - Accent6 3 2 2 2 2 2 2 2 4" xfId="26197"/>
    <cellStyle name="20 % - Accent6 3 2 2 2 2 2 2 2 5" xfId="39177"/>
    <cellStyle name="20 % - Accent6 3 2 2 2 2 2 2 2 6" xfId="55406"/>
    <cellStyle name="20 % - Accent6 3 2 2 2 2 2 2 3" xfId="9969"/>
    <cellStyle name="20 % - Accent6 3 2 2 2 2 2 2 3 2" xfId="29442"/>
    <cellStyle name="20 % - Accent6 3 2 2 2 2 2 2 3 3" xfId="42422"/>
    <cellStyle name="20 % - Accent6 3 2 2 2 2 2 2 3 4" xfId="58651"/>
    <cellStyle name="20 % - Accent6 3 2 2 2 2 2 2 4" xfId="16462"/>
    <cellStyle name="20 % - Accent6 3 2 2 2 2 2 2 4 2" xfId="52161"/>
    <cellStyle name="20 % - Accent6 3 2 2 2 2 2 2 5" xfId="22952"/>
    <cellStyle name="20 % - Accent6 3 2 2 2 2 2 2 6" xfId="35932"/>
    <cellStyle name="20 % - Accent6 3 2 2 2 2 2 2 7" xfId="48915"/>
    <cellStyle name="20 % - Accent6 3 2 2 2 2 2 3" xfId="5059"/>
    <cellStyle name="20 % - Accent6 3 2 2 2 2 2 3 2" xfId="11591"/>
    <cellStyle name="20 % - Accent6 3 2 2 2 2 2 3 2 2" xfId="31064"/>
    <cellStyle name="20 % - Accent6 3 2 2 2 2 2 3 2 3" xfId="44044"/>
    <cellStyle name="20 % - Accent6 3 2 2 2 2 2 3 2 4" xfId="60273"/>
    <cellStyle name="20 % - Accent6 3 2 2 2 2 2 3 3" xfId="18084"/>
    <cellStyle name="20 % - Accent6 3 2 2 2 2 2 3 4" xfId="24574"/>
    <cellStyle name="20 % - Accent6 3 2 2 2 2 2 3 5" xfId="37554"/>
    <cellStyle name="20 % - Accent6 3 2 2 2 2 2 3 6" xfId="53783"/>
    <cellStyle name="20 % - Accent6 3 2 2 2 2 2 4" xfId="8346"/>
    <cellStyle name="20 % - Accent6 3 2 2 2 2 2 4 2" xfId="27819"/>
    <cellStyle name="20 % - Accent6 3 2 2 2 2 2 4 3" xfId="40799"/>
    <cellStyle name="20 % - Accent6 3 2 2 2 2 2 4 4" xfId="57028"/>
    <cellStyle name="20 % - Accent6 3 2 2 2 2 2 5" xfId="14839"/>
    <cellStyle name="20 % - Accent6 3 2 2 2 2 2 5 2" xfId="50538"/>
    <cellStyle name="20 % - Accent6 3 2 2 2 2 2 6" xfId="21329"/>
    <cellStyle name="20 % - Accent6 3 2 2 2 2 2 7" xfId="34309"/>
    <cellStyle name="20 % - Accent6 3 2 2 2 2 2 8" xfId="47292"/>
    <cellStyle name="20 % - Accent6 3 2 2 2 2 3" xfId="1307"/>
    <cellStyle name="20 % - Accent6 3 2 2 2 2 3 2" xfId="2974"/>
    <cellStyle name="20 % - Accent6 3 2 2 2 2 3 2 2" xfId="6219"/>
    <cellStyle name="20 % - Accent6 3 2 2 2 2 3 2 2 2" xfId="12751"/>
    <cellStyle name="20 % - Accent6 3 2 2 2 2 3 2 2 2 2" xfId="32224"/>
    <cellStyle name="20 % - Accent6 3 2 2 2 2 3 2 2 2 3" xfId="45204"/>
    <cellStyle name="20 % - Accent6 3 2 2 2 2 3 2 2 2 4" xfId="61433"/>
    <cellStyle name="20 % - Accent6 3 2 2 2 2 3 2 2 3" xfId="19244"/>
    <cellStyle name="20 % - Accent6 3 2 2 2 2 3 2 2 4" xfId="25734"/>
    <cellStyle name="20 % - Accent6 3 2 2 2 2 3 2 2 5" xfId="38714"/>
    <cellStyle name="20 % - Accent6 3 2 2 2 2 3 2 2 6" xfId="54943"/>
    <cellStyle name="20 % - Accent6 3 2 2 2 2 3 2 3" xfId="9506"/>
    <cellStyle name="20 % - Accent6 3 2 2 2 2 3 2 3 2" xfId="28979"/>
    <cellStyle name="20 % - Accent6 3 2 2 2 2 3 2 3 3" xfId="41959"/>
    <cellStyle name="20 % - Accent6 3 2 2 2 2 3 2 3 4" xfId="58188"/>
    <cellStyle name="20 % - Accent6 3 2 2 2 2 3 2 4" xfId="15999"/>
    <cellStyle name="20 % - Accent6 3 2 2 2 2 3 2 4 2" xfId="51698"/>
    <cellStyle name="20 % - Accent6 3 2 2 2 2 3 2 5" xfId="22489"/>
    <cellStyle name="20 % - Accent6 3 2 2 2 2 3 2 6" xfId="35469"/>
    <cellStyle name="20 % - Accent6 3 2 2 2 2 3 2 7" xfId="48452"/>
    <cellStyle name="20 % - Accent6 3 2 2 2 2 3 3" xfId="4596"/>
    <cellStyle name="20 % - Accent6 3 2 2 2 2 3 3 2" xfId="11128"/>
    <cellStyle name="20 % - Accent6 3 2 2 2 2 3 3 2 2" xfId="30601"/>
    <cellStyle name="20 % - Accent6 3 2 2 2 2 3 3 2 3" xfId="43581"/>
    <cellStyle name="20 % - Accent6 3 2 2 2 2 3 3 2 4" xfId="59810"/>
    <cellStyle name="20 % - Accent6 3 2 2 2 2 3 3 3" xfId="17621"/>
    <cellStyle name="20 % - Accent6 3 2 2 2 2 3 3 4" xfId="24111"/>
    <cellStyle name="20 % - Accent6 3 2 2 2 2 3 3 5" xfId="37091"/>
    <cellStyle name="20 % - Accent6 3 2 2 2 2 3 3 6" xfId="53320"/>
    <cellStyle name="20 % - Accent6 3 2 2 2 2 3 4" xfId="7883"/>
    <cellStyle name="20 % - Accent6 3 2 2 2 2 3 4 2" xfId="27356"/>
    <cellStyle name="20 % - Accent6 3 2 2 2 2 3 4 3" xfId="40336"/>
    <cellStyle name="20 % - Accent6 3 2 2 2 2 3 4 4" xfId="56565"/>
    <cellStyle name="20 % - Accent6 3 2 2 2 2 3 5" xfId="14376"/>
    <cellStyle name="20 % - Accent6 3 2 2 2 2 3 5 2" xfId="50075"/>
    <cellStyle name="20 % - Accent6 3 2 2 2 2 3 6" xfId="20866"/>
    <cellStyle name="20 % - Accent6 3 2 2 2 2 3 7" xfId="33846"/>
    <cellStyle name="20 % - Accent6 3 2 2 2 2 3 8" xfId="46829"/>
    <cellStyle name="20 % - Accent6 3 2 2 2 2 4" xfId="2499"/>
    <cellStyle name="20 % - Accent6 3 2 2 2 2 4 2" xfId="5744"/>
    <cellStyle name="20 % - Accent6 3 2 2 2 2 4 2 2" xfId="12276"/>
    <cellStyle name="20 % - Accent6 3 2 2 2 2 4 2 2 2" xfId="31749"/>
    <cellStyle name="20 % - Accent6 3 2 2 2 2 4 2 2 3" xfId="44729"/>
    <cellStyle name="20 % - Accent6 3 2 2 2 2 4 2 2 4" xfId="60958"/>
    <cellStyle name="20 % - Accent6 3 2 2 2 2 4 2 3" xfId="18769"/>
    <cellStyle name="20 % - Accent6 3 2 2 2 2 4 2 4" xfId="25259"/>
    <cellStyle name="20 % - Accent6 3 2 2 2 2 4 2 5" xfId="38239"/>
    <cellStyle name="20 % - Accent6 3 2 2 2 2 4 2 6" xfId="54468"/>
    <cellStyle name="20 % - Accent6 3 2 2 2 2 4 3" xfId="9031"/>
    <cellStyle name="20 % - Accent6 3 2 2 2 2 4 3 2" xfId="28504"/>
    <cellStyle name="20 % - Accent6 3 2 2 2 2 4 3 3" xfId="41484"/>
    <cellStyle name="20 % - Accent6 3 2 2 2 2 4 3 4" xfId="57713"/>
    <cellStyle name="20 % - Accent6 3 2 2 2 2 4 4" xfId="15524"/>
    <cellStyle name="20 % - Accent6 3 2 2 2 2 4 4 2" xfId="51223"/>
    <cellStyle name="20 % - Accent6 3 2 2 2 2 4 5" xfId="22014"/>
    <cellStyle name="20 % - Accent6 3 2 2 2 2 4 6" xfId="34994"/>
    <cellStyle name="20 % - Accent6 3 2 2 2 2 4 7" xfId="47977"/>
    <cellStyle name="20 % - Accent6 3 2 2 2 2 5" xfId="4121"/>
    <cellStyle name="20 % - Accent6 3 2 2 2 2 5 2" xfId="10653"/>
    <cellStyle name="20 % - Accent6 3 2 2 2 2 5 2 2" xfId="30126"/>
    <cellStyle name="20 % - Accent6 3 2 2 2 2 5 2 3" xfId="43106"/>
    <cellStyle name="20 % - Accent6 3 2 2 2 2 5 2 4" xfId="59335"/>
    <cellStyle name="20 % - Accent6 3 2 2 2 2 5 3" xfId="17146"/>
    <cellStyle name="20 % - Accent6 3 2 2 2 2 5 4" xfId="23636"/>
    <cellStyle name="20 % - Accent6 3 2 2 2 2 5 5" xfId="36616"/>
    <cellStyle name="20 % - Accent6 3 2 2 2 2 5 6" xfId="52845"/>
    <cellStyle name="20 % - Accent6 3 2 2 2 2 6" xfId="7408"/>
    <cellStyle name="20 % - Accent6 3 2 2 2 2 6 2" xfId="26881"/>
    <cellStyle name="20 % - Accent6 3 2 2 2 2 6 3" xfId="39861"/>
    <cellStyle name="20 % - Accent6 3 2 2 2 2 6 4" xfId="56090"/>
    <cellStyle name="20 % - Accent6 3 2 2 2 2 7" xfId="13901"/>
    <cellStyle name="20 % - Accent6 3 2 2 2 2 7 2" xfId="49600"/>
    <cellStyle name="20 % - Accent6 3 2 2 2 2 8" xfId="20391"/>
    <cellStyle name="20 % - Accent6 3 2 2 2 2 9" xfId="33371"/>
    <cellStyle name="20 % - Accent6 3 2 2 2 3" xfId="601"/>
    <cellStyle name="20 % - Accent6 3 2 2 2 3 2" xfId="1550"/>
    <cellStyle name="20 % - Accent6 3 2 2 2 3 2 2" xfId="3217"/>
    <cellStyle name="20 % - Accent6 3 2 2 2 3 2 2 2" xfId="6462"/>
    <cellStyle name="20 % - Accent6 3 2 2 2 3 2 2 2 2" xfId="12994"/>
    <cellStyle name="20 % - Accent6 3 2 2 2 3 2 2 2 2 2" xfId="32467"/>
    <cellStyle name="20 % - Accent6 3 2 2 2 3 2 2 2 2 3" xfId="45447"/>
    <cellStyle name="20 % - Accent6 3 2 2 2 3 2 2 2 2 4" xfId="61676"/>
    <cellStyle name="20 % - Accent6 3 2 2 2 3 2 2 2 3" xfId="19487"/>
    <cellStyle name="20 % - Accent6 3 2 2 2 3 2 2 2 4" xfId="25977"/>
    <cellStyle name="20 % - Accent6 3 2 2 2 3 2 2 2 5" xfId="38957"/>
    <cellStyle name="20 % - Accent6 3 2 2 2 3 2 2 2 6" xfId="55186"/>
    <cellStyle name="20 % - Accent6 3 2 2 2 3 2 2 3" xfId="9749"/>
    <cellStyle name="20 % - Accent6 3 2 2 2 3 2 2 3 2" xfId="29222"/>
    <cellStyle name="20 % - Accent6 3 2 2 2 3 2 2 3 3" xfId="42202"/>
    <cellStyle name="20 % - Accent6 3 2 2 2 3 2 2 3 4" xfId="58431"/>
    <cellStyle name="20 % - Accent6 3 2 2 2 3 2 2 4" xfId="16242"/>
    <cellStyle name="20 % - Accent6 3 2 2 2 3 2 2 4 2" xfId="51941"/>
    <cellStyle name="20 % - Accent6 3 2 2 2 3 2 2 5" xfId="22732"/>
    <cellStyle name="20 % - Accent6 3 2 2 2 3 2 2 6" xfId="35712"/>
    <cellStyle name="20 % - Accent6 3 2 2 2 3 2 2 7" xfId="48695"/>
    <cellStyle name="20 % - Accent6 3 2 2 2 3 2 3" xfId="4839"/>
    <cellStyle name="20 % - Accent6 3 2 2 2 3 2 3 2" xfId="11371"/>
    <cellStyle name="20 % - Accent6 3 2 2 2 3 2 3 2 2" xfId="30844"/>
    <cellStyle name="20 % - Accent6 3 2 2 2 3 2 3 2 3" xfId="43824"/>
    <cellStyle name="20 % - Accent6 3 2 2 2 3 2 3 2 4" xfId="60053"/>
    <cellStyle name="20 % - Accent6 3 2 2 2 3 2 3 3" xfId="17864"/>
    <cellStyle name="20 % - Accent6 3 2 2 2 3 2 3 4" xfId="24354"/>
    <cellStyle name="20 % - Accent6 3 2 2 2 3 2 3 5" xfId="37334"/>
    <cellStyle name="20 % - Accent6 3 2 2 2 3 2 3 6" xfId="53563"/>
    <cellStyle name="20 % - Accent6 3 2 2 2 3 2 4" xfId="8126"/>
    <cellStyle name="20 % - Accent6 3 2 2 2 3 2 4 2" xfId="27599"/>
    <cellStyle name="20 % - Accent6 3 2 2 2 3 2 4 3" xfId="40579"/>
    <cellStyle name="20 % - Accent6 3 2 2 2 3 2 4 4" xfId="56808"/>
    <cellStyle name="20 % - Accent6 3 2 2 2 3 2 5" xfId="14619"/>
    <cellStyle name="20 % - Accent6 3 2 2 2 3 2 5 2" xfId="50318"/>
    <cellStyle name="20 % - Accent6 3 2 2 2 3 2 6" xfId="21109"/>
    <cellStyle name="20 % - Accent6 3 2 2 2 3 2 7" xfId="34089"/>
    <cellStyle name="20 % - Accent6 3 2 2 2 3 2 8" xfId="47072"/>
    <cellStyle name="20 % - Accent6 3 2 2 2 3 3" xfId="2269"/>
    <cellStyle name="20 % - Accent6 3 2 2 2 3 3 2" xfId="5514"/>
    <cellStyle name="20 % - Accent6 3 2 2 2 3 3 2 2" xfId="12046"/>
    <cellStyle name="20 % - Accent6 3 2 2 2 3 3 2 2 2" xfId="31519"/>
    <cellStyle name="20 % - Accent6 3 2 2 2 3 3 2 2 3" xfId="44499"/>
    <cellStyle name="20 % - Accent6 3 2 2 2 3 3 2 2 4" xfId="60728"/>
    <cellStyle name="20 % - Accent6 3 2 2 2 3 3 2 3" xfId="18539"/>
    <cellStyle name="20 % - Accent6 3 2 2 2 3 3 2 4" xfId="25029"/>
    <cellStyle name="20 % - Accent6 3 2 2 2 3 3 2 5" xfId="38009"/>
    <cellStyle name="20 % - Accent6 3 2 2 2 3 3 2 6" xfId="54238"/>
    <cellStyle name="20 % - Accent6 3 2 2 2 3 3 3" xfId="8801"/>
    <cellStyle name="20 % - Accent6 3 2 2 2 3 3 3 2" xfId="28274"/>
    <cellStyle name="20 % - Accent6 3 2 2 2 3 3 3 3" xfId="41254"/>
    <cellStyle name="20 % - Accent6 3 2 2 2 3 3 3 4" xfId="57483"/>
    <cellStyle name="20 % - Accent6 3 2 2 2 3 3 4" xfId="15294"/>
    <cellStyle name="20 % - Accent6 3 2 2 2 3 3 4 2" xfId="50993"/>
    <cellStyle name="20 % - Accent6 3 2 2 2 3 3 5" xfId="21784"/>
    <cellStyle name="20 % - Accent6 3 2 2 2 3 3 6" xfId="34764"/>
    <cellStyle name="20 % - Accent6 3 2 2 2 3 3 7" xfId="47747"/>
    <cellStyle name="20 % - Accent6 3 2 2 2 3 4" xfId="3891"/>
    <cellStyle name="20 % - Accent6 3 2 2 2 3 4 2" xfId="10423"/>
    <cellStyle name="20 % - Accent6 3 2 2 2 3 4 2 2" xfId="29896"/>
    <cellStyle name="20 % - Accent6 3 2 2 2 3 4 2 3" xfId="42876"/>
    <cellStyle name="20 % - Accent6 3 2 2 2 3 4 2 4" xfId="59105"/>
    <cellStyle name="20 % - Accent6 3 2 2 2 3 4 3" xfId="16916"/>
    <cellStyle name="20 % - Accent6 3 2 2 2 3 4 4" xfId="23406"/>
    <cellStyle name="20 % - Accent6 3 2 2 2 3 4 5" xfId="36386"/>
    <cellStyle name="20 % - Accent6 3 2 2 2 3 4 6" xfId="52615"/>
    <cellStyle name="20 % - Accent6 3 2 2 2 3 5" xfId="7178"/>
    <cellStyle name="20 % - Accent6 3 2 2 2 3 5 2" xfId="26651"/>
    <cellStyle name="20 % - Accent6 3 2 2 2 3 5 3" xfId="39631"/>
    <cellStyle name="20 % - Accent6 3 2 2 2 3 5 4" xfId="55860"/>
    <cellStyle name="20 % - Accent6 3 2 2 2 3 6" xfId="13671"/>
    <cellStyle name="20 % - Accent6 3 2 2 2 3 6 2" xfId="49370"/>
    <cellStyle name="20 % - Accent6 3 2 2 2 3 7" xfId="20161"/>
    <cellStyle name="20 % - Accent6 3 2 2 2 3 8" xfId="33141"/>
    <cellStyle name="20 % - Accent6 3 2 2 2 3 9" xfId="46124"/>
    <cellStyle name="20 % - Accent6 3 2 2 2 4" xfId="1087"/>
    <cellStyle name="20 % - Accent6 3 2 2 2 4 2" xfId="2754"/>
    <cellStyle name="20 % - Accent6 3 2 2 2 4 2 2" xfId="5999"/>
    <cellStyle name="20 % - Accent6 3 2 2 2 4 2 2 2" xfId="12531"/>
    <cellStyle name="20 % - Accent6 3 2 2 2 4 2 2 2 2" xfId="32004"/>
    <cellStyle name="20 % - Accent6 3 2 2 2 4 2 2 2 3" xfId="44984"/>
    <cellStyle name="20 % - Accent6 3 2 2 2 4 2 2 2 4" xfId="61213"/>
    <cellStyle name="20 % - Accent6 3 2 2 2 4 2 2 3" xfId="19024"/>
    <cellStyle name="20 % - Accent6 3 2 2 2 4 2 2 4" xfId="25514"/>
    <cellStyle name="20 % - Accent6 3 2 2 2 4 2 2 5" xfId="38494"/>
    <cellStyle name="20 % - Accent6 3 2 2 2 4 2 2 6" xfId="54723"/>
    <cellStyle name="20 % - Accent6 3 2 2 2 4 2 3" xfId="9286"/>
    <cellStyle name="20 % - Accent6 3 2 2 2 4 2 3 2" xfId="28759"/>
    <cellStyle name="20 % - Accent6 3 2 2 2 4 2 3 3" xfId="41739"/>
    <cellStyle name="20 % - Accent6 3 2 2 2 4 2 3 4" xfId="57968"/>
    <cellStyle name="20 % - Accent6 3 2 2 2 4 2 4" xfId="15779"/>
    <cellStyle name="20 % - Accent6 3 2 2 2 4 2 4 2" xfId="51478"/>
    <cellStyle name="20 % - Accent6 3 2 2 2 4 2 5" xfId="22269"/>
    <cellStyle name="20 % - Accent6 3 2 2 2 4 2 6" xfId="35249"/>
    <cellStyle name="20 % - Accent6 3 2 2 2 4 2 7" xfId="48232"/>
    <cellStyle name="20 % - Accent6 3 2 2 2 4 3" xfId="4376"/>
    <cellStyle name="20 % - Accent6 3 2 2 2 4 3 2" xfId="10908"/>
    <cellStyle name="20 % - Accent6 3 2 2 2 4 3 2 2" xfId="30381"/>
    <cellStyle name="20 % - Accent6 3 2 2 2 4 3 2 3" xfId="43361"/>
    <cellStyle name="20 % - Accent6 3 2 2 2 4 3 2 4" xfId="59590"/>
    <cellStyle name="20 % - Accent6 3 2 2 2 4 3 3" xfId="17401"/>
    <cellStyle name="20 % - Accent6 3 2 2 2 4 3 4" xfId="23891"/>
    <cellStyle name="20 % - Accent6 3 2 2 2 4 3 5" xfId="36871"/>
    <cellStyle name="20 % - Accent6 3 2 2 2 4 3 6" xfId="53100"/>
    <cellStyle name="20 % - Accent6 3 2 2 2 4 4" xfId="7663"/>
    <cellStyle name="20 % - Accent6 3 2 2 2 4 4 2" xfId="27136"/>
    <cellStyle name="20 % - Accent6 3 2 2 2 4 4 3" xfId="40116"/>
    <cellStyle name="20 % - Accent6 3 2 2 2 4 4 4" xfId="56345"/>
    <cellStyle name="20 % - Accent6 3 2 2 2 4 5" xfId="14156"/>
    <cellStyle name="20 % - Accent6 3 2 2 2 4 5 2" xfId="49855"/>
    <cellStyle name="20 % - Accent6 3 2 2 2 4 6" xfId="20646"/>
    <cellStyle name="20 % - Accent6 3 2 2 2 4 7" xfId="33626"/>
    <cellStyle name="20 % - Accent6 3 2 2 2 4 8" xfId="46609"/>
    <cellStyle name="20 % - Accent6 3 2 2 2 5" xfId="2040"/>
    <cellStyle name="20 % - Accent6 3 2 2 2 5 2" xfId="5285"/>
    <cellStyle name="20 % - Accent6 3 2 2 2 5 2 2" xfId="11817"/>
    <cellStyle name="20 % - Accent6 3 2 2 2 5 2 2 2" xfId="31290"/>
    <cellStyle name="20 % - Accent6 3 2 2 2 5 2 2 3" xfId="44270"/>
    <cellStyle name="20 % - Accent6 3 2 2 2 5 2 2 4" xfId="60499"/>
    <cellStyle name="20 % - Accent6 3 2 2 2 5 2 3" xfId="18310"/>
    <cellStyle name="20 % - Accent6 3 2 2 2 5 2 4" xfId="24800"/>
    <cellStyle name="20 % - Accent6 3 2 2 2 5 2 5" xfId="37780"/>
    <cellStyle name="20 % - Accent6 3 2 2 2 5 2 6" xfId="54009"/>
    <cellStyle name="20 % - Accent6 3 2 2 2 5 3" xfId="8572"/>
    <cellStyle name="20 % - Accent6 3 2 2 2 5 3 2" xfId="28045"/>
    <cellStyle name="20 % - Accent6 3 2 2 2 5 3 3" xfId="41025"/>
    <cellStyle name="20 % - Accent6 3 2 2 2 5 3 4" xfId="57254"/>
    <cellStyle name="20 % - Accent6 3 2 2 2 5 4" xfId="15065"/>
    <cellStyle name="20 % - Accent6 3 2 2 2 5 4 2" xfId="50764"/>
    <cellStyle name="20 % - Accent6 3 2 2 2 5 5" xfId="21555"/>
    <cellStyle name="20 % - Accent6 3 2 2 2 5 6" xfId="34535"/>
    <cellStyle name="20 % - Accent6 3 2 2 2 5 7" xfId="47518"/>
    <cellStyle name="20 % - Accent6 3 2 2 2 6" xfId="3661"/>
    <cellStyle name="20 % - Accent6 3 2 2 2 6 2" xfId="10193"/>
    <cellStyle name="20 % - Accent6 3 2 2 2 6 2 2" xfId="29666"/>
    <cellStyle name="20 % - Accent6 3 2 2 2 6 2 3" xfId="42646"/>
    <cellStyle name="20 % - Accent6 3 2 2 2 6 2 4" xfId="58875"/>
    <cellStyle name="20 % - Accent6 3 2 2 2 6 3" xfId="16686"/>
    <cellStyle name="20 % - Accent6 3 2 2 2 6 4" xfId="23176"/>
    <cellStyle name="20 % - Accent6 3 2 2 2 6 5" xfId="36156"/>
    <cellStyle name="20 % - Accent6 3 2 2 2 6 6" xfId="52385"/>
    <cellStyle name="20 % - Accent6 3 2 2 2 7" xfId="6948"/>
    <cellStyle name="20 % - Accent6 3 2 2 2 7 2" xfId="26421"/>
    <cellStyle name="20 % - Accent6 3 2 2 2 7 3" xfId="39401"/>
    <cellStyle name="20 % - Accent6 3 2 2 2 7 4" xfId="55630"/>
    <cellStyle name="20 % - Accent6 3 2 2 2 8" xfId="13441"/>
    <cellStyle name="20 % - Accent6 3 2 2 2 8 2" xfId="49140"/>
    <cellStyle name="20 % - Accent6 3 2 2 2 9" xfId="19931"/>
    <cellStyle name="20 % - Accent6 3 2 2 3" xfId="743"/>
    <cellStyle name="20 % - Accent6 3 2 2 3 10" xfId="46266"/>
    <cellStyle name="20 % - Accent6 3 2 2 3 2" xfId="1682"/>
    <cellStyle name="20 % - Accent6 3 2 2 3 2 2" xfId="3349"/>
    <cellStyle name="20 % - Accent6 3 2 2 3 2 2 2" xfId="6594"/>
    <cellStyle name="20 % - Accent6 3 2 2 3 2 2 2 2" xfId="13126"/>
    <cellStyle name="20 % - Accent6 3 2 2 3 2 2 2 2 2" xfId="32599"/>
    <cellStyle name="20 % - Accent6 3 2 2 3 2 2 2 2 3" xfId="45579"/>
    <cellStyle name="20 % - Accent6 3 2 2 3 2 2 2 2 4" xfId="61808"/>
    <cellStyle name="20 % - Accent6 3 2 2 3 2 2 2 3" xfId="19619"/>
    <cellStyle name="20 % - Accent6 3 2 2 3 2 2 2 4" xfId="26109"/>
    <cellStyle name="20 % - Accent6 3 2 2 3 2 2 2 5" xfId="39089"/>
    <cellStyle name="20 % - Accent6 3 2 2 3 2 2 2 6" xfId="55318"/>
    <cellStyle name="20 % - Accent6 3 2 2 3 2 2 3" xfId="9881"/>
    <cellStyle name="20 % - Accent6 3 2 2 3 2 2 3 2" xfId="29354"/>
    <cellStyle name="20 % - Accent6 3 2 2 3 2 2 3 3" xfId="42334"/>
    <cellStyle name="20 % - Accent6 3 2 2 3 2 2 3 4" xfId="58563"/>
    <cellStyle name="20 % - Accent6 3 2 2 3 2 2 4" xfId="16374"/>
    <cellStyle name="20 % - Accent6 3 2 2 3 2 2 4 2" xfId="52073"/>
    <cellStyle name="20 % - Accent6 3 2 2 3 2 2 5" xfId="22864"/>
    <cellStyle name="20 % - Accent6 3 2 2 3 2 2 6" xfId="35844"/>
    <cellStyle name="20 % - Accent6 3 2 2 3 2 2 7" xfId="48827"/>
    <cellStyle name="20 % - Accent6 3 2 2 3 2 3" xfId="4971"/>
    <cellStyle name="20 % - Accent6 3 2 2 3 2 3 2" xfId="11503"/>
    <cellStyle name="20 % - Accent6 3 2 2 3 2 3 2 2" xfId="30976"/>
    <cellStyle name="20 % - Accent6 3 2 2 3 2 3 2 3" xfId="43956"/>
    <cellStyle name="20 % - Accent6 3 2 2 3 2 3 2 4" xfId="60185"/>
    <cellStyle name="20 % - Accent6 3 2 2 3 2 3 3" xfId="17996"/>
    <cellStyle name="20 % - Accent6 3 2 2 3 2 3 4" xfId="24486"/>
    <cellStyle name="20 % - Accent6 3 2 2 3 2 3 5" xfId="37466"/>
    <cellStyle name="20 % - Accent6 3 2 2 3 2 3 6" xfId="53695"/>
    <cellStyle name="20 % - Accent6 3 2 2 3 2 4" xfId="8258"/>
    <cellStyle name="20 % - Accent6 3 2 2 3 2 4 2" xfId="27731"/>
    <cellStyle name="20 % - Accent6 3 2 2 3 2 4 3" xfId="40711"/>
    <cellStyle name="20 % - Accent6 3 2 2 3 2 4 4" xfId="56940"/>
    <cellStyle name="20 % - Accent6 3 2 2 3 2 5" xfId="14751"/>
    <cellStyle name="20 % - Accent6 3 2 2 3 2 5 2" xfId="50450"/>
    <cellStyle name="20 % - Accent6 3 2 2 3 2 6" xfId="21241"/>
    <cellStyle name="20 % - Accent6 3 2 2 3 2 7" xfId="34221"/>
    <cellStyle name="20 % - Accent6 3 2 2 3 2 8" xfId="47204"/>
    <cellStyle name="20 % - Accent6 3 2 2 3 3" xfId="1219"/>
    <cellStyle name="20 % - Accent6 3 2 2 3 3 2" xfId="2886"/>
    <cellStyle name="20 % - Accent6 3 2 2 3 3 2 2" xfId="6131"/>
    <cellStyle name="20 % - Accent6 3 2 2 3 3 2 2 2" xfId="12663"/>
    <cellStyle name="20 % - Accent6 3 2 2 3 3 2 2 2 2" xfId="32136"/>
    <cellStyle name="20 % - Accent6 3 2 2 3 3 2 2 2 3" xfId="45116"/>
    <cellStyle name="20 % - Accent6 3 2 2 3 3 2 2 2 4" xfId="61345"/>
    <cellStyle name="20 % - Accent6 3 2 2 3 3 2 2 3" xfId="19156"/>
    <cellStyle name="20 % - Accent6 3 2 2 3 3 2 2 4" xfId="25646"/>
    <cellStyle name="20 % - Accent6 3 2 2 3 3 2 2 5" xfId="38626"/>
    <cellStyle name="20 % - Accent6 3 2 2 3 3 2 2 6" xfId="54855"/>
    <cellStyle name="20 % - Accent6 3 2 2 3 3 2 3" xfId="9418"/>
    <cellStyle name="20 % - Accent6 3 2 2 3 3 2 3 2" xfId="28891"/>
    <cellStyle name="20 % - Accent6 3 2 2 3 3 2 3 3" xfId="41871"/>
    <cellStyle name="20 % - Accent6 3 2 2 3 3 2 3 4" xfId="58100"/>
    <cellStyle name="20 % - Accent6 3 2 2 3 3 2 4" xfId="15911"/>
    <cellStyle name="20 % - Accent6 3 2 2 3 3 2 4 2" xfId="51610"/>
    <cellStyle name="20 % - Accent6 3 2 2 3 3 2 5" xfId="22401"/>
    <cellStyle name="20 % - Accent6 3 2 2 3 3 2 6" xfId="35381"/>
    <cellStyle name="20 % - Accent6 3 2 2 3 3 2 7" xfId="48364"/>
    <cellStyle name="20 % - Accent6 3 2 2 3 3 3" xfId="4508"/>
    <cellStyle name="20 % - Accent6 3 2 2 3 3 3 2" xfId="11040"/>
    <cellStyle name="20 % - Accent6 3 2 2 3 3 3 2 2" xfId="30513"/>
    <cellStyle name="20 % - Accent6 3 2 2 3 3 3 2 3" xfId="43493"/>
    <cellStyle name="20 % - Accent6 3 2 2 3 3 3 2 4" xfId="59722"/>
    <cellStyle name="20 % - Accent6 3 2 2 3 3 3 3" xfId="17533"/>
    <cellStyle name="20 % - Accent6 3 2 2 3 3 3 4" xfId="24023"/>
    <cellStyle name="20 % - Accent6 3 2 2 3 3 3 5" xfId="37003"/>
    <cellStyle name="20 % - Accent6 3 2 2 3 3 3 6" xfId="53232"/>
    <cellStyle name="20 % - Accent6 3 2 2 3 3 4" xfId="7795"/>
    <cellStyle name="20 % - Accent6 3 2 2 3 3 4 2" xfId="27268"/>
    <cellStyle name="20 % - Accent6 3 2 2 3 3 4 3" xfId="40248"/>
    <cellStyle name="20 % - Accent6 3 2 2 3 3 4 4" xfId="56477"/>
    <cellStyle name="20 % - Accent6 3 2 2 3 3 5" xfId="14288"/>
    <cellStyle name="20 % - Accent6 3 2 2 3 3 5 2" xfId="49987"/>
    <cellStyle name="20 % - Accent6 3 2 2 3 3 6" xfId="20778"/>
    <cellStyle name="20 % - Accent6 3 2 2 3 3 7" xfId="33758"/>
    <cellStyle name="20 % - Accent6 3 2 2 3 3 8" xfId="46741"/>
    <cellStyle name="20 % - Accent6 3 2 2 3 4" xfId="2411"/>
    <cellStyle name="20 % - Accent6 3 2 2 3 4 2" xfId="5656"/>
    <cellStyle name="20 % - Accent6 3 2 2 3 4 2 2" xfId="12188"/>
    <cellStyle name="20 % - Accent6 3 2 2 3 4 2 2 2" xfId="31661"/>
    <cellStyle name="20 % - Accent6 3 2 2 3 4 2 2 3" xfId="44641"/>
    <cellStyle name="20 % - Accent6 3 2 2 3 4 2 2 4" xfId="60870"/>
    <cellStyle name="20 % - Accent6 3 2 2 3 4 2 3" xfId="18681"/>
    <cellStyle name="20 % - Accent6 3 2 2 3 4 2 4" xfId="25171"/>
    <cellStyle name="20 % - Accent6 3 2 2 3 4 2 5" xfId="38151"/>
    <cellStyle name="20 % - Accent6 3 2 2 3 4 2 6" xfId="54380"/>
    <cellStyle name="20 % - Accent6 3 2 2 3 4 3" xfId="8943"/>
    <cellStyle name="20 % - Accent6 3 2 2 3 4 3 2" xfId="28416"/>
    <cellStyle name="20 % - Accent6 3 2 2 3 4 3 3" xfId="41396"/>
    <cellStyle name="20 % - Accent6 3 2 2 3 4 3 4" xfId="57625"/>
    <cellStyle name="20 % - Accent6 3 2 2 3 4 4" xfId="15436"/>
    <cellStyle name="20 % - Accent6 3 2 2 3 4 4 2" xfId="51135"/>
    <cellStyle name="20 % - Accent6 3 2 2 3 4 5" xfId="21926"/>
    <cellStyle name="20 % - Accent6 3 2 2 3 4 6" xfId="34906"/>
    <cellStyle name="20 % - Accent6 3 2 2 3 4 7" xfId="47889"/>
    <cellStyle name="20 % - Accent6 3 2 2 3 5" xfId="4033"/>
    <cellStyle name="20 % - Accent6 3 2 2 3 5 2" xfId="10565"/>
    <cellStyle name="20 % - Accent6 3 2 2 3 5 2 2" xfId="30038"/>
    <cellStyle name="20 % - Accent6 3 2 2 3 5 2 3" xfId="43018"/>
    <cellStyle name="20 % - Accent6 3 2 2 3 5 2 4" xfId="59247"/>
    <cellStyle name="20 % - Accent6 3 2 2 3 5 3" xfId="17058"/>
    <cellStyle name="20 % - Accent6 3 2 2 3 5 4" xfId="23548"/>
    <cellStyle name="20 % - Accent6 3 2 2 3 5 5" xfId="36528"/>
    <cellStyle name="20 % - Accent6 3 2 2 3 5 6" xfId="52757"/>
    <cellStyle name="20 % - Accent6 3 2 2 3 6" xfId="7320"/>
    <cellStyle name="20 % - Accent6 3 2 2 3 6 2" xfId="26793"/>
    <cellStyle name="20 % - Accent6 3 2 2 3 6 3" xfId="39773"/>
    <cellStyle name="20 % - Accent6 3 2 2 3 6 4" xfId="56002"/>
    <cellStyle name="20 % - Accent6 3 2 2 3 7" xfId="13813"/>
    <cellStyle name="20 % - Accent6 3 2 2 3 7 2" xfId="49512"/>
    <cellStyle name="20 % - Accent6 3 2 2 3 8" xfId="20303"/>
    <cellStyle name="20 % - Accent6 3 2 2 3 9" xfId="33283"/>
    <cellStyle name="20 % - Accent6 3 2 2 4" xfId="513"/>
    <cellStyle name="20 % - Accent6 3 2 2 4 2" xfId="1462"/>
    <cellStyle name="20 % - Accent6 3 2 2 4 2 2" xfId="3129"/>
    <cellStyle name="20 % - Accent6 3 2 2 4 2 2 2" xfId="6374"/>
    <cellStyle name="20 % - Accent6 3 2 2 4 2 2 2 2" xfId="12906"/>
    <cellStyle name="20 % - Accent6 3 2 2 4 2 2 2 2 2" xfId="32379"/>
    <cellStyle name="20 % - Accent6 3 2 2 4 2 2 2 2 3" xfId="45359"/>
    <cellStyle name="20 % - Accent6 3 2 2 4 2 2 2 2 4" xfId="61588"/>
    <cellStyle name="20 % - Accent6 3 2 2 4 2 2 2 3" xfId="19399"/>
    <cellStyle name="20 % - Accent6 3 2 2 4 2 2 2 4" xfId="25889"/>
    <cellStyle name="20 % - Accent6 3 2 2 4 2 2 2 5" xfId="38869"/>
    <cellStyle name="20 % - Accent6 3 2 2 4 2 2 2 6" xfId="55098"/>
    <cellStyle name="20 % - Accent6 3 2 2 4 2 2 3" xfId="9661"/>
    <cellStyle name="20 % - Accent6 3 2 2 4 2 2 3 2" xfId="29134"/>
    <cellStyle name="20 % - Accent6 3 2 2 4 2 2 3 3" xfId="42114"/>
    <cellStyle name="20 % - Accent6 3 2 2 4 2 2 3 4" xfId="58343"/>
    <cellStyle name="20 % - Accent6 3 2 2 4 2 2 4" xfId="16154"/>
    <cellStyle name="20 % - Accent6 3 2 2 4 2 2 4 2" xfId="51853"/>
    <cellStyle name="20 % - Accent6 3 2 2 4 2 2 5" xfId="22644"/>
    <cellStyle name="20 % - Accent6 3 2 2 4 2 2 6" xfId="35624"/>
    <cellStyle name="20 % - Accent6 3 2 2 4 2 2 7" xfId="48607"/>
    <cellStyle name="20 % - Accent6 3 2 2 4 2 3" xfId="4751"/>
    <cellStyle name="20 % - Accent6 3 2 2 4 2 3 2" xfId="11283"/>
    <cellStyle name="20 % - Accent6 3 2 2 4 2 3 2 2" xfId="30756"/>
    <cellStyle name="20 % - Accent6 3 2 2 4 2 3 2 3" xfId="43736"/>
    <cellStyle name="20 % - Accent6 3 2 2 4 2 3 2 4" xfId="59965"/>
    <cellStyle name="20 % - Accent6 3 2 2 4 2 3 3" xfId="17776"/>
    <cellStyle name="20 % - Accent6 3 2 2 4 2 3 4" xfId="24266"/>
    <cellStyle name="20 % - Accent6 3 2 2 4 2 3 5" xfId="37246"/>
    <cellStyle name="20 % - Accent6 3 2 2 4 2 3 6" xfId="53475"/>
    <cellStyle name="20 % - Accent6 3 2 2 4 2 4" xfId="8038"/>
    <cellStyle name="20 % - Accent6 3 2 2 4 2 4 2" xfId="27511"/>
    <cellStyle name="20 % - Accent6 3 2 2 4 2 4 3" xfId="40491"/>
    <cellStyle name="20 % - Accent6 3 2 2 4 2 4 4" xfId="56720"/>
    <cellStyle name="20 % - Accent6 3 2 2 4 2 5" xfId="14531"/>
    <cellStyle name="20 % - Accent6 3 2 2 4 2 5 2" xfId="50230"/>
    <cellStyle name="20 % - Accent6 3 2 2 4 2 6" xfId="21021"/>
    <cellStyle name="20 % - Accent6 3 2 2 4 2 7" xfId="34001"/>
    <cellStyle name="20 % - Accent6 3 2 2 4 2 8" xfId="46984"/>
    <cellStyle name="20 % - Accent6 3 2 2 4 3" xfId="2181"/>
    <cellStyle name="20 % - Accent6 3 2 2 4 3 2" xfId="5426"/>
    <cellStyle name="20 % - Accent6 3 2 2 4 3 2 2" xfId="11958"/>
    <cellStyle name="20 % - Accent6 3 2 2 4 3 2 2 2" xfId="31431"/>
    <cellStyle name="20 % - Accent6 3 2 2 4 3 2 2 3" xfId="44411"/>
    <cellStyle name="20 % - Accent6 3 2 2 4 3 2 2 4" xfId="60640"/>
    <cellStyle name="20 % - Accent6 3 2 2 4 3 2 3" xfId="18451"/>
    <cellStyle name="20 % - Accent6 3 2 2 4 3 2 4" xfId="24941"/>
    <cellStyle name="20 % - Accent6 3 2 2 4 3 2 5" xfId="37921"/>
    <cellStyle name="20 % - Accent6 3 2 2 4 3 2 6" xfId="54150"/>
    <cellStyle name="20 % - Accent6 3 2 2 4 3 3" xfId="8713"/>
    <cellStyle name="20 % - Accent6 3 2 2 4 3 3 2" xfId="28186"/>
    <cellStyle name="20 % - Accent6 3 2 2 4 3 3 3" xfId="41166"/>
    <cellStyle name="20 % - Accent6 3 2 2 4 3 3 4" xfId="57395"/>
    <cellStyle name="20 % - Accent6 3 2 2 4 3 4" xfId="15206"/>
    <cellStyle name="20 % - Accent6 3 2 2 4 3 4 2" xfId="50905"/>
    <cellStyle name="20 % - Accent6 3 2 2 4 3 5" xfId="21696"/>
    <cellStyle name="20 % - Accent6 3 2 2 4 3 6" xfId="34676"/>
    <cellStyle name="20 % - Accent6 3 2 2 4 3 7" xfId="47659"/>
    <cellStyle name="20 % - Accent6 3 2 2 4 4" xfId="3803"/>
    <cellStyle name="20 % - Accent6 3 2 2 4 4 2" xfId="10335"/>
    <cellStyle name="20 % - Accent6 3 2 2 4 4 2 2" xfId="29808"/>
    <cellStyle name="20 % - Accent6 3 2 2 4 4 2 3" xfId="42788"/>
    <cellStyle name="20 % - Accent6 3 2 2 4 4 2 4" xfId="59017"/>
    <cellStyle name="20 % - Accent6 3 2 2 4 4 3" xfId="16828"/>
    <cellStyle name="20 % - Accent6 3 2 2 4 4 4" xfId="23318"/>
    <cellStyle name="20 % - Accent6 3 2 2 4 4 5" xfId="36298"/>
    <cellStyle name="20 % - Accent6 3 2 2 4 4 6" xfId="52527"/>
    <cellStyle name="20 % - Accent6 3 2 2 4 5" xfId="7090"/>
    <cellStyle name="20 % - Accent6 3 2 2 4 5 2" xfId="26563"/>
    <cellStyle name="20 % - Accent6 3 2 2 4 5 3" xfId="39543"/>
    <cellStyle name="20 % - Accent6 3 2 2 4 5 4" xfId="55772"/>
    <cellStyle name="20 % - Accent6 3 2 2 4 6" xfId="13583"/>
    <cellStyle name="20 % - Accent6 3 2 2 4 6 2" xfId="49282"/>
    <cellStyle name="20 % - Accent6 3 2 2 4 7" xfId="20073"/>
    <cellStyle name="20 % - Accent6 3 2 2 4 8" xfId="33053"/>
    <cellStyle name="20 % - Accent6 3 2 2 4 9" xfId="46036"/>
    <cellStyle name="20 % - Accent6 3 2 2 5" xfId="999"/>
    <cellStyle name="20 % - Accent6 3 2 2 5 2" xfId="2666"/>
    <cellStyle name="20 % - Accent6 3 2 2 5 2 2" xfId="5911"/>
    <cellStyle name="20 % - Accent6 3 2 2 5 2 2 2" xfId="12443"/>
    <cellStyle name="20 % - Accent6 3 2 2 5 2 2 2 2" xfId="31916"/>
    <cellStyle name="20 % - Accent6 3 2 2 5 2 2 2 3" xfId="44896"/>
    <cellStyle name="20 % - Accent6 3 2 2 5 2 2 2 4" xfId="61125"/>
    <cellStyle name="20 % - Accent6 3 2 2 5 2 2 3" xfId="18936"/>
    <cellStyle name="20 % - Accent6 3 2 2 5 2 2 4" xfId="25426"/>
    <cellStyle name="20 % - Accent6 3 2 2 5 2 2 5" xfId="38406"/>
    <cellStyle name="20 % - Accent6 3 2 2 5 2 2 6" xfId="54635"/>
    <cellStyle name="20 % - Accent6 3 2 2 5 2 3" xfId="9198"/>
    <cellStyle name="20 % - Accent6 3 2 2 5 2 3 2" xfId="28671"/>
    <cellStyle name="20 % - Accent6 3 2 2 5 2 3 3" xfId="41651"/>
    <cellStyle name="20 % - Accent6 3 2 2 5 2 3 4" xfId="57880"/>
    <cellStyle name="20 % - Accent6 3 2 2 5 2 4" xfId="15691"/>
    <cellStyle name="20 % - Accent6 3 2 2 5 2 4 2" xfId="51390"/>
    <cellStyle name="20 % - Accent6 3 2 2 5 2 5" xfId="22181"/>
    <cellStyle name="20 % - Accent6 3 2 2 5 2 6" xfId="35161"/>
    <cellStyle name="20 % - Accent6 3 2 2 5 2 7" xfId="48144"/>
    <cellStyle name="20 % - Accent6 3 2 2 5 3" xfId="4288"/>
    <cellStyle name="20 % - Accent6 3 2 2 5 3 2" xfId="10820"/>
    <cellStyle name="20 % - Accent6 3 2 2 5 3 2 2" xfId="30293"/>
    <cellStyle name="20 % - Accent6 3 2 2 5 3 2 3" xfId="43273"/>
    <cellStyle name="20 % - Accent6 3 2 2 5 3 2 4" xfId="59502"/>
    <cellStyle name="20 % - Accent6 3 2 2 5 3 3" xfId="17313"/>
    <cellStyle name="20 % - Accent6 3 2 2 5 3 4" xfId="23803"/>
    <cellStyle name="20 % - Accent6 3 2 2 5 3 5" xfId="36783"/>
    <cellStyle name="20 % - Accent6 3 2 2 5 3 6" xfId="53012"/>
    <cellStyle name="20 % - Accent6 3 2 2 5 4" xfId="7575"/>
    <cellStyle name="20 % - Accent6 3 2 2 5 4 2" xfId="27048"/>
    <cellStyle name="20 % - Accent6 3 2 2 5 4 3" xfId="40028"/>
    <cellStyle name="20 % - Accent6 3 2 2 5 4 4" xfId="56257"/>
    <cellStyle name="20 % - Accent6 3 2 2 5 5" xfId="14068"/>
    <cellStyle name="20 % - Accent6 3 2 2 5 5 2" xfId="49767"/>
    <cellStyle name="20 % - Accent6 3 2 2 5 6" xfId="20558"/>
    <cellStyle name="20 % - Accent6 3 2 2 5 7" xfId="33538"/>
    <cellStyle name="20 % - Accent6 3 2 2 5 8" xfId="46521"/>
    <cellStyle name="20 % - Accent6 3 2 2 6" xfId="1952"/>
    <cellStyle name="20 % - Accent6 3 2 2 6 2" xfId="5197"/>
    <cellStyle name="20 % - Accent6 3 2 2 6 2 2" xfId="11729"/>
    <cellStyle name="20 % - Accent6 3 2 2 6 2 2 2" xfId="31202"/>
    <cellStyle name="20 % - Accent6 3 2 2 6 2 2 3" xfId="44182"/>
    <cellStyle name="20 % - Accent6 3 2 2 6 2 2 4" xfId="60411"/>
    <cellStyle name="20 % - Accent6 3 2 2 6 2 3" xfId="18222"/>
    <cellStyle name="20 % - Accent6 3 2 2 6 2 4" xfId="24712"/>
    <cellStyle name="20 % - Accent6 3 2 2 6 2 5" xfId="37692"/>
    <cellStyle name="20 % - Accent6 3 2 2 6 2 6" xfId="53921"/>
    <cellStyle name="20 % - Accent6 3 2 2 6 3" xfId="8484"/>
    <cellStyle name="20 % - Accent6 3 2 2 6 3 2" xfId="27957"/>
    <cellStyle name="20 % - Accent6 3 2 2 6 3 3" xfId="40937"/>
    <cellStyle name="20 % - Accent6 3 2 2 6 3 4" xfId="57166"/>
    <cellStyle name="20 % - Accent6 3 2 2 6 4" xfId="14977"/>
    <cellStyle name="20 % - Accent6 3 2 2 6 4 2" xfId="50676"/>
    <cellStyle name="20 % - Accent6 3 2 2 6 5" xfId="21467"/>
    <cellStyle name="20 % - Accent6 3 2 2 6 6" xfId="34447"/>
    <cellStyle name="20 % - Accent6 3 2 2 6 7" xfId="47430"/>
    <cellStyle name="20 % - Accent6 3 2 2 7" xfId="3573"/>
    <cellStyle name="20 % - Accent6 3 2 2 7 2" xfId="10105"/>
    <cellStyle name="20 % - Accent6 3 2 2 7 2 2" xfId="29578"/>
    <cellStyle name="20 % - Accent6 3 2 2 7 2 3" xfId="42558"/>
    <cellStyle name="20 % - Accent6 3 2 2 7 2 4" xfId="58787"/>
    <cellStyle name="20 % - Accent6 3 2 2 7 3" xfId="16598"/>
    <cellStyle name="20 % - Accent6 3 2 2 7 4" xfId="23088"/>
    <cellStyle name="20 % - Accent6 3 2 2 7 5" xfId="36068"/>
    <cellStyle name="20 % - Accent6 3 2 2 7 6" xfId="52297"/>
    <cellStyle name="20 % - Accent6 3 2 2 8" xfId="6860"/>
    <cellStyle name="20 % - Accent6 3 2 2 8 2" xfId="26333"/>
    <cellStyle name="20 % - Accent6 3 2 2 8 3" xfId="39313"/>
    <cellStyle name="20 % - Accent6 3 2 2 8 4" xfId="55542"/>
    <cellStyle name="20 % - Accent6 3 2 2 9" xfId="13353"/>
    <cellStyle name="20 % - Accent6 3 2 2 9 2" xfId="49052"/>
    <cellStyle name="20 % - Accent6 3 2 3" xfId="235"/>
    <cellStyle name="20 % - Accent6 3 2 3 10" xfId="32779"/>
    <cellStyle name="20 % - Accent6 3 2 3 11" xfId="45762"/>
    <cellStyle name="20 % - Accent6 3 2 3 2" xfId="699"/>
    <cellStyle name="20 % - Accent6 3 2 3 2 10" xfId="46222"/>
    <cellStyle name="20 % - Accent6 3 2 3 2 2" xfId="1638"/>
    <cellStyle name="20 % - Accent6 3 2 3 2 2 2" xfId="3305"/>
    <cellStyle name="20 % - Accent6 3 2 3 2 2 2 2" xfId="6550"/>
    <cellStyle name="20 % - Accent6 3 2 3 2 2 2 2 2" xfId="13082"/>
    <cellStyle name="20 % - Accent6 3 2 3 2 2 2 2 2 2" xfId="32555"/>
    <cellStyle name="20 % - Accent6 3 2 3 2 2 2 2 2 3" xfId="45535"/>
    <cellStyle name="20 % - Accent6 3 2 3 2 2 2 2 2 4" xfId="61764"/>
    <cellStyle name="20 % - Accent6 3 2 3 2 2 2 2 3" xfId="19575"/>
    <cellStyle name="20 % - Accent6 3 2 3 2 2 2 2 4" xfId="26065"/>
    <cellStyle name="20 % - Accent6 3 2 3 2 2 2 2 5" xfId="39045"/>
    <cellStyle name="20 % - Accent6 3 2 3 2 2 2 2 6" xfId="55274"/>
    <cellStyle name="20 % - Accent6 3 2 3 2 2 2 3" xfId="9837"/>
    <cellStyle name="20 % - Accent6 3 2 3 2 2 2 3 2" xfId="29310"/>
    <cellStyle name="20 % - Accent6 3 2 3 2 2 2 3 3" xfId="42290"/>
    <cellStyle name="20 % - Accent6 3 2 3 2 2 2 3 4" xfId="58519"/>
    <cellStyle name="20 % - Accent6 3 2 3 2 2 2 4" xfId="16330"/>
    <cellStyle name="20 % - Accent6 3 2 3 2 2 2 4 2" xfId="52029"/>
    <cellStyle name="20 % - Accent6 3 2 3 2 2 2 5" xfId="22820"/>
    <cellStyle name="20 % - Accent6 3 2 3 2 2 2 6" xfId="35800"/>
    <cellStyle name="20 % - Accent6 3 2 3 2 2 2 7" xfId="48783"/>
    <cellStyle name="20 % - Accent6 3 2 3 2 2 3" xfId="4927"/>
    <cellStyle name="20 % - Accent6 3 2 3 2 2 3 2" xfId="11459"/>
    <cellStyle name="20 % - Accent6 3 2 3 2 2 3 2 2" xfId="30932"/>
    <cellStyle name="20 % - Accent6 3 2 3 2 2 3 2 3" xfId="43912"/>
    <cellStyle name="20 % - Accent6 3 2 3 2 2 3 2 4" xfId="60141"/>
    <cellStyle name="20 % - Accent6 3 2 3 2 2 3 3" xfId="17952"/>
    <cellStyle name="20 % - Accent6 3 2 3 2 2 3 4" xfId="24442"/>
    <cellStyle name="20 % - Accent6 3 2 3 2 2 3 5" xfId="37422"/>
    <cellStyle name="20 % - Accent6 3 2 3 2 2 3 6" xfId="53651"/>
    <cellStyle name="20 % - Accent6 3 2 3 2 2 4" xfId="8214"/>
    <cellStyle name="20 % - Accent6 3 2 3 2 2 4 2" xfId="27687"/>
    <cellStyle name="20 % - Accent6 3 2 3 2 2 4 3" xfId="40667"/>
    <cellStyle name="20 % - Accent6 3 2 3 2 2 4 4" xfId="56896"/>
    <cellStyle name="20 % - Accent6 3 2 3 2 2 5" xfId="14707"/>
    <cellStyle name="20 % - Accent6 3 2 3 2 2 5 2" xfId="50406"/>
    <cellStyle name="20 % - Accent6 3 2 3 2 2 6" xfId="21197"/>
    <cellStyle name="20 % - Accent6 3 2 3 2 2 7" xfId="34177"/>
    <cellStyle name="20 % - Accent6 3 2 3 2 2 8" xfId="47160"/>
    <cellStyle name="20 % - Accent6 3 2 3 2 3" xfId="1175"/>
    <cellStyle name="20 % - Accent6 3 2 3 2 3 2" xfId="2842"/>
    <cellStyle name="20 % - Accent6 3 2 3 2 3 2 2" xfId="6087"/>
    <cellStyle name="20 % - Accent6 3 2 3 2 3 2 2 2" xfId="12619"/>
    <cellStyle name="20 % - Accent6 3 2 3 2 3 2 2 2 2" xfId="32092"/>
    <cellStyle name="20 % - Accent6 3 2 3 2 3 2 2 2 3" xfId="45072"/>
    <cellStyle name="20 % - Accent6 3 2 3 2 3 2 2 2 4" xfId="61301"/>
    <cellStyle name="20 % - Accent6 3 2 3 2 3 2 2 3" xfId="19112"/>
    <cellStyle name="20 % - Accent6 3 2 3 2 3 2 2 4" xfId="25602"/>
    <cellStyle name="20 % - Accent6 3 2 3 2 3 2 2 5" xfId="38582"/>
    <cellStyle name="20 % - Accent6 3 2 3 2 3 2 2 6" xfId="54811"/>
    <cellStyle name="20 % - Accent6 3 2 3 2 3 2 3" xfId="9374"/>
    <cellStyle name="20 % - Accent6 3 2 3 2 3 2 3 2" xfId="28847"/>
    <cellStyle name="20 % - Accent6 3 2 3 2 3 2 3 3" xfId="41827"/>
    <cellStyle name="20 % - Accent6 3 2 3 2 3 2 3 4" xfId="58056"/>
    <cellStyle name="20 % - Accent6 3 2 3 2 3 2 4" xfId="15867"/>
    <cellStyle name="20 % - Accent6 3 2 3 2 3 2 4 2" xfId="51566"/>
    <cellStyle name="20 % - Accent6 3 2 3 2 3 2 5" xfId="22357"/>
    <cellStyle name="20 % - Accent6 3 2 3 2 3 2 6" xfId="35337"/>
    <cellStyle name="20 % - Accent6 3 2 3 2 3 2 7" xfId="48320"/>
    <cellStyle name="20 % - Accent6 3 2 3 2 3 3" xfId="4464"/>
    <cellStyle name="20 % - Accent6 3 2 3 2 3 3 2" xfId="10996"/>
    <cellStyle name="20 % - Accent6 3 2 3 2 3 3 2 2" xfId="30469"/>
    <cellStyle name="20 % - Accent6 3 2 3 2 3 3 2 3" xfId="43449"/>
    <cellStyle name="20 % - Accent6 3 2 3 2 3 3 2 4" xfId="59678"/>
    <cellStyle name="20 % - Accent6 3 2 3 2 3 3 3" xfId="17489"/>
    <cellStyle name="20 % - Accent6 3 2 3 2 3 3 4" xfId="23979"/>
    <cellStyle name="20 % - Accent6 3 2 3 2 3 3 5" xfId="36959"/>
    <cellStyle name="20 % - Accent6 3 2 3 2 3 3 6" xfId="53188"/>
    <cellStyle name="20 % - Accent6 3 2 3 2 3 4" xfId="7751"/>
    <cellStyle name="20 % - Accent6 3 2 3 2 3 4 2" xfId="27224"/>
    <cellStyle name="20 % - Accent6 3 2 3 2 3 4 3" xfId="40204"/>
    <cellStyle name="20 % - Accent6 3 2 3 2 3 4 4" xfId="56433"/>
    <cellStyle name="20 % - Accent6 3 2 3 2 3 5" xfId="14244"/>
    <cellStyle name="20 % - Accent6 3 2 3 2 3 5 2" xfId="49943"/>
    <cellStyle name="20 % - Accent6 3 2 3 2 3 6" xfId="20734"/>
    <cellStyle name="20 % - Accent6 3 2 3 2 3 7" xfId="33714"/>
    <cellStyle name="20 % - Accent6 3 2 3 2 3 8" xfId="46697"/>
    <cellStyle name="20 % - Accent6 3 2 3 2 4" xfId="2367"/>
    <cellStyle name="20 % - Accent6 3 2 3 2 4 2" xfId="5612"/>
    <cellStyle name="20 % - Accent6 3 2 3 2 4 2 2" xfId="12144"/>
    <cellStyle name="20 % - Accent6 3 2 3 2 4 2 2 2" xfId="31617"/>
    <cellStyle name="20 % - Accent6 3 2 3 2 4 2 2 3" xfId="44597"/>
    <cellStyle name="20 % - Accent6 3 2 3 2 4 2 2 4" xfId="60826"/>
    <cellStyle name="20 % - Accent6 3 2 3 2 4 2 3" xfId="18637"/>
    <cellStyle name="20 % - Accent6 3 2 3 2 4 2 4" xfId="25127"/>
    <cellStyle name="20 % - Accent6 3 2 3 2 4 2 5" xfId="38107"/>
    <cellStyle name="20 % - Accent6 3 2 3 2 4 2 6" xfId="54336"/>
    <cellStyle name="20 % - Accent6 3 2 3 2 4 3" xfId="8899"/>
    <cellStyle name="20 % - Accent6 3 2 3 2 4 3 2" xfId="28372"/>
    <cellStyle name="20 % - Accent6 3 2 3 2 4 3 3" xfId="41352"/>
    <cellStyle name="20 % - Accent6 3 2 3 2 4 3 4" xfId="57581"/>
    <cellStyle name="20 % - Accent6 3 2 3 2 4 4" xfId="15392"/>
    <cellStyle name="20 % - Accent6 3 2 3 2 4 4 2" xfId="51091"/>
    <cellStyle name="20 % - Accent6 3 2 3 2 4 5" xfId="21882"/>
    <cellStyle name="20 % - Accent6 3 2 3 2 4 6" xfId="34862"/>
    <cellStyle name="20 % - Accent6 3 2 3 2 4 7" xfId="47845"/>
    <cellStyle name="20 % - Accent6 3 2 3 2 5" xfId="3989"/>
    <cellStyle name="20 % - Accent6 3 2 3 2 5 2" xfId="10521"/>
    <cellStyle name="20 % - Accent6 3 2 3 2 5 2 2" xfId="29994"/>
    <cellStyle name="20 % - Accent6 3 2 3 2 5 2 3" xfId="42974"/>
    <cellStyle name="20 % - Accent6 3 2 3 2 5 2 4" xfId="59203"/>
    <cellStyle name="20 % - Accent6 3 2 3 2 5 3" xfId="17014"/>
    <cellStyle name="20 % - Accent6 3 2 3 2 5 4" xfId="23504"/>
    <cellStyle name="20 % - Accent6 3 2 3 2 5 5" xfId="36484"/>
    <cellStyle name="20 % - Accent6 3 2 3 2 5 6" xfId="52713"/>
    <cellStyle name="20 % - Accent6 3 2 3 2 6" xfId="7276"/>
    <cellStyle name="20 % - Accent6 3 2 3 2 6 2" xfId="26749"/>
    <cellStyle name="20 % - Accent6 3 2 3 2 6 3" xfId="39729"/>
    <cellStyle name="20 % - Accent6 3 2 3 2 6 4" xfId="55958"/>
    <cellStyle name="20 % - Accent6 3 2 3 2 7" xfId="13769"/>
    <cellStyle name="20 % - Accent6 3 2 3 2 7 2" xfId="49468"/>
    <cellStyle name="20 % - Accent6 3 2 3 2 8" xfId="20259"/>
    <cellStyle name="20 % - Accent6 3 2 3 2 9" xfId="33239"/>
    <cellStyle name="20 % - Accent6 3 2 3 3" xfId="469"/>
    <cellStyle name="20 % - Accent6 3 2 3 3 2" xfId="1418"/>
    <cellStyle name="20 % - Accent6 3 2 3 3 2 2" xfId="3085"/>
    <cellStyle name="20 % - Accent6 3 2 3 3 2 2 2" xfId="6330"/>
    <cellStyle name="20 % - Accent6 3 2 3 3 2 2 2 2" xfId="12862"/>
    <cellStyle name="20 % - Accent6 3 2 3 3 2 2 2 2 2" xfId="32335"/>
    <cellStyle name="20 % - Accent6 3 2 3 3 2 2 2 2 3" xfId="45315"/>
    <cellStyle name="20 % - Accent6 3 2 3 3 2 2 2 2 4" xfId="61544"/>
    <cellStyle name="20 % - Accent6 3 2 3 3 2 2 2 3" xfId="19355"/>
    <cellStyle name="20 % - Accent6 3 2 3 3 2 2 2 4" xfId="25845"/>
    <cellStyle name="20 % - Accent6 3 2 3 3 2 2 2 5" xfId="38825"/>
    <cellStyle name="20 % - Accent6 3 2 3 3 2 2 2 6" xfId="55054"/>
    <cellStyle name="20 % - Accent6 3 2 3 3 2 2 3" xfId="9617"/>
    <cellStyle name="20 % - Accent6 3 2 3 3 2 2 3 2" xfId="29090"/>
    <cellStyle name="20 % - Accent6 3 2 3 3 2 2 3 3" xfId="42070"/>
    <cellStyle name="20 % - Accent6 3 2 3 3 2 2 3 4" xfId="58299"/>
    <cellStyle name="20 % - Accent6 3 2 3 3 2 2 4" xfId="16110"/>
    <cellStyle name="20 % - Accent6 3 2 3 3 2 2 4 2" xfId="51809"/>
    <cellStyle name="20 % - Accent6 3 2 3 3 2 2 5" xfId="22600"/>
    <cellStyle name="20 % - Accent6 3 2 3 3 2 2 6" xfId="35580"/>
    <cellStyle name="20 % - Accent6 3 2 3 3 2 2 7" xfId="48563"/>
    <cellStyle name="20 % - Accent6 3 2 3 3 2 3" xfId="4707"/>
    <cellStyle name="20 % - Accent6 3 2 3 3 2 3 2" xfId="11239"/>
    <cellStyle name="20 % - Accent6 3 2 3 3 2 3 2 2" xfId="30712"/>
    <cellStyle name="20 % - Accent6 3 2 3 3 2 3 2 3" xfId="43692"/>
    <cellStyle name="20 % - Accent6 3 2 3 3 2 3 2 4" xfId="59921"/>
    <cellStyle name="20 % - Accent6 3 2 3 3 2 3 3" xfId="17732"/>
    <cellStyle name="20 % - Accent6 3 2 3 3 2 3 4" xfId="24222"/>
    <cellStyle name="20 % - Accent6 3 2 3 3 2 3 5" xfId="37202"/>
    <cellStyle name="20 % - Accent6 3 2 3 3 2 3 6" xfId="53431"/>
    <cellStyle name="20 % - Accent6 3 2 3 3 2 4" xfId="7994"/>
    <cellStyle name="20 % - Accent6 3 2 3 3 2 4 2" xfId="27467"/>
    <cellStyle name="20 % - Accent6 3 2 3 3 2 4 3" xfId="40447"/>
    <cellStyle name="20 % - Accent6 3 2 3 3 2 4 4" xfId="56676"/>
    <cellStyle name="20 % - Accent6 3 2 3 3 2 5" xfId="14487"/>
    <cellStyle name="20 % - Accent6 3 2 3 3 2 5 2" xfId="50186"/>
    <cellStyle name="20 % - Accent6 3 2 3 3 2 6" xfId="20977"/>
    <cellStyle name="20 % - Accent6 3 2 3 3 2 7" xfId="33957"/>
    <cellStyle name="20 % - Accent6 3 2 3 3 2 8" xfId="46940"/>
    <cellStyle name="20 % - Accent6 3 2 3 3 3" xfId="2137"/>
    <cellStyle name="20 % - Accent6 3 2 3 3 3 2" xfId="5382"/>
    <cellStyle name="20 % - Accent6 3 2 3 3 3 2 2" xfId="11914"/>
    <cellStyle name="20 % - Accent6 3 2 3 3 3 2 2 2" xfId="31387"/>
    <cellStyle name="20 % - Accent6 3 2 3 3 3 2 2 3" xfId="44367"/>
    <cellStyle name="20 % - Accent6 3 2 3 3 3 2 2 4" xfId="60596"/>
    <cellStyle name="20 % - Accent6 3 2 3 3 3 2 3" xfId="18407"/>
    <cellStyle name="20 % - Accent6 3 2 3 3 3 2 4" xfId="24897"/>
    <cellStyle name="20 % - Accent6 3 2 3 3 3 2 5" xfId="37877"/>
    <cellStyle name="20 % - Accent6 3 2 3 3 3 2 6" xfId="54106"/>
    <cellStyle name="20 % - Accent6 3 2 3 3 3 3" xfId="8669"/>
    <cellStyle name="20 % - Accent6 3 2 3 3 3 3 2" xfId="28142"/>
    <cellStyle name="20 % - Accent6 3 2 3 3 3 3 3" xfId="41122"/>
    <cellStyle name="20 % - Accent6 3 2 3 3 3 3 4" xfId="57351"/>
    <cellStyle name="20 % - Accent6 3 2 3 3 3 4" xfId="15162"/>
    <cellStyle name="20 % - Accent6 3 2 3 3 3 4 2" xfId="50861"/>
    <cellStyle name="20 % - Accent6 3 2 3 3 3 5" xfId="21652"/>
    <cellStyle name="20 % - Accent6 3 2 3 3 3 6" xfId="34632"/>
    <cellStyle name="20 % - Accent6 3 2 3 3 3 7" xfId="47615"/>
    <cellStyle name="20 % - Accent6 3 2 3 3 4" xfId="3759"/>
    <cellStyle name="20 % - Accent6 3 2 3 3 4 2" xfId="10291"/>
    <cellStyle name="20 % - Accent6 3 2 3 3 4 2 2" xfId="29764"/>
    <cellStyle name="20 % - Accent6 3 2 3 3 4 2 3" xfId="42744"/>
    <cellStyle name="20 % - Accent6 3 2 3 3 4 2 4" xfId="58973"/>
    <cellStyle name="20 % - Accent6 3 2 3 3 4 3" xfId="16784"/>
    <cellStyle name="20 % - Accent6 3 2 3 3 4 4" xfId="23274"/>
    <cellStyle name="20 % - Accent6 3 2 3 3 4 5" xfId="36254"/>
    <cellStyle name="20 % - Accent6 3 2 3 3 4 6" xfId="52483"/>
    <cellStyle name="20 % - Accent6 3 2 3 3 5" xfId="7046"/>
    <cellStyle name="20 % - Accent6 3 2 3 3 5 2" xfId="26519"/>
    <cellStyle name="20 % - Accent6 3 2 3 3 5 3" xfId="39499"/>
    <cellStyle name="20 % - Accent6 3 2 3 3 5 4" xfId="55728"/>
    <cellStyle name="20 % - Accent6 3 2 3 3 6" xfId="13539"/>
    <cellStyle name="20 % - Accent6 3 2 3 3 6 2" xfId="49238"/>
    <cellStyle name="20 % - Accent6 3 2 3 3 7" xfId="20029"/>
    <cellStyle name="20 % - Accent6 3 2 3 3 8" xfId="33009"/>
    <cellStyle name="20 % - Accent6 3 2 3 3 9" xfId="45992"/>
    <cellStyle name="20 % - Accent6 3 2 3 4" xfId="955"/>
    <cellStyle name="20 % - Accent6 3 2 3 4 2" xfId="2622"/>
    <cellStyle name="20 % - Accent6 3 2 3 4 2 2" xfId="5867"/>
    <cellStyle name="20 % - Accent6 3 2 3 4 2 2 2" xfId="12399"/>
    <cellStyle name="20 % - Accent6 3 2 3 4 2 2 2 2" xfId="31872"/>
    <cellStyle name="20 % - Accent6 3 2 3 4 2 2 2 3" xfId="44852"/>
    <cellStyle name="20 % - Accent6 3 2 3 4 2 2 2 4" xfId="61081"/>
    <cellStyle name="20 % - Accent6 3 2 3 4 2 2 3" xfId="18892"/>
    <cellStyle name="20 % - Accent6 3 2 3 4 2 2 4" xfId="25382"/>
    <cellStyle name="20 % - Accent6 3 2 3 4 2 2 5" xfId="38362"/>
    <cellStyle name="20 % - Accent6 3 2 3 4 2 2 6" xfId="54591"/>
    <cellStyle name="20 % - Accent6 3 2 3 4 2 3" xfId="9154"/>
    <cellStyle name="20 % - Accent6 3 2 3 4 2 3 2" xfId="28627"/>
    <cellStyle name="20 % - Accent6 3 2 3 4 2 3 3" xfId="41607"/>
    <cellStyle name="20 % - Accent6 3 2 3 4 2 3 4" xfId="57836"/>
    <cellStyle name="20 % - Accent6 3 2 3 4 2 4" xfId="15647"/>
    <cellStyle name="20 % - Accent6 3 2 3 4 2 4 2" xfId="51346"/>
    <cellStyle name="20 % - Accent6 3 2 3 4 2 5" xfId="22137"/>
    <cellStyle name="20 % - Accent6 3 2 3 4 2 6" xfId="35117"/>
    <cellStyle name="20 % - Accent6 3 2 3 4 2 7" xfId="48100"/>
    <cellStyle name="20 % - Accent6 3 2 3 4 3" xfId="4244"/>
    <cellStyle name="20 % - Accent6 3 2 3 4 3 2" xfId="10776"/>
    <cellStyle name="20 % - Accent6 3 2 3 4 3 2 2" xfId="30249"/>
    <cellStyle name="20 % - Accent6 3 2 3 4 3 2 3" xfId="43229"/>
    <cellStyle name="20 % - Accent6 3 2 3 4 3 2 4" xfId="59458"/>
    <cellStyle name="20 % - Accent6 3 2 3 4 3 3" xfId="17269"/>
    <cellStyle name="20 % - Accent6 3 2 3 4 3 4" xfId="23759"/>
    <cellStyle name="20 % - Accent6 3 2 3 4 3 5" xfId="36739"/>
    <cellStyle name="20 % - Accent6 3 2 3 4 3 6" xfId="52968"/>
    <cellStyle name="20 % - Accent6 3 2 3 4 4" xfId="7531"/>
    <cellStyle name="20 % - Accent6 3 2 3 4 4 2" xfId="27004"/>
    <cellStyle name="20 % - Accent6 3 2 3 4 4 3" xfId="39984"/>
    <cellStyle name="20 % - Accent6 3 2 3 4 4 4" xfId="56213"/>
    <cellStyle name="20 % - Accent6 3 2 3 4 5" xfId="14024"/>
    <cellStyle name="20 % - Accent6 3 2 3 4 5 2" xfId="49723"/>
    <cellStyle name="20 % - Accent6 3 2 3 4 6" xfId="20514"/>
    <cellStyle name="20 % - Accent6 3 2 3 4 7" xfId="33494"/>
    <cellStyle name="20 % - Accent6 3 2 3 4 8" xfId="46477"/>
    <cellStyle name="20 % - Accent6 3 2 3 5" xfId="1908"/>
    <cellStyle name="20 % - Accent6 3 2 3 5 2" xfId="5153"/>
    <cellStyle name="20 % - Accent6 3 2 3 5 2 2" xfId="11685"/>
    <cellStyle name="20 % - Accent6 3 2 3 5 2 2 2" xfId="31158"/>
    <cellStyle name="20 % - Accent6 3 2 3 5 2 2 3" xfId="44138"/>
    <cellStyle name="20 % - Accent6 3 2 3 5 2 2 4" xfId="60367"/>
    <cellStyle name="20 % - Accent6 3 2 3 5 2 3" xfId="18178"/>
    <cellStyle name="20 % - Accent6 3 2 3 5 2 4" xfId="24668"/>
    <cellStyle name="20 % - Accent6 3 2 3 5 2 5" xfId="37648"/>
    <cellStyle name="20 % - Accent6 3 2 3 5 2 6" xfId="53877"/>
    <cellStyle name="20 % - Accent6 3 2 3 5 3" xfId="8440"/>
    <cellStyle name="20 % - Accent6 3 2 3 5 3 2" xfId="27913"/>
    <cellStyle name="20 % - Accent6 3 2 3 5 3 3" xfId="40893"/>
    <cellStyle name="20 % - Accent6 3 2 3 5 3 4" xfId="57122"/>
    <cellStyle name="20 % - Accent6 3 2 3 5 4" xfId="14933"/>
    <cellStyle name="20 % - Accent6 3 2 3 5 4 2" xfId="50632"/>
    <cellStyle name="20 % - Accent6 3 2 3 5 5" xfId="21423"/>
    <cellStyle name="20 % - Accent6 3 2 3 5 6" xfId="34403"/>
    <cellStyle name="20 % - Accent6 3 2 3 5 7" xfId="47386"/>
    <cellStyle name="20 % - Accent6 3 2 3 6" xfId="3529"/>
    <cellStyle name="20 % - Accent6 3 2 3 6 2" xfId="10061"/>
    <cellStyle name="20 % - Accent6 3 2 3 6 2 2" xfId="29534"/>
    <cellStyle name="20 % - Accent6 3 2 3 6 2 3" xfId="42514"/>
    <cellStyle name="20 % - Accent6 3 2 3 6 2 4" xfId="58743"/>
    <cellStyle name="20 % - Accent6 3 2 3 6 3" xfId="16554"/>
    <cellStyle name="20 % - Accent6 3 2 3 6 4" xfId="23044"/>
    <cellStyle name="20 % - Accent6 3 2 3 6 5" xfId="36024"/>
    <cellStyle name="20 % - Accent6 3 2 3 6 6" xfId="52253"/>
    <cellStyle name="20 % - Accent6 3 2 3 7" xfId="6816"/>
    <cellStyle name="20 % - Accent6 3 2 3 7 2" xfId="26289"/>
    <cellStyle name="20 % - Accent6 3 2 3 7 3" xfId="39269"/>
    <cellStyle name="20 % - Accent6 3 2 3 7 4" xfId="55498"/>
    <cellStyle name="20 % - Accent6 3 2 3 8" xfId="13309"/>
    <cellStyle name="20 % - Accent6 3 2 3 8 2" xfId="49008"/>
    <cellStyle name="20 % - Accent6 3 2 3 9" xfId="19799"/>
    <cellStyle name="20 % - Accent6 3 2 4" xfId="323"/>
    <cellStyle name="20 % - Accent6 3 2 4 10" xfId="32867"/>
    <cellStyle name="20 % - Accent6 3 2 4 11" xfId="45850"/>
    <cellStyle name="20 % - Accent6 3 2 4 2" xfId="787"/>
    <cellStyle name="20 % - Accent6 3 2 4 2 10" xfId="46310"/>
    <cellStyle name="20 % - Accent6 3 2 4 2 2" xfId="1726"/>
    <cellStyle name="20 % - Accent6 3 2 4 2 2 2" xfId="3393"/>
    <cellStyle name="20 % - Accent6 3 2 4 2 2 2 2" xfId="6638"/>
    <cellStyle name="20 % - Accent6 3 2 4 2 2 2 2 2" xfId="13170"/>
    <cellStyle name="20 % - Accent6 3 2 4 2 2 2 2 2 2" xfId="32643"/>
    <cellStyle name="20 % - Accent6 3 2 4 2 2 2 2 2 3" xfId="45623"/>
    <cellStyle name="20 % - Accent6 3 2 4 2 2 2 2 2 4" xfId="61852"/>
    <cellStyle name="20 % - Accent6 3 2 4 2 2 2 2 3" xfId="19663"/>
    <cellStyle name="20 % - Accent6 3 2 4 2 2 2 2 4" xfId="26153"/>
    <cellStyle name="20 % - Accent6 3 2 4 2 2 2 2 5" xfId="39133"/>
    <cellStyle name="20 % - Accent6 3 2 4 2 2 2 2 6" xfId="55362"/>
    <cellStyle name="20 % - Accent6 3 2 4 2 2 2 3" xfId="9925"/>
    <cellStyle name="20 % - Accent6 3 2 4 2 2 2 3 2" xfId="29398"/>
    <cellStyle name="20 % - Accent6 3 2 4 2 2 2 3 3" xfId="42378"/>
    <cellStyle name="20 % - Accent6 3 2 4 2 2 2 3 4" xfId="58607"/>
    <cellStyle name="20 % - Accent6 3 2 4 2 2 2 4" xfId="16418"/>
    <cellStyle name="20 % - Accent6 3 2 4 2 2 2 4 2" xfId="52117"/>
    <cellStyle name="20 % - Accent6 3 2 4 2 2 2 5" xfId="22908"/>
    <cellStyle name="20 % - Accent6 3 2 4 2 2 2 6" xfId="35888"/>
    <cellStyle name="20 % - Accent6 3 2 4 2 2 2 7" xfId="48871"/>
    <cellStyle name="20 % - Accent6 3 2 4 2 2 3" xfId="5015"/>
    <cellStyle name="20 % - Accent6 3 2 4 2 2 3 2" xfId="11547"/>
    <cellStyle name="20 % - Accent6 3 2 4 2 2 3 2 2" xfId="31020"/>
    <cellStyle name="20 % - Accent6 3 2 4 2 2 3 2 3" xfId="44000"/>
    <cellStyle name="20 % - Accent6 3 2 4 2 2 3 2 4" xfId="60229"/>
    <cellStyle name="20 % - Accent6 3 2 4 2 2 3 3" xfId="18040"/>
    <cellStyle name="20 % - Accent6 3 2 4 2 2 3 4" xfId="24530"/>
    <cellStyle name="20 % - Accent6 3 2 4 2 2 3 5" xfId="37510"/>
    <cellStyle name="20 % - Accent6 3 2 4 2 2 3 6" xfId="53739"/>
    <cellStyle name="20 % - Accent6 3 2 4 2 2 4" xfId="8302"/>
    <cellStyle name="20 % - Accent6 3 2 4 2 2 4 2" xfId="27775"/>
    <cellStyle name="20 % - Accent6 3 2 4 2 2 4 3" xfId="40755"/>
    <cellStyle name="20 % - Accent6 3 2 4 2 2 4 4" xfId="56984"/>
    <cellStyle name="20 % - Accent6 3 2 4 2 2 5" xfId="14795"/>
    <cellStyle name="20 % - Accent6 3 2 4 2 2 5 2" xfId="50494"/>
    <cellStyle name="20 % - Accent6 3 2 4 2 2 6" xfId="21285"/>
    <cellStyle name="20 % - Accent6 3 2 4 2 2 7" xfId="34265"/>
    <cellStyle name="20 % - Accent6 3 2 4 2 2 8" xfId="47248"/>
    <cellStyle name="20 % - Accent6 3 2 4 2 3" xfId="1263"/>
    <cellStyle name="20 % - Accent6 3 2 4 2 3 2" xfId="2930"/>
    <cellStyle name="20 % - Accent6 3 2 4 2 3 2 2" xfId="6175"/>
    <cellStyle name="20 % - Accent6 3 2 4 2 3 2 2 2" xfId="12707"/>
    <cellStyle name="20 % - Accent6 3 2 4 2 3 2 2 2 2" xfId="32180"/>
    <cellStyle name="20 % - Accent6 3 2 4 2 3 2 2 2 3" xfId="45160"/>
    <cellStyle name="20 % - Accent6 3 2 4 2 3 2 2 2 4" xfId="61389"/>
    <cellStyle name="20 % - Accent6 3 2 4 2 3 2 2 3" xfId="19200"/>
    <cellStyle name="20 % - Accent6 3 2 4 2 3 2 2 4" xfId="25690"/>
    <cellStyle name="20 % - Accent6 3 2 4 2 3 2 2 5" xfId="38670"/>
    <cellStyle name="20 % - Accent6 3 2 4 2 3 2 2 6" xfId="54899"/>
    <cellStyle name="20 % - Accent6 3 2 4 2 3 2 3" xfId="9462"/>
    <cellStyle name="20 % - Accent6 3 2 4 2 3 2 3 2" xfId="28935"/>
    <cellStyle name="20 % - Accent6 3 2 4 2 3 2 3 3" xfId="41915"/>
    <cellStyle name="20 % - Accent6 3 2 4 2 3 2 3 4" xfId="58144"/>
    <cellStyle name="20 % - Accent6 3 2 4 2 3 2 4" xfId="15955"/>
    <cellStyle name="20 % - Accent6 3 2 4 2 3 2 4 2" xfId="51654"/>
    <cellStyle name="20 % - Accent6 3 2 4 2 3 2 5" xfId="22445"/>
    <cellStyle name="20 % - Accent6 3 2 4 2 3 2 6" xfId="35425"/>
    <cellStyle name="20 % - Accent6 3 2 4 2 3 2 7" xfId="48408"/>
    <cellStyle name="20 % - Accent6 3 2 4 2 3 3" xfId="4552"/>
    <cellStyle name="20 % - Accent6 3 2 4 2 3 3 2" xfId="11084"/>
    <cellStyle name="20 % - Accent6 3 2 4 2 3 3 2 2" xfId="30557"/>
    <cellStyle name="20 % - Accent6 3 2 4 2 3 3 2 3" xfId="43537"/>
    <cellStyle name="20 % - Accent6 3 2 4 2 3 3 2 4" xfId="59766"/>
    <cellStyle name="20 % - Accent6 3 2 4 2 3 3 3" xfId="17577"/>
    <cellStyle name="20 % - Accent6 3 2 4 2 3 3 4" xfId="24067"/>
    <cellStyle name="20 % - Accent6 3 2 4 2 3 3 5" xfId="37047"/>
    <cellStyle name="20 % - Accent6 3 2 4 2 3 3 6" xfId="53276"/>
    <cellStyle name="20 % - Accent6 3 2 4 2 3 4" xfId="7839"/>
    <cellStyle name="20 % - Accent6 3 2 4 2 3 4 2" xfId="27312"/>
    <cellStyle name="20 % - Accent6 3 2 4 2 3 4 3" xfId="40292"/>
    <cellStyle name="20 % - Accent6 3 2 4 2 3 4 4" xfId="56521"/>
    <cellStyle name="20 % - Accent6 3 2 4 2 3 5" xfId="14332"/>
    <cellStyle name="20 % - Accent6 3 2 4 2 3 5 2" xfId="50031"/>
    <cellStyle name="20 % - Accent6 3 2 4 2 3 6" xfId="20822"/>
    <cellStyle name="20 % - Accent6 3 2 4 2 3 7" xfId="33802"/>
    <cellStyle name="20 % - Accent6 3 2 4 2 3 8" xfId="46785"/>
    <cellStyle name="20 % - Accent6 3 2 4 2 4" xfId="2455"/>
    <cellStyle name="20 % - Accent6 3 2 4 2 4 2" xfId="5700"/>
    <cellStyle name="20 % - Accent6 3 2 4 2 4 2 2" xfId="12232"/>
    <cellStyle name="20 % - Accent6 3 2 4 2 4 2 2 2" xfId="31705"/>
    <cellStyle name="20 % - Accent6 3 2 4 2 4 2 2 3" xfId="44685"/>
    <cellStyle name="20 % - Accent6 3 2 4 2 4 2 2 4" xfId="60914"/>
    <cellStyle name="20 % - Accent6 3 2 4 2 4 2 3" xfId="18725"/>
    <cellStyle name="20 % - Accent6 3 2 4 2 4 2 4" xfId="25215"/>
    <cellStyle name="20 % - Accent6 3 2 4 2 4 2 5" xfId="38195"/>
    <cellStyle name="20 % - Accent6 3 2 4 2 4 2 6" xfId="54424"/>
    <cellStyle name="20 % - Accent6 3 2 4 2 4 3" xfId="8987"/>
    <cellStyle name="20 % - Accent6 3 2 4 2 4 3 2" xfId="28460"/>
    <cellStyle name="20 % - Accent6 3 2 4 2 4 3 3" xfId="41440"/>
    <cellStyle name="20 % - Accent6 3 2 4 2 4 3 4" xfId="57669"/>
    <cellStyle name="20 % - Accent6 3 2 4 2 4 4" xfId="15480"/>
    <cellStyle name="20 % - Accent6 3 2 4 2 4 4 2" xfId="51179"/>
    <cellStyle name="20 % - Accent6 3 2 4 2 4 5" xfId="21970"/>
    <cellStyle name="20 % - Accent6 3 2 4 2 4 6" xfId="34950"/>
    <cellStyle name="20 % - Accent6 3 2 4 2 4 7" xfId="47933"/>
    <cellStyle name="20 % - Accent6 3 2 4 2 5" xfId="4077"/>
    <cellStyle name="20 % - Accent6 3 2 4 2 5 2" xfId="10609"/>
    <cellStyle name="20 % - Accent6 3 2 4 2 5 2 2" xfId="30082"/>
    <cellStyle name="20 % - Accent6 3 2 4 2 5 2 3" xfId="43062"/>
    <cellStyle name="20 % - Accent6 3 2 4 2 5 2 4" xfId="59291"/>
    <cellStyle name="20 % - Accent6 3 2 4 2 5 3" xfId="17102"/>
    <cellStyle name="20 % - Accent6 3 2 4 2 5 4" xfId="23592"/>
    <cellStyle name="20 % - Accent6 3 2 4 2 5 5" xfId="36572"/>
    <cellStyle name="20 % - Accent6 3 2 4 2 5 6" xfId="52801"/>
    <cellStyle name="20 % - Accent6 3 2 4 2 6" xfId="7364"/>
    <cellStyle name="20 % - Accent6 3 2 4 2 6 2" xfId="26837"/>
    <cellStyle name="20 % - Accent6 3 2 4 2 6 3" xfId="39817"/>
    <cellStyle name="20 % - Accent6 3 2 4 2 6 4" xfId="56046"/>
    <cellStyle name="20 % - Accent6 3 2 4 2 7" xfId="13857"/>
    <cellStyle name="20 % - Accent6 3 2 4 2 7 2" xfId="49556"/>
    <cellStyle name="20 % - Accent6 3 2 4 2 8" xfId="20347"/>
    <cellStyle name="20 % - Accent6 3 2 4 2 9" xfId="33327"/>
    <cellStyle name="20 % - Accent6 3 2 4 3" xfId="557"/>
    <cellStyle name="20 % - Accent6 3 2 4 3 2" xfId="1506"/>
    <cellStyle name="20 % - Accent6 3 2 4 3 2 2" xfId="3173"/>
    <cellStyle name="20 % - Accent6 3 2 4 3 2 2 2" xfId="6418"/>
    <cellStyle name="20 % - Accent6 3 2 4 3 2 2 2 2" xfId="12950"/>
    <cellStyle name="20 % - Accent6 3 2 4 3 2 2 2 2 2" xfId="32423"/>
    <cellStyle name="20 % - Accent6 3 2 4 3 2 2 2 2 3" xfId="45403"/>
    <cellStyle name="20 % - Accent6 3 2 4 3 2 2 2 2 4" xfId="61632"/>
    <cellStyle name="20 % - Accent6 3 2 4 3 2 2 2 3" xfId="19443"/>
    <cellStyle name="20 % - Accent6 3 2 4 3 2 2 2 4" xfId="25933"/>
    <cellStyle name="20 % - Accent6 3 2 4 3 2 2 2 5" xfId="38913"/>
    <cellStyle name="20 % - Accent6 3 2 4 3 2 2 2 6" xfId="55142"/>
    <cellStyle name="20 % - Accent6 3 2 4 3 2 2 3" xfId="9705"/>
    <cellStyle name="20 % - Accent6 3 2 4 3 2 2 3 2" xfId="29178"/>
    <cellStyle name="20 % - Accent6 3 2 4 3 2 2 3 3" xfId="42158"/>
    <cellStyle name="20 % - Accent6 3 2 4 3 2 2 3 4" xfId="58387"/>
    <cellStyle name="20 % - Accent6 3 2 4 3 2 2 4" xfId="16198"/>
    <cellStyle name="20 % - Accent6 3 2 4 3 2 2 4 2" xfId="51897"/>
    <cellStyle name="20 % - Accent6 3 2 4 3 2 2 5" xfId="22688"/>
    <cellStyle name="20 % - Accent6 3 2 4 3 2 2 6" xfId="35668"/>
    <cellStyle name="20 % - Accent6 3 2 4 3 2 2 7" xfId="48651"/>
    <cellStyle name="20 % - Accent6 3 2 4 3 2 3" xfId="4795"/>
    <cellStyle name="20 % - Accent6 3 2 4 3 2 3 2" xfId="11327"/>
    <cellStyle name="20 % - Accent6 3 2 4 3 2 3 2 2" xfId="30800"/>
    <cellStyle name="20 % - Accent6 3 2 4 3 2 3 2 3" xfId="43780"/>
    <cellStyle name="20 % - Accent6 3 2 4 3 2 3 2 4" xfId="60009"/>
    <cellStyle name="20 % - Accent6 3 2 4 3 2 3 3" xfId="17820"/>
    <cellStyle name="20 % - Accent6 3 2 4 3 2 3 4" xfId="24310"/>
    <cellStyle name="20 % - Accent6 3 2 4 3 2 3 5" xfId="37290"/>
    <cellStyle name="20 % - Accent6 3 2 4 3 2 3 6" xfId="53519"/>
    <cellStyle name="20 % - Accent6 3 2 4 3 2 4" xfId="8082"/>
    <cellStyle name="20 % - Accent6 3 2 4 3 2 4 2" xfId="27555"/>
    <cellStyle name="20 % - Accent6 3 2 4 3 2 4 3" xfId="40535"/>
    <cellStyle name="20 % - Accent6 3 2 4 3 2 4 4" xfId="56764"/>
    <cellStyle name="20 % - Accent6 3 2 4 3 2 5" xfId="14575"/>
    <cellStyle name="20 % - Accent6 3 2 4 3 2 5 2" xfId="50274"/>
    <cellStyle name="20 % - Accent6 3 2 4 3 2 6" xfId="21065"/>
    <cellStyle name="20 % - Accent6 3 2 4 3 2 7" xfId="34045"/>
    <cellStyle name="20 % - Accent6 3 2 4 3 2 8" xfId="47028"/>
    <cellStyle name="20 % - Accent6 3 2 4 3 3" xfId="2225"/>
    <cellStyle name="20 % - Accent6 3 2 4 3 3 2" xfId="5470"/>
    <cellStyle name="20 % - Accent6 3 2 4 3 3 2 2" xfId="12002"/>
    <cellStyle name="20 % - Accent6 3 2 4 3 3 2 2 2" xfId="31475"/>
    <cellStyle name="20 % - Accent6 3 2 4 3 3 2 2 3" xfId="44455"/>
    <cellStyle name="20 % - Accent6 3 2 4 3 3 2 2 4" xfId="60684"/>
    <cellStyle name="20 % - Accent6 3 2 4 3 3 2 3" xfId="18495"/>
    <cellStyle name="20 % - Accent6 3 2 4 3 3 2 4" xfId="24985"/>
    <cellStyle name="20 % - Accent6 3 2 4 3 3 2 5" xfId="37965"/>
    <cellStyle name="20 % - Accent6 3 2 4 3 3 2 6" xfId="54194"/>
    <cellStyle name="20 % - Accent6 3 2 4 3 3 3" xfId="8757"/>
    <cellStyle name="20 % - Accent6 3 2 4 3 3 3 2" xfId="28230"/>
    <cellStyle name="20 % - Accent6 3 2 4 3 3 3 3" xfId="41210"/>
    <cellStyle name="20 % - Accent6 3 2 4 3 3 3 4" xfId="57439"/>
    <cellStyle name="20 % - Accent6 3 2 4 3 3 4" xfId="15250"/>
    <cellStyle name="20 % - Accent6 3 2 4 3 3 4 2" xfId="50949"/>
    <cellStyle name="20 % - Accent6 3 2 4 3 3 5" xfId="21740"/>
    <cellStyle name="20 % - Accent6 3 2 4 3 3 6" xfId="34720"/>
    <cellStyle name="20 % - Accent6 3 2 4 3 3 7" xfId="47703"/>
    <cellStyle name="20 % - Accent6 3 2 4 3 4" xfId="3847"/>
    <cellStyle name="20 % - Accent6 3 2 4 3 4 2" xfId="10379"/>
    <cellStyle name="20 % - Accent6 3 2 4 3 4 2 2" xfId="29852"/>
    <cellStyle name="20 % - Accent6 3 2 4 3 4 2 3" xfId="42832"/>
    <cellStyle name="20 % - Accent6 3 2 4 3 4 2 4" xfId="59061"/>
    <cellStyle name="20 % - Accent6 3 2 4 3 4 3" xfId="16872"/>
    <cellStyle name="20 % - Accent6 3 2 4 3 4 4" xfId="23362"/>
    <cellStyle name="20 % - Accent6 3 2 4 3 4 5" xfId="36342"/>
    <cellStyle name="20 % - Accent6 3 2 4 3 4 6" xfId="52571"/>
    <cellStyle name="20 % - Accent6 3 2 4 3 5" xfId="7134"/>
    <cellStyle name="20 % - Accent6 3 2 4 3 5 2" xfId="26607"/>
    <cellStyle name="20 % - Accent6 3 2 4 3 5 3" xfId="39587"/>
    <cellStyle name="20 % - Accent6 3 2 4 3 5 4" xfId="55816"/>
    <cellStyle name="20 % - Accent6 3 2 4 3 6" xfId="13627"/>
    <cellStyle name="20 % - Accent6 3 2 4 3 6 2" xfId="49326"/>
    <cellStyle name="20 % - Accent6 3 2 4 3 7" xfId="20117"/>
    <cellStyle name="20 % - Accent6 3 2 4 3 8" xfId="33097"/>
    <cellStyle name="20 % - Accent6 3 2 4 3 9" xfId="46080"/>
    <cellStyle name="20 % - Accent6 3 2 4 4" xfId="1043"/>
    <cellStyle name="20 % - Accent6 3 2 4 4 2" xfId="2710"/>
    <cellStyle name="20 % - Accent6 3 2 4 4 2 2" xfId="5955"/>
    <cellStyle name="20 % - Accent6 3 2 4 4 2 2 2" xfId="12487"/>
    <cellStyle name="20 % - Accent6 3 2 4 4 2 2 2 2" xfId="31960"/>
    <cellStyle name="20 % - Accent6 3 2 4 4 2 2 2 3" xfId="44940"/>
    <cellStyle name="20 % - Accent6 3 2 4 4 2 2 2 4" xfId="61169"/>
    <cellStyle name="20 % - Accent6 3 2 4 4 2 2 3" xfId="18980"/>
    <cellStyle name="20 % - Accent6 3 2 4 4 2 2 4" xfId="25470"/>
    <cellStyle name="20 % - Accent6 3 2 4 4 2 2 5" xfId="38450"/>
    <cellStyle name="20 % - Accent6 3 2 4 4 2 2 6" xfId="54679"/>
    <cellStyle name="20 % - Accent6 3 2 4 4 2 3" xfId="9242"/>
    <cellStyle name="20 % - Accent6 3 2 4 4 2 3 2" xfId="28715"/>
    <cellStyle name="20 % - Accent6 3 2 4 4 2 3 3" xfId="41695"/>
    <cellStyle name="20 % - Accent6 3 2 4 4 2 3 4" xfId="57924"/>
    <cellStyle name="20 % - Accent6 3 2 4 4 2 4" xfId="15735"/>
    <cellStyle name="20 % - Accent6 3 2 4 4 2 4 2" xfId="51434"/>
    <cellStyle name="20 % - Accent6 3 2 4 4 2 5" xfId="22225"/>
    <cellStyle name="20 % - Accent6 3 2 4 4 2 6" xfId="35205"/>
    <cellStyle name="20 % - Accent6 3 2 4 4 2 7" xfId="48188"/>
    <cellStyle name="20 % - Accent6 3 2 4 4 3" xfId="4332"/>
    <cellStyle name="20 % - Accent6 3 2 4 4 3 2" xfId="10864"/>
    <cellStyle name="20 % - Accent6 3 2 4 4 3 2 2" xfId="30337"/>
    <cellStyle name="20 % - Accent6 3 2 4 4 3 2 3" xfId="43317"/>
    <cellStyle name="20 % - Accent6 3 2 4 4 3 2 4" xfId="59546"/>
    <cellStyle name="20 % - Accent6 3 2 4 4 3 3" xfId="17357"/>
    <cellStyle name="20 % - Accent6 3 2 4 4 3 4" xfId="23847"/>
    <cellStyle name="20 % - Accent6 3 2 4 4 3 5" xfId="36827"/>
    <cellStyle name="20 % - Accent6 3 2 4 4 3 6" xfId="53056"/>
    <cellStyle name="20 % - Accent6 3 2 4 4 4" xfId="7619"/>
    <cellStyle name="20 % - Accent6 3 2 4 4 4 2" xfId="27092"/>
    <cellStyle name="20 % - Accent6 3 2 4 4 4 3" xfId="40072"/>
    <cellStyle name="20 % - Accent6 3 2 4 4 4 4" xfId="56301"/>
    <cellStyle name="20 % - Accent6 3 2 4 4 5" xfId="14112"/>
    <cellStyle name="20 % - Accent6 3 2 4 4 5 2" xfId="49811"/>
    <cellStyle name="20 % - Accent6 3 2 4 4 6" xfId="20602"/>
    <cellStyle name="20 % - Accent6 3 2 4 4 7" xfId="33582"/>
    <cellStyle name="20 % - Accent6 3 2 4 4 8" xfId="46565"/>
    <cellStyle name="20 % - Accent6 3 2 4 5" xfId="1996"/>
    <cellStyle name="20 % - Accent6 3 2 4 5 2" xfId="5241"/>
    <cellStyle name="20 % - Accent6 3 2 4 5 2 2" xfId="11773"/>
    <cellStyle name="20 % - Accent6 3 2 4 5 2 2 2" xfId="31246"/>
    <cellStyle name="20 % - Accent6 3 2 4 5 2 2 3" xfId="44226"/>
    <cellStyle name="20 % - Accent6 3 2 4 5 2 2 4" xfId="60455"/>
    <cellStyle name="20 % - Accent6 3 2 4 5 2 3" xfId="18266"/>
    <cellStyle name="20 % - Accent6 3 2 4 5 2 4" xfId="24756"/>
    <cellStyle name="20 % - Accent6 3 2 4 5 2 5" xfId="37736"/>
    <cellStyle name="20 % - Accent6 3 2 4 5 2 6" xfId="53965"/>
    <cellStyle name="20 % - Accent6 3 2 4 5 3" xfId="8528"/>
    <cellStyle name="20 % - Accent6 3 2 4 5 3 2" xfId="28001"/>
    <cellStyle name="20 % - Accent6 3 2 4 5 3 3" xfId="40981"/>
    <cellStyle name="20 % - Accent6 3 2 4 5 3 4" xfId="57210"/>
    <cellStyle name="20 % - Accent6 3 2 4 5 4" xfId="15021"/>
    <cellStyle name="20 % - Accent6 3 2 4 5 4 2" xfId="50720"/>
    <cellStyle name="20 % - Accent6 3 2 4 5 5" xfId="21511"/>
    <cellStyle name="20 % - Accent6 3 2 4 5 6" xfId="34491"/>
    <cellStyle name="20 % - Accent6 3 2 4 5 7" xfId="47474"/>
    <cellStyle name="20 % - Accent6 3 2 4 6" xfId="3617"/>
    <cellStyle name="20 % - Accent6 3 2 4 6 2" xfId="10149"/>
    <cellStyle name="20 % - Accent6 3 2 4 6 2 2" xfId="29622"/>
    <cellStyle name="20 % - Accent6 3 2 4 6 2 3" xfId="42602"/>
    <cellStyle name="20 % - Accent6 3 2 4 6 2 4" xfId="58831"/>
    <cellStyle name="20 % - Accent6 3 2 4 6 3" xfId="16642"/>
    <cellStyle name="20 % - Accent6 3 2 4 6 4" xfId="23132"/>
    <cellStyle name="20 % - Accent6 3 2 4 6 5" xfId="36112"/>
    <cellStyle name="20 % - Accent6 3 2 4 6 6" xfId="52341"/>
    <cellStyle name="20 % - Accent6 3 2 4 7" xfId="6904"/>
    <cellStyle name="20 % - Accent6 3 2 4 7 2" xfId="26377"/>
    <cellStyle name="20 % - Accent6 3 2 4 7 3" xfId="39357"/>
    <cellStyle name="20 % - Accent6 3 2 4 7 4" xfId="55586"/>
    <cellStyle name="20 % - Accent6 3 2 4 8" xfId="13397"/>
    <cellStyle name="20 % - Accent6 3 2 4 8 2" xfId="49096"/>
    <cellStyle name="20 % - Accent6 3 2 4 9" xfId="19887"/>
    <cellStyle name="20 % - Accent6 3 2 5" xfId="655"/>
    <cellStyle name="20 % - Accent6 3 2 5 10" xfId="46178"/>
    <cellStyle name="20 % - Accent6 3 2 5 2" xfId="1594"/>
    <cellStyle name="20 % - Accent6 3 2 5 2 2" xfId="3261"/>
    <cellStyle name="20 % - Accent6 3 2 5 2 2 2" xfId="6506"/>
    <cellStyle name="20 % - Accent6 3 2 5 2 2 2 2" xfId="13038"/>
    <cellStyle name="20 % - Accent6 3 2 5 2 2 2 2 2" xfId="32511"/>
    <cellStyle name="20 % - Accent6 3 2 5 2 2 2 2 3" xfId="45491"/>
    <cellStyle name="20 % - Accent6 3 2 5 2 2 2 2 4" xfId="61720"/>
    <cellStyle name="20 % - Accent6 3 2 5 2 2 2 3" xfId="19531"/>
    <cellStyle name="20 % - Accent6 3 2 5 2 2 2 4" xfId="26021"/>
    <cellStyle name="20 % - Accent6 3 2 5 2 2 2 5" xfId="39001"/>
    <cellStyle name="20 % - Accent6 3 2 5 2 2 2 6" xfId="55230"/>
    <cellStyle name="20 % - Accent6 3 2 5 2 2 3" xfId="9793"/>
    <cellStyle name="20 % - Accent6 3 2 5 2 2 3 2" xfId="29266"/>
    <cellStyle name="20 % - Accent6 3 2 5 2 2 3 3" xfId="42246"/>
    <cellStyle name="20 % - Accent6 3 2 5 2 2 3 4" xfId="58475"/>
    <cellStyle name="20 % - Accent6 3 2 5 2 2 4" xfId="16286"/>
    <cellStyle name="20 % - Accent6 3 2 5 2 2 4 2" xfId="51985"/>
    <cellStyle name="20 % - Accent6 3 2 5 2 2 5" xfId="22776"/>
    <cellStyle name="20 % - Accent6 3 2 5 2 2 6" xfId="35756"/>
    <cellStyle name="20 % - Accent6 3 2 5 2 2 7" xfId="48739"/>
    <cellStyle name="20 % - Accent6 3 2 5 2 3" xfId="4883"/>
    <cellStyle name="20 % - Accent6 3 2 5 2 3 2" xfId="11415"/>
    <cellStyle name="20 % - Accent6 3 2 5 2 3 2 2" xfId="30888"/>
    <cellStyle name="20 % - Accent6 3 2 5 2 3 2 3" xfId="43868"/>
    <cellStyle name="20 % - Accent6 3 2 5 2 3 2 4" xfId="60097"/>
    <cellStyle name="20 % - Accent6 3 2 5 2 3 3" xfId="17908"/>
    <cellStyle name="20 % - Accent6 3 2 5 2 3 4" xfId="24398"/>
    <cellStyle name="20 % - Accent6 3 2 5 2 3 5" xfId="37378"/>
    <cellStyle name="20 % - Accent6 3 2 5 2 3 6" xfId="53607"/>
    <cellStyle name="20 % - Accent6 3 2 5 2 4" xfId="8170"/>
    <cellStyle name="20 % - Accent6 3 2 5 2 4 2" xfId="27643"/>
    <cellStyle name="20 % - Accent6 3 2 5 2 4 3" xfId="40623"/>
    <cellStyle name="20 % - Accent6 3 2 5 2 4 4" xfId="56852"/>
    <cellStyle name="20 % - Accent6 3 2 5 2 5" xfId="14663"/>
    <cellStyle name="20 % - Accent6 3 2 5 2 5 2" xfId="50362"/>
    <cellStyle name="20 % - Accent6 3 2 5 2 6" xfId="21153"/>
    <cellStyle name="20 % - Accent6 3 2 5 2 7" xfId="34133"/>
    <cellStyle name="20 % - Accent6 3 2 5 2 8" xfId="47116"/>
    <cellStyle name="20 % - Accent6 3 2 5 3" xfId="1131"/>
    <cellStyle name="20 % - Accent6 3 2 5 3 2" xfId="2798"/>
    <cellStyle name="20 % - Accent6 3 2 5 3 2 2" xfId="6043"/>
    <cellStyle name="20 % - Accent6 3 2 5 3 2 2 2" xfId="12575"/>
    <cellStyle name="20 % - Accent6 3 2 5 3 2 2 2 2" xfId="32048"/>
    <cellStyle name="20 % - Accent6 3 2 5 3 2 2 2 3" xfId="45028"/>
    <cellStyle name="20 % - Accent6 3 2 5 3 2 2 2 4" xfId="61257"/>
    <cellStyle name="20 % - Accent6 3 2 5 3 2 2 3" xfId="19068"/>
    <cellStyle name="20 % - Accent6 3 2 5 3 2 2 4" xfId="25558"/>
    <cellStyle name="20 % - Accent6 3 2 5 3 2 2 5" xfId="38538"/>
    <cellStyle name="20 % - Accent6 3 2 5 3 2 2 6" xfId="54767"/>
    <cellStyle name="20 % - Accent6 3 2 5 3 2 3" xfId="9330"/>
    <cellStyle name="20 % - Accent6 3 2 5 3 2 3 2" xfId="28803"/>
    <cellStyle name="20 % - Accent6 3 2 5 3 2 3 3" xfId="41783"/>
    <cellStyle name="20 % - Accent6 3 2 5 3 2 3 4" xfId="58012"/>
    <cellStyle name="20 % - Accent6 3 2 5 3 2 4" xfId="15823"/>
    <cellStyle name="20 % - Accent6 3 2 5 3 2 4 2" xfId="51522"/>
    <cellStyle name="20 % - Accent6 3 2 5 3 2 5" xfId="22313"/>
    <cellStyle name="20 % - Accent6 3 2 5 3 2 6" xfId="35293"/>
    <cellStyle name="20 % - Accent6 3 2 5 3 2 7" xfId="48276"/>
    <cellStyle name="20 % - Accent6 3 2 5 3 3" xfId="4420"/>
    <cellStyle name="20 % - Accent6 3 2 5 3 3 2" xfId="10952"/>
    <cellStyle name="20 % - Accent6 3 2 5 3 3 2 2" xfId="30425"/>
    <cellStyle name="20 % - Accent6 3 2 5 3 3 2 3" xfId="43405"/>
    <cellStyle name="20 % - Accent6 3 2 5 3 3 2 4" xfId="59634"/>
    <cellStyle name="20 % - Accent6 3 2 5 3 3 3" xfId="17445"/>
    <cellStyle name="20 % - Accent6 3 2 5 3 3 4" xfId="23935"/>
    <cellStyle name="20 % - Accent6 3 2 5 3 3 5" xfId="36915"/>
    <cellStyle name="20 % - Accent6 3 2 5 3 3 6" xfId="53144"/>
    <cellStyle name="20 % - Accent6 3 2 5 3 4" xfId="7707"/>
    <cellStyle name="20 % - Accent6 3 2 5 3 4 2" xfId="27180"/>
    <cellStyle name="20 % - Accent6 3 2 5 3 4 3" xfId="40160"/>
    <cellStyle name="20 % - Accent6 3 2 5 3 4 4" xfId="56389"/>
    <cellStyle name="20 % - Accent6 3 2 5 3 5" xfId="14200"/>
    <cellStyle name="20 % - Accent6 3 2 5 3 5 2" xfId="49899"/>
    <cellStyle name="20 % - Accent6 3 2 5 3 6" xfId="20690"/>
    <cellStyle name="20 % - Accent6 3 2 5 3 7" xfId="33670"/>
    <cellStyle name="20 % - Accent6 3 2 5 3 8" xfId="46653"/>
    <cellStyle name="20 % - Accent6 3 2 5 4" xfId="2323"/>
    <cellStyle name="20 % - Accent6 3 2 5 4 2" xfId="5568"/>
    <cellStyle name="20 % - Accent6 3 2 5 4 2 2" xfId="12100"/>
    <cellStyle name="20 % - Accent6 3 2 5 4 2 2 2" xfId="31573"/>
    <cellStyle name="20 % - Accent6 3 2 5 4 2 2 3" xfId="44553"/>
    <cellStyle name="20 % - Accent6 3 2 5 4 2 2 4" xfId="60782"/>
    <cellStyle name="20 % - Accent6 3 2 5 4 2 3" xfId="18593"/>
    <cellStyle name="20 % - Accent6 3 2 5 4 2 4" xfId="25083"/>
    <cellStyle name="20 % - Accent6 3 2 5 4 2 5" xfId="38063"/>
    <cellStyle name="20 % - Accent6 3 2 5 4 2 6" xfId="54292"/>
    <cellStyle name="20 % - Accent6 3 2 5 4 3" xfId="8855"/>
    <cellStyle name="20 % - Accent6 3 2 5 4 3 2" xfId="28328"/>
    <cellStyle name="20 % - Accent6 3 2 5 4 3 3" xfId="41308"/>
    <cellStyle name="20 % - Accent6 3 2 5 4 3 4" xfId="57537"/>
    <cellStyle name="20 % - Accent6 3 2 5 4 4" xfId="15348"/>
    <cellStyle name="20 % - Accent6 3 2 5 4 4 2" xfId="51047"/>
    <cellStyle name="20 % - Accent6 3 2 5 4 5" xfId="21838"/>
    <cellStyle name="20 % - Accent6 3 2 5 4 6" xfId="34818"/>
    <cellStyle name="20 % - Accent6 3 2 5 4 7" xfId="47801"/>
    <cellStyle name="20 % - Accent6 3 2 5 5" xfId="3945"/>
    <cellStyle name="20 % - Accent6 3 2 5 5 2" xfId="10477"/>
    <cellStyle name="20 % - Accent6 3 2 5 5 2 2" xfId="29950"/>
    <cellStyle name="20 % - Accent6 3 2 5 5 2 3" xfId="42930"/>
    <cellStyle name="20 % - Accent6 3 2 5 5 2 4" xfId="59159"/>
    <cellStyle name="20 % - Accent6 3 2 5 5 3" xfId="16970"/>
    <cellStyle name="20 % - Accent6 3 2 5 5 4" xfId="23460"/>
    <cellStyle name="20 % - Accent6 3 2 5 5 5" xfId="36440"/>
    <cellStyle name="20 % - Accent6 3 2 5 5 6" xfId="52669"/>
    <cellStyle name="20 % - Accent6 3 2 5 6" xfId="7232"/>
    <cellStyle name="20 % - Accent6 3 2 5 6 2" xfId="26705"/>
    <cellStyle name="20 % - Accent6 3 2 5 6 3" xfId="39685"/>
    <cellStyle name="20 % - Accent6 3 2 5 6 4" xfId="55914"/>
    <cellStyle name="20 % - Accent6 3 2 5 7" xfId="13725"/>
    <cellStyle name="20 % - Accent6 3 2 5 7 2" xfId="49424"/>
    <cellStyle name="20 % - Accent6 3 2 5 8" xfId="20215"/>
    <cellStyle name="20 % - Accent6 3 2 5 9" xfId="33195"/>
    <cellStyle name="20 % - Accent6 3 2 6" xfId="425"/>
    <cellStyle name="20 % - Accent6 3 2 6 2" xfId="1374"/>
    <cellStyle name="20 % - Accent6 3 2 6 2 2" xfId="3041"/>
    <cellStyle name="20 % - Accent6 3 2 6 2 2 2" xfId="6286"/>
    <cellStyle name="20 % - Accent6 3 2 6 2 2 2 2" xfId="12818"/>
    <cellStyle name="20 % - Accent6 3 2 6 2 2 2 2 2" xfId="32291"/>
    <cellStyle name="20 % - Accent6 3 2 6 2 2 2 2 3" xfId="45271"/>
    <cellStyle name="20 % - Accent6 3 2 6 2 2 2 2 4" xfId="61500"/>
    <cellStyle name="20 % - Accent6 3 2 6 2 2 2 3" xfId="19311"/>
    <cellStyle name="20 % - Accent6 3 2 6 2 2 2 4" xfId="25801"/>
    <cellStyle name="20 % - Accent6 3 2 6 2 2 2 5" xfId="38781"/>
    <cellStyle name="20 % - Accent6 3 2 6 2 2 2 6" xfId="55010"/>
    <cellStyle name="20 % - Accent6 3 2 6 2 2 3" xfId="9573"/>
    <cellStyle name="20 % - Accent6 3 2 6 2 2 3 2" xfId="29046"/>
    <cellStyle name="20 % - Accent6 3 2 6 2 2 3 3" xfId="42026"/>
    <cellStyle name="20 % - Accent6 3 2 6 2 2 3 4" xfId="58255"/>
    <cellStyle name="20 % - Accent6 3 2 6 2 2 4" xfId="16066"/>
    <cellStyle name="20 % - Accent6 3 2 6 2 2 4 2" xfId="51765"/>
    <cellStyle name="20 % - Accent6 3 2 6 2 2 5" xfId="22556"/>
    <cellStyle name="20 % - Accent6 3 2 6 2 2 6" xfId="35536"/>
    <cellStyle name="20 % - Accent6 3 2 6 2 2 7" xfId="48519"/>
    <cellStyle name="20 % - Accent6 3 2 6 2 3" xfId="4663"/>
    <cellStyle name="20 % - Accent6 3 2 6 2 3 2" xfId="11195"/>
    <cellStyle name="20 % - Accent6 3 2 6 2 3 2 2" xfId="30668"/>
    <cellStyle name="20 % - Accent6 3 2 6 2 3 2 3" xfId="43648"/>
    <cellStyle name="20 % - Accent6 3 2 6 2 3 2 4" xfId="59877"/>
    <cellStyle name="20 % - Accent6 3 2 6 2 3 3" xfId="17688"/>
    <cellStyle name="20 % - Accent6 3 2 6 2 3 4" xfId="24178"/>
    <cellStyle name="20 % - Accent6 3 2 6 2 3 5" xfId="37158"/>
    <cellStyle name="20 % - Accent6 3 2 6 2 3 6" xfId="53387"/>
    <cellStyle name="20 % - Accent6 3 2 6 2 4" xfId="7950"/>
    <cellStyle name="20 % - Accent6 3 2 6 2 4 2" xfId="27423"/>
    <cellStyle name="20 % - Accent6 3 2 6 2 4 3" xfId="40403"/>
    <cellStyle name="20 % - Accent6 3 2 6 2 4 4" xfId="56632"/>
    <cellStyle name="20 % - Accent6 3 2 6 2 5" xfId="14443"/>
    <cellStyle name="20 % - Accent6 3 2 6 2 5 2" xfId="50142"/>
    <cellStyle name="20 % - Accent6 3 2 6 2 6" xfId="20933"/>
    <cellStyle name="20 % - Accent6 3 2 6 2 7" xfId="33913"/>
    <cellStyle name="20 % - Accent6 3 2 6 2 8" xfId="46896"/>
    <cellStyle name="20 % - Accent6 3 2 6 3" xfId="2093"/>
    <cellStyle name="20 % - Accent6 3 2 6 3 2" xfId="5338"/>
    <cellStyle name="20 % - Accent6 3 2 6 3 2 2" xfId="11870"/>
    <cellStyle name="20 % - Accent6 3 2 6 3 2 2 2" xfId="31343"/>
    <cellStyle name="20 % - Accent6 3 2 6 3 2 2 3" xfId="44323"/>
    <cellStyle name="20 % - Accent6 3 2 6 3 2 2 4" xfId="60552"/>
    <cellStyle name="20 % - Accent6 3 2 6 3 2 3" xfId="18363"/>
    <cellStyle name="20 % - Accent6 3 2 6 3 2 4" xfId="24853"/>
    <cellStyle name="20 % - Accent6 3 2 6 3 2 5" xfId="37833"/>
    <cellStyle name="20 % - Accent6 3 2 6 3 2 6" xfId="54062"/>
    <cellStyle name="20 % - Accent6 3 2 6 3 3" xfId="8625"/>
    <cellStyle name="20 % - Accent6 3 2 6 3 3 2" xfId="28098"/>
    <cellStyle name="20 % - Accent6 3 2 6 3 3 3" xfId="41078"/>
    <cellStyle name="20 % - Accent6 3 2 6 3 3 4" xfId="57307"/>
    <cellStyle name="20 % - Accent6 3 2 6 3 4" xfId="15118"/>
    <cellStyle name="20 % - Accent6 3 2 6 3 4 2" xfId="50817"/>
    <cellStyle name="20 % - Accent6 3 2 6 3 5" xfId="21608"/>
    <cellStyle name="20 % - Accent6 3 2 6 3 6" xfId="34588"/>
    <cellStyle name="20 % - Accent6 3 2 6 3 7" xfId="47571"/>
    <cellStyle name="20 % - Accent6 3 2 6 4" xfId="3715"/>
    <cellStyle name="20 % - Accent6 3 2 6 4 2" xfId="10247"/>
    <cellStyle name="20 % - Accent6 3 2 6 4 2 2" xfId="29720"/>
    <cellStyle name="20 % - Accent6 3 2 6 4 2 3" xfId="42700"/>
    <cellStyle name="20 % - Accent6 3 2 6 4 2 4" xfId="58929"/>
    <cellStyle name="20 % - Accent6 3 2 6 4 3" xfId="16740"/>
    <cellStyle name="20 % - Accent6 3 2 6 4 4" xfId="23230"/>
    <cellStyle name="20 % - Accent6 3 2 6 4 5" xfId="36210"/>
    <cellStyle name="20 % - Accent6 3 2 6 4 6" xfId="52439"/>
    <cellStyle name="20 % - Accent6 3 2 6 5" xfId="7002"/>
    <cellStyle name="20 % - Accent6 3 2 6 5 2" xfId="26475"/>
    <cellStyle name="20 % - Accent6 3 2 6 5 3" xfId="39455"/>
    <cellStyle name="20 % - Accent6 3 2 6 5 4" xfId="55684"/>
    <cellStyle name="20 % - Accent6 3 2 6 6" xfId="13495"/>
    <cellStyle name="20 % - Accent6 3 2 6 6 2" xfId="49194"/>
    <cellStyle name="20 % - Accent6 3 2 6 7" xfId="19985"/>
    <cellStyle name="20 % - Accent6 3 2 6 8" xfId="32965"/>
    <cellStyle name="20 % - Accent6 3 2 6 9" xfId="45948"/>
    <cellStyle name="20 % - Accent6 3 2 7" xfId="911"/>
    <cellStyle name="20 % - Accent6 3 2 7 2" xfId="2578"/>
    <cellStyle name="20 % - Accent6 3 2 7 2 2" xfId="5823"/>
    <cellStyle name="20 % - Accent6 3 2 7 2 2 2" xfId="12355"/>
    <cellStyle name="20 % - Accent6 3 2 7 2 2 2 2" xfId="31828"/>
    <cellStyle name="20 % - Accent6 3 2 7 2 2 2 3" xfId="44808"/>
    <cellStyle name="20 % - Accent6 3 2 7 2 2 2 4" xfId="61037"/>
    <cellStyle name="20 % - Accent6 3 2 7 2 2 3" xfId="18848"/>
    <cellStyle name="20 % - Accent6 3 2 7 2 2 4" xfId="25338"/>
    <cellStyle name="20 % - Accent6 3 2 7 2 2 5" xfId="38318"/>
    <cellStyle name="20 % - Accent6 3 2 7 2 2 6" xfId="54547"/>
    <cellStyle name="20 % - Accent6 3 2 7 2 3" xfId="9110"/>
    <cellStyle name="20 % - Accent6 3 2 7 2 3 2" xfId="28583"/>
    <cellStyle name="20 % - Accent6 3 2 7 2 3 3" xfId="41563"/>
    <cellStyle name="20 % - Accent6 3 2 7 2 3 4" xfId="57792"/>
    <cellStyle name="20 % - Accent6 3 2 7 2 4" xfId="15603"/>
    <cellStyle name="20 % - Accent6 3 2 7 2 4 2" xfId="51302"/>
    <cellStyle name="20 % - Accent6 3 2 7 2 5" xfId="22093"/>
    <cellStyle name="20 % - Accent6 3 2 7 2 6" xfId="35073"/>
    <cellStyle name="20 % - Accent6 3 2 7 2 7" xfId="48056"/>
    <cellStyle name="20 % - Accent6 3 2 7 3" xfId="4200"/>
    <cellStyle name="20 % - Accent6 3 2 7 3 2" xfId="10732"/>
    <cellStyle name="20 % - Accent6 3 2 7 3 2 2" xfId="30205"/>
    <cellStyle name="20 % - Accent6 3 2 7 3 2 3" xfId="43185"/>
    <cellStyle name="20 % - Accent6 3 2 7 3 2 4" xfId="59414"/>
    <cellStyle name="20 % - Accent6 3 2 7 3 3" xfId="17225"/>
    <cellStyle name="20 % - Accent6 3 2 7 3 4" xfId="23715"/>
    <cellStyle name="20 % - Accent6 3 2 7 3 5" xfId="36695"/>
    <cellStyle name="20 % - Accent6 3 2 7 3 6" xfId="52924"/>
    <cellStyle name="20 % - Accent6 3 2 7 4" xfId="7487"/>
    <cellStyle name="20 % - Accent6 3 2 7 4 2" xfId="26960"/>
    <cellStyle name="20 % - Accent6 3 2 7 4 3" xfId="39940"/>
    <cellStyle name="20 % - Accent6 3 2 7 4 4" xfId="56169"/>
    <cellStyle name="20 % - Accent6 3 2 7 5" xfId="13980"/>
    <cellStyle name="20 % - Accent6 3 2 7 5 2" xfId="49679"/>
    <cellStyle name="20 % - Accent6 3 2 7 6" xfId="20470"/>
    <cellStyle name="20 % - Accent6 3 2 7 7" xfId="33450"/>
    <cellStyle name="20 % - Accent6 3 2 7 8" xfId="46433"/>
    <cellStyle name="20 % - Accent6 3 2 8" xfId="1864"/>
    <cellStyle name="20 % - Accent6 3 2 8 2" xfId="5109"/>
    <cellStyle name="20 % - Accent6 3 2 8 2 2" xfId="11641"/>
    <cellStyle name="20 % - Accent6 3 2 8 2 2 2" xfId="31114"/>
    <cellStyle name="20 % - Accent6 3 2 8 2 2 3" xfId="44094"/>
    <cellStyle name="20 % - Accent6 3 2 8 2 2 4" xfId="60323"/>
    <cellStyle name="20 % - Accent6 3 2 8 2 3" xfId="18134"/>
    <cellStyle name="20 % - Accent6 3 2 8 2 4" xfId="24624"/>
    <cellStyle name="20 % - Accent6 3 2 8 2 5" xfId="37604"/>
    <cellStyle name="20 % - Accent6 3 2 8 2 6" xfId="53833"/>
    <cellStyle name="20 % - Accent6 3 2 8 3" xfId="8396"/>
    <cellStyle name="20 % - Accent6 3 2 8 3 2" xfId="27869"/>
    <cellStyle name="20 % - Accent6 3 2 8 3 3" xfId="40849"/>
    <cellStyle name="20 % - Accent6 3 2 8 3 4" xfId="57078"/>
    <cellStyle name="20 % - Accent6 3 2 8 4" xfId="14889"/>
    <cellStyle name="20 % - Accent6 3 2 8 4 2" xfId="50588"/>
    <cellStyle name="20 % - Accent6 3 2 8 5" xfId="21379"/>
    <cellStyle name="20 % - Accent6 3 2 8 6" xfId="34359"/>
    <cellStyle name="20 % - Accent6 3 2 8 7" xfId="47342"/>
    <cellStyle name="20 % - Accent6 3 2 9" xfId="3485"/>
    <cellStyle name="20 % - Accent6 3 2 9 2" xfId="10017"/>
    <cellStyle name="20 % - Accent6 3 2 9 2 2" xfId="29490"/>
    <cellStyle name="20 % - Accent6 3 2 9 2 3" xfId="42470"/>
    <cellStyle name="20 % - Accent6 3 2 9 2 4" xfId="58699"/>
    <cellStyle name="20 % - Accent6 3 2 9 3" xfId="16510"/>
    <cellStyle name="20 % - Accent6 3 2 9 4" xfId="23000"/>
    <cellStyle name="20 % - Accent6 3 2 9 5" xfId="35980"/>
    <cellStyle name="20 % - Accent6 3 2 9 6" xfId="52209"/>
    <cellStyle name="20 % - Accent6 3 3" xfId="257"/>
    <cellStyle name="20 % - Accent6 3 3 10" xfId="19821"/>
    <cellStyle name="20 % - Accent6 3 3 11" xfId="32801"/>
    <cellStyle name="20 % - Accent6 3 3 12" xfId="45784"/>
    <cellStyle name="20 % - Accent6 3 3 2" xfId="345"/>
    <cellStyle name="20 % - Accent6 3 3 2 10" xfId="32889"/>
    <cellStyle name="20 % - Accent6 3 3 2 11" xfId="45872"/>
    <cellStyle name="20 % - Accent6 3 3 2 2" xfId="809"/>
    <cellStyle name="20 % - Accent6 3 3 2 2 10" xfId="46332"/>
    <cellStyle name="20 % - Accent6 3 3 2 2 2" xfId="1748"/>
    <cellStyle name="20 % - Accent6 3 3 2 2 2 2" xfId="3415"/>
    <cellStyle name="20 % - Accent6 3 3 2 2 2 2 2" xfId="6660"/>
    <cellStyle name="20 % - Accent6 3 3 2 2 2 2 2 2" xfId="13192"/>
    <cellStyle name="20 % - Accent6 3 3 2 2 2 2 2 2 2" xfId="32665"/>
    <cellStyle name="20 % - Accent6 3 3 2 2 2 2 2 2 3" xfId="45645"/>
    <cellStyle name="20 % - Accent6 3 3 2 2 2 2 2 2 4" xfId="61874"/>
    <cellStyle name="20 % - Accent6 3 3 2 2 2 2 2 3" xfId="19685"/>
    <cellStyle name="20 % - Accent6 3 3 2 2 2 2 2 4" xfId="26175"/>
    <cellStyle name="20 % - Accent6 3 3 2 2 2 2 2 5" xfId="39155"/>
    <cellStyle name="20 % - Accent6 3 3 2 2 2 2 2 6" xfId="55384"/>
    <cellStyle name="20 % - Accent6 3 3 2 2 2 2 3" xfId="9947"/>
    <cellStyle name="20 % - Accent6 3 3 2 2 2 2 3 2" xfId="29420"/>
    <cellStyle name="20 % - Accent6 3 3 2 2 2 2 3 3" xfId="42400"/>
    <cellStyle name="20 % - Accent6 3 3 2 2 2 2 3 4" xfId="58629"/>
    <cellStyle name="20 % - Accent6 3 3 2 2 2 2 4" xfId="16440"/>
    <cellStyle name="20 % - Accent6 3 3 2 2 2 2 4 2" xfId="52139"/>
    <cellStyle name="20 % - Accent6 3 3 2 2 2 2 5" xfId="22930"/>
    <cellStyle name="20 % - Accent6 3 3 2 2 2 2 6" xfId="35910"/>
    <cellStyle name="20 % - Accent6 3 3 2 2 2 2 7" xfId="48893"/>
    <cellStyle name="20 % - Accent6 3 3 2 2 2 3" xfId="5037"/>
    <cellStyle name="20 % - Accent6 3 3 2 2 2 3 2" xfId="11569"/>
    <cellStyle name="20 % - Accent6 3 3 2 2 2 3 2 2" xfId="31042"/>
    <cellStyle name="20 % - Accent6 3 3 2 2 2 3 2 3" xfId="44022"/>
    <cellStyle name="20 % - Accent6 3 3 2 2 2 3 2 4" xfId="60251"/>
    <cellStyle name="20 % - Accent6 3 3 2 2 2 3 3" xfId="18062"/>
    <cellStyle name="20 % - Accent6 3 3 2 2 2 3 4" xfId="24552"/>
    <cellStyle name="20 % - Accent6 3 3 2 2 2 3 5" xfId="37532"/>
    <cellStyle name="20 % - Accent6 3 3 2 2 2 3 6" xfId="53761"/>
    <cellStyle name="20 % - Accent6 3 3 2 2 2 4" xfId="8324"/>
    <cellStyle name="20 % - Accent6 3 3 2 2 2 4 2" xfId="27797"/>
    <cellStyle name="20 % - Accent6 3 3 2 2 2 4 3" xfId="40777"/>
    <cellStyle name="20 % - Accent6 3 3 2 2 2 4 4" xfId="57006"/>
    <cellStyle name="20 % - Accent6 3 3 2 2 2 5" xfId="14817"/>
    <cellStyle name="20 % - Accent6 3 3 2 2 2 5 2" xfId="50516"/>
    <cellStyle name="20 % - Accent6 3 3 2 2 2 6" xfId="21307"/>
    <cellStyle name="20 % - Accent6 3 3 2 2 2 7" xfId="34287"/>
    <cellStyle name="20 % - Accent6 3 3 2 2 2 8" xfId="47270"/>
    <cellStyle name="20 % - Accent6 3 3 2 2 3" xfId="1285"/>
    <cellStyle name="20 % - Accent6 3 3 2 2 3 2" xfId="2952"/>
    <cellStyle name="20 % - Accent6 3 3 2 2 3 2 2" xfId="6197"/>
    <cellStyle name="20 % - Accent6 3 3 2 2 3 2 2 2" xfId="12729"/>
    <cellStyle name="20 % - Accent6 3 3 2 2 3 2 2 2 2" xfId="32202"/>
    <cellStyle name="20 % - Accent6 3 3 2 2 3 2 2 2 3" xfId="45182"/>
    <cellStyle name="20 % - Accent6 3 3 2 2 3 2 2 2 4" xfId="61411"/>
    <cellStyle name="20 % - Accent6 3 3 2 2 3 2 2 3" xfId="19222"/>
    <cellStyle name="20 % - Accent6 3 3 2 2 3 2 2 4" xfId="25712"/>
    <cellStyle name="20 % - Accent6 3 3 2 2 3 2 2 5" xfId="38692"/>
    <cellStyle name="20 % - Accent6 3 3 2 2 3 2 2 6" xfId="54921"/>
    <cellStyle name="20 % - Accent6 3 3 2 2 3 2 3" xfId="9484"/>
    <cellStyle name="20 % - Accent6 3 3 2 2 3 2 3 2" xfId="28957"/>
    <cellStyle name="20 % - Accent6 3 3 2 2 3 2 3 3" xfId="41937"/>
    <cellStyle name="20 % - Accent6 3 3 2 2 3 2 3 4" xfId="58166"/>
    <cellStyle name="20 % - Accent6 3 3 2 2 3 2 4" xfId="15977"/>
    <cellStyle name="20 % - Accent6 3 3 2 2 3 2 4 2" xfId="51676"/>
    <cellStyle name="20 % - Accent6 3 3 2 2 3 2 5" xfId="22467"/>
    <cellStyle name="20 % - Accent6 3 3 2 2 3 2 6" xfId="35447"/>
    <cellStyle name="20 % - Accent6 3 3 2 2 3 2 7" xfId="48430"/>
    <cellStyle name="20 % - Accent6 3 3 2 2 3 3" xfId="4574"/>
    <cellStyle name="20 % - Accent6 3 3 2 2 3 3 2" xfId="11106"/>
    <cellStyle name="20 % - Accent6 3 3 2 2 3 3 2 2" xfId="30579"/>
    <cellStyle name="20 % - Accent6 3 3 2 2 3 3 2 3" xfId="43559"/>
    <cellStyle name="20 % - Accent6 3 3 2 2 3 3 2 4" xfId="59788"/>
    <cellStyle name="20 % - Accent6 3 3 2 2 3 3 3" xfId="17599"/>
    <cellStyle name="20 % - Accent6 3 3 2 2 3 3 4" xfId="24089"/>
    <cellStyle name="20 % - Accent6 3 3 2 2 3 3 5" xfId="37069"/>
    <cellStyle name="20 % - Accent6 3 3 2 2 3 3 6" xfId="53298"/>
    <cellStyle name="20 % - Accent6 3 3 2 2 3 4" xfId="7861"/>
    <cellStyle name="20 % - Accent6 3 3 2 2 3 4 2" xfId="27334"/>
    <cellStyle name="20 % - Accent6 3 3 2 2 3 4 3" xfId="40314"/>
    <cellStyle name="20 % - Accent6 3 3 2 2 3 4 4" xfId="56543"/>
    <cellStyle name="20 % - Accent6 3 3 2 2 3 5" xfId="14354"/>
    <cellStyle name="20 % - Accent6 3 3 2 2 3 5 2" xfId="50053"/>
    <cellStyle name="20 % - Accent6 3 3 2 2 3 6" xfId="20844"/>
    <cellStyle name="20 % - Accent6 3 3 2 2 3 7" xfId="33824"/>
    <cellStyle name="20 % - Accent6 3 3 2 2 3 8" xfId="46807"/>
    <cellStyle name="20 % - Accent6 3 3 2 2 4" xfId="2477"/>
    <cellStyle name="20 % - Accent6 3 3 2 2 4 2" xfId="5722"/>
    <cellStyle name="20 % - Accent6 3 3 2 2 4 2 2" xfId="12254"/>
    <cellStyle name="20 % - Accent6 3 3 2 2 4 2 2 2" xfId="31727"/>
    <cellStyle name="20 % - Accent6 3 3 2 2 4 2 2 3" xfId="44707"/>
    <cellStyle name="20 % - Accent6 3 3 2 2 4 2 2 4" xfId="60936"/>
    <cellStyle name="20 % - Accent6 3 3 2 2 4 2 3" xfId="18747"/>
    <cellStyle name="20 % - Accent6 3 3 2 2 4 2 4" xfId="25237"/>
    <cellStyle name="20 % - Accent6 3 3 2 2 4 2 5" xfId="38217"/>
    <cellStyle name="20 % - Accent6 3 3 2 2 4 2 6" xfId="54446"/>
    <cellStyle name="20 % - Accent6 3 3 2 2 4 3" xfId="9009"/>
    <cellStyle name="20 % - Accent6 3 3 2 2 4 3 2" xfId="28482"/>
    <cellStyle name="20 % - Accent6 3 3 2 2 4 3 3" xfId="41462"/>
    <cellStyle name="20 % - Accent6 3 3 2 2 4 3 4" xfId="57691"/>
    <cellStyle name="20 % - Accent6 3 3 2 2 4 4" xfId="15502"/>
    <cellStyle name="20 % - Accent6 3 3 2 2 4 4 2" xfId="51201"/>
    <cellStyle name="20 % - Accent6 3 3 2 2 4 5" xfId="21992"/>
    <cellStyle name="20 % - Accent6 3 3 2 2 4 6" xfId="34972"/>
    <cellStyle name="20 % - Accent6 3 3 2 2 4 7" xfId="47955"/>
    <cellStyle name="20 % - Accent6 3 3 2 2 5" xfId="4099"/>
    <cellStyle name="20 % - Accent6 3 3 2 2 5 2" xfId="10631"/>
    <cellStyle name="20 % - Accent6 3 3 2 2 5 2 2" xfId="30104"/>
    <cellStyle name="20 % - Accent6 3 3 2 2 5 2 3" xfId="43084"/>
    <cellStyle name="20 % - Accent6 3 3 2 2 5 2 4" xfId="59313"/>
    <cellStyle name="20 % - Accent6 3 3 2 2 5 3" xfId="17124"/>
    <cellStyle name="20 % - Accent6 3 3 2 2 5 4" xfId="23614"/>
    <cellStyle name="20 % - Accent6 3 3 2 2 5 5" xfId="36594"/>
    <cellStyle name="20 % - Accent6 3 3 2 2 5 6" xfId="52823"/>
    <cellStyle name="20 % - Accent6 3 3 2 2 6" xfId="7386"/>
    <cellStyle name="20 % - Accent6 3 3 2 2 6 2" xfId="26859"/>
    <cellStyle name="20 % - Accent6 3 3 2 2 6 3" xfId="39839"/>
    <cellStyle name="20 % - Accent6 3 3 2 2 6 4" xfId="56068"/>
    <cellStyle name="20 % - Accent6 3 3 2 2 7" xfId="13879"/>
    <cellStyle name="20 % - Accent6 3 3 2 2 7 2" xfId="49578"/>
    <cellStyle name="20 % - Accent6 3 3 2 2 8" xfId="20369"/>
    <cellStyle name="20 % - Accent6 3 3 2 2 9" xfId="33349"/>
    <cellStyle name="20 % - Accent6 3 3 2 3" xfId="579"/>
    <cellStyle name="20 % - Accent6 3 3 2 3 2" xfId="1528"/>
    <cellStyle name="20 % - Accent6 3 3 2 3 2 2" xfId="3195"/>
    <cellStyle name="20 % - Accent6 3 3 2 3 2 2 2" xfId="6440"/>
    <cellStyle name="20 % - Accent6 3 3 2 3 2 2 2 2" xfId="12972"/>
    <cellStyle name="20 % - Accent6 3 3 2 3 2 2 2 2 2" xfId="32445"/>
    <cellStyle name="20 % - Accent6 3 3 2 3 2 2 2 2 3" xfId="45425"/>
    <cellStyle name="20 % - Accent6 3 3 2 3 2 2 2 2 4" xfId="61654"/>
    <cellStyle name="20 % - Accent6 3 3 2 3 2 2 2 3" xfId="19465"/>
    <cellStyle name="20 % - Accent6 3 3 2 3 2 2 2 4" xfId="25955"/>
    <cellStyle name="20 % - Accent6 3 3 2 3 2 2 2 5" xfId="38935"/>
    <cellStyle name="20 % - Accent6 3 3 2 3 2 2 2 6" xfId="55164"/>
    <cellStyle name="20 % - Accent6 3 3 2 3 2 2 3" xfId="9727"/>
    <cellStyle name="20 % - Accent6 3 3 2 3 2 2 3 2" xfId="29200"/>
    <cellStyle name="20 % - Accent6 3 3 2 3 2 2 3 3" xfId="42180"/>
    <cellStyle name="20 % - Accent6 3 3 2 3 2 2 3 4" xfId="58409"/>
    <cellStyle name="20 % - Accent6 3 3 2 3 2 2 4" xfId="16220"/>
    <cellStyle name="20 % - Accent6 3 3 2 3 2 2 4 2" xfId="51919"/>
    <cellStyle name="20 % - Accent6 3 3 2 3 2 2 5" xfId="22710"/>
    <cellStyle name="20 % - Accent6 3 3 2 3 2 2 6" xfId="35690"/>
    <cellStyle name="20 % - Accent6 3 3 2 3 2 2 7" xfId="48673"/>
    <cellStyle name="20 % - Accent6 3 3 2 3 2 3" xfId="4817"/>
    <cellStyle name="20 % - Accent6 3 3 2 3 2 3 2" xfId="11349"/>
    <cellStyle name="20 % - Accent6 3 3 2 3 2 3 2 2" xfId="30822"/>
    <cellStyle name="20 % - Accent6 3 3 2 3 2 3 2 3" xfId="43802"/>
    <cellStyle name="20 % - Accent6 3 3 2 3 2 3 2 4" xfId="60031"/>
    <cellStyle name="20 % - Accent6 3 3 2 3 2 3 3" xfId="17842"/>
    <cellStyle name="20 % - Accent6 3 3 2 3 2 3 4" xfId="24332"/>
    <cellStyle name="20 % - Accent6 3 3 2 3 2 3 5" xfId="37312"/>
    <cellStyle name="20 % - Accent6 3 3 2 3 2 3 6" xfId="53541"/>
    <cellStyle name="20 % - Accent6 3 3 2 3 2 4" xfId="8104"/>
    <cellStyle name="20 % - Accent6 3 3 2 3 2 4 2" xfId="27577"/>
    <cellStyle name="20 % - Accent6 3 3 2 3 2 4 3" xfId="40557"/>
    <cellStyle name="20 % - Accent6 3 3 2 3 2 4 4" xfId="56786"/>
    <cellStyle name="20 % - Accent6 3 3 2 3 2 5" xfId="14597"/>
    <cellStyle name="20 % - Accent6 3 3 2 3 2 5 2" xfId="50296"/>
    <cellStyle name="20 % - Accent6 3 3 2 3 2 6" xfId="21087"/>
    <cellStyle name="20 % - Accent6 3 3 2 3 2 7" xfId="34067"/>
    <cellStyle name="20 % - Accent6 3 3 2 3 2 8" xfId="47050"/>
    <cellStyle name="20 % - Accent6 3 3 2 3 3" xfId="2247"/>
    <cellStyle name="20 % - Accent6 3 3 2 3 3 2" xfId="5492"/>
    <cellStyle name="20 % - Accent6 3 3 2 3 3 2 2" xfId="12024"/>
    <cellStyle name="20 % - Accent6 3 3 2 3 3 2 2 2" xfId="31497"/>
    <cellStyle name="20 % - Accent6 3 3 2 3 3 2 2 3" xfId="44477"/>
    <cellStyle name="20 % - Accent6 3 3 2 3 3 2 2 4" xfId="60706"/>
    <cellStyle name="20 % - Accent6 3 3 2 3 3 2 3" xfId="18517"/>
    <cellStyle name="20 % - Accent6 3 3 2 3 3 2 4" xfId="25007"/>
    <cellStyle name="20 % - Accent6 3 3 2 3 3 2 5" xfId="37987"/>
    <cellStyle name="20 % - Accent6 3 3 2 3 3 2 6" xfId="54216"/>
    <cellStyle name="20 % - Accent6 3 3 2 3 3 3" xfId="8779"/>
    <cellStyle name="20 % - Accent6 3 3 2 3 3 3 2" xfId="28252"/>
    <cellStyle name="20 % - Accent6 3 3 2 3 3 3 3" xfId="41232"/>
    <cellStyle name="20 % - Accent6 3 3 2 3 3 3 4" xfId="57461"/>
    <cellStyle name="20 % - Accent6 3 3 2 3 3 4" xfId="15272"/>
    <cellStyle name="20 % - Accent6 3 3 2 3 3 4 2" xfId="50971"/>
    <cellStyle name="20 % - Accent6 3 3 2 3 3 5" xfId="21762"/>
    <cellStyle name="20 % - Accent6 3 3 2 3 3 6" xfId="34742"/>
    <cellStyle name="20 % - Accent6 3 3 2 3 3 7" xfId="47725"/>
    <cellStyle name="20 % - Accent6 3 3 2 3 4" xfId="3869"/>
    <cellStyle name="20 % - Accent6 3 3 2 3 4 2" xfId="10401"/>
    <cellStyle name="20 % - Accent6 3 3 2 3 4 2 2" xfId="29874"/>
    <cellStyle name="20 % - Accent6 3 3 2 3 4 2 3" xfId="42854"/>
    <cellStyle name="20 % - Accent6 3 3 2 3 4 2 4" xfId="59083"/>
    <cellStyle name="20 % - Accent6 3 3 2 3 4 3" xfId="16894"/>
    <cellStyle name="20 % - Accent6 3 3 2 3 4 4" xfId="23384"/>
    <cellStyle name="20 % - Accent6 3 3 2 3 4 5" xfId="36364"/>
    <cellStyle name="20 % - Accent6 3 3 2 3 4 6" xfId="52593"/>
    <cellStyle name="20 % - Accent6 3 3 2 3 5" xfId="7156"/>
    <cellStyle name="20 % - Accent6 3 3 2 3 5 2" xfId="26629"/>
    <cellStyle name="20 % - Accent6 3 3 2 3 5 3" xfId="39609"/>
    <cellStyle name="20 % - Accent6 3 3 2 3 5 4" xfId="55838"/>
    <cellStyle name="20 % - Accent6 3 3 2 3 6" xfId="13649"/>
    <cellStyle name="20 % - Accent6 3 3 2 3 6 2" xfId="49348"/>
    <cellStyle name="20 % - Accent6 3 3 2 3 7" xfId="20139"/>
    <cellStyle name="20 % - Accent6 3 3 2 3 8" xfId="33119"/>
    <cellStyle name="20 % - Accent6 3 3 2 3 9" xfId="46102"/>
    <cellStyle name="20 % - Accent6 3 3 2 4" xfId="1065"/>
    <cellStyle name="20 % - Accent6 3 3 2 4 2" xfId="2732"/>
    <cellStyle name="20 % - Accent6 3 3 2 4 2 2" xfId="5977"/>
    <cellStyle name="20 % - Accent6 3 3 2 4 2 2 2" xfId="12509"/>
    <cellStyle name="20 % - Accent6 3 3 2 4 2 2 2 2" xfId="31982"/>
    <cellStyle name="20 % - Accent6 3 3 2 4 2 2 2 3" xfId="44962"/>
    <cellStyle name="20 % - Accent6 3 3 2 4 2 2 2 4" xfId="61191"/>
    <cellStyle name="20 % - Accent6 3 3 2 4 2 2 3" xfId="19002"/>
    <cellStyle name="20 % - Accent6 3 3 2 4 2 2 4" xfId="25492"/>
    <cellStyle name="20 % - Accent6 3 3 2 4 2 2 5" xfId="38472"/>
    <cellStyle name="20 % - Accent6 3 3 2 4 2 2 6" xfId="54701"/>
    <cellStyle name="20 % - Accent6 3 3 2 4 2 3" xfId="9264"/>
    <cellStyle name="20 % - Accent6 3 3 2 4 2 3 2" xfId="28737"/>
    <cellStyle name="20 % - Accent6 3 3 2 4 2 3 3" xfId="41717"/>
    <cellStyle name="20 % - Accent6 3 3 2 4 2 3 4" xfId="57946"/>
    <cellStyle name="20 % - Accent6 3 3 2 4 2 4" xfId="15757"/>
    <cellStyle name="20 % - Accent6 3 3 2 4 2 4 2" xfId="51456"/>
    <cellStyle name="20 % - Accent6 3 3 2 4 2 5" xfId="22247"/>
    <cellStyle name="20 % - Accent6 3 3 2 4 2 6" xfId="35227"/>
    <cellStyle name="20 % - Accent6 3 3 2 4 2 7" xfId="48210"/>
    <cellStyle name="20 % - Accent6 3 3 2 4 3" xfId="4354"/>
    <cellStyle name="20 % - Accent6 3 3 2 4 3 2" xfId="10886"/>
    <cellStyle name="20 % - Accent6 3 3 2 4 3 2 2" xfId="30359"/>
    <cellStyle name="20 % - Accent6 3 3 2 4 3 2 3" xfId="43339"/>
    <cellStyle name="20 % - Accent6 3 3 2 4 3 2 4" xfId="59568"/>
    <cellStyle name="20 % - Accent6 3 3 2 4 3 3" xfId="17379"/>
    <cellStyle name="20 % - Accent6 3 3 2 4 3 4" xfId="23869"/>
    <cellStyle name="20 % - Accent6 3 3 2 4 3 5" xfId="36849"/>
    <cellStyle name="20 % - Accent6 3 3 2 4 3 6" xfId="53078"/>
    <cellStyle name="20 % - Accent6 3 3 2 4 4" xfId="7641"/>
    <cellStyle name="20 % - Accent6 3 3 2 4 4 2" xfId="27114"/>
    <cellStyle name="20 % - Accent6 3 3 2 4 4 3" xfId="40094"/>
    <cellStyle name="20 % - Accent6 3 3 2 4 4 4" xfId="56323"/>
    <cellStyle name="20 % - Accent6 3 3 2 4 5" xfId="14134"/>
    <cellStyle name="20 % - Accent6 3 3 2 4 5 2" xfId="49833"/>
    <cellStyle name="20 % - Accent6 3 3 2 4 6" xfId="20624"/>
    <cellStyle name="20 % - Accent6 3 3 2 4 7" xfId="33604"/>
    <cellStyle name="20 % - Accent6 3 3 2 4 8" xfId="46587"/>
    <cellStyle name="20 % - Accent6 3 3 2 5" xfId="2018"/>
    <cellStyle name="20 % - Accent6 3 3 2 5 2" xfId="5263"/>
    <cellStyle name="20 % - Accent6 3 3 2 5 2 2" xfId="11795"/>
    <cellStyle name="20 % - Accent6 3 3 2 5 2 2 2" xfId="31268"/>
    <cellStyle name="20 % - Accent6 3 3 2 5 2 2 3" xfId="44248"/>
    <cellStyle name="20 % - Accent6 3 3 2 5 2 2 4" xfId="60477"/>
    <cellStyle name="20 % - Accent6 3 3 2 5 2 3" xfId="18288"/>
    <cellStyle name="20 % - Accent6 3 3 2 5 2 4" xfId="24778"/>
    <cellStyle name="20 % - Accent6 3 3 2 5 2 5" xfId="37758"/>
    <cellStyle name="20 % - Accent6 3 3 2 5 2 6" xfId="53987"/>
    <cellStyle name="20 % - Accent6 3 3 2 5 3" xfId="8550"/>
    <cellStyle name="20 % - Accent6 3 3 2 5 3 2" xfId="28023"/>
    <cellStyle name="20 % - Accent6 3 3 2 5 3 3" xfId="41003"/>
    <cellStyle name="20 % - Accent6 3 3 2 5 3 4" xfId="57232"/>
    <cellStyle name="20 % - Accent6 3 3 2 5 4" xfId="15043"/>
    <cellStyle name="20 % - Accent6 3 3 2 5 4 2" xfId="50742"/>
    <cellStyle name="20 % - Accent6 3 3 2 5 5" xfId="21533"/>
    <cellStyle name="20 % - Accent6 3 3 2 5 6" xfId="34513"/>
    <cellStyle name="20 % - Accent6 3 3 2 5 7" xfId="47496"/>
    <cellStyle name="20 % - Accent6 3 3 2 6" xfId="3639"/>
    <cellStyle name="20 % - Accent6 3 3 2 6 2" xfId="10171"/>
    <cellStyle name="20 % - Accent6 3 3 2 6 2 2" xfId="29644"/>
    <cellStyle name="20 % - Accent6 3 3 2 6 2 3" xfId="42624"/>
    <cellStyle name="20 % - Accent6 3 3 2 6 2 4" xfId="58853"/>
    <cellStyle name="20 % - Accent6 3 3 2 6 3" xfId="16664"/>
    <cellStyle name="20 % - Accent6 3 3 2 6 4" xfId="23154"/>
    <cellStyle name="20 % - Accent6 3 3 2 6 5" xfId="36134"/>
    <cellStyle name="20 % - Accent6 3 3 2 6 6" xfId="52363"/>
    <cellStyle name="20 % - Accent6 3 3 2 7" xfId="6926"/>
    <cellStyle name="20 % - Accent6 3 3 2 7 2" xfId="26399"/>
    <cellStyle name="20 % - Accent6 3 3 2 7 3" xfId="39379"/>
    <cellStyle name="20 % - Accent6 3 3 2 7 4" xfId="55608"/>
    <cellStyle name="20 % - Accent6 3 3 2 8" xfId="13419"/>
    <cellStyle name="20 % - Accent6 3 3 2 8 2" xfId="49118"/>
    <cellStyle name="20 % - Accent6 3 3 2 9" xfId="19909"/>
    <cellStyle name="20 % - Accent6 3 3 3" xfId="721"/>
    <cellStyle name="20 % - Accent6 3 3 3 10" xfId="46244"/>
    <cellStyle name="20 % - Accent6 3 3 3 2" xfId="1660"/>
    <cellStyle name="20 % - Accent6 3 3 3 2 2" xfId="3327"/>
    <cellStyle name="20 % - Accent6 3 3 3 2 2 2" xfId="6572"/>
    <cellStyle name="20 % - Accent6 3 3 3 2 2 2 2" xfId="13104"/>
    <cellStyle name="20 % - Accent6 3 3 3 2 2 2 2 2" xfId="32577"/>
    <cellStyle name="20 % - Accent6 3 3 3 2 2 2 2 3" xfId="45557"/>
    <cellStyle name="20 % - Accent6 3 3 3 2 2 2 2 4" xfId="61786"/>
    <cellStyle name="20 % - Accent6 3 3 3 2 2 2 3" xfId="19597"/>
    <cellStyle name="20 % - Accent6 3 3 3 2 2 2 4" xfId="26087"/>
    <cellStyle name="20 % - Accent6 3 3 3 2 2 2 5" xfId="39067"/>
    <cellStyle name="20 % - Accent6 3 3 3 2 2 2 6" xfId="55296"/>
    <cellStyle name="20 % - Accent6 3 3 3 2 2 3" xfId="9859"/>
    <cellStyle name="20 % - Accent6 3 3 3 2 2 3 2" xfId="29332"/>
    <cellStyle name="20 % - Accent6 3 3 3 2 2 3 3" xfId="42312"/>
    <cellStyle name="20 % - Accent6 3 3 3 2 2 3 4" xfId="58541"/>
    <cellStyle name="20 % - Accent6 3 3 3 2 2 4" xfId="16352"/>
    <cellStyle name="20 % - Accent6 3 3 3 2 2 4 2" xfId="52051"/>
    <cellStyle name="20 % - Accent6 3 3 3 2 2 5" xfId="22842"/>
    <cellStyle name="20 % - Accent6 3 3 3 2 2 6" xfId="35822"/>
    <cellStyle name="20 % - Accent6 3 3 3 2 2 7" xfId="48805"/>
    <cellStyle name="20 % - Accent6 3 3 3 2 3" xfId="4949"/>
    <cellStyle name="20 % - Accent6 3 3 3 2 3 2" xfId="11481"/>
    <cellStyle name="20 % - Accent6 3 3 3 2 3 2 2" xfId="30954"/>
    <cellStyle name="20 % - Accent6 3 3 3 2 3 2 3" xfId="43934"/>
    <cellStyle name="20 % - Accent6 3 3 3 2 3 2 4" xfId="60163"/>
    <cellStyle name="20 % - Accent6 3 3 3 2 3 3" xfId="17974"/>
    <cellStyle name="20 % - Accent6 3 3 3 2 3 4" xfId="24464"/>
    <cellStyle name="20 % - Accent6 3 3 3 2 3 5" xfId="37444"/>
    <cellStyle name="20 % - Accent6 3 3 3 2 3 6" xfId="53673"/>
    <cellStyle name="20 % - Accent6 3 3 3 2 4" xfId="8236"/>
    <cellStyle name="20 % - Accent6 3 3 3 2 4 2" xfId="27709"/>
    <cellStyle name="20 % - Accent6 3 3 3 2 4 3" xfId="40689"/>
    <cellStyle name="20 % - Accent6 3 3 3 2 4 4" xfId="56918"/>
    <cellStyle name="20 % - Accent6 3 3 3 2 5" xfId="14729"/>
    <cellStyle name="20 % - Accent6 3 3 3 2 5 2" xfId="50428"/>
    <cellStyle name="20 % - Accent6 3 3 3 2 6" xfId="21219"/>
    <cellStyle name="20 % - Accent6 3 3 3 2 7" xfId="34199"/>
    <cellStyle name="20 % - Accent6 3 3 3 2 8" xfId="47182"/>
    <cellStyle name="20 % - Accent6 3 3 3 3" xfId="1197"/>
    <cellStyle name="20 % - Accent6 3 3 3 3 2" xfId="2864"/>
    <cellStyle name="20 % - Accent6 3 3 3 3 2 2" xfId="6109"/>
    <cellStyle name="20 % - Accent6 3 3 3 3 2 2 2" xfId="12641"/>
    <cellStyle name="20 % - Accent6 3 3 3 3 2 2 2 2" xfId="32114"/>
    <cellStyle name="20 % - Accent6 3 3 3 3 2 2 2 3" xfId="45094"/>
    <cellStyle name="20 % - Accent6 3 3 3 3 2 2 2 4" xfId="61323"/>
    <cellStyle name="20 % - Accent6 3 3 3 3 2 2 3" xfId="19134"/>
    <cellStyle name="20 % - Accent6 3 3 3 3 2 2 4" xfId="25624"/>
    <cellStyle name="20 % - Accent6 3 3 3 3 2 2 5" xfId="38604"/>
    <cellStyle name="20 % - Accent6 3 3 3 3 2 2 6" xfId="54833"/>
    <cellStyle name="20 % - Accent6 3 3 3 3 2 3" xfId="9396"/>
    <cellStyle name="20 % - Accent6 3 3 3 3 2 3 2" xfId="28869"/>
    <cellStyle name="20 % - Accent6 3 3 3 3 2 3 3" xfId="41849"/>
    <cellStyle name="20 % - Accent6 3 3 3 3 2 3 4" xfId="58078"/>
    <cellStyle name="20 % - Accent6 3 3 3 3 2 4" xfId="15889"/>
    <cellStyle name="20 % - Accent6 3 3 3 3 2 4 2" xfId="51588"/>
    <cellStyle name="20 % - Accent6 3 3 3 3 2 5" xfId="22379"/>
    <cellStyle name="20 % - Accent6 3 3 3 3 2 6" xfId="35359"/>
    <cellStyle name="20 % - Accent6 3 3 3 3 2 7" xfId="48342"/>
    <cellStyle name="20 % - Accent6 3 3 3 3 3" xfId="4486"/>
    <cellStyle name="20 % - Accent6 3 3 3 3 3 2" xfId="11018"/>
    <cellStyle name="20 % - Accent6 3 3 3 3 3 2 2" xfId="30491"/>
    <cellStyle name="20 % - Accent6 3 3 3 3 3 2 3" xfId="43471"/>
    <cellStyle name="20 % - Accent6 3 3 3 3 3 2 4" xfId="59700"/>
    <cellStyle name="20 % - Accent6 3 3 3 3 3 3" xfId="17511"/>
    <cellStyle name="20 % - Accent6 3 3 3 3 3 4" xfId="24001"/>
    <cellStyle name="20 % - Accent6 3 3 3 3 3 5" xfId="36981"/>
    <cellStyle name="20 % - Accent6 3 3 3 3 3 6" xfId="53210"/>
    <cellStyle name="20 % - Accent6 3 3 3 3 4" xfId="7773"/>
    <cellStyle name="20 % - Accent6 3 3 3 3 4 2" xfId="27246"/>
    <cellStyle name="20 % - Accent6 3 3 3 3 4 3" xfId="40226"/>
    <cellStyle name="20 % - Accent6 3 3 3 3 4 4" xfId="56455"/>
    <cellStyle name="20 % - Accent6 3 3 3 3 5" xfId="14266"/>
    <cellStyle name="20 % - Accent6 3 3 3 3 5 2" xfId="49965"/>
    <cellStyle name="20 % - Accent6 3 3 3 3 6" xfId="20756"/>
    <cellStyle name="20 % - Accent6 3 3 3 3 7" xfId="33736"/>
    <cellStyle name="20 % - Accent6 3 3 3 3 8" xfId="46719"/>
    <cellStyle name="20 % - Accent6 3 3 3 4" xfId="2389"/>
    <cellStyle name="20 % - Accent6 3 3 3 4 2" xfId="5634"/>
    <cellStyle name="20 % - Accent6 3 3 3 4 2 2" xfId="12166"/>
    <cellStyle name="20 % - Accent6 3 3 3 4 2 2 2" xfId="31639"/>
    <cellStyle name="20 % - Accent6 3 3 3 4 2 2 3" xfId="44619"/>
    <cellStyle name="20 % - Accent6 3 3 3 4 2 2 4" xfId="60848"/>
    <cellStyle name="20 % - Accent6 3 3 3 4 2 3" xfId="18659"/>
    <cellStyle name="20 % - Accent6 3 3 3 4 2 4" xfId="25149"/>
    <cellStyle name="20 % - Accent6 3 3 3 4 2 5" xfId="38129"/>
    <cellStyle name="20 % - Accent6 3 3 3 4 2 6" xfId="54358"/>
    <cellStyle name="20 % - Accent6 3 3 3 4 3" xfId="8921"/>
    <cellStyle name="20 % - Accent6 3 3 3 4 3 2" xfId="28394"/>
    <cellStyle name="20 % - Accent6 3 3 3 4 3 3" xfId="41374"/>
    <cellStyle name="20 % - Accent6 3 3 3 4 3 4" xfId="57603"/>
    <cellStyle name="20 % - Accent6 3 3 3 4 4" xfId="15414"/>
    <cellStyle name="20 % - Accent6 3 3 3 4 4 2" xfId="51113"/>
    <cellStyle name="20 % - Accent6 3 3 3 4 5" xfId="21904"/>
    <cellStyle name="20 % - Accent6 3 3 3 4 6" xfId="34884"/>
    <cellStyle name="20 % - Accent6 3 3 3 4 7" xfId="47867"/>
    <cellStyle name="20 % - Accent6 3 3 3 5" xfId="4011"/>
    <cellStyle name="20 % - Accent6 3 3 3 5 2" xfId="10543"/>
    <cellStyle name="20 % - Accent6 3 3 3 5 2 2" xfId="30016"/>
    <cellStyle name="20 % - Accent6 3 3 3 5 2 3" xfId="42996"/>
    <cellStyle name="20 % - Accent6 3 3 3 5 2 4" xfId="59225"/>
    <cellStyle name="20 % - Accent6 3 3 3 5 3" xfId="17036"/>
    <cellStyle name="20 % - Accent6 3 3 3 5 4" xfId="23526"/>
    <cellStyle name="20 % - Accent6 3 3 3 5 5" xfId="36506"/>
    <cellStyle name="20 % - Accent6 3 3 3 5 6" xfId="52735"/>
    <cellStyle name="20 % - Accent6 3 3 3 6" xfId="7298"/>
    <cellStyle name="20 % - Accent6 3 3 3 6 2" xfId="26771"/>
    <cellStyle name="20 % - Accent6 3 3 3 6 3" xfId="39751"/>
    <cellStyle name="20 % - Accent6 3 3 3 6 4" xfId="55980"/>
    <cellStyle name="20 % - Accent6 3 3 3 7" xfId="13791"/>
    <cellStyle name="20 % - Accent6 3 3 3 7 2" xfId="49490"/>
    <cellStyle name="20 % - Accent6 3 3 3 8" xfId="20281"/>
    <cellStyle name="20 % - Accent6 3 3 3 9" xfId="33261"/>
    <cellStyle name="20 % - Accent6 3 3 4" xfId="491"/>
    <cellStyle name="20 % - Accent6 3 3 4 2" xfId="1440"/>
    <cellStyle name="20 % - Accent6 3 3 4 2 2" xfId="3107"/>
    <cellStyle name="20 % - Accent6 3 3 4 2 2 2" xfId="6352"/>
    <cellStyle name="20 % - Accent6 3 3 4 2 2 2 2" xfId="12884"/>
    <cellStyle name="20 % - Accent6 3 3 4 2 2 2 2 2" xfId="32357"/>
    <cellStyle name="20 % - Accent6 3 3 4 2 2 2 2 3" xfId="45337"/>
    <cellStyle name="20 % - Accent6 3 3 4 2 2 2 2 4" xfId="61566"/>
    <cellStyle name="20 % - Accent6 3 3 4 2 2 2 3" xfId="19377"/>
    <cellStyle name="20 % - Accent6 3 3 4 2 2 2 4" xfId="25867"/>
    <cellStyle name="20 % - Accent6 3 3 4 2 2 2 5" xfId="38847"/>
    <cellStyle name="20 % - Accent6 3 3 4 2 2 2 6" xfId="55076"/>
    <cellStyle name="20 % - Accent6 3 3 4 2 2 3" xfId="9639"/>
    <cellStyle name="20 % - Accent6 3 3 4 2 2 3 2" xfId="29112"/>
    <cellStyle name="20 % - Accent6 3 3 4 2 2 3 3" xfId="42092"/>
    <cellStyle name="20 % - Accent6 3 3 4 2 2 3 4" xfId="58321"/>
    <cellStyle name="20 % - Accent6 3 3 4 2 2 4" xfId="16132"/>
    <cellStyle name="20 % - Accent6 3 3 4 2 2 4 2" xfId="51831"/>
    <cellStyle name="20 % - Accent6 3 3 4 2 2 5" xfId="22622"/>
    <cellStyle name="20 % - Accent6 3 3 4 2 2 6" xfId="35602"/>
    <cellStyle name="20 % - Accent6 3 3 4 2 2 7" xfId="48585"/>
    <cellStyle name="20 % - Accent6 3 3 4 2 3" xfId="4729"/>
    <cellStyle name="20 % - Accent6 3 3 4 2 3 2" xfId="11261"/>
    <cellStyle name="20 % - Accent6 3 3 4 2 3 2 2" xfId="30734"/>
    <cellStyle name="20 % - Accent6 3 3 4 2 3 2 3" xfId="43714"/>
    <cellStyle name="20 % - Accent6 3 3 4 2 3 2 4" xfId="59943"/>
    <cellStyle name="20 % - Accent6 3 3 4 2 3 3" xfId="17754"/>
    <cellStyle name="20 % - Accent6 3 3 4 2 3 4" xfId="24244"/>
    <cellStyle name="20 % - Accent6 3 3 4 2 3 5" xfId="37224"/>
    <cellStyle name="20 % - Accent6 3 3 4 2 3 6" xfId="53453"/>
    <cellStyle name="20 % - Accent6 3 3 4 2 4" xfId="8016"/>
    <cellStyle name="20 % - Accent6 3 3 4 2 4 2" xfId="27489"/>
    <cellStyle name="20 % - Accent6 3 3 4 2 4 3" xfId="40469"/>
    <cellStyle name="20 % - Accent6 3 3 4 2 4 4" xfId="56698"/>
    <cellStyle name="20 % - Accent6 3 3 4 2 5" xfId="14509"/>
    <cellStyle name="20 % - Accent6 3 3 4 2 5 2" xfId="50208"/>
    <cellStyle name="20 % - Accent6 3 3 4 2 6" xfId="20999"/>
    <cellStyle name="20 % - Accent6 3 3 4 2 7" xfId="33979"/>
    <cellStyle name="20 % - Accent6 3 3 4 2 8" xfId="46962"/>
    <cellStyle name="20 % - Accent6 3 3 4 3" xfId="2159"/>
    <cellStyle name="20 % - Accent6 3 3 4 3 2" xfId="5404"/>
    <cellStyle name="20 % - Accent6 3 3 4 3 2 2" xfId="11936"/>
    <cellStyle name="20 % - Accent6 3 3 4 3 2 2 2" xfId="31409"/>
    <cellStyle name="20 % - Accent6 3 3 4 3 2 2 3" xfId="44389"/>
    <cellStyle name="20 % - Accent6 3 3 4 3 2 2 4" xfId="60618"/>
    <cellStyle name="20 % - Accent6 3 3 4 3 2 3" xfId="18429"/>
    <cellStyle name="20 % - Accent6 3 3 4 3 2 4" xfId="24919"/>
    <cellStyle name="20 % - Accent6 3 3 4 3 2 5" xfId="37899"/>
    <cellStyle name="20 % - Accent6 3 3 4 3 2 6" xfId="54128"/>
    <cellStyle name="20 % - Accent6 3 3 4 3 3" xfId="8691"/>
    <cellStyle name="20 % - Accent6 3 3 4 3 3 2" xfId="28164"/>
    <cellStyle name="20 % - Accent6 3 3 4 3 3 3" xfId="41144"/>
    <cellStyle name="20 % - Accent6 3 3 4 3 3 4" xfId="57373"/>
    <cellStyle name="20 % - Accent6 3 3 4 3 4" xfId="15184"/>
    <cellStyle name="20 % - Accent6 3 3 4 3 4 2" xfId="50883"/>
    <cellStyle name="20 % - Accent6 3 3 4 3 5" xfId="21674"/>
    <cellStyle name="20 % - Accent6 3 3 4 3 6" xfId="34654"/>
    <cellStyle name="20 % - Accent6 3 3 4 3 7" xfId="47637"/>
    <cellStyle name="20 % - Accent6 3 3 4 4" xfId="3781"/>
    <cellStyle name="20 % - Accent6 3 3 4 4 2" xfId="10313"/>
    <cellStyle name="20 % - Accent6 3 3 4 4 2 2" xfId="29786"/>
    <cellStyle name="20 % - Accent6 3 3 4 4 2 3" xfId="42766"/>
    <cellStyle name="20 % - Accent6 3 3 4 4 2 4" xfId="58995"/>
    <cellStyle name="20 % - Accent6 3 3 4 4 3" xfId="16806"/>
    <cellStyle name="20 % - Accent6 3 3 4 4 4" xfId="23296"/>
    <cellStyle name="20 % - Accent6 3 3 4 4 5" xfId="36276"/>
    <cellStyle name="20 % - Accent6 3 3 4 4 6" xfId="52505"/>
    <cellStyle name="20 % - Accent6 3 3 4 5" xfId="7068"/>
    <cellStyle name="20 % - Accent6 3 3 4 5 2" xfId="26541"/>
    <cellStyle name="20 % - Accent6 3 3 4 5 3" xfId="39521"/>
    <cellStyle name="20 % - Accent6 3 3 4 5 4" xfId="55750"/>
    <cellStyle name="20 % - Accent6 3 3 4 6" xfId="13561"/>
    <cellStyle name="20 % - Accent6 3 3 4 6 2" xfId="49260"/>
    <cellStyle name="20 % - Accent6 3 3 4 7" xfId="20051"/>
    <cellStyle name="20 % - Accent6 3 3 4 8" xfId="33031"/>
    <cellStyle name="20 % - Accent6 3 3 4 9" xfId="46014"/>
    <cellStyle name="20 % - Accent6 3 3 5" xfId="977"/>
    <cellStyle name="20 % - Accent6 3 3 5 2" xfId="2644"/>
    <cellStyle name="20 % - Accent6 3 3 5 2 2" xfId="5889"/>
    <cellStyle name="20 % - Accent6 3 3 5 2 2 2" xfId="12421"/>
    <cellStyle name="20 % - Accent6 3 3 5 2 2 2 2" xfId="31894"/>
    <cellStyle name="20 % - Accent6 3 3 5 2 2 2 3" xfId="44874"/>
    <cellStyle name="20 % - Accent6 3 3 5 2 2 2 4" xfId="61103"/>
    <cellStyle name="20 % - Accent6 3 3 5 2 2 3" xfId="18914"/>
    <cellStyle name="20 % - Accent6 3 3 5 2 2 4" xfId="25404"/>
    <cellStyle name="20 % - Accent6 3 3 5 2 2 5" xfId="38384"/>
    <cellStyle name="20 % - Accent6 3 3 5 2 2 6" xfId="54613"/>
    <cellStyle name="20 % - Accent6 3 3 5 2 3" xfId="9176"/>
    <cellStyle name="20 % - Accent6 3 3 5 2 3 2" xfId="28649"/>
    <cellStyle name="20 % - Accent6 3 3 5 2 3 3" xfId="41629"/>
    <cellStyle name="20 % - Accent6 3 3 5 2 3 4" xfId="57858"/>
    <cellStyle name="20 % - Accent6 3 3 5 2 4" xfId="15669"/>
    <cellStyle name="20 % - Accent6 3 3 5 2 4 2" xfId="51368"/>
    <cellStyle name="20 % - Accent6 3 3 5 2 5" xfId="22159"/>
    <cellStyle name="20 % - Accent6 3 3 5 2 6" xfId="35139"/>
    <cellStyle name="20 % - Accent6 3 3 5 2 7" xfId="48122"/>
    <cellStyle name="20 % - Accent6 3 3 5 3" xfId="4266"/>
    <cellStyle name="20 % - Accent6 3 3 5 3 2" xfId="10798"/>
    <cellStyle name="20 % - Accent6 3 3 5 3 2 2" xfId="30271"/>
    <cellStyle name="20 % - Accent6 3 3 5 3 2 3" xfId="43251"/>
    <cellStyle name="20 % - Accent6 3 3 5 3 2 4" xfId="59480"/>
    <cellStyle name="20 % - Accent6 3 3 5 3 3" xfId="17291"/>
    <cellStyle name="20 % - Accent6 3 3 5 3 4" xfId="23781"/>
    <cellStyle name="20 % - Accent6 3 3 5 3 5" xfId="36761"/>
    <cellStyle name="20 % - Accent6 3 3 5 3 6" xfId="52990"/>
    <cellStyle name="20 % - Accent6 3 3 5 4" xfId="7553"/>
    <cellStyle name="20 % - Accent6 3 3 5 4 2" xfId="27026"/>
    <cellStyle name="20 % - Accent6 3 3 5 4 3" xfId="40006"/>
    <cellStyle name="20 % - Accent6 3 3 5 4 4" xfId="56235"/>
    <cellStyle name="20 % - Accent6 3 3 5 5" xfId="14046"/>
    <cellStyle name="20 % - Accent6 3 3 5 5 2" xfId="49745"/>
    <cellStyle name="20 % - Accent6 3 3 5 6" xfId="20536"/>
    <cellStyle name="20 % - Accent6 3 3 5 7" xfId="33516"/>
    <cellStyle name="20 % - Accent6 3 3 5 8" xfId="46499"/>
    <cellStyle name="20 % - Accent6 3 3 6" xfId="1930"/>
    <cellStyle name="20 % - Accent6 3 3 6 2" xfId="5175"/>
    <cellStyle name="20 % - Accent6 3 3 6 2 2" xfId="11707"/>
    <cellStyle name="20 % - Accent6 3 3 6 2 2 2" xfId="31180"/>
    <cellStyle name="20 % - Accent6 3 3 6 2 2 3" xfId="44160"/>
    <cellStyle name="20 % - Accent6 3 3 6 2 2 4" xfId="60389"/>
    <cellStyle name="20 % - Accent6 3 3 6 2 3" xfId="18200"/>
    <cellStyle name="20 % - Accent6 3 3 6 2 4" xfId="24690"/>
    <cellStyle name="20 % - Accent6 3 3 6 2 5" xfId="37670"/>
    <cellStyle name="20 % - Accent6 3 3 6 2 6" xfId="53899"/>
    <cellStyle name="20 % - Accent6 3 3 6 3" xfId="8462"/>
    <cellStyle name="20 % - Accent6 3 3 6 3 2" xfId="27935"/>
    <cellStyle name="20 % - Accent6 3 3 6 3 3" xfId="40915"/>
    <cellStyle name="20 % - Accent6 3 3 6 3 4" xfId="57144"/>
    <cellStyle name="20 % - Accent6 3 3 6 4" xfId="14955"/>
    <cellStyle name="20 % - Accent6 3 3 6 4 2" xfId="50654"/>
    <cellStyle name="20 % - Accent6 3 3 6 5" xfId="21445"/>
    <cellStyle name="20 % - Accent6 3 3 6 6" xfId="34425"/>
    <cellStyle name="20 % - Accent6 3 3 6 7" xfId="47408"/>
    <cellStyle name="20 % - Accent6 3 3 7" xfId="3551"/>
    <cellStyle name="20 % - Accent6 3 3 7 2" xfId="10083"/>
    <cellStyle name="20 % - Accent6 3 3 7 2 2" xfId="29556"/>
    <cellStyle name="20 % - Accent6 3 3 7 2 3" xfId="42536"/>
    <cellStyle name="20 % - Accent6 3 3 7 2 4" xfId="58765"/>
    <cellStyle name="20 % - Accent6 3 3 7 3" xfId="16576"/>
    <cellStyle name="20 % - Accent6 3 3 7 4" xfId="23066"/>
    <cellStyle name="20 % - Accent6 3 3 7 5" xfId="36046"/>
    <cellStyle name="20 % - Accent6 3 3 7 6" xfId="52275"/>
    <cellStyle name="20 % - Accent6 3 3 8" xfId="6838"/>
    <cellStyle name="20 % - Accent6 3 3 8 2" xfId="26311"/>
    <cellStyle name="20 % - Accent6 3 3 8 3" xfId="39291"/>
    <cellStyle name="20 % - Accent6 3 3 8 4" xfId="55520"/>
    <cellStyle name="20 % - Accent6 3 3 9" xfId="13331"/>
    <cellStyle name="20 % - Accent6 3 3 9 2" xfId="49030"/>
    <cellStyle name="20 % - Accent6 3 4" xfId="213"/>
    <cellStyle name="20 % - Accent6 3 4 10" xfId="32757"/>
    <cellStyle name="20 % - Accent6 3 4 11" xfId="45740"/>
    <cellStyle name="20 % - Accent6 3 4 2" xfId="677"/>
    <cellStyle name="20 % - Accent6 3 4 2 10" xfId="46200"/>
    <cellStyle name="20 % - Accent6 3 4 2 2" xfId="1616"/>
    <cellStyle name="20 % - Accent6 3 4 2 2 2" xfId="3283"/>
    <cellStyle name="20 % - Accent6 3 4 2 2 2 2" xfId="6528"/>
    <cellStyle name="20 % - Accent6 3 4 2 2 2 2 2" xfId="13060"/>
    <cellStyle name="20 % - Accent6 3 4 2 2 2 2 2 2" xfId="32533"/>
    <cellStyle name="20 % - Accent6 3 4 2 2 2 2 2 3" xfId="45513"/>
    <cellStyle name="20 % - Accent6 3 4 2 2 2 2 2 4" xfId="61742"/>
    <cellStyle name="20 % - Accent6 3 4 2 2 2 2 3" xfId="19553"/>
    <cellStyle name="20 % - Accent6 3 4 2 2 2 2 4" xfId="26043"/>
    <cellStyle name="20 % - Accent6 3 4 2 2 2 2 5" xfId="39023"/>
    <cellStyle name="20 % - Accent6 3 4 2 2 2 2 6" xfId="55252"/>
    <cellStyle name="20 % - Accent6 3 4 2 2 2 3" xfId="9815"/>
    <cellStyle name="20 % - Accent6 3 4 2 2 2 3 2" xfId="29288"/>
    <cellStyle name="20 % - Accent6 3 4 2 2 2 3 3" xfId="42268"/>
    <cellStyle name="20 % - Accent6 3 4 2 2 2 3 4" xfId="58497"/>
    <cellStyle name="20 % - Accent6 3 4 2 2 2 4" xfId="16308"/>
    <cellStyle name="20 % - Accent6 3 4 2 2 2 4 2" xfId="52007"/>
    <cellStyle name="20 % - Accent6 3 4 2 2 2 5" xfId="22798"/>
    <cellStyle name="20 % - Accent6 3 4 2 2 2 6" xfId="35778"/>
    <cellStyle name="20 % - Accent6 3 4 2 2 2 7" xfId="48761"/>
    <cellStyle name="20 % - Accent6 3 4 2 2 3" xfId="4905"/>
    <cellStyle name="20 % - Accent6 3 4 2 2 3 2" xfId="11437"/>
    <cellStyle name="20 % - Accent6 3 4 2 2 3 2 2" xfId="30910"/>
    <cellStyle name="20 % - Accent6 3 4 2 2 3 2 3" xfId="43890"/>
    <cellStyle name="20 % - Accent6 3 4 2 2 3 2 4" xfId="60119"/>
    <cellStyle name="20 % - Accent6 3 4 2 2 3 3" xfId="17930"/>
    <cellStyle name="20 % - Accent6 3 4 2 2 3 4" xfId="24420"/>
    <cellStyle name="20 % - Accent6 3 4 2 2 3 5" xfId="37400"/>
    <cellStyle name="20 % - Accent6 3 4 2 2 3 6" xfId="53629"/>
    <cellStyle name="20 % - Accent6 3 4 2 2 4" xfId="8192"/>
    <cellStyle name="20 % - Accent6 3 4 2 2 4 2" xfId="27665"/>
    <cellStyle name="20 % - Accent6 3 4 2 2 4 3" xfId="40645"/>
    <cellStyle name="20 % - Accent6 3 4 2 2 4 4" xfId="56874"/>
    <cellStyle name="20 % - Accent6 3 4 2 2 5" xfId="14685"/>
    <cellStyle name="20 % - Accent6 3 4 2 2 5 2" xfId="50384"/>
    <cellStyle name="20 % - Accent6 3 4 2 2 6" xfId="21175"/>
    <cellStyle name="20 % - Accent6 3 4 2 2 7" xfId="34155"/>
    <cellStyle name="20 % - Accent6 3 4 2 2 8" xfId="47138"/>
    <cellStyle name="20 % - Accent6 3 4 2 3" xfId="1153"/>
    <cellStyle name="20 % - Accent6 3 4 2 3 2" xfId="2820"/>
    <cellStyle name="20 % - Accent6 3 4 2 3 2 2" xfId="6065"/>
    <cellStyle name="20 % - Accent6 3 4 2 3 2 2 2" xfId="12597"/>
    <cellStyle name="20 % - Accent6 3 4 2 3 2 2 2 2" xfId="32070"/>
    <cellStyle name="20 % - Accent6 3 4 2 3 2 2 2 3" xfId="45050"/>
    <cellStyle name="20 % - Accent6 3 4 2 3 2 2 2 4" xfId="61279"/>
    <cellStyle name="20 % - Accent6 3 4 2 3 2 2 3" xfId="19090"/>
    <cellStyle name="20 % - Accent6 3 4 2 3 2 2 4" xfId="25580"/>
    <cellStyle name="20 % - Accent6 3 4 2 3 2 2 5" xfId="38560"/>
    <cellStyle name="20 % - Accent6 3 4 2 3 2 2 6" xfId="54789"/>
    <cellStyle name="20 % - Accent6 3 4 2 3 2 3" xfId="9352"/>
    <cellStyle name="20 % - Accent6 3 4 2 3 2 3 2" xfId="28825"/>
    <cellStyle name="20 % - Accent6 3 4 2 3 2 3 3" xfId="41805"/>
    <cellStyle name="20 % - Accent6 3 4 2 3 2 3 4" xfId="58034"/>
    <cellStyle name="20 % - Accent6 3 4 2 3 2 4" xfId="15845"/>
    <cellStyle name="20 % - Accent6 3 4 2 3 2 4 2" xfId="51544"/>
    <cellStyle name="20 % - Accent6 3 4 2 3 2 5" xfId="22335"/>
    <cellStyle name="20 % - Accent6 3 4 2 3 2 6" xfId="35315"/>
    <cellStyle name="20 % - Accent6 3 4 2 3 2 7" xfId="48298"/>
    <cellStyle name="20 % - Accent6 3 4 2 3 3" xfId="4442"/>
    <cellStyle name="20 % - Accent6 3 4 2 3 3 2" xfId="10974"/>
    <cellStyle name="20 % - Accent6 3 4 2 3 3 2 2" xfId="30447"/>
    <cellStyle name="20 % - Accent6 3 4 2 3 3 2 3" xfId="43427"/>
    <cellStyle name="20 % - Accent6 3 4 2 3 3 2 4" xfId="59656"/>
    <cellStyle name="20 % - Accent6 3 4 2 3 3 3" xfId="17467"/>
    <cellStyle name="20 % - Accent6 3 4 2 3 3 4" xfId="23957"/>
    <cellStyle name="20 % - Accent6 3 4 2 3 3 5" xfId="36937"/>
    <cellStyle name="20 % - Accent6 3 4 2 3 3 6" xfId="53166"/>
    <cellStyle name="20 % - Accent6 3 4 2 3 4" xfId="7729"/>
    <cellStyle name="20 % - Accent6 3 4 2 3 4 2" xfId="27202"/>
    <cellStyle name="20 % - Accent6 3 4 2 3 4 3" xfId="40182"/>
    <cellStyle name="20 % - Accent6 3 4 2 3 4 4" xfId="56411"/>
    <cellStyle name="20 % - Accent6 3 4 2 3 5" xfId="14222"/>
    <cellStyle name="20 % - Accent6 3 4 2 3 5 2" xfId="49921"/>
    <cellStyle name="20 % - Accent6 3 4 2 3 6" xfId="20712"/>
    <cellStyle name="20 % - Accent6 3 4 2 3 7" xfId="33692"/>
    <cellStyle name="20 % - Accent6 3 4 2 3 8" xfId="46675"/>
    <cellStyle name="20 % - Accent6 3 4 2 4" xfId="2345"/>
    <cellStyle name="20 % - Accent6 3 4 2 4 2" xfId="5590"/>
    <cellStyle name="20 % - Accent6 3 4 2 4 2 2" xfId="12122"/>
    <cellStyle name="20 % - Accent6 3 4 2 4 2 2 2" xfId="31595"/>
    <cellStyle name="20 % - Accent6 3 4 2 4 2 2 3" xfId="44575"/>
    <cellStyle name="20 % - Accent6 3 4 2 4 2 2 4" xfId="60804"/>
    <cellStyle name="20 % - Accent6 3 4 2 4 2 3" xfId="18615"/>
    <cellStyle name="20 % - Accent6 3 4 2 4 2 4" xfId="25105"/>
    <cellStyle name="20 % - Accent6 3 4 2 4 2 5" xfId="38085"/>
    <cellStyle name="20 % - Accent6 3 4 2 4 2 6" xfId="54314"/>
    <cellStyle name="20 % - Accent6 3 4 2 4 3" xfId="8877"/>
    <cellStyle name="20 % - Accent6 3 4 2 4 3 2" xfId="28350"/>
    <cellStyle name="20 % - Accent6 3 4 2 4 3 3" xfId="41330"/>
    <cellStyle name="20 % - Accent6 3 4 2 4 3 4" xfId="57559"/>
    <cellStyle name="20 % - Accent6 3 4 2 4 4" xfId="15370"/>
    <cellStyle name="20 % - Accent6 3 4 2 4 4 2" xfId="51069"/>
    <cellStyle name="20 % - Accent6 3 4 2 4 5" xfId="21860"/>
    <cellStyle name="20 % - Accent6 3 4 2 4 6" xfId="34840"/>
    <cellStyle name="20 % - Accent6 3 4 2 4 7" xfId="47823"/>
    <cellStyle name="20 % - Accent6 3 4 2 5" xfId="3967"/>
    <cellStyle name="20 % - Accent6 3 4 2 5 2" xfId="10499"/>
    <cellStyle name="20 % - Accent6 3 4 2 5 2 2" xfId="29972"/>
    <cellStyle name="20 % - Accent6 3 4 2 5 2 3" xfId="42952"/>
    <cellStyle name="20 % - Accent6 3 4 2 5 2 4" xfId="59181"/>
    <cellStyle name="20 % - Accent6 3 4 2 5 3" xfId="16992"/>
    <cellStyle name="20 % - Accent6 3 4 2 5 4" xfId="23482"/>
    <cellStyle name="20 % - Accent6 3 4 2 5 5" xfId="36462"/>
    <cellStyle name="20 % - Accent6 3 4 2 5 6" xfId="52691"/>
    <cellStyle name="20 % - Accent6 3 4 2 6" xfId="7254"/>
    <cellStyle name="20 % - Accent6 3 4 2 6 2" xfId="26727"/>
    <cellStyle name="20 % - Accent6 3 4 2 6 3" xfId="39707"/>
    <cellStyle name="20 % - Accent6 3 4 2 6 4" xfId="55936"/>
    <cellStyle name="20 % - Accent6 3 4 2 7" xfId="13747"/>
    <cellStyle name="20 % - Accent6 3 4 2 7 2" xfId="49446"/>
    <cellStyle name="20 % - Accent6 3 4 2 8" xfId="20237"/>
    <cellStyle name="20 % - Accent6 3 4 2 9" xfId="33217"/>
    <cellStyle name="20 % - Accent6 3 4 3" xfId="447"/>
    <cellStyle name="20 % - Accent6 3 4 3 2" xfId="1396"/>
    <cellStyle name="20 % - Accent6 3 4 3 2 2" xfId="3063"/>
    <cellStyle name="20 % - Accent6 3 4 3 2 2 2" xfId="6308"/>
    <cellStyle name="20 % - Accent6 3 4 3 2 2 2 2" xfId="12840"/>
    <cellStyle name="20 % - Accent6 3 4 3 2 2 2 2 2" xfId="32313"/>
    <cellStyle name="20 % - Accent6 3 4 3 2 2 2 2 3" xfId="45293"/>
    <cellStyle name="20 % - Accent6 3 4 3 2 2 2 2 4" xfId="61522"/>
    <cellStyle name="20 % - Accent6 3 4 3 2 2 2 3" xfId="19333"/>
    <cellStyle name="20 % - Accent6 3 4 3 2 2 2 4" xfId="25823"/>
    <cellStyle name="20 % - Accent6 3 4 3 2 2 2 5" xfId="38803"/>
    <cellStyle name="20 % - Accent6 3 4 3 2 2 2 6" xfId="55032"/>
    <cellStyle name="20 % - Accent6 3 4 3 2 2 3" xfId="9595"/>
    <cellStyle name="20 % - Accent6 3 4 3 2 2 3 2" xfId="29068"/>
    <cellStyle name="20 % - Accent6 3 4 3 2 2 3 3" xfId="42048"/>
    <cellStyle name="20 % - Accent6 3 4 3 2 2 3 4" xfId="58277"/>
    <cellStyle name="20 % - Accent6 3 4 3 2 2 4" xfId="16088"/>
    <cellStyle name="20 % - Accent6 3 4 3 2 2 4 2" xfId="51787"/>
    <cellStyle name="20 % - Accent6 3 4 3 2 2 5" xfId="22578"/>
    <cellStyle name="20 % - Accent6 3 4 3 2 2 6" xfId="35558"/>
    <cellStyle name="20 % - Accent6 3 4 3 2 2 7" xfId="48541"/>
    <cellStyle name="20 % - Accent6 3 4 3 2 3" xfId="4685"/>
    <cellStyle name="20 % - Accent6 3 4 3 2 3 2" xfId="11217"/>
    <cellStyle name="20 % - Accent6 3 4 3 2 3 2 2" xfId="30690"/>
    <cellStyle name="20 % - Accent6 3 4 3 2 3 2 3" xfId="43670"/>
    <cellStyle name="20 % - Accent6 3 4 3 2 3 2 4" xfId="59899"/>
    <cellStyle name="20 % - Accent6 3 4 3 2 3 3" xfId="17710"/>
    <cellStyle name="20 % - Accent6 3 4 3 2 3 4" xfId="24200"/>
    <cellStyle name="20 % - Accent6 3 4 3 2 3 5" xfId="37180"/>
    <cellStyle name="20 % - Accent6 3 4 3 2 3 6" xfId="53409"/>
    <cellStyle name="20 % - Accent6 3 4 3 2 4" xfId="7972"/>
    <cellStyle name="20 % - Accent6 3 4 3 2 4 2" xfId="27445"/>
    <cellStyle name="20 % - Accent6 3 4 3 2 4 3" xfId="40425"/>
    <cellStyle name="20 % - Accent6 3 4 3 2 4 4" xfId="56654"/>
    <cellStyle name="20 % - Accent6 3 4 3 2 5" xfId="14465"/>
    <cellStyle name="20 % - Accent6 3 4 3 2 5 2" xfId="50164"/>
    <cellStyle name="20 % - Accent6 3 4 3 2 6" xfId="20955"/>
    <cellStyle name="20 % - Accent6 3 4 3 2 7" xfId="33935"/>
    <cellStyle name="20 % - Accent6 3 4 3 2 8" xfId="46918"/>
    <cellStyle name="20 % - Accent6 3 4 3 3" xfId="2115"/>
    <cellStyle name="20 % - Accent6 3 4 3 3 2" xfId="5360"/>
    <cellStyle name="20 % - Accent6 3 4 3 3 2 2" xfId="11892"/>
    <cellStyle name="20 % - Accent6 3 4 3 3 2 2 2" xfId="31365"/>
    <cellStyle name="20 % - Accent6 3 4 3 3 2 2 3" xfId="44345"/>
    <cellStyle name="20 % - Accent6 3 4 3 3 2 2 4" xfId="60574"/>
    <cellStyle name="20 % - Accent6 3 4 3 3 2 3" xfId="18385"/>
    <cellStyle name="20 % - Accent6 3 4 3 3 2 4" xfId="24875"/>
    <cellStyle name="20 % - Accent6 3 4 3 3 2 5" xfId="37855"/>
    <cellStyle name="20 % - Accent6 3 4 3 3 2 6" xfId="54084"/>
    <cellStyle name="20 % - Accent6 3 4 3 3 3" xfId="8647"/>
    <cellStyle name="20 % - Accent6 3 4 3 3 3 2" xfId="28120"/>
    <cellStyle name="20 % - Accent6 3 4 3 3 3 3" xfId="41100"/>
    <cellStyle name="20 % - Accent6 3 4 3 3 3 4" xfId="57329"/>
    <cellStyle name="20 % - Accent6 3 4 3 3 4" xfId="15140"/>
    <cellStyle name="20 % - Accent6 3 4 3 3 4 2" xfId="50839"/>
    <cellStyle name="20 % - Accent6 3 4 3 3 5" xfId="21630"/>
    <cellStyle name="20 % - Accent6 3 4 3 3 6" xfId="34610"/>
    <cellStyle name="20 % - Accent6 3 4 3 3 7" xfId="47593"/>
    <cellStyle name="20 % - Accent6 3 4 3 4" xfId="3737"/>
    <cellStyle name="20 % - Accent6 3 4 3 4 2" xfId="10269"/>
    <cellStyle name="20 % - Accent6 3 4 3 4 2 2" xfId="29742"/>
    <cellStyle name="20 % - Accent6 3 4 3 4 2 3" xfId="42722"/>
    <cellStyle name="20 % - Accent6 3 4 3 4 2 4" xfId="58951"/>
    <cellStyle name="20 % - Accent6 3 4 3 4 3" xfId="16762"/>
    <cellStyle name="20 % - Accent6 3 4 3 4 4" xfId="23252"/>
    <cellStyle name="20 % - Accent6 3 4 3 4 5" xfId="36232"/>
    <cellStyle name="20 % - Accent6 3 4 3 4 6" xfId="52461"/>
    <cellStyle name="20 % - Accent6 3 4 3 5" xfId="7024"/>
    <cellStyle name="20 % - Accent6 3 4 3 5 2" xfId="26497"/>
    <cellStyle name="20 % - Accent6 3 4 3 5 3" xfId="39477"/>
    <cellStyle name="20 % - Accent6 3 4 3 5 4" xfId="55706"/>
    <cellStyle name="20 % - Accent6 3 4 3 6" xfId="13517"/>
    <cellStyle name="20 % - Accent6 3 4 3 6 2" xfId="49216"/>
    <cellStyle name="20 % - Accent6 3 4 3 7" xfId="20007"/>
    <cellStyle name="20 % - Accent6 3 4 3 8" xfId="32987"/>
    <cellStyle name="20 % - Accent6 3 4 3 9" xfId="45970"/>
    <cellStyle name="20 % - Accent6 3 4 4" xfId="933"/>
    <cellStyle name="20 % - Accent6 3 4 4 2" xfId="2600"/>
    <cellStyle name="20 % - Accent6 3 4 4 2 2" xfId="5845"/>
    <cellStyle name="20 % - Accent6 3 4 4 2 2 2" xfId="12377"/>
    <cellStyle name="20 % - Accent6 3 4 4 2 2 2 2" xfId="31850"/>
    <cellStyle name="20 % - Accent6 3 4 4 2 2 2 3" xfId="44830"/>
    <cellStyle name="20 % - Accent6 3 4 4 2 2 2 4" xfId="61059"/>
    <cellStyle name="20 % - Accent6 3 4 4 2 2 3" xfId="18870"/>
    <cellStyle name="20 % - Accent6 3 4 4 2 2 4" xfId="25360"/>
    <cellStyle name="20 % - Accent6 3 4 4 2 2 5" xfId="38340"/>
    <cellStyle name="20 % - Accent6 3 4 4 2 2 6" xfId="54569"/>
    <cellStyle name="20 % - Accent6 3 4 4 2 3" xfId="9132"/>
    <cellStyle name="20 % - Accent6 3 4 4 2 3 2" xfId="28605"/>
    <cellStyle name="20 % - Accent6 3 4 4 2 3 3" xfId="41585"/>
    <cellStyle name="20 % - Accent6 3 4 4 2 3 4" xfId="57814"/>
    <cellStyle name="20 % - Accent6 3 4 4 2 4" xfId="15625"/>
    <cellStyle name="20 % - Accent6 3 4 4 2 4 2" xfId="51324"/>
    <cellStyle name="20 % - Accent6 3 4 4 2 5" xfId="22115"/>
    <cellStyle name="20 % - Accent6 3 4 4 2 6" xfId="35095"/>
    <cellStyle name="20 % - Accent6 3 4 4 2 7" xfId="48078"/>
    <cellStyle name="20 % - Accent6 3 4 4 3" xfId="4222"/>
    <cellStyle name="20 % - Accent6 3 4 4 3 2" xfId="10754"/>
    <cellStyle name="20 % - Accent6 3 4 4 3 2 2" xfId="30227"/>
    <cellStyle name="20 % - Accent6 3 4 4 3 2 3" xfId="43207"/>
    <cellStyle name="20 % - Accent6 3 4 4 3 2 4" xfId="59436"/>
    <cellStyle name="20 % - Accent6 3 4 4 3 3" xfId="17247"/>
    <cellStyle name="20 % - Accent6 3 4 4 3 4" xfId="23737"/>
    <cellStyle name="20 % - Accent6 3 4 4 3 5" xfId="36717"/>
    <cellStyle name="20 % - Accent6 3 4 4 3 6" xfId="52946"/>
    <cellStyle name="20 % - Accent6 3 4 4 4" xfId="7509"/>
    <cellStyle name="20 % - Accent6 3 4 4 4 2" xfId="26982"/>
    <cellStyle name="20 % - Accent6 3 4 4 4 3" xfId="39962"/>
    <cellStyle name="20 % - Accent6 3 4 4 4 4" xfId="56191"/>
    <cellStyle name="20 % - Accent6 3 4 4 5" xfId="14002"/>
    <cellStyle name="20 % - Accent6 3 4 4 5 2" xfId="49701"/>
    <cellStyle name="20 % - Accent6 3 4 4 6" xfId="20492"/>
    <cellStyle name="20 % - Accent6 3 4 4 7" xfId="33472"/>
    <cellStyle name="20 % - Accent6 3 4 4 8" xfId="46455"/>
    <cellStyle name="20 % - Accent6 3 4 5" xfId="1886"/>
    <cellStyle name="20 % - Accent6 3 4 5 2" xfId="5131"/>
    <cellStyle name="20 % - Accent6 3 4 5 2 2" xfId="11663"/>
    <cellStyle name="20 % - Accent6 3 4 5 2 2 2" xfId="31136"/>
    <cellStyle name="20 % - Accent6 3 4 5 2 2 3" xfId="44116"/>
    <cellStyle name="20 % - Accent6 3 4 5 2 2 4" xfId="60345"/>
    <cellStyle name="20 % - Accent6 3 4 5 2 3" xfId="18156"/>
    <cellStyle name="20 % - Accent6 3 4 5 2 4" xfId="24646"/>
    <cellStyle name="20 % - Accent6 3 4 5 2 5" xfId="37626"/>
    <cellStyle name="20 % - Accent6 3 4 5 2 6" xfId="53855"/>
    <cellStyle name="20 % - Accent6 3 4 5 3" xfId="8418"/>
    <cellStyle name="20 % - Accent6 3 4 5 3 2" xfId="27891"/>
    <cellStyle name="20 % - Accent6 3 4 5 3 3" xfId="40871"/>
    <cellStyle name="20 % - Accent6 3 4 5 3 4" xfId="57100"/>
    <cellStyle name="20 % - Accent6 3 4 5 4" xfId="14911"/>
    <cellStyle name="20 % - Accent6 3 4 5 4 2" xfId="50610"/>
    <cellStyle name="20 % - Accent6 3 4 5 5" xfId="21401"/>
    <cellStyle name="20 % - Accent6 3 4 5 6" xfId="34381"/>
    <cellStyle name="20 % - Accent6 3 4 5 7" xfId="47364"/>
    <cellStyle name="20 % - Accent6 3 4 6" xfId="3507"/>
    <cellStyle name="20 % - Accent6 3 4 6 2" xfId="10039"/>
    <cellStyle name="20 % - Accent6 3 4 6 2 2" xfId="29512"/>
    <cellStyle name="20 % - Accent6 3 4 6 2 3" xfId="42492"/>
    <cellStyle name="20 % - Accent6 3 4 6 2 4" xfId="58721"/>
    <cellStyle name="20 % - Accent6 3 4 6 3" xfId="16532"/>
    <cellStyle name="20 % - Accent6 3 4 6 4" xfId="23022"/>
    <cellStyle name="20 % - Accent6 3 4 6 5" xfId="36002"/>
    <cellStyle name="20 % - Accent6 3 4 6 6" xfId="52231"/>
    <cellStyle name="20 % - Accent6 3 4 7" xfId="6794"/>
    <cellStyle name="20 % - Accent6 3 4 7 2" xfId="26267"/>
    <cellStyle name="20 % - Accent6 3 4 7 3" xfId="39247"/>
    <cellStyle name="20 % - Accent6 3 4 7 4" xfId="55476"/>
    <cellStyle name="20 % - Accent6 3 4 8" xfId="13287"/>
    <cellStyle name="20 % - Accent6 3 4 8 2" xfId="48986"/>
    <cellStyle name="20 % - Accent6 3 4 9" xfId="19777"/>
    <cellStyle name="20 % - Accent6 3 5" xfId="301"/>
    <cellStyle name="20 % - Accent6 3 5 10" xfId="32845"/>
    <cellStyle name="20 % - Accent6 3 5 11" xfId="45828"/>
    <cellStyle name="20 % - Accent6 3 5 2" xfId="765"/>
    <cellStyle name="20 % - Accent6 3 5 2 10" xfId="46288"/>
    <cellStyle name="20 % - Accent6 3 5 2 2" xfId="1704"/>
    <cellStyle name="20 % - Accent6 3 5 2 2 2" xfId="3371"/>
    <cellStyle name="20 % - Accent6 3 5 2 2 2 2" xfId="6616"/>
    <cellStyle name="20 % - Accent6 3 5 2 2 2 2 2" xfId="13148"/>
    <cellStyle name="20 % - Accent6 3 5 2 2 2 2 2 2" xfId="32621"/>
    <cellStyle name="20 % - Accent6 3 5 2 2 2 2 2 3" xfId="45601"/>
    <cellStyle name="20 % - Accent6 3 5 2 2 2 2 2 4" xfId="61830"/>
    <cellStyle name="20 % - Accent6 3 5 2 2 2 2 3" xfId="19641"/>
    <cellStyle name="20 % - Accent6 3 5 2 2 2 2 4" xfId="26131"/>
    <cellStyle name="20 % - Accent6 3 5 2 2 2 2 5" xfId="39111"/>
    <cellStyle name="20 % - Accent6 3 5 2 2 2 2 6" xfId="55340"/>
    <cellStyle name="20 % - Accent6 3 5 2 2 2 3" xfId="9903"/>
    <cellStyle name="20 % - Accent6 3 5 2 2 2 3 2" xfId="29376"/>
    <cellStyle name="20 % - Accent6 3 5 2 2 2 3 3" xfId="42356"/>
    <cellStyle name="20 % - Accent6 3 5 2 2 2 3 4" xfId="58585"/>
    <cellStyle name="20 % - Accent6 3 5 2 2 2 4" xfId="16396"/>
    <cellStyle name="20 % - Accent6 3 5 2 2 2 4 2" xfId="52095"/>
    <cellStyle name="20 % - Accent6 3 5 2 2 2 5" xfId="22886"/>
    <cellStyle name="20 % - Accent6 3 5 2 2 2 6" xfId="35866"/>
    <cellStyle name="20 % - Accent6 3 5 2 2 2 7" xfId="48849"/>
    <cellStyle name="20 % - Accent6 3 5 2 2 3" xfId="4993"/>
    <cellStyle name="20 % - Accent6 3 5 2 2 3 2" xfId="11525"/>
    <cellStyle name="20 % - Accent6 3 5 2 2 3 2 2" xfId="30998"/>
    <cellStyle name="20 % - Accent6 3 5 2 2 3 2 3" xfId="43978"/>
    <cellStyle name="20 % - Accent6 3 5 2 2 3 2 4" xfId="60207"/>
    <cellStyle name="20 % - Accent6 3 5 2 2 3 3" xfId="18018"/>
    <cellStyle name="20 % - Accent6 3 5 2 2 3 4" xfId="24508"/>
    <cellStyle name="20 % - Accent6 3 5 2 2 3 5" xfId="37488"/>
    <cellStyle name="20 % - Accent6 3 5 2 2 3 6" xfId="53717"/>
    <cellStyle name="20 % - Accent6 3 5 2 2 4" xfId="8280"/>
    <cellStyle name="20 % - Accent6 3 5 2 2 4 2" xfId="27753"/>
    <cellStyle name="20 % - Accent6 3 5 2 2 4 3" xfId="40733"/>
    <cellStyle name="20 % - Accent6 3 5 2 2 4 4" xfId="56962"/>
    <cellStyle name="20 % - Accent6 3 5 2 2 5" xfId="14773"/>
    <cellStyle name="20 % - Accent6 3 5 2 2 5 2" xfId="50472"/>
    <cellStyle name="20 % - Accent6 3 5 2 2 6" xfId="21263"/>
    <cellStyle name="20 % - Accent6 3 5 2 2 7" xfId="34243"/>
    <cellStyle name="20 % - Accent6 3 5 2 2 8" xfId="47226"/>
    <cellStyle name="20 % - Accent6 3 5 2 3" xfId="1241"/>
    <cellStyle name="20 % - Accent6 3 5 2 3 2" xfId="2908"/>
    <cellStyle name="20 % - Accent6 3 5 2 3 2 2" xfId="6153"/>
    <cellStyle name="20 % - Accent6 3 5 2 3 2 2 2" xfId="12685"/>
    <cellStyle name="20 % - Accent6 3 5 2 3 2 2 2 2" xfId="32158"/>
    <cellStyle name="20 % - Accent6 3 5 2 3 2 2 2 3" xfId="45138"/>
    <cellStyle name="20 % - Accent6 3 5 2 3 2 2 2 4" xfId="61367"/>
    <cellStyle name="20 % - Accent6 3 5 2 3 2 2 3" xfId="19178"/>
    <cellStyle name="20 % - Accent6 3 5 2 3 2 2 4" xfId="25668"/>
    <cellStyle name="20 % - Accent6 3 5 2 3 2 2 5" xfId="38648"/>
    <cellStyle name="20 % - Accent6 3 5 2 3 2 2 6" xfId="54877"/>
    <cellStyle name="20 % - Accent6 3 5 2 3 2 3" xfId="9440"/>
    <cellStyle name="20 % - Accent6 3 5 2 3 2 3 2" xfId="28913"/>
    <cellStyle name="20 % - Accent6 3 5 2 3 2 3 3" xfId="41893"/>
    <cellStyle name="20 % - Accent6 3 5 2 3 2 3 4" xfId="58122"/>
    <cellStyle name="20 % - Accent6 3 5 2 3 2 4" xfId="15933"/>
    <cellStyle name="20 % - Accent6 3 5 2 3 2 4 2" xfId="51632"/>
    <cellStyle name="20 % - Accent6 3 5 2 3 2 5" xfId="22423"/>
    <cellStyle name="20 % - Accent6 3 5 2 3 2 6" xfId="35403"/>
    <cellStyle name="20 % - Accent6 3 5 2 3 2 7" xfId="48386"/>
    <cellStyle name="20 % - Accent6 3 5 2 3 3" xfId="4530"/>
    <cellStyle name="20 % - Accent6 3 5 2 3 3 2" xfId="11062"/>
    <cellStyle name="20 % - Accent6 3 5 2 3 3 2 2" xfId="30535"/>
    <cellStyle name="20 % - Accent6 3 5 2 3 3 2 3" xfId="43515"/>
    <cellStyle name="20 % - Accent6 3 5 2 3 3 2 4" xfId="59744"/>
    <cellStyle name="20 % - Accent6 3 5 2 3 3 3" xfId="17555"/>
    <cellStyle name="20 % - Accent6 3 5 2 3 3 4" xfId="24045"/>
    <cellStyle name="20 % - Accent6 3 5 2 3 3 5" xfId="37025"/>
    <cellStyle name="20 % - Accent6 3 5 2 3 3 6" xfId="53254"/>
    <cellStyle name="20 % - Accent6 3 5 2 3 4" xfId="7817"/>
    <cellStyle name="20 % - Accent6 3 5 2 3 4 2" xfId="27290"/>
    <cellStyle name="20 % - Accent6 3 5 2 3 4 3" xfId="40270"/>
    <cellStyle name="20 % - Accent6 3 5 2 3 4 4" xfId="56499"/>
    <cellStyle name="20 % - Accent6 3 5 2 3 5" xfId="14310"/>
    <cellStyle name="20 % - Accent6 3 5 2 3 5 2" xfId="50009"/>
    <cellStyle name="20 % - Accent6 3 5 2 3 6" xfId="20800"/>
    <cellStyle name="20 % - Accent6 3 5 2 3 7" xfId="33780"/>
    <cellStyle name="20 % - Accent6 3 5 2 3 8" xfId="46763"/>
    <cellStyle name="20 % - Accent6 3 5 2 4" xfId="2433"/>
    <cellStyle name="20 % - Accent6 3 5 2 4 2" xfId="5678"/>
    <cellStyle name="20 % - Accent6 3 5 2 4 2 2" xfId="12210"/>
    <cellStyle name="20 % - Accent6 3 5 2 4 2 2 2" xfId="31683"/>
    <cellStyle name="20 % - Accent6 3 5 2 4 2 2 3" xfId="44663"/>
    <cellStyle name="20 % - Accent6 3 5 2 4 2 2 4" xfId="60892"/>
    <cellStyle name="20 % - Accent6 3 5 2 4 2 3" xfId="18703"/>
    <cellStyle name="20 % - Accent6 3 5 2 4 2 4" xfId="25193"/>
    <cellStyle name="20 % - Accent6 3 5 2 4 2 5" xfId="38173"/>
    <cellStyle name="20 % - Accent6 3 5 2 4 2 6" xfId="54402"/>
    <cellStyle name="20 % - Accent6 3 5 2 4 3" xfId="8965"/>
    <cellStyle name="20 % - Accent6 3 5 2 4 3 2" xfId="28438"/>
    <cellStyle name="20 % - Accent6 3 5 2 4 3 3" xfId="41418"/>
    <cellStyle name="20 % - Accent6 3 5 2 4 3 4" xfId="57647"/>
    <cellStyle name="20 % - Accent6 3 5 2 4 4" xfId="15458"/>
    <cellStyle name="20 % - Accent6 3 5 2 4 4 2" xfId="51157"/>
    <cellStyle name="20 % - Accent6 3 5 2 4 5" xfId="21948"/>
    <cellStyle name="20 % - Accent6 3 5 2 4 6" xfId="34928"/>
    <cellStyle name="20 % - Accent6 3 5 2 4 7" xfId="47911"/>
    <cellStyle name="20 % - Accent6 3 5 2 5" xfId="4055"/>
    <cellStyle name="20 % - Accent6 3 5 2 5 2" xfId="10587"/>
    <cellStyle name="20 % - Accent6 3 5 2 5 2 2" xfId="30060"/>
    <cellStyle name="20 % - Accent6 3 5 2 5 2 3" xfId="43040"/>
    <cellStyle name="20 % - Accent6 3 5 2 5 2 4" xfId="59269"/>
    <cellStyle name="20 % - Accent6 3 5 2 5 3" xfId="17080"/>
    <cellStyle name="20 % - Accent6 3 5 2 5 4" xfId="23570"/>
    <cellStyle name="20 % - Accent6 3 5 2 5 5" xfId="36550"/>
    <cellStyle name="20 % - Accent6 3 5 2 5 6" xfId="52779"/>
    <cellStyle name="20 % - Accent6 3 5 2 6" xfId="7342"/>
    <cellStyle name="20 % - Accent6 3 5 2 6 2" xfId="26815"/>
    <cellStyle name="20 % - Accent6 3 5 2 6 3" xfId="39795"/>
    <cellStyle name="20 % - Accent6 3 5 2 6 4" xfId="56024"/>
    <cellStyle name="20 % - Accent6 3 5 2 7" xfId="13835"/>
    <cellStyle name="20 % - Accent6 3 5 2 7 2" xfId="49534"/>
    <cellStyle name="20 % - Accent6 3 5 2 8" xfId="20325"/>
    <cellStyle name="20 % - Accent6 3 5 2 9" xfId="33305"/>
    <cellStyle name="20 % - Accent6 3 5 3" xfId="535"/>
    <cellStyle name="20 % - Accent6 3 5 3 2" xfId="1484"/>
    <cellStyle name="20 % - Accent6 3 5 3 2 2" xfId="3151"/>
    <cellStyle name="20 % - Accent6 3 5 3 2 2 2" xfId="6396"/>
    <cellStyle name="20 % - Accent6 3 5 3 2 2 2 2" xfId="12928"/>
    <cellStyle name="20 % - Accent6 3 5 3 2 2 2 2 2" xfId="32401"/>
    <cellStyle name="20 % - Accent6 3 5 3 2 2 2 2 3" xfId="45381"/>
    <cellStyle name="20 % - Accent6 3 5 3 2 2 2 2 4" xfId="61610"/>
    <cellStyle name="20 % - Accent6 3 5 3 2 2 2 3" xfId="19421"/>
    <cellStyle name="20 % - Accent6 3 5 3 2 2 2 4" xfId="25911"/>
    <cellStyle name="20 % - Accent6 3 5 3 2 2 2 5" xfId="38891"/>
    <cellStyle name="20 % - Accent6 3 5 3 2 2 2 6" xfId="55120"/>
    <cellStyle name="20 % - Accent6 3 5 3 2 2 3" xfId="9683"/>
    <cellStyle name="20 % - Accent6 3 5 3 2 2 3 2" xfId="29156"/>
    <cellStyle name="20 % - Accent6 3 5 3 2 2 3 3" xfId="42136"/>
    <cellStyle name="20 % - Accent6 3 5 3 2 2 3 4" xfId="58365"/>
    <cellStyle name="20 % - Accent6 3 5 3 2 2 4" xfId="16176"/>
    <cellStyle name="20 % - Accent6 3 5 3 2 2 4 2" xfId="51875"/>
    <cellStyle name="20 % - Accent6 3 5 3 2 2 5" xfId="22666"/>
    <cellStyle name="20 % - Accent6 3 5 3 2 2 6" xfId="35646"/>
    <cellStyle name="20 % - Accent6 3 5 3 2 2 7" xfId="48629"/>
    <cellStyle name="20 % - Accent6 3 5 3 2 3" xfId="4773"/>
    <cellStyle name="20 % - Accent6 3 5 3 2 3 2" xfId="11305"/>
    <cellStyle name="20 % - Accent6 3 5 3 2 3 2 2" xfId="30778"/>
    <cellStyle name="20 % - Accent6 3 5 3 2 3 2 3" xfId="43758"/>
    <cellStyle name="20 % - Accent6 3 5 3 2 3 2 4" xfId="59987"/>
    <cellStyle name="20 % - Accent6 3 5 3 2 3 3" xfId="17798"/>
    <cellStyle name="20 % - Accent6 3 5 3 2 3 4" xfId="24288"/>
    <cellStyle name="20 % - Accent6 3 5 3 2 3 5" xfId="37268"/>
    <cellStyle name="20 % - Accent6 3 5 3 2 3 6" xfId="53497"/>
    <cellStyle name="20 % - Accent6 3 5 3 2 4" xfId="8060"/>
    <cellStyle name="20 % - Accent6 3 5 3 2 4 2" xfId="27533"/>
    <cellStyle name="20 % - Accent6 3 5 3 2 4 3" xfId="40513"/>
    <cellStyle name="20 % - Accent6 3 5 3 2 4 4" xfId="56742"/>
    <cellStyle name="20 % - Accent6 3 5 3 2 5" xfId="14553"/>
    <cellStyle name="20 % - Accent6 3 5 3 2 5 2" xfId="50252"/>
    <cellStyle name="20 % - Accent6 3 5 3 2 6" xfId="21043"/>
    <cellStyle name="20 % - Accent6 3 5 3 2 7" xfId="34023"/>
    <cellStyle name="20 % - Accent6 3 5 3 2 8" xfId="47006"/>
    <cellStyle name="20 % - Accent6 3 5 3 3" xfId="2203"/>
    <cellStyle name="20 % - Accent6 3 5 3 3 2" xfId="5448"/>
    <cellStyle name="20 % - Accent6 3 5 3 3 2 2" xfId="11980"/>
    <cellStyle name="20 % - Accent6 3 5 3 3 2 2 2" xfId="31453"/>
    <cellStyle name="20 % - Accent6 3 5 3 3 2 2 3" xfId="44433"/>
    <cellStyle name="20 % - Accent6 3 5 3 3 2 2 4" xfId="60662"/>
    <cellStyle name="20 % - Accent6 3 5 3 3 2 3" xfId="18473"/>
    <cellStyle name="20 % - Accent6 3 5 3 3 2 4" xfId="24963"/>
    <cellStyle name="20 % - Accent6 3 5 3 3 2 5" xfId="37943"/>
    <cellStyle name="20 % - Accent6 3 5 3 3 2 6" xfId="54172"/>
    <cellStyle name="20 % - Accent6 3 5 3 3 3" xfId="8735"/>
    <cellStyle name="20 % - Accent6 3 5 3 3 3 2" xfId="28208"/>
    <cellStyle name="20 % - Accent6 3 5 3 3 3 3" xfId="41188"/>
    <cellStyle name="20 % - Accent6 3 5 3 3 3 4" xfId="57417"/>
    <cellStyle name="20 % - Accent6 3 5 3 3 4" xfId="15228"/>
    <cellStyle name="20 % - Accent6 3 5 3 3 4 2" xfId="50927"/>
    <cellStyle name="20 % - Accent6 3 5 3 3 5" xfId="21718"/>
    <cellStyle name="20 % - Accent6 3 5 3 3 6" xfId="34698"/>
    <cellStyle name="20 % - Accent6 3 5 3 3 7" xfId="47681"/>
    <cellStyle name="20 % - Accent6 3 5 3 4" xfId="3825"/>
    <cellStyle name="20 % - Accent6 3 5 3 4 2" xfId="10357"/>
    <cellStyle name="20 % - Accent6 3 5 3 4 2 2" xfId="29830"/>
    <cellStyle name="20 % - Accent6 3 5 3 4 2 3" xfId="42810"/>
    <cellStyle name="20 % - Accent6 3 5 3 4 2 4" xfId="59039"/>
    <cellStyle name="20 % - Accent6 3 5 3 4 3" xfId="16850"/>
    <cellStyle name="20 % - Accent6 3 5 3 4 4" xfId="23340"/>
    <cellStyle name="20 % - Accent6 3 5 3 4 5" xfId="36320"/>
    <cellStyle name="20 % - Accent6 3 5 3 4 6" xfId="52549"/>
    <cellStyle name="20 % - Accent6 3 5 3 5" xfId="7112"/>
    <cellStyle name="20 % - Accent6 3 5 3 5 2" xfId="26585"/>
    <cellStyle name="20 % - Accent6 3 5 3 5 3" xfId="39565"/>
    <cellStyle name="20 % - Accent6 3 5 3 5 4" xfId="55794"/>
    <cellStyle name="20 % - Accent6 3 5 3 6" xfId="13605"/>
    <cellStyle name="20 % - Accent6 3 5 3 6 2" xfId="49304"/>
    <cellStyle name="20 % - Accent6 3 5 3 7" xfId="20095"/>
    <cellStyle name="20 % - Accent6 3 5 3 8" xfId="33075"/>
    <cellStyle name="20 % - Accent6 3 5 3 9" xfId="46058"/>
    <cellStyle name="20 % - Accent6 3 5 4" xfId="1021"/>
    <cellStyle name="20 % - Accent6 3 5 4 2" xfId="2688"/>
    <cellStyle name="20 % - Accent6 3 5 4 2 2" xfId="5933"/>
    <cellStyle name="20 % - Accent6 3 5 4 2 2 2" xfId="12465"/>
    <cellStyle name="20 % - Accent6 3 5 4 2 2 2 2" xfId="31938"/>
    <cellStyle name="20 % - Accent6 3 5 4 2 2 2 3" xfId="44918"/>
    <cellStyle name="20 % - Accent6 3 5 4 2 2 2 4" xfId="61147"/>
    <cellStyle name="20 % - Accent6 3 5 4 2 2 3" xfId="18958"/>
    <cellStyle name="20 % - Accent6 3 5 4 2 2 4" xfId="25448"/>
    <cellStyle name="20 % - Accent6 3 5 4 2 2 5" xfId="38428"/>
    <cellStyle name="20 % - Accent6 3 5 4 2 2 6" xfId="54657"/>
    <cellStyle name="20 % - Accent6 3 5 4 2 3" xfId="9220"/>
    <cellStyle name="20 % - Accent6 3 5 4 2 3 2" xfId="28693"/>
    <cellStyle name="20 % - Accent6 3 5 4 2 3 3" xfId="41673"/>
    <cellStyle name="20 % - Accent6 3 5 4 2 3 4" xfId="57902"/>
    <cellStyle name="20 % - Accent6 3 5 4 2 4" xfId="15713"/>
    <cellStyle name="20 % - Accent6 3 5 4 2 4 2" xfId="51412"/>
    <cellStyle name="20 % - Accent6 3 5 4 2 5" xfId="22203"/>
    <cellStyle name="20 % - Accent6 3 5 4 2 6" xfId="35183"/>
    <cellStyle name="20 % - Accent6 3 5 4 2 7" xfId="48166"/>
    <cellStyle name="20 % - Accent6 3 5 4 3" xfId="4310"/>
    <cellStyle name="20 % - Accent6 3 5 4 3 2" xfId="10842"/>
    <cellStyle name="20 % - Accent6 3 5 4 3 2 2" xfId="30315"/>
    <cellStyle name="20 % - Accent6 3 5 4 3 2 3" xfId="43295"/>
    <cellStyle name="20 % - Accent6 3 5 4 3 2 4" xfId="59524"/>
    <cellStyle name="20 % - Accent6 3 5 4 3 3" xfId="17335"/>
    <cellStyle name="20 % - Accent6 3 5 4 3 4" xfId="23825"/>
    <cellStyle name="20 % - Accent6 3 5 4 3 5" xfId="36805"/>
    <cellStyle name="20 % - Accent6 3 5 4 3 6" xfId="53034"/>
    <cellStyle name="20 % - Accent6 3 5 4 4" xfId="7597"/>
    <cellStyle name="20 % - Accent6 3 5 4 4 2" xfId="27070"/>
    <cellStyle name="20 % - Accent6 3 5 4 4 3" xfId="40050"/>
    <cellStyle name="20 % - Accent6 3 5 4 4 4" xfId="56279"/>
    <cellStyle name="20 % - Accent6 3 5 4 5" xfId="14090"/>
    <cellStyle name="20 % - Accent6 3 5 4 5 2" xfId="49789"/>
    <cellStyle name="20 % - Accent6 3 5 4 6" xfId="20580"/>
    <cellStyle name="20 % - Accent6 3 5 4 7" xfId="33560"/>
    <cellStyle name="20 % - Accent6 3 5 4 8" xfId="46543"/>
    <cellStyle name="20 % - Accent6 3 5 5" xfId="1974"/>
    <cellStyle name="20 % - Accent6 3 5 5 2" xfId="5219"/>
    <cellStyle name="20 % - Accent6 3 5 5 2 2" xfId="11751"/>
    <cellStyle name="20 % - Accent6 3 5 5 2 2 2" xfId="31224"/>
    <cellStyle name="20 % - Accent6 3 5 5 2 2 3" xfId="44204"/>
    <cellStyle name="20 % - Accent6 3 5 5 2 2 4" xfId="60433"/>
    <cellStyle name="20 % - Accent6 3 5 5 2 3" xfId="18244"/>
    <cellStyle name="20 % - Accent6 3 5 5 2 4" xfId="24734"/>
    <cellStyle name="20 % - Accent6 3 5 5 2 5" xfId="37714"/>
    <cellStyle name="20 % - Accent6 3 5 5 2 6" xfId="53943"/>
    <cellStyle name="20 % - Accent6 3 5 5 3" xfId="8506"/>
    <cellStyle name="20 % - Accent6 3 5 5 3 2" xfId="27979"/>
    <cellStyle name="20 % - Accent6 3 5 5 3 3" xfId="40959"/>
    <cellStyle name="20 % - Accent6 3 5 5 3 4" xfId="57188"/>
    <cellStyle name="20 % - Accent6 3 5 5 4" xfId="14999"/>
    <cellStyle name="20 % - Accent6 3 5 5 4 2" xfId="50698"/>
    <cellStyle name="20 % - Accent6 3 5 5 5" xfId="21489"/>
    <cellStyle name="20 % - Accent6 3 5 5 6" xfId="34469"/>
    <cellStyle name="20 % - Accent6 3 5 5 7" xfId="47452"/>
    <cellStyle name="20 % - Accent6 3 5 6" xfId="3595"/>
    <cellStyle name="20 % - Accent6 3 5 6 2" xfId="10127"/>
    <cellStyle name="20 % - Accent6 3 5 6 2 2" xfId="29600"/>
    <cellStyle name="20 % - Accent6 3 5 6 2 3" xfId="42580"/>
    <cellStyle name="20 % - Accent6 3 5 6 2 4" xfId="58809"/>
    <cellStyle name="20 % - Accent6 3 5 6 3" xfId="16620"/>
    <cellStyle name="20 % - Accent6 3 5 6 4" xfId="23110"/>
    <cellStyle name="20 % - Accent6 3 5 6 5" xfId="36090"/>
    <cellStyle name="20 % - Accent6 3 5 6 6" xfId="52319"/>
    <cellStyle name="20 % - Accent6 3 5 7" xfId="6882"/>
    <cellStyle name="20 % - Accent6 3 5 7 2" xfId="26355"/>
    <cellStyle name="20 % - Accent6 3 5 7 3" xfId="39335"/>
    <cellStyle name="20 % - Accent6 3 5 7 4" xfId="55564"/>
    <cellStyle name="20 % - Accent6 3 5 8" xfId="13375"/>
    <cellStyle name="20 % - Accent6 3 5 8 2" xfId="49074"/>
    <cellStyle name="20 % - Accent6 3 5 9" xfId="19865"/>
    <cellStyle name="20 % - Accent6 3 6" xfId="633"/>
    <cellStyle name="20 % - Accent6 3 6 10" xfId="46156"/>
    <cellStyle name="20 % - Accent6 3 6 2" xfId="1352"/>
    <cellStyle name="20 % - Accent6 3 6 2 2" xfId="3019"/>
    <cellStyle name="20 % - Accent6 3 6 2 2 2" xfId="6264"/>
    <cellStyle name="20 % - Accent6 3 6 2 2 2 2" xfId="12796"/>
    <cellStyle name="20 % - Accent6 3 6 2 2 2 2 2" xfId="32269"/>
    <cellStyle name="20 % - Accent6 3 6 2 2 2 2 3" xfId="45249"/>
    <cellStyle name="20 % - Accent6 3 6 2 2 2 2 4" xfId="61478"/>
    <cellStyle name="20 % - Accent6 3 6 2 2 2 3" xfId="19289"/>
    <cellStyle name="20 % - Accent6 3 6 2 2 2 4" xfId="25779"/>
    <cellStyle name="20 % - Accent6 3 6 2 2 2 5" xfId="38759"/>
    <cellStyle name="20 % - Accent6 3 6 2 2 2 6" xfId="54988"/>
    <cellStyle name="20 % - Accent6 3 6 2 2 3" xfId="9551"/>
    <cellStyle name="20 % - Accent6 3 6 2 2 3 2" xfId="29024"/>
    <cellStyle name="20 % - Accent6 3 6 2 2 3 3" xfId="42004"/>
    <cellStyle name="20 % - Accent6 3 6 2 2 3 4" xfId="58233"/>
    <cellStyle name="20 % - Accent6 3 6 2 2 4" xfId="16044"/>
    <cellStyle name="20 % - Accent6 3 6 2 2 4 2" xfId="51743"/>
    <cellStyle name="20 % - Accent6 3 6 2 2 5" xfId="22534"/>
    <cellStyle name="20 % - Accent6 3 6 2 2 6" xfId="35514"/>
    <cellStyle name="20 % - Accent6 3 6 2 2 7" xfId="48497"/>
    <cellStyle name="20 % - Accent6 3 6 2 3" xfId="4641"/>
    <cellStyle name="20 % - Accent6 3 6 2 3 2" xfId="11173"/>
    <cellStyle name="20 % - Accent6 3 6 2 3 2 2" xfId="30646"/>
    <cellStyle name="20 % - Accent6 3 6 2 3 2 3" xfId="43626"/>
    <cellStyle name="20 % - Accent6 3 6 2 3 2 4" xfId="59855"/>
    <cellStyle name="20 % - Accent6 3 6 2 3 3" xfId="17666"/>
    <cellStyle name="20 % - Accent6 3 6 2 3 4" xfId="24156"/>
    <cellStyle name="20 % - Accent6 3 6 2 3 5" xfId="37136"/>
    <cellStyle name="20 % - Accent6 3 6 2 3 6" xfId="53365"/>
    <cellStyle name="20 % - Accent6 3 6 2 4" xfId="7928"/>
    <cellStyle name="20 % - Accent6 3 6 2 4 2" xfId="27401"/>
    <cellStyle name="20 % - Accent6 3 6 2 4 3" xfId="40381"/>
    <cellStyle name="20 % - Accent6 3 6 2 4 4" xfId="56610"/>
    <cellStyle name="20 % - Accent6 3 6 2 5" xfId="14421"/>
    <cellStyle name="20 % - Accent6 3 6 2 5 2" xfId="50120"/>
    <cellStyle name="20 % - Accent6 3 6 2 6" xfId="20911"/>
    <cellStyle name="20 % - Accent6 3 6 2 7" xfId="33891"/>
    <cellStyle name="20 % - Accent6 3 6 2 8" xfId="46874"/>
    <cellStyle name="20 % - Accent6 3 6 3" xfId="888"/>
    <cellStyle name="20 % - Accent6 3 6 3 2" xfId="2556"/>
    <cellStyle name="20 % - Accent6 3 6 3 2 2" xfId="5801"/>
    <cellStyle name="20 % - Accent6 3 6 3 2 2 2" xfId="12333"/>
    <cellStyle name="20 % - Accent6 3 6 3 2 2 2 2" xfId="31806"/>
    <cellStyle name="20 % - Accent6 3 6 3 2 2 2 3" xfId="44786"/>
    <cellStyle name="20 % - Accent6 3 6 3 2 2 2 4" xfId="61015"/>
    <cellStyle name="20 % - Accent6 3 6 3 2 2 3" xfId="18826"/>
    <cellStyle name="20 % - Accent6 3 6 3 2 2 4" xfId="25316"/>
    <cellStyle name="20 % - Accent6 3 6 3 2 2 5" xfId="38296"/>
    <cellStyle name="20 % - Accent6 3 6 3 2 2 6" xfId="54525"/>
    <cellStyle name="20 % - Accent6 3 6 3 2 3" xfId="9088"/>
    <cellStyle name="20 % - Accent6 3 6 3 2 3 2" xfId="28561"/>
    <cellStyle name="20 % - Accent6 3 6 3 2 3 3" xfId="41541"/>
    <cellStyle name="20 % - Accent6 3 6 3 2 3 4" xfId="57770"/>
    <cellStyle name="20 % - Accent6 3 6 3 2 4" xfId="15581"/>
    <cellStyle name="20 % - Accent6 3 6 3 2 4 2" xfId="51280"/>
    <cellStyle name="20 % - Accent6 3 6 3 2 5" xfId="22071"/>
    <cellStyle name="20 % - Accent6 3 6 3 2 6" xfId="35051"/>
    <cellStyle name="20 % - Accent6 3 6 3 2 7" xfId="48034"/>
    <cellStyle name="20 % - Accent6 3 6 3 3" xfId="4178"/>
    <cellStyle name="20 % - Accent6 3 6 3 3 2" xfId="10710"/>
    <cellStyle name="20 % - Accent6 3 6 3 3 2 2" xfId="30183"/>
    <cellStyle name="20 % - Accent6 3 6 3 3 2 3" xfId="43163"/>
    <cellStyle name="20 % - Accent6 3 6 3 3 2 4" xfId="59392"/>
    <cellStyle name="20 % - Accent6 3 6 3 3 3" xfId="17203"/>
    <cellStyle name="20 % - Accent6 3 6 3 3 4" xfId="23693"/>
    <cellStyle name="20 % - Accent6 3 6 3 3 5" xfId="36673"/>
    <cellStyle name="20 % - Accent6 3 6 3 3 6" xfId="52902"/>
    <cellStyle name="20 % - Accent6 3 6 3 4" xfId="7465"/>
    <cellStyle name="20 % - Accent6 3 6 3 4 2" xfId="26938"/>
    <cellStyle name="20 % - Accent6 3 6 3 4 3" xfId="39918"/>
    <cellStyle name="20 % - Accent6 3 6 3 4 4" xfId="56147"/>
    <cellStyle name="20 % - Accent6 3 6 3 5" xfId="13958"/>
    <cellStyle name="20 % - Accent6 3 6 3 5 2" xfId="49657"/>
    <cellStyle name="20 % - Accent6 3 6 3 6" xfId="20448"/>
    <cellStyle name="20 % - Accent6 3 6 3 7" xfId="33428"/>
    <cellStyle name="20 % - Accent6 3 6 3 8" xfId="46411"/>
    <cellStyle name="20 % - Accent6 3 6 4" xfId="2301"/>
    <cellStyle name="20 % - Accent6 3 6 4 2" xfId="5546"/>
    <cellStyle name="20 % - Accent6 3 6 4 2 2" xfId="12078"/>
    <cellStyle name="20 % - Accent6 3 6 4 2 2 2" xfId="31551"/>
    <cellStyle name="20 % - Accent6 3 6 4 2 2 3" xfId="44531"/>
    <cellStyle name="20 % - Accent6 3 6 4 2 2 4" xfId="60760"/>
    <cellStyle name="20 % - Accent6 3 6 4 2 3" xfId="18571"/>
    <cellStyle name="20 % - Accent6 3 6 4 2 4" xfId="25061"/>
    <cellStyle name="20 % - Accent6 3 6 4 2 5" xfId="38041"/>
    <cellStyle name="20 % - Accent6 3 6 4 2 6" xfId="54270"/>
    <cellStyle name="20 % - Accent6 3 6 4 3" xfId="8833"/>
    <cellStyle name="20 % - Accent6 3 6 4 3 2" xfId="28306"/>
    <cellStyle name="20 % - Accent6 3 6 4 3 3" xfId="41286"/>
    <cellStyle name="20 % - Accent6 3 6 4 3 4" xfId="57515"/>
    <cellStyle name="20 % - Accent6 3 6 4 4" xfId="15326"/>
    <cellStyle name="20 % - Accent6 3 6 4 4 2" xfId="51025"/>
    <cellStyle name="20 % - Accent6 3 6 4 5" xfId="21816"/>
    <cellStyle name="20 % - Accent6 3 6 4 6" xfId="34796"/>
    <cellStyle name="20 % - Accent6 3 6 4 7" xfId="47779"/>
    <cellStyle name="20 % - Accent6 3 6 5" xfId="3923"/>
    <cellStyle name="20 % - Accent6 3 6 5 2" xfId="10455"/>
    <cellStyle name="20 % - Accent6 3 6 5 2 2" xfId="29928"/>
    <cellStyle name="20 % - Accent6 3 6 5 2 3" xfId="42908"/>
    <cellStyle name="20 % - Accent6 3 6 5 2 4" xfId="59137"/>
    <cellStyle name="20 % - Accent6 3 6 5 3" xfId="16948"/>
    <cellStyle name="20 % - Accent6 3 6 5 4" xfId="23438"/>
    <cellStyle name="20 % - Accent6 3 6 5 5" xfId="36418"/>
    <cellStyle name="20 % - Accent6 3 6 5 6" xfId="52647"/>
    <cellStyle name="20 % - Accent6 3 6 6" xfId="7210"/>
    <cellStyle name="20 % - Accent6 3 6 6 2" xfId="26683"/>
    <cellStyle name="20 % - Accent6 3 6 6 3" xfId="39663"/>
    <cellStyle name="20 % - Accent6 3 6 6 4" xfId="55892"/>
    <cellStyle name="20 % - Accent6 3 6 7" xfId="13703"/>
    <cellStyle name="20 % - Accent6 3 6 7 2" xfId="49402"/>
    <cellStyle name="20 % - Accent6 3 6 8" xfId="20193"/>
    <cellStyle name="20 % - Accent6 3 6 9" xfId="33173"/>
    <cellStyle name="20 % - Accent6 3 7" xfId="403"/>
    <cellStyle name="20 % - Accent6 3 7 10" xfId="45926"/>
    <cellStyle name="20 % - Accent6 3 7 2" xfId="1572"/>
    <cellStyle name="20 % - Accent6 3 7 2 2" xfId="3239"/>
    <cellStyle name="20 % - Accent6 3 7 2 2 2" xfId="6484"/>
    <cellStyle name="20 % - Accent6 3 7 2 2 2 2" xfId="13016"/>
    <cellStyle name="20 % - Accent6 3 7 2 2 2 2 2" xfId="32489"/>
    <cellStyle name="20 % - Accent6 3 7 2 2 2 2 3" xfId="45469"/>
    <cellStyle name="20 % - Accent6 3 7 2 2 2 2 4" xfId="61698"/>
    <cellStyle name="20 % - Accent6 3 7 2 2 2 3" xfId="19509"/>
    <cellStyle name="20 % - Accent6 3 7 2 2 2 4" xfId="25999"/>
    <cellStyle name="20 % - Accent6 3 7 2 2 2 5" xfId="38979"/>
    <cellStyle name="20 % - Accent6 3 7 2 2 2 6" xfId="55208"/>
    <cellStyle name="20 % - Accent6 3 7 2 2 3" xfId="9771"/>
    <cellStyle name="20 % - Accent6 3 7 2 2 3 2" xfId="29244"/>
    <cellStyle name="20 % - Accent6 3 7 2 2 3 3" xfId="42224"/>
    <cellStyle name="20 % - Accent6 3 7 2 2 3 4" xfId="58453"/>
    <cellStyle name="20 % - Accent6 3 7 2 2 4" xfId="16264"/>
    <cellStyle name="20 % - Accent6 3 7 2 2 4 2" xfId="51963"/>
    <cellStyle name="20 % - Accent6 3 7 2 2 5" xfId="22754"/>
    <cellStyle name="20 % - Accent6 3 7 2 2 6" xfId="35734"/>
    <cellStyle name="20 % - Accent6 3 7 2 2 7" xfId="48717"/>
    <cellStyle name="20 % - Accent6 3 7 2 3" xfId="4861"/>
    <cellStyle name="20 % - Accent6 3 7 2 3 2" xfId="11393"/>
    <cellStyle name="20 % - Accent6 3 7 2 3 2 2" xfId="30866"/>
    <cellStyle name="20 % - Accent6 3 7 2 3 2 3" xfId="43846"/>
    <cellStyle name="20 % - Accent6 3 7 2 3 2 4" xfId="60075"/>
    <cellStyle name="20 % - Accent6 3 7 2 3 3" xfId="17886"/>
    <cellStyle name="20 % - Accent6 3 7 2 3 4" xfId="24376"/>
    <cellStyle name="20 % - Accent6 3 7 2 3 5" xfId="37356"/>
    <cellStyle name="20 % - Accent6 3 7 2 3 6" xfId="53585"/>
    <cellStyle name="20 % - Accent6 3 7 2 4" xfId="8148"/>
    <cellStyle name="20 % - Accent6 3 7 2 4 2" xfId="27621"/>
    <cellStyle name="20 % - Accent6 3 7 2 4 3" xfId="40601"/>
    <cellStyle name="20 % - Accent6 3 7 2 4 4" xfId="56830"/>
    <cellStyle name="20 % - Accent6 3 7 2 5" xfId="14641"/>
    <cellStyle name="20 % - Accent6 3 7 2 5 2" xfId="50340"/>
    <cellStyle name="20 % - Accent6 3 7 2 6" xfId="21131"/>
    <cellStyle name="20 % - Accent6 3 7 2 7" xfId="34111"/>
    <cellStyle name="20 % - Accent6 3 7 2 8" xfId="47094"/>
    <cellStyle name="20 % - Accent6 3 7 3" xfId="1109"/>
    <cellStyle name="20 % - Accent6 3 7 3 2" xfId="2776"/>
    <cellStyle name="20 % - Accent6 3 7 3 2 2" xfId="6021"/>
    <cellStyle name="20 % - Accent6 3 7 3 2 2 2" xfId="12553"/>
    <cellStyle name="20 % - Accent6 3 7 3 2 2 2 2" xfId="32026"/>
    <cellStyle name="20 % - Accent6 3 7 3 2 2 2 3" xfId="45006"/>
    <cellStyle name="20 % - Accent6 3 7 3 2 2 2 4" xfId="61235"/>
    <cellStyle name="20 % - Accent6 3 7 3 2 2 3" xfId="19046"/>
    <cellStyle name="20 % - Accent6 3 7 3 2 2 4" xfId="25536"/>
    <cellStyle name="20 % - Accent6 3 7 3 2 2 5" xfId="38516"/>
    <cellStyle name="20 % - Accent6 3 7 3 2 2 6" xfId="54745"/>
    <cellStyle name="20 % - Accent6 3 7 3 2 3" xfId="9308"/>
    <cellStyle name="20 % - Accent6 3 7 3 2 3 2" xfId="28781"/>
    <cellStyle name="20 % - Accent6 3 7 3 2 3 3" xfId="41761"/>
    <cellStyle name="20 % - Accent6 3 7 3 2 3 4" xfId="57990"/>
    <cellStyle name="20 % - Accent6 3 7 3 2 4" xfId="15801"/>
    <cellStyle name="20 % - Accent6 3 7 3 2 4 2" xfId="51500"/>
    <cellStyle name="20 % - Accent6 3 7 3 2 5" xfId="22291"/>
    <cellStyle name="20 % - Accent6 3 7 3 2 6" xfId="35271"/>
    <cellStyle name="20 % - Accent6 3 7 3 2 7" xfId="48254"/>
    <cellStyle name="20 % - Accent6 3 7 3 3" xfId="4398"/>
    <cellStyle name="20 % - Accent6 3 7 3 3 2" xfId="10930"/>
    <cellStyle name="20 % - Accent6 3 7 3 3 2 2" xfId="30403"/>
    <cellStyle name="20 % - Accent6 3 7 3 3 2 3" xfId="43383"/>
    <cellStyle name="20 % - Accent6 3 7 3 3 2 4" xfId="59612"/>
    <cellStyle name="20 % - Accent6 3 7 3 3 3" xfId="17423"/>
    <cellStyle name="20 % - Accent6 3 7 3 3 4" xfId="23913"/>
    <cellStyle name="20 % - Accent6 3 7 3 3 5" xfId="36893"/>
    <cellStyle name="20 % - Accent6 3 7 3 3 6" xfId="53122"/>
    <cellStyle name="20 % - Accent6 3 7 3 4" xfId="7685"/>
    <cellStyle name="20 % - Accent6 3 7 3 4 2" xfId="27158"/>
    <cellStyle name="20 % - Accent6 3 7 3 4 3" xfId="40138"/>
    <cellStyle name="20 % - Accent6 3 7 3 4 4" xfId="56367"/>
    <cellStyle name="20 % - Accent6 3 7 3 5" xfId="14178"/>
    <cellStyle name="20 % - Accent6 3 7 3 5 2" xfId="49877"/>
    <cellStyle name="20 % - Accent6 3 7 3 6" xfId="20668"/>
    <cellStyle name="20 % - Accent6 3 7 3 7" xfId="33648"/>
    <cellStyle name="20 % - Accent6 3 7 3 8" xfId="46631"/>
    <cellStyle name="20 % - Accent6 3 7 4" xfId="2071"/>
    <cellStyle name="20 % - Accent6 3 7 4 2" xfId="5316"/>
    <cellStyle name="20 % - Accent6 3 7 4 2 2" xfId="11848"/>
    <cellStyle name="20 % - Accent6 3 7 4 2 2 2" xfId="31321"/>
    <cellStyle name="20 % - Accent6 3 7 4 2 2 3" xfId="44301"/>
    <cellStyle name="20 % - Accent6 3 7 4 2 2 4" xfId="60530"/>
    <cellStyle name="20 % - Accent6 3 7 4 2 3" xfId="18341"/>
    <cellStyle name="20 % - Accent6 3 7 4 2 4" xfId="24831"/>
    <cellStyle name="20 % - Accent6 3 7 4 2 5" xfId="37811"/>
    <cellStyle name="20 % - Accent6 3 7 4 2 6" xfId="54040"/>
    <cellStyle name="20 % - Accent6 3 7 4 3" xfId="8603"/>
    <cellStyle name="20 % - Accent6 3 7 4 3 2" xfId="28076"/>
    <cellStyle name="20 % - Accent6 3 7 4 3 3" xfId="41056"/>
    <cellStyle name="20 % - Accent6 3 7 4 3 4" xfId="57285"/>
    <cellStyle name="20 % - Accent6 3 7 4 4" xfId="15096"/>
    <cellStyle name="20 % - Accent6 3 7 4 4 2" xfId="50795"/>
    <cellStyle name="20 % - Accent6 3 7 4 5" xfId="21586"/>
    <cellStyle name="20 % - Accent6 3 7 4 6" xfId="34566"/>
    <cellStyle name="20 % - Accent6 3 7 4 7" xfId="47549"/>
    <cellStyle name="20 % - Accent6 3 7 5" xfId="3693"/>
    <cellStyle name="20 % - Accent6 3 7 5 2" xfId="10225"/>
    <cellStyle name="20 % - Accent6 3 7 5 2 2" xfId="29698"/>
    <cellStyle name="20 % - Accent6 3 7 5 2 3" xfId="42678"/>
    <cellStyle name="20 % - Accent6 3 7 5 2 4" xfId="58907"/>
    <cellStyle name="20 % - Accent6 3 7 5 3" xfId="16718"/>
    <cellStyle name="20 % - Accent6 3 7 5 4" xfId="23208"/>
    <cellStyle name="20 % - Accent6 3 7 5 5" xfId="36188"/>
    <cellStyle name="20 % - Accent6 3 7 5 6" xfId="52417"/>
    <cellStyle name="20 % - Accent6 3 7 6" xfId="6980"/>
    <cellStyle name="20 % - Accent6 3 7 6 2" xfId="26453"/>
    <cellStyle name="20 % - Accent6 3 7 6 3" xfId="39433"/>
    <cellStyle name="20 % - Accent6 3 7 6 4" xfId="55662"/>
    <cellStyle name="20 % - Accent6 3 7 7" xfId="13473"/>
    <cellStyle name="20 % - Accent6 3 7 7 2" xfId="49172"/>
    <cellStyle name="20 % - Accent6 3 7 8" xfId="19963"/>
    <cellStyle name="20 % - Accent6 3 7 9" xfId="32943"/>
    <cellStyle name="20 % - Accent6 3 8" xfId="1329"/>
    <cellStyle name="20 % - Accent6 3 8 2" xfId="2996"/>
    <cellStyle name="20 % - Accent6 3 8 2 2" xfId="6241"/>
    <cellStyle name="20 % - Accent6 3 8 2 2 2" xfId="12773"/>
    <cellStyle name="20 % - Accent6 3 8 2 2 2 2" xfId="32246"/>
    <cellStyle name="20 % - Accent6 3 8 2 2 2 3" xfId="45226"/>
    <cellStyle name="20 % - Accent6 3 8 2 2 2 4" xfId="61455"/>
    <cellStyle name="20 % - Accent6 3 8 2 2 3" xfId="19266"/>
    <cellStyle name="20 % - Accent6 3 8 2 2 4" xfId="25756"/>
    <cellStyle name="20 % - Accent6 3 8 2 2 5" xfId="38736"/>
    <cellStyle name="20 % - Accent6 3 8 2 2 6" xfId="54965"/>
    <cellStyle name="20 % - Accent6 3 8 2 3" xfId="9528"/>
    <cellStyle name="20 % - Accent6 3 8 2 3 2" xfId="29001"/>
    <cellStyle name="20 % - Accent6 3 8 2 3 3" xfId="41981"/>
    <cellStyle name="20 % - Accent6 3 8 2 3 4" xfId="58210"/>
    <cellStyle name="20 % - Accent6 3 8 2 4" xfId="16021"/>
    <cellStyle name="20 % - Accent6 3 8 2 4 2" xfId="51720"/>
    <cellStyle name="20 % - Accent6 3 8 2 5" xfId="22511"/>
    <cellStyle name="20 % - Accent6 3 8 2 6" xfId="35491"/>
    <cellStyle name="20 % - Accent6 3 8 2 7" xfId="48474"/>
    <cellStyle name="20 % - Accent6 3 8 3" xfId="4618"/>
    <cellStyle name="20 % - Accent6 3 8 3 2" xfId="11150"/>
    <cellStyle name="20 % - Accent6 3 8 3 2 2" xfId="30623"/>
    <cellStyle name="20 % - Accent6 3 8 3 2 3" xfId="43603"/>
    <cellStyle name="20 % - Accent6 3 8 3 2 4" xfId="59832"/>
    <cellStyle name="20 % - Accent6 3 8 3 3" xfId="17643"/>
    <cellStyle name="20 % - Accent6 3 8 3 4" xfId="24133"/>
    <cellStyle name="20 % - Accent6 3 8 3 5" xfId="37113"/>
    <cellStyle name="20 % - Accent6 3 8 3 6" xfId="53342"/>
    <cellStyle name="20 % - Accent6 3 8 4" xfId="7905"/>
    <cellStyle name="20 % - Accent6 3 8 4 2" xfId="27378"/>
    <cellStyle name="20 % - Accent6 3 8 4 3" xfId="40358"/>
    <cellStyle name="20 % - Accent6 3 8 4 4" xfId="56587"/>
    <cellStyle name="20 % - Accent6 3 8 5" xfId="14398"/>
    <cellStyle name="20 % - Accent6 3 8 5 2" xfId="50097"/>
    <cellStyle name="20 % - Accent6 3 8 6" xfId="20888"/>
    <cellStyle name="20 % - Accent6 3 8 7" xfId="33868"/>
    <cellStyle name="20 % - Accent6 3 8 8" xfId="46851"/>
    <cellStyle name="20 % - Accent6 3 9" xfId="865"/>
    <cellStyle name="20 % - Accent6 3 9 2" xfId="2533"/>
    <cellStyle name="20 % - Accent6 3 9 2 2" xfId="5778"/>
    <cellStyle name="20 % - Accent6 3 9 2 2 2" xfId="12310"/>
    <cellStyle name="20 % - Accent6 3 9 2 2 2 2" xfId="31783"/>
    <cellStyle name="20 % - Accent6 3 9 2 2 2 3" xfId="44763"/>
    <cellStyle name="20 % - Accent6 3 9 2 2 2 4" xfId="60992"/>
    <cellStyle name="20 % - Accent6 3 9 2 2 3" xfId="18803"/>
    <cellStyle name="20 % - Accent6 3 9 2 2 4" xfId="25293"/>
    <cellStyle name="20 % - Accent6 3 9 2 2 5" xfId="38273"/>
    <cellStyle name="20 % - Accent6 3 9 2 2 6" xfId="54502"/>
    <cellStyle name="20 % - Accent6 3 9 2 3" xfId="9065"/>
    <cellStyle name="20 % - Accent6 3 9 2 3 2" xfId="28538"/>
    <cellStyle name="20 % - Accent6 3 9 2 3 3" xfId="41518"/>
    <cellStyle name="20 % - Accent6 3 9 2 3 4" xfId="57747"/>
    <cellStyle name="20 % - Accent6 3 9 2 4" xfId="15558"/>
    <cellStyle name="20 % - Accent6 3 9 2 4 2" xfId="51257"/>
    <cellStyle name="20 % - Accent6 3 9 2 5" xfId="22048"/>
    <cellStyle name="20 % - Accent6 3 9 2 6" xfId="35028"/>
    <cellStyle name="20 % - Accent6 3 9 2 7" xfId="48011"/>
    <cellStyle name="20 % - Accent6 3 9 3" xfId="4155"/>
    <cellStyle name="20 % - Accent6 3 9 3 2" xfId="10687"/>
    <cellStyle name="20 % - Accent6 3 9 3 2 2" xfId="30160"/>
    <cellStyle name="20 % - Accent6 3 9 3 2 3" xfId="43140"/>
    <cellStyle name="20 % - Accent6 3 9 3 2 4" xfId="59369"/>
    <cellStyle name="20 % - Accent6 3 9 3 3" xfId="17180"/>
    <cellStyle name="20 % - Accent6 3 9 3 4" xfId="23670"/>
    <cellStyle name="20 % - Accent6 3 9 3 5" xfId="36650"/>
    <cellStyle name="20 % - Accent6 3 9 3 6" xfId="52879"/>
    <cellStyle name="20 % - Accent6 3 9 4" xfId="7442"/>
    <cellStyle name="20 % - Accent6 3 9 4 2" xfId="26915"/>
    <cellStyle name="20 % - Accent6 3 9 4 3" xfId="39895"/>
    <cellStyle name="20 % - Accent6 3 9 4 4" xfId="56124"/>
    <cellStyle name="20 % - Accent6 3 9 5" xfId="13935"/>
    <cellStyle name="20 % - Accent6 3 9 5 2" xfId="49634"/>
    <cellStyle name="20 % - Accent6 3 9 6" xfId="20425"/>
    <cellStyle name="20 % - Accent6 3 9 7" xfId="33405"/>
    <cellStyle name="20 % - Accent6 3 9 8" xfId="46388"/>
    <cellStyle name="20 % - Accent6 4" xfId="1790"/>
    <cellStyle name="20 % - Accent6 5" xfId="6699"/>
    <cellStyle name="20 % - Accent6 6" xfId="61921"/>
    <cellStyle name="20 % - Accent6 7" xfId="61939"/>
    <cellStyle name="20 % - Accent6 8" xfId="61951"/>
    <cellStyle name="20 % - Accent6 9" xfId="46"/>
    <cellStyle name="20% - Accent1" xfId="62037" builtinId="30" customBuiltin="1"/>
    <cellStyle name="20% - Accent2" xfId="62041" builtinId="34" customBuiltin="1"/>
    <cellStyle name="20% - Accent3" xfId="62045" builtinId="38" customBuiltin="1"/>
    <cellStyle name="20% - Accent4" xfId="62049" builtinId="42" customBuiltin="1"/>
    <cellStyle name="20% - Accent5" xfId="62053" builtinId="46" customBuiltin="1"/>
    <cellStyle name="20% - Accent6" xfId="62057" builtinId="50" customBuiltin="1"/>
    <cellStyle name="40 % - Accent1 2" xfId="90"/>
    <cellStyle name="40 % - Accent1 3" xfId="147"/>
    <cellStyle name="40 % - Accent1 3 10" xfId="1832"/>
    <cellStyle name="40 % - Accent1 3 10 2" xfId="5078"/>
    <cellStyle name="40 % - Accent1 3 10 2 2" xfId="11610"/>
    <cellStyle name="40 % - Accent1 3 10 2 2 2" xfId="31083"/>
    <cellStyle name="40 % - Accent1 3 10 2 2 3" xfId="44063"/>
    <cellStyle name="40 % - Accent1 3 10 2 2 4" xfId="60292"/>
    <cellStyle name="40 % - Accent1 3 10 2 3" xfId="18103"/>
    <cellStyle name="40 % - Accent1 3 10 2 4" xfId="24593"/>
    <cellStyle name="40 % - Accent1 3 10 2 5" xfId="37573"/>
    <cellStyle name="40 % - Accent1 3 10 2 6" xfId="53802"/>
    <cellStyle name="40 % - Accent1 3 10 3" xfId="8365"/>
    <cellStyle name="40 % - Accent1 3 10 3 2" xfId="27838"/>
    <cellStyle name="40 % - Accent1 3 10 3 3" xfId="40818"/>
    <cellStyle name="40 % - Accent1 3 10 3 4" xfId="57047"/>
    <cellStyle name="40 % - Accent1 3 10 4" xfId="14858"/>
    <cellStyle name="40 % - Accent1 3 10 4 2" xfId="50557"/>
    <cellStyle name="40 % - Accent1 3 10 5" xfId="21348"/>
    <cellStyle name="40 % - Accent1 3 10 6" xfId="34328"/>
    <cellStyle name="40 % - Accent1 3 10 7" xfId="47311"/>
    <cellStyle name="40 % - Accent1 3 11" xfId="3454"/>
    <cellStyle name="40 % - Accent1 3 11 2" xfId="9986"/>
    <cellStyle name="40 % - Accent1 3 11 2 2" xfId="29459"/>
    <cellStyle name="40 % - Accent1 3 11 2 3" xfId="42439"/>
    <cellStyle name="40 % - Accent1 3 11 2 4" xfId="58668"/>
    <cellStyle name="40 % - Accent1 3 11 3" xfId="16479"/>
    <cellStyle name="40 % - Accent1 3 11 4" xfId="22969"/>
    <cellStyle name="40 % - Accent1 3 11 5" xfId="35949"/>
    <cellStyle name="40 % - Accent1 3 11 6" xfId="52178"/>
    <cellStyle name="40 % - Accent1 3 12" xfId="6741"/>
    <cellStyle name="40 % - Accent1 3 12 2" xfId="26214"/>
    <cellStyle name="40 % - Accent1 3 12 3" xfId="39194"/>
    <cellStyle name="40 % - Accent1 3 12 4" xfId="55423"/>
    <cellStyle name="40 % - Accent1 3 13" xfId="13234"/>
    <cellStyle name="40 % - Accent1 3 13 2" xfId="48933"/>
    <cellStyle name="40 % - Accent1 3 14" xfId="19724"/>
    <cellStyle name="40 % - Accent1 3 15" xfId="32704"/>
    <cellStyle name="40 % - Accent1 3 16" xfId="45687"/>
    <cellStyle name="40 % - Accent1 3 2" xfId="181"/>
    <cellStyle name="40 % - Accent1 3 2 10" xfId="6763"/>
    <cellStyle name="40 % - Accent1 3 2 10 2" xfId="26236"/>
    <cellStyle name="40 % - Accent1 3 2 10 3" xfId="39216"/>
    <cellStyle name="40 % - Accent1 3 2 10 4" xfId="55445"/>
    <cellStyle name="40 % - Accent1 3 2 11" xfId="13256"/>
    <cellStyle name="40 % - Accent1 3 2 11 2" xfId="48955"/>
    <cellStyle name="40 % - Accent1 3 2 12" xfId="19746"/>
    <cellStyle name="40 % - Accent1 3 2 13" xfId="32726"/>
    <cellStyle name="40 % - Accent1 3 2 14" xfId="45709"/>
    <cellStyle name="40 % - Accent1 3 2 2" xfId="270"/>
    <cellStyle name="40 % - Accent1 3 2 2 10" xfId="19834"/>
    <cellStyle name="40 % - Accent1 3 2 2 11" xfId="32814"/>
    <cellStyle name="40 % - Accent1 3 2 2 12" xfId="45797"/>
    <cellStyle name="40 % - Accent1 3 2 2 2" xfId="358"/>
    <cellStyle name="40 % - Accent1 3 2 2 2 10" xfId="32902"/>
    <cellStyle name="40 % - Accent1 3 2 2 2 11" xfId="45885"/>
    <cellStyle name="40 % - Accent1 3 2 2 2 2" xfId="822"/>
    <cellStyle name="40 % - Accent1 3 2 2 2 2 10" xfId="46345"/>
    <cellStyle name="40 % - Accent1 3 2 2 2 2 2" xfId="1761"/>
    <cellStyle name="40 % - Accent1 3 2 2 2 2 2 2" xfId="3428"/>
    <cellStyle name="40 % - Accent1 3 2 2 2 2 2 2 2" xfId="6673"/>
    <cellStyle name="40 % - Accent1 3 2 2 2 2 2 2 2 2" xfId="13205"/>
    <cellStyle name="40 % - Accent1 3 2 2 2 2 2 2 2 2 2" xfId="32678"/>
    <cellStyle name="40 % - Accent1 3 2 2 2 2 2 2 2 2 3" xfId="45658"/>
    <cellStyle name="40 % - Accent1 3 2 2 2 2 2 2 2 2 4" xfId="61887"/>
    <cellStyle name="40 % - Accent1 3 2 2 2 2 2 2 2 3" xfId="19698"/>
    <cellStyle name="40 % - Accent1 3 2 2 2 2 2 2 2 4" xfId="26188"/>
    <cellStyle name="40 % - Accent1 3 2 2 2 2 2 2 2 5" xfId="39168"/>
    <cellStyle name="40 % - Accent1 3 2 2 2 2 2 2 2 6" xfId="55397"/>
    <cellStyle name="40 % - Accent1 3 2 2 2 2 2 2 3" xfId="9960"/>
    <cellStyle name="40 % - Accent1 3 2 2 2 2 2 2 3 2" xfId="29433"/>
    <cellStyle name="40 % - Accent1 3 2 2 2 2 2 2 3 3" xfId="42413"/>
    <cellStyle name="40 % - Accent1 3 2 2 2 2 2 2 3 4" xfId="58642"/>
    <cellStyle name="40 % - Accent1 3 2 2 2 2 2 2 4" xfId="16453"/>
    <cellStyle name="40 % - Accent1 3 2 2 2 2 2 2 4 2" xfId="52152"/>
    <cellStyle name="40 % - Accent1 3 2 2 2 2 2 2 5" xfId="22943"/>
    <cellStyle name="40 % - Accent1 3 2 2 2 2 2 2 6" xfId="35923"/>
    <cellStyle name="40 % - Accent1 3 2 2 2 2 2 2 7" xfId="48906"/>
    <cellStyle name="40 % - Accent1 3 2 2 2 2 2 3" xfId="5050"/>
    <cellStyle name="40 % - Accent1 3 2 2 2 2 2 3 2" xfId="11582"/>
    <cellStyle name="40 % - Accent1 3 2 2 2 2 2 3 2 2" xfId="31055"/>
    <cellStyle name="40 % - Accent1 3 2 2 2 2 2 3 2 3" xfId="44035"/>
    <cellStyle name="40 % - Accent1 3 2 2 2 2 2 3 2 4" xfId="60264"/>
    <cellStyle name="40 % - Accent1 3 2 2 2 2 2 3 3" xfId="18075"/>
    <cellStyle name="40 % - Accent1 3 2 2 2 2 2 3 4" xfId="24565"/>
    <cellStyle name="40 % - Accent1 3 2 2 2 2 2 3 5" xfId="37545"/>
    <cellStyle name="40 % - Accent1 3 2 2 2 2 2 3 6" xfId="53774"/>
    <cellStyle name="40 % - Accent1 3 2 2 2 2 2 4" xfId="8337"/>
    <cellStyle name="40 % - Accent1 3 2 2 2 2 2 4 2" xfId="27810"/>
    <cellStyle name="40 % - Accent1 3 2 2 2 2 2 4 3" xfId="40790"/>
    <cellStyle name="40 % - Accent1 3 2 2 2 2 2 4 4" xfId="57019"/>
    <cellStyle name="40 % - Accent1 3 2 2 2 2 2 5" xfId="14830"/>
    <cellStyle name="40 % - Accent1 3 2 2 2 2 2 5 2" xfId="50529"/>
    <cellStyle name="40 % - Accent1 3 2 2 2 2 2 6" xfId="21320"/>
    <cellStyle name="40 % - Accent1 3 2 2 2 2 2 7" xfId="34300"/>
    <cellStyle name="40 % - Accent1 3 2 2 2 2 2 8" xfId="47283"/>
    <cellStyle name="40 % - Accent1 3 2 2 2 2 3" xfId="1298"/>
    <cellStyle name="40 % - Accent1 3 2 2 2 2 3 2" xfId="2965"/>
    <cellStyle name="40 % - Accent1 3 2 2 2 2 3 2 2" xfId="6210"/>
    <cellStyle name="40 % - Accent1 3 2 2 2 2 3 2 2 2" xfId="12742"/>
    <cellStyle name="40 % - Accent1 3 2 2 2 2 3 2 2 2 2" xfId="32215"/>
    <cellStyle name="40 % - Accent1 3 2 2 2 2 3 2 2 2 3" xfId="45195"/>
    <cellStyle name="40 % - Accent1 3 2 2 2 2 3 2 2 2 4" xfId="61424"/>
    <cellStyle name="40 % - Accent1 3 2 2 2 2 3 2 2 3" xfId="19235"/>
    <cellStyle name="40 % - Accent1 3 2 2 2 2 3 2 2 4" xfId="25725"/>
    <cellStyle name="40 % - Accent1 3 2 2 2 2 3 2 2 5" xfId="38705"/>
    <cellStyle name="40 % - Accent1 3 2 2 2 2 3 2 2 6" xfId="54934"/>
    <cellStyle name="40 % - Accent1 3 2 2 2 2 3 2 3" xfId="9497"/>
    <cellStyle name="40 % - Accent1 3 2 2 2 2 3 2 3 2" xfId="28970"/>
    <cellStyle name="40 % - Accent1 3 2 2 2 2 3 2 3 3" xfId="41950"/>
    <cellStyle name="40 % - Accent1 3 2 2 2 2 3 2 3 4" xfId="58179"/>
    <cellStyle name="40 % - Accent1 3 2 2 2 2 3 2 4" xfId="15990"/>
    <cellStyle name="40 % - Accent1 3 2 2 2 2 3 2 4 2" xfId="51689"/>
    <cellStyle name="40 % - Accent1 3 2 2 2 2 3 2 5" xfId="22480"/>
    <cellStyle name="40 % - Accent1 3 2 2 2 2 3 2 6" xfId="35460"/>
    <cellStyle name="40 % - Accent1 3 2 2 2 2 3 2 7" xfId="48443"/>
    <cellStyle name="40 % - Accent1 3 2 2 2 2 3 3" xfId="4587"/>
    <cellStyle name="40 % - Accent1 3 2 2 2 2 3 3 2" xfId="11119"/>
    <cellStyle name="40 % - Accent1 3 2 2 2 2 3 3 2 2" xfId="30592"/>
    <cellStyle name="40 % - Accent1 3 2 2 2 2 3 3 2 3" xfId="43572"/>
    <cellStyle name="40 % - Accent1 3 2 2 2 2 3 3 2 4" xfId="59801"/>
    <cellStyle name="40 % - Accent1 3 2 2 2 2 3 3 3" xfId="17612"/>
    <cellStyle name="40 % - Accent1 3 2 2 2 2 3 3 4" xfId="24102"/>
    <cellStyle name="40 % - Accent1 3 2 2 2 2 3 3 5" xfId="37082"/>
    <cellStyle name="40 % - Accent1 3 2 2 2 2 3 3 6" xfId="53311"/>
    <cellStyle name="40 % - Accent1 3 2 2 2 2 3 4" xfId="7874"/>
    <cellStyle name="40 % - Accent1 3 2 2 2 2 3 4 2" xfId="27347"/>
    <cellStyle name="40 % - Accent1 3 2 2 2 2 3 4 3" xfId="40327"/>
    <cellStyle name="40 % - Accent1 3 2 2 2 2 3 4 4" xfId="56556"/>
    <cellStyle name="40 % - Accent1 3 2 2 2 2 3 5" xfId="14367"/>
    <cellStyle name="40 % - Accent1 3 2 2 2 2 3 5 2" xfId="50066"/>
    <cellStyle name="40 % - Accent1 3 2 2 2 2 3 6" xfId="20857"/>
    <cellStyle name="40 % - Accent1 3 2 2 2 2 3 7" xfId="33837"/>
    <cellStyle name="40 % - Accent1 3 2 2 2 2 3 8" xfId="46820"/>
    <cellStyle name="40 % - Accent1 3 2 2 2 2 4" xfId="2490"/>
    <cellStyle name="40 % - Accent1 3 2 2 2 2 4 2" xfId="5735"/>
    <cellStyle name="40 % - Accent1 3 2 2 2 2 4 2 2" xfId="12267"/>
    <cellStyle name="40 % - Accent1 3 2 2 2 2 4 2 2 2" xfId="31740"/>
    <cellStyle name="40 % - Accent1 3 2 2 2 2 4 2 2 3" xfId="44720"/>
    <cellStyle name="40 % - Accent1 3 2 2 2 2 4 2 2 4" xfId="60949"/>
    <cellStyle name="40 % - Accent1 3 2 2 2 2 4 2 3" xfId="18760"/>
    <cellStyle name="40 % - Accent1 3 2 2 2 2 4 2 4" xfId="25250"/>
    <cellStyle name="40 % - Accent1 3 2 2 2 2 4 2 5" xfId="38230"/>
    <cellStyle name="40 % - Accent1 3 2 2 2 2 4 2 6" xfId="54459"/>
    <cellStyle name="40 % - Accent1 3 2 2 2 2 4 3" xfId="9022"/>
    <cellStyle name="40 % - Accent1 3 2 2 2 2 4 3 2" xfId="28495"/>
    <cellStyle name="40 % - Accent1 3 2 2 2 2 4 3 3" xfId="41475"/>
    <cellStyle name="40 % - Accent1 3 2 2 2 2 4 3 4" xfId="57704"/>
    <cellStyle name="40 % - Accent1 3 2 2 2 2 4 4" xfId="15515"/>
    <cellStyle name="40 % - Accent1 3 2 2 2 2 4 4 2" xfId="51214"/>
    <cellStyle name="40 % - Accent1 3 2 2 2 2 4 5" xfId="22005"/>
    <cellStyle name="40 % - Accent1 3 2 2 2 2 4 6" xfId="34985"/>
    <cellStyle name="40 % - Accent1 3 2 2 2 2 4 7" xfId="47968"/>
    <cellStyle name="40 % - Accent1 3 2 2 2 2 5" xfId="4112"/>
    <cellStyle name="40 % - Accent1 3 2 2 2 2 5 2" xfId="10644"/>
    <cellStyle name="40 % - Accent1 3 2 2 2 2 5 2 2" xfId="30117"/>
    <cellStyle name="40 % - Accent1 3 2 2 2 2 5 2 3" xfId="43097"/>
    <cellStyle name="40 % - Accent1 3 2 2 2 2 5 2 4" xfId="59326"/>
    <cellStyle name="40 % - Accent1 3 2 2 2 2 5 3" xfId="17137"/>
    <cellStyle name="40 % - Accent1 3 2 2 2 2 5 4" xfId="23627"/>
    <cellStyle name="40 % - Accent1 3 2 2 2 2 5 5" xfId="36607"/>
    <cellStyle name="40 % - Accent1 3 2 2 2 2 5 6" xfId="52836"/>
    <cellStyle name="40 % - Accent1 3 2 2 2 2 6" xfId="7399"/>
    <cellStyle name="40 % - Accent1 3 2 2 2 2 6 2" xfId="26872"/>
    <cellStyle name="40 % - Accent1 3 2 2 2 2 6 3" xfId="39852"/>
    <cellStyle name="40 % - Accent1 3 2 2 2 2 6 4" xfId="56081"/>
    <cellStyle name="40 % - Accent1 3 2 2 2 2 7" xfId="13892"/>
    <cellStyle name="40 % - Accent1 3 2 2 2 2 7 2" xfId="49591"/>
    <cellStyle name="40 % - Accent1 3 2 2 2 2 8" xfId="20382"/>
    <cellStyle name="40 % - Accent1 3 2 2 2 2 9" xfId="33362"/>
    <cellStyle name="40 % - Accent1 3 2 2 2 3" xfId="592"/>
    <cellStyle name="40 % - Accent1 3 2 2 2 3 2" xfId="1541"/>
    <cellStyle name="40 % - Accent1 3 2 2 2 3 2 2" xfId="3208"/>
    <cellStyle name="40 % - Accent1 3 2 2 2 3 2 2 2" xfId="6453"/>
    <cellStyle name="40 % - Accent1 3 2 2 2 3 2 2 2 2" xfId="12985"/>
    <cellStyle name="40 % - Accent1 3 2 2 2 3 2 2 2 2 2" xfId="32458"/>
    <cellStyle name="40 % - Accent1 3 2 2 2 3 2 2 2 2 3" xfId="45438"/>
    <cellStyle name="40 % - Accent1 3 2 2 2 3 2 2 2 2 4" xfId="61667"/>
    <cellStyle name="40 % - Accent1 3 2 2 2 3 2 2 2 3" xfId="19478"/>
    <cellStyle name="40 % - Accent1 3 2 2 2 3 2 2 2 4" xfId="25968"/>
    <cellStyle name="40 % - Accent1 3 2 2 2 3 2 2 2 5" xfId="38948"/>
    <cellStyle name="40 % - Accent1 3 2 2 2 3 2 2 2 6" xfId="55177"/>
    <cellStyle name="40 % - Accent1 3 2 2 2 3 2 2 3" xfId="9740"/>
    <cellStyle name="40 % - Accent1 3 2 2 2 3 2 2 3 2" xfId="29213"/>
    <cellStyle name="40 % - Accent1 3 2 2 2 3 2 2 3 3" xfId="42193"/>
    <cellStyle name="40 % - Accent1 3 2 2 2 3 2 2 3 4" xfId="58422"/>
    <cellStyle name="40 % - Accent1 3 2 2 2 3 2 2 4" xfId="16233"/>
    <cellStyle name="40 % - Accent1 3 2 2 2 3 2 2 4 2" xfId="51932"/>
    <cellStyle name="40 % - Accent1 3 2 2 2 3 2 2 5" xfId="22723"/>
    <cellStyle name="40 % - Accent1 3 2 2 2 3 2 2 6" xfId="35703"/>
    <cellStyle name="40 % - Accent1 3 2 2 2 3 2 2 7" xfId="48686"/>
    <cellStyle name="40 % - Accent1 3 2 2 2 3 2 3" xfId="4830"/>
    <cellStyle name="40 % - Accent1 3 2 2 2 3 2 3 2" xfId="11362"/>
    <cellStyle name="40 % - Accent1 3 2 2 2 3 2 3 2 2" xfId="30835"/>
    <cellStyle name="40 % - Accent1 3 2 2 2 3 2 3 2 3" xfId="43815"/>
    <cellStyle name="40 % - Accent1 3 2 2 2 3 2 3 2 4" xfId="60044"/>
    <cellStyle name="40 % - Accent1 3 2 2 2 3 2 3 3" xfId="17855"/>
    <cellStyle name="40 % - Accent1 3 2 2 2 3 2 3 4" xfId="24345"/>
    <cellStyle name="40 % - Accent1 3 2 2 2 3 2 3 5" xfId="37325"/>
    <cellStyle name="40 % - Accent1 3 2 2 2 3 2 3 6" xfId="53554"/>
    <cellStyle name="40 % - Accent1 3 2 2 2 3 2 4" xfId="8117"/>
    <cellStyle name="40 % - Accent1 3 2 2 2 3 2 4 2" xfId="27590"/>
    <cellStyle name="40 % - Accent1 3 2 2 2 3 2 4 3" xfId="40570"/>
    <cellStyle name="40 % - Accent1 3 2 2 2 3 2 4 4" xfId="56799"/>
    <cellStyle name="40 % - Accent1 3 2 2 2 3 2 5" xfId="14610"/>
    <cellStyle name="40 % - Accent1 3 2 2 2 3 2 5 2" xfId="50309"/>
    <cellStyle name="40 % - Accent1 3 2 2 2 3 2 6" xfId="21100"/>
    <cellStyle name="40 % - Accent1 3 2 2 2 3 2 7" xfId="34080"/>
    <cellStyle name="40 % - Accent1 3 2 2 2 3 2 8" xfId="47063"/>
    <cellStyle name="40 % - Accent1 3 2 2 2 3 3" xfId="2260"/>
    <cellStyle name="40 % - Accent1 3 2 2 2 3 3 2" xfId="5505"/>
    <cellStyle name="40 % - Accent1 3 2 2 2 3 3 2 2" xfId="12037"/>
    <cellStyle name="40 % - Accent1 3 2 2 2 3 3 2 2 2" xfId="31510"/>
    <cellStyle name="40 % - Accent1 3 2 2 2 3 3 2 2 3" xfId="44490"/>
    <cellStyle name="40 % - Accent1 3 2 2 2 3 3 2 2 4" xfId="60719"/>
    <cellStyle name="40 % - Accent1 3 2 2 2 3 3 2 3" xfId="18530"/>
    <cellStyle name="40 % - Accent1 3 2 2 2 3 3 2 4" xfId="25020"/>
    <cellStyle name="40 % - Accent1 3 2 2 2 3 3 2 5" xfId="38000"/>
    <cellStyle name="40 % - Accent1 3 2 2 2 3 3 2 6" xfId="54229"/>
    <cellStyle name="40 % - Accent1 3 2 2 2 3 3 3" xfId="8792"/>
    <cellStyle name="40 % - Accent1 3 2 2 2 3 3 3 2" xfId="28265"/>
    <cellStyle name="40 % - Accent1 3 2 2 2 3 3 3 3" xfId="41245"/>
    <cellStyle name="40 % - Accent1 3 2 2 2 3 3 3 4" xfId="57474"/>
    <cellStyle name="40 % - Accent1 3 2 2 2 3 3 4" xfId="15285"/>
    <cellStyle name="40 % - Accent1 3 2 2 2 3 3 4 2" xfId="50984"/>
    <cellStyle name="40 % - Accent1 3 2 2 2 3 3 5" xfId="21775"/>
    <cellStyle name="40 % - Accent1 3 2 2 2 3 3 6" xfId="34755"/>
    <cellStyle name="40 % - Accent1 3 2 2 2 3 3 7" xfId="47738"/>
    <cellStyle name="40 % - Accent1 3 2 2 2 3 4" xfId="3882"/>
    <cellStyle name="40 % - Accent1 3 2 2 2 3 4 2" xfId="10414"/>
    <cellStyle name="40 % - Accent1 3 2 2 2 3 4 2 2" xfId="29887"/>
    <cellStyle name="40 % - Accent1 3 2 2 2 3 4 2 3" xfId="42867"/>
    <cellStyle name="40 % - Accent1 3 2 2 2 3 4 2 4" xfId="59096"/>
    <cellStyle name="40 % - Accent1 3 2 2 2 3 4 3" xfId="16907"/>
    <cellStyle name="40 % - Accent1 3 2 2 2 3 4 4" xfId="23397"/>
    <cellStyle name="40 % - Accent1 3 2 2 2 3 4 5" xfId="36377"/>
    <cellStyle name="40 % - Accent1 3 2 2 2 3 4 6" xfId="52606"/>
    <cellStyle name="40 % - Accent1 3 2 2 2 3 5" xfId="7169"/>
    <cellStyle name="40 % - Accent1 3 2 2 2 3 5 2" xfId="26642"/>
    <cellStyle name="40 % - Accent1 3 2 2 2 3 5 3" xfId="39622"/>
    <cellStyle name="40 % - Accent1 3 2 2 2 3 5 4" xfId="55851"/>
    <cellStyle name="40 % - Accent1 3 2 2 2 3 6" xfId="13662"/>
    <cellStyle name="40 % - Accent1 3 2 2 2 3 6 2" xfId="49361"/>
    <cellStyle name="40 % - Accent1 3 2 2 2 3 7" xfId="20152"/>
    <cellStyle name="40 % - Accent1 3 2 2 2 3 8" xfId="33132"/>
    <cellStyle name="40 % - Accent1 3 2 2 2 3 9" xfId="46115"/>
    <cellStyle name="40 % - Accent1 3 2 2 2 4" xfId="1078"/>
    <cellStyle name="40 % - Accent1 3 2 2 2 4 2" xfId="2745"/>
    <cellStyle name="40 % - Accent1 3 2 2 2 4 2 2" xfId="5990"/>
    <cellStyle name="40 % - Accent1 3 2 2 2 4 2 2 2" xfId="12522"/>
    <cellStyle name="40 % - Accent1 3 2 2 2 4 2 2 2 2" xfId="31995"/>
    <cellStyle name="40 % - Accent1 3 2 2 2 4 2 2 2 3" xfId="44975"/>
    <cellStyle name="40 % - Accent1 3 2 2 2 4 2 2 2 4" xfId="61204"/>
    <cellStyle name="40 % - Accent1 3 2 2 2 4 2 2 3" xfId="19015"/>
    <cellStyle name="40 % - Accent1 3 2 2 2 4 2 2 4" xfId="25505"/>
    <cellStyle name="40 % - Accent1 3 2 2 2 4 2 2 5" xfId="38485"/>
    <cellStyle name="40 % - Accent1 3 2 2 2 4 2 2 6" xfId="54714"/>
    <cellStyle name="40 % - Accent1 3 2 2 2 4 2 3" xfId="9277"/>
    <cellStyle name="40 % - Accent1 3 2 2 2 4 2 3 2" xfId="28750"/>
    <cellStyle name="40 % - Accent1 3 2 2 2 4 2 3 3" xfId="41730"/>
    <cellStyle name="40 % - Accent1 3 2 2 2 4 2 3 4" xfId="57959"/>
    <cellStyle name="40 % - Accent1 3 2 2 2 4 2 4" xfId="15770"/>
    <cellStyle name="40 % - Accent1 3 2 2 2 4 2 4 2" xfId="51469"/>
    <cellStyle name="40 % - Accent1 3 2 2 2 4 2 5" xfId="22260"/>
    <cellStyle name="40 % - Accent1 3 2 2 2 4 2 6" xfId="35240"/>
    <cellStyle name="40 % - Accent1 3 2 2 2 4 2 7" xfId="48223"/>
    <cellStyle name="40 % - Accent1 3 2 2 2 4 3" xfId="4367"/>
    <cellStyle name="40 % - Accent1 3 2 2 2 4 3 2" xfId="10899"/>
    <cellStyle name="40 % - Accent1 3 2 2 2 4 3 2 2" xfId="30372"/>
    <cellStyle name="40 % - Accent1 3 2 2 2 4 3 2 3" xfId="43352"/>
    <cellStyle name="40 % - Accent1 3 2 2 2 4 3 2 4" xfId="59581"/>
    <cellStyle name="40 % - Accent1 3 2 2 2 4 3 3" xfId="17392"/>
    <cellStyle name="40 % - Accent1 3 2 2 2 4 3 4" xfId="23882"/>
    <cellStyle name="40 % - Accent1 3 2 2 2 4 3 5" xfId="36862"/>
    <cellStyle name="40 % - Accent1 3 2 2 2 4 3 6" xfId="53091"/>
    <cellStyle name="40 % - Accent1 3 2 2 2 4 4" xfId="7654"/>
    <cellStyle name="40 % - Accent1 3 2 2 2 4 4 2" xfId="27127"/>
    <cellStyle name="40 % - Accent1 3 2 2 2 4 4 3" xfId="40107"/>
    <cellStyle name="40 % - Accent1 3 2 2 2 4 4 4" xfId="56336"/>
    <cellStyle name="40 % - Accent1 3 2 2 2 4 5" xfId="14147"/>
    <cellStyle name="40 % - Accent1 3 2 2 2 4 5 2" xfId="49846"/>
    <cellStyle name="40 % - Accent1 3 2 2 2 4 6" xfId="20637"/>
    <cellStyle name="40 % - Accent1 3 2 2 2 4 7" xfId="33617"/>
    <cellStyle name="40 % - Accent1 3 2 2 2 4 8" xfId="46600"/>
    <cellStyle name="40 % - Accent1 3 2 2 2 5" xfId="2031"/>
    <cellStyle name="40 % - Accent1 3 2 2 2 5 2" xfId="5276"/>
    <cellStyle name="40 % - Accent1 3 2 2 2 5 2 2" xfId="11808"/>
    <cellStyle name="40 % - Accent1 3 2 2 2 5 2 2 2" xfId="31281"/>
    <cellStyle name="40 % - Accent1 3 2 2 2 5 2 2 3" xfId="44261"/>
    <cellStyle name="40 % - Accent1 3 2 2 2 5 2 2 4" xfId="60490"/>
    <cellStyle name="40 % - Accent1 3 2 2 2 5 2 3" xfId="18301"/>
    <cellStyle name="40 % - Accent1 3 2 2 2 5 2 4" xfId="24791"/>
    <cellStyle name="40 % - Accent1 3 2 2 2 5 2 5" xfId="37771"/>
    <cellStyle name="40 % - Accent1 3 2 2 2 5 2 6" xfId="54000"/>
    <cellStyle name="40 % - Accent1 3 2 2 2 5 3" xfId="8563"/>
    <cellStyle name="40 % - Accent1 3 2 2 2 5 3 2" xfId="28036"/>
    <cellStyle name="40 % - Accent1 3 2 2 2 5 3 3" xfId="41016"/>
    <cellStyle name="40 % - Accent1 3 2 2 2 5 3 4" xfId="57245"/>
    <cellStyle name="40 % - Accent1 3 2 2 2 5 4" xfId="15056"/>
    <cellStyle name="40 % - Accent1 3 2 2 2 5 4 2" xfId="50755"/>
    <cellStyle name="40 % - Accent1 3 2 2 2 5 5" xfId="21546"/>
    <cellStyle name="40 % - Accent1 3 2 2 2 5 6" xfId="34526"/>
    <cellStyle name="40 % - Accent1 3 2 2 2 5 7" xfId="47509"/>
    <cellStyle name="40 % - Accent1 3 2 2 2 6" xfId="3652"/>
    <cellStyle name="40 % - Accent1 3 2 2 2 6 2" xfId="10184"/>
    <cellStyle name="40 % - Accent1 3 2 2 2 6 2 2" xfId="29657"/>
    <cellStyle name="40 % - Accent1 3 2 2 2 6 2 3" xfId="42637"/>
    <cellStyle name="40 % - Accent1 3 2 2 2 6 2 4" xfId="58866"/>
    <cellStyle name="40 % - Accent1 3 2 2 2 6 3" xfId="16677"/>
    <cellStyle name="40 % - Accent1 3 2 2 2 6 4" xfId="23167"/>
    <cellStyle name="40 % - Accent1 3 2 2 2 6 5" xfId="36147"/>
    <cellStyle name="40 % - Accent1 3 2 2 2 6 6" xfId="52376"/>
    <cellStyle name="40 % - Accent1 3 2 2 2 7" xfId="6939"/>
    <cellStyle name="40 % - Accent1 3 2 2 2 7 2" xfId="26412"/>
    <cellStyle name="40 % - Accent1 3 2 2 2 7 3" xfId="39392"/>
    <cellStyle name="40 % - Accent1 3 2 2 2 7 4" xfId="55621"/>
    <cellStyle name="40 % - Accent1 3 2 2 2 8" xfId="13432"/>
    <cellStyle name="40 % - Accent1 3 2 2 2 8 2" xfId="49131"/>
    <cellStyle name="40 % - Accent1 3 2 2 2 9" xfId="19922"/>
    <cellStyle name="40 % - Accent1 3 2 2 3" xfId="734"/>
    <cellStyle name="40 % - Accent1 3 2 2 3 10" xfId="46257"/>
    <cellStyle name="40 % - Accent1 3 2 2 3 2" xfId="1673"/>
    <cellStyle name="40 % - Accent1 3 2 2 3 2 2" xfId="3340"/>
    <cellStyle name="40 % - Accent1 3 2 2 3 2 2 2" xfId="6585"/>
    <cellStyle name="40 % - Accent1 3 2 2 3 2 2 2 2" xfId="13117"/>
    <cellStyle name="40 % - Accent1 3 2 2 3 2 2 2 2 2" xfId="32590"/>
    <cellStyle name="40 % - Accent1 3 2 2 3 2 2 2 2 3" xfId="45570"/>
    <cellStyle name="40 % - Accent1 3 2 2 3 2 2 2 2 4" xfId="61799"/>
    <cellStyle name="40 % - Accent1 3 2 2 3 2 2 2 3" xfId="19610"/>
    <cellStyle name="40 % - Accent1 3 2 2 3 2 2 2 4" xfId="26100"/>
    <cellStyle name="40 % - Accent1 3 2 2 3 2 2 2 5" xfId="39080"/>
    <cellStyle name="40 % - Accent1 3 2 2 3 2 2 2 6" xfId="55309"/>
    <cellStyle name="40 % - Accent1 3 2 2 3 2 2 3" xfId="9872"/>
    <cellStyle name="40 % - Accent1 3 2 2 3 2 2 3 2" xfId="29345"/>
    <cellStyle name="40 % - Accent1 3 2 2 3 2 2 3 3" xfId="42325"/>
    <cellStyle name="40 % - Accent1 3 2 2 3 2 2 3 4" xfId="58554"/>
    <cellStyle name="40 % - Accent1 3 2 2 3 2 2 4" xfId="16365"/>
    <cellStyle name="40 % - Accent1 3 2 2 3 2 2 4 2" xfId="52064"/>
    <cellStyle name="40 % - Accent1 3 2 2 3 2 2 5" xfId="22855"/>
    <cellStyle name="40 % - Accent1 3 2 2 3 2 2 6" xfId="35835"/>
    <cellStyle name="40 % - Accent1 3 2 2 3 2 2 7" xfId="48818"/>
    <cellStyle name="40 % - Accent1 3 2 2 3 2 3" xfId="4962"/>
    <cellStyle name="40 % - Accent1 3 2 2 3 2 3 2" xfId="11494"/>
    <cellStyle name="40 % - Accent1 3 2 2 3 2 3 2 2" xfId="30967"/>
    <cellStyle name="40 % - Accent1 3 2 2 3 2 3 2 3" xfId="43947"/>
    <cellStyle name="40 % - Accent1 3 2 2 3 2 3 2 4" xfId="60176"/>
    <cellStyle name="40 % - Accent1 3 2 2 3 2 3 3" xfId="17987"/>
    <cellStyle name="40 % - Accent1 3 2 2 3 2 3 4" xfId="24477"/>
    <cellStyle name="40 % - Accent1 3 2 2 3 2 3 5" xfId="37457"/>
    <cellStyle name="40 % - Accent1 3 2 2 3 2 3 6" xfId="53686"/>
    <cellStyle name="40 % - Accent1 3 2 2 3 2 4" xfId="8249"/>
    <cellStyle name="40 % - Accent1 3 2 2 3 2 4 2" xfId="27722"/>
    <cellStyle name="40 % - Accent1 3 2 2 3 2 4 3" xfId="40702"/>
    <cellStyle name="40 % - Accent1 3 2 2 3 2 4 4" xfId="56931"/>
    <cellStyle name="40 % - Accent1 3 2 2 3 2 5" xfId="14742"/>
    <cellStyle name="40 % - Accent1 3 2 2 3 2 5 2" xfId="50441"/>
    <cellStyle name="40 % - Accent1 3 2 2 3 2 6" xfId="21232"/>
    <cellStyle name="40 % - Accent1 3 2 2 3 2 7" xfId="34212"/>
    <cellStyle name="40 % - Accent1 3 2 2 3 2 8" xfId="47195"/>
    <cellStyle name="40 % - Accent1 3 2 2 3 3" xfId="1210"/>
    <cellStyle name="40 % - Accent1 3 2 2 3 3 2" xfId="2877"/>
    <cellStyle name="40 % - Accent1 3 2 2 3 3 2 2" xfId="6122"/>
    <cellStyle name="40 % - Accent1 3 2 2 3 3 2 2 2" xfId="12654"/>
    <cellStyle name="40 % - Accent1 3 2 2 3 3 2 2 2 2" xfId="32127"/>
    <cellStyle name="40 % - Accent1 3 2 2 3 3 2 2 2 3" xfId="45107"/>
    <cellStyle name="40 % - Accent1 3 2 2 3 3 2 2 2 4" xfId="61336"/>
    <cellStyle name="40 % - Accent1 3 2 2 3 3 2 2 3" xfId="19147"/>
    <cellStyle name="40 % - Accent1 3 2 2 3 3 2 2 4" xfId="25637"/>
    <cellStyle name="40 % - Accent1 3 2 2 3 3 2 2 5" xfId="38617"/>
    <cellStyle name="40 % - Accent1 3 2 2 3 3 2 2 6" xfId="54846"/>
    <cellStyle name="40 % - Accent1 3 2 2 3 3 2 3" xfId="9409"/>
    <cellStyle name="40 % - Accent1 3 2 2 3 3 2 3 2" xfId="28882"/>
    <cellStyle name="40 % - Accent1 3 2 2 3 3 2 3 3" xfId="41862"/>
    <cellStyle name="40 % - Accent1 3 2 2 3 3 2 3 4" xfId="58091"/>
    <cellStyle name="40 % - Accent1 3 2 2 3 3 2 4" xfId="15902"/>
    <cellStyle name="40 % - Accent1 3 2 2 3 3 2 4 2" xfId="51601"/>
    <cellStyle name="40 % - Accent1 3 2 2 3 3 2 5" xfId="22392"/>
    <cellStyle name="40 % - Accent1 3 2 2 3 3 2 6" xfId="35372"/>
    <cellStyle name="40 % - Accent1 3 2 2 3 3 2 7" xfId="48355"/>
    <cellStyle name="40 % - Accent1 3 2 2 3 3 3" xfId="4499"/>
    <cellStyle name="40 % - Accent1 3 2 2 3 3 3 2" xfId="11031"/>
    <cellStyle name="40 % - Accent1 3 2 2 3 3 3 2 2" xfId="30504"/>
    <cellStyle name="40 % - Accent1 3 2 2 3 3 3 2 3" xfId="43484"/>
    <cellStyle name="40 % - Accent1 3 2 2 3 3 3 2 4" xfId="59713"/>
    <cellStyle name="40 % - Accent1 3 2 2 3 3 3 3" xfId="17524"/>
    <cellStyle name="40 % - Accent1 3 2 2 3 3 3 4" xfId="24014"/>
    <cellStyle name="40 % - Accent1 3 2 2 3 3 3 5" xfId="36994"/>
    <cellStyle name="40 % - Accent1 3 2 2 3 3 3 6" xfId="53223"/>
    <cellStyle name="40 % - Accent1 3 2 2 3 3 4" xfId="7786"/>
    <cellStyle name="40 % - Accent1 3 2 2 3 3 4 2" xfId="27259"/>
    <cellStyle name="40 % - Accent1 3 2 2 3 3 4 3" xfId="40239"/>
    <cellStyle name="40 % - Accent1 3 2 2 3 3 4 4" xfId="56468"/>
    <cellStyle name="40 % - Accent1 3 2 2 3 3 5" xfId="14279"/>
    <cellStyle name="40 % - Accent1 3 2 2 3 3 5 2" xfId="49978"/>
    <cellStyle name="40 % - Accent1 3 2 2 3 3 6" xfId="20769"/>
    <cellStyle name="40 % - Accent1 3 2 2 3 3 7" xfId="33749"/>
    <cellStyle name="40 % - Accent1 3 2 2 3 3 8" xfId="46732"/>
    <cellStyle name="40 % - Accent1 3 2 2 3 4" xfId="2402"/>
    <cellStyle name="40 % - Accent1 3 2 2 3 4 2" xfId="5647"/>
    <cellStyle name="40 % - Accent1 3 2 2 3 4 2 2" xfId="12179"/>
    <cellStyle name="40 % - Accent1 3 2 2 3 4 2 2 2" xfId="31652"/>
    <cellStyle name="40 % - Accent1 3 2 2 3 4 2 2 3" xfId="44632"/>
    <cellStyle name="40 % - Accent1 3 2 2 3 4 2 2 4" xfId="60861"/>
    <cellStyle name="40 % - Accent1 3 2 2 3 4 2 3" xfId="18672"/>
    <cellStyle name="40 % - Accent1 3 2 2 3 4 2 4" xfId="25162"/>
    <cellStyle name="40 % - Accent1 3 2 2 3 4 2 5" xfId="38142"/>
    <cellStyle name="40 % - Accent1 3 2 2 3 4 2 6" xfId="54371"/>
    <cellStyle name="40 % - Accent1 3 2 2 3 4 3" xfId="8934"/>
    <cellStyle name="40 % - Accent1 3 2 2 3 4 3 2" xfId="28407"/>
    <cellStyle name="40 % - Accent1 3 2 2 3 4 3 3" xfId="41387"/>
    <cellStyle name="40 % - Accent1 3 2 2 3 4 3 4" xfId="57616"/>
    <cellStyle name="40 % - Accent1 3 2 2 3 4 4" xfId="15427"/>
    <cellStyle name="40 % - Accent1 3 2 2 3 4 4 2" xfId="51126"/>
    <cellStyle name="40 % - Accent1 3 2 2 3 4 5" xfId="21917"/>
    <cellStyle name="40 % - Accent1 3 2 2 3 4 6" xfId="34897"/>
    <cellStyle name="40 % - Accent1 3 2 2 3 4 7" xfId="47880"/>
    <cellStyle name="40 % - Accent1 3 2 2 3 5" xfId="4024"/>
    <cellStyle name="40 % - Accent1 3 2 2 3 5 2" xfId="10556"/>
    <cellStyle name="40 % - Accent1 3 2 2 3 5 2 2" xfId="30029"/>
    <cellStyle name="40 % - Accent1 3 2 2 3 5 2 3" xfId="43009"/>
    <cellStyle name="40 % - Accent1 3 2 2 3 5 2 4" xfId="59238"/>
    <cellStyle name="40 % - Accent1 3 2 2 3 5 3" xfId="17049"/>
    <cellStyle name="40 % - Accent1 3 2 2 3 5 4" xfId="23539"/>
    <cellStyle name="40 % - Accent1 3 2 2 3 5 5" xfId="36519"/>
    <cellStyle name="40 % - Accent1 3 2 2 3 5 6" xfId="52748"/>
    <cellStyle name="40 % - Accent1 3 2 2 3 6" xfId="7311"/>
    <cellStyle name="40 % - Accent1 3 2 2 3 6 2" xfId="26784"/>
    <cellStyle name="40 % - Accent1 3 2 2 3 6 3" xfId="39764"/>
    <cellStyle name="40 % - Accent1 3 2 2 3 6 4" xfId="55993"/>
    <cellStyle name="40 % - Accent1 3 2 2 3 7" xfId="13804"/>
    <cellStyle name="40 % - Accent1 3 2 2 3 7 2" xfId="49503"/>
    <cellStyle name="40 % - Accent1 3 2 2 3 8" xfId="20294"/>
    <cellStyle name="40 % - Accent1 3 2 2 3 9" xfId="33274"/>
    <cellStyle name="40 % - Accent1 3 2 2 4" xfId="504"/>
    <cellStyle name="40 % - Accent1 3 2 2 4 2" xfId="1453"/>
    <cellStyle name="40 % - Accent1 3 2 2 4 2 2" xfId="3120"/>
    <cellStyle name="40 % - Accent1 3 2 2 4 2 2 2" xfId="6365"/>
    <cellStyle name="40 % - Accent1 3 2 2 4 2 2 2 2" xfId="12897"/>
    <cellStyle name="40 % - Accent1 3 2 2 4 2 2 2 2 2" xfId="32370"/>
    <cellStyle name="40 % - Accent1 3 2 2 4 2 2 2 2 3" xfId="45350"/>
    <cellStyle name="40 % - Accent1 3 2 2 4 2 2 2 2 4" xfId="61579"/>
    <cellStyle name="40 % - Accent1 3 2 2 4 2 2 2 3" xfId="19390"/>
    <cellStyle name="40 % - Accent1 3 2 2 4 2 2 2 4" xfId="25880"/>
    <cellStyle name="40 % - Accent1 3 2 2 4 2 2 2 5" xfId="38860"/>
    <cellStyle name="40 % - Accent1 3 2 2 4 2 2 2 6" xfId="55089"/>
    <cellStyle name="40 % - Accent1 3 2 2 4 2 2 3" xfId="9652"/>
    <cellStyle name="40 % - Accent1 3 2 2 4 2 2 3 2" xfId="29125"/>
    <cellStyle name="40 % - Accent1 3 2 2 4 2 2 3 3" xfId="42105"/>
    <cellStyle name="40 % - Accent1 3 2 2 4 2 2 3 4" xfId="58334"/>
    <cellStyle name="40 % - Accent1 3 2 2 4 2 2 4" xfId="16145"/>
    <cellStyle name="40 % - Accent1 3 2 2 4 2 2 4 2" xfId="51844"/>
    <cellStyle name="40 % - Accent1 3 2 2 4 2 2 5" xfId="22635"/>
    <cellStyle name="40 % - Accent1 3 2 2 4 2 2 6" xfId="35615"/>
    <cellStyle name="40 % - Accent1 3 2 2 4 2 2 7" xfId="48598"/>
    <cellStyle name="40 % - Accent1 3 2 2 4 2 3" xfId="4742"/>
    <cellStyle name="40 % - Accent1 3 2 2 4 2 3 2" xfId="11274"/>
    <cellStyle name="40 % - Accent1 3 2 2 4 2 3 2 2" xfId="30747"/>
    <cellStyle name="40 % - Accent1 3 2 2 4 2 3 2 3" xfId="43727"/>
    <cellStyle name="40 % - Accent1 3 2 2 4 2 3 2 4" xfId="59956"/>
    <cellStyle name="40 % - Accent1 3 2 2 4 2 3 3" xfId="17767"/>
    <cellStyle name="40 % - Accent1 3 2 2 4 2 3 4" xfId="24257"/>
    <cellStyle name="40 % - Accent1 3 2 2 4 2 3 5" xfId="37237"/>
    <cellStyle name="40 % - Accent1 3 2 2 4 2 3 6" xfId="53466"/>
    <cellStyle name="40 % - Accent1 3 2 2 4 2 4" xfId="8029"/>
    <cellStyle name="40 % - Accent1 3 2 2 4 2 4 2" xfId="27502"/>
    <cellStyle name="40 % - Accent1 3 2 2 4 2 4 3" xfId="40482"/>
    <cellStyle name="40 % - Accent1 3 2 2 4 2 4 4" xfId="56711"/>
    <cellStyle name="40 % - Accent1 3 2 2 4 2 5" xfId="14522"/>
    <cellStyle name="40 % - Accent1 3 2 2 4 2 5 2" xfId="50221"/>
    <cellStyle name="40 % - Accent1 3 2 2 4 2 6" xfId="21012"/>
    <cellStyle name="40 % - Accent1 3 2 2 4 2 7" xfId="33992"/>
    <cellStyle name="40 % - Accent1 3 2 2 4 2 8" xfId="46975"/>
    <cellStyle name="40 % - Accent1 3 2 2 4 3" xfId="2172"/>
    <cellStyle name="40 % - Accent1 3 2 2 4 3 2" xfId="5417"/>
    <cellStyle name="40 % - Accent1 3 2 2 4 3 2 2" xfId="11949"/>
    <cellStyle name="40 % - Accent1 3 2 2 4 3 2 2 2" xfId="31422"/>
    <cellStyle name="40 % - Accent1 3 2 2 4 3 2 2 3" xfId="44402"/>
    <cellStyle name="40 % - Accent1 3 2 2 4 3 2 2 4" xfId="60631"/>
    <cellStyle name="40 % - Accent1 3 2 2 4 3 2 3" xfId="18442"/>
    <cellStyle name="40 % - Accent1 3 2 2 4 3 2 4" xfId="24932"/>
    <cellStyle name="40 % - Accent1 3 2 2 4 3 2 5" xfId="37912"/>
    <cellStyle name="40 % - Accent1 3 2 2 4 3 2 6" xfId="54141"/>
    <cellStyle name="40 % - Accent1 3 2 2 4 3 3" xfId="8704"/>
    <cellStyle name="40 % - Accent1 3 2 2 4 3 3 2" xfId="28177"/>
    <cellStyle name="40 % - Accent1 3 2 2 4 3 3 3" xfId="41157"/>
    <cellStyle name="40 % - Accent1 3 2 2 4 3 3 4" xfId="57386"/>
    <cellStyle name="40 % - Accent1 3 2 2 4 3 4" xfId="15197"/>
    <cellStyle name="40 % - Accent1 3 2 2 4 3 4 2" xfId="50896"/>
    <cellStyle name="40 % - Accent1 3 2 2 4 3 5" xfId="21687"/>
    <cellStyle name="40 % - Accent1 3 2 2 4 3 6" xfId="34667"/>
    <cellStyle name="40 % - Accent1 3 2 2 4 3 7" xfId="47650"/>
    <cellStyle name="40 % - Accent1 3 2 2 4 4" xfId="3794"/>
    <cellStyle name="40 % - Accent1 3 2 2 4 4 2" xfId="10326"/>
    <cellStyle name="40 % - Accent1 3 2 2 4 4 2 2" xfId="29799"/>
    <cellStyle name="40 % - Accent1 3 2 2 4 4 2 3" xfId="42779"/>
    <cellStyle name="40 % - Accent1 3 2 2 4 4 2 4" xfId="59008"/>
    <cellStyle name="40 % - Accent1 3 2 2 4 4 3" xfId="16819"/>
    <cellStyle name="40 % - Accent1 3 2 2 4 4 4" xfId="23309"/>
    <cellStyle name="40 % - Accent1 3 2 2 4 4 5" xfId="36289"/>
    <cellStyle name="40 % - Accent1 3 2 2 4 4 6" xfId="52518"/>
    <cellStyle name="40 % - Accent1 3 2 2 4 5" xfId="7081"/>
    <cellStyle name="40 % - Accent1 3 2 2 4 5 2" xfId="26554"/>
    <cellStyle name="40 % - Accent1 3 2 2 4 5 3" xfId="39534"/>
    <cellStyle name="40 % - Accent1 3 2 2 4 5 4" xfId="55763"/>
    <cellStyle name="40 % - Accent1 3 2 2 4 6" xfId="13574"/>
    <cellStyle name="40 % - Accent1 3 2 2 4 6 2" xfId="49273"/>
    <cellStyle name="40 % - Accent1 3 2 2 4 7" xfId="20064"/>
    <cellStyle name="40 % - Accent1 3 2 2 4 8" xfId="33044"/>
    <cellStyle name="40 % - Accent1 3 2 2 4 9" xfId="46027"/>
    <cellStyle name="40 % - Accent1 3 2 2 5" xfId="990"/>
    <cellStyle name="40 % - Accent1 3 2 2 5 2" xfId="2657"/>
    <cellStyle name="40 % - Accent1 3 2 2 5 2 2" xfId="5902"/>
    <cellStyle name="40 % - Accent1 3 2 2 5 2 2 2" xfId="12434"/>
    <cellStyle name="40 % - Accent1 3 2 2 5 2 2 2 2" xfId="31907"/>
    <cellStyle name="40 % - Accent1 3 2 2 5 2 2 2 3" xfId="44887"/>
    <cellStyle name="40 % - Accent1 3 2 2 5 2 2 2 4" xfId="61116"/>
    <cellStyle name="40 % - Accent1 3 2 2 5 2 2 3" xfId="18927"/>
    <cellStyle name="40 % - Accent1 3 2 2 5 2 2 4" xfId="25417"/>
    <cellStyle name="40 % - Accent1 3 2 2 5 2 2 5" xfId="38397"/>
    <cellStyle name="40 % - Accent1 3 2 2 5 2 2 6" xfId="54626"/>
    <cellStyle name="40 % - Accent1 3 2 2 5 2 3" xfId="9189"/>
    <cellStyle name="40 % - Accent1 3 2 2 5 2 3 2" xfId="28662"/>
    <cellStyle name="40 % - Accent1 3 2 2 5 2 3 3" xfId="41642"/>
    <cellStyle name="40 % - Accent1 3 2 2 5 2 3 4" xfId="57871"/>
    <cellStyle name="40 % - Accent1 3 2 2 5 2 4" xfId="15682"/>
    <cellStyle name="40 % - Accent1 3 2 2 5 2 4 2" xfId="51381"/>
    <cellStyle name="40 % - Accent1 3 2 2 5 2 5" xfId="22172"/>
    <cellStyle name="40 % - Accent1 3 2 2 5 2 6" xfId="35152"/>
    <cellStyle name="40 % - Accent1 3 2 2 5 2 7" xfId="48135"/>
    <cellStyle name="40 % - Accent1 3 2 2 5 3" xfId="4279"/>
    <cellStyle name="40 % - Accent1 3 2 2 5 3 2" xfId="10811"/>
    <cellStyle name="40 % - Accent1 3 2 2 5 3 2 2" xfId="30284"/>
    <cellStyle name="40 % - Accent1 3 2 2 5 3 2 3" xfId="43264"/>
    <cellStyle name="40 % - Accent1 3 2 2 5 3 2 4" xfId="59493"/>
    <cellStyle name="40 % - Accent1 3 2 2 5 3 3" xfId="17304"/>
    <cellStyle name="40 % - Accent1 3 2 2 5 3 4" xfId="23794"/>
    <cellStyle name="40 % - Accent1 3 2 2 5 3 5" xfId="36774"/>
    <cellStyle name="40 % - Accent1 3 2 2 5 3 6" xfId="53003"/>
    <cellStyle name="40 % - Accent1 3 2 2 5 4" xfId="7566"/>
    <cellStyle name="40 % - Accent1 3 2 2 5 4 2" xfId="27039"/>
    <cellStyle name="40 % - Accent1 3 2 2 5 4 3" xfId="40019"/>
    <cellStyle name="40 % - Accent1 3 2 2 5 4 4" xfId="56248"/>
    <cellStyle name="40 % - Accent1 3 2 2 5 5" xfId="14059"/>
    <cellStyle name="40 % - Accent1 3 2 2 5 5 2" xfId="49758"/>
    <cellStyle name="40 % - Accent1 3 2 2 5 6" xfId="20549"/>
    <cellStyle name="40 % - Accent1 3 2 2 5 7" xfId="33529"/>
    <cellStyle name="40 % - Accent1 3 2 2 5 8" xfId="46512"/>
    <cellStyle name="40 % - Accent1 3 2 2 6" xfId="1943"/>
    <cellStyle name="40 % - Accent1 3 2 2 6 2" xfId="5188"/>
    <cellStyle name="40 % - Accent1 3 2 2 6 2 2" xfId="11720"/>
    <cellStyle name="40 % - Accent1 3 2 2 6 2 2 2" xfId="31193"/>
    <cellStyle name="40 % - Accent1 3 2 2 6 2 2 3" xfId="44173"/>
    <cellStyle name="40 % - Accent1 3 2 2 6 2 2 4" xfId="60402"/>
    <cellStyle name="40 % - Accent1 3 2 2 6 2 3" xfId="18213"/>
    <cellStyle name="40 % - Accent1 3 2 2 6 2 4" xfId="24703"/>
    <cellStyle name="40 % - Accent1 3 2 2 6 2 5" xfId="37683"/>
    <cellStyle name="40 % - Accent1 3 2 2 6 2 6" xfId="53912"/>
    <cellStyle name="40 % - Accent1 3 2 2 6 3" xfId="8475"/>
    <cellStyle name="40 % - Accent1 3 2 2 6 3 2" xfId="27948"/>
    <cellStyle name="40 % - Accent1 3 2 2 6 3 3" xfId="40928"/>
    <cellStyle name="40 % - Accent1 3 2 2 6 3 4" xfId="57157"/>
    <cellStyle name="40 % - Accent1 3 2 2 6 4" xfId="14968"/>
    <cellStyle name="40 % - Accent1 3 2 2 6 4 2" xfId="50667"/>
    <cellStyle name="40 % - Accent1 3 2 2 6 5" xfId="21458"/>
    <cellStyle name="40 % - Accent1 3 2 2 6 6" xfId="34438"/>
    <cellStyle name="40 % - Accent1 3 2 2 6 7" xfId="47421"/>
    <cellStyle name="40 % - Accent1 3 2 2 7" xfId="3564"/>
    <cellStyle name="40 % - Accent1 3 2 2 7 2" xfId="10096"/>
    <cellStyle name="40 % - Accent1 3 2 2 7 2 2" xfId="29569"/>
    <cellStyle name="40 % - Accent1 3 2 2 7 2 3" xfId="42549"/>
    <cellStyle name="40 % - Accent1 3 2 2 7 2 4" xfId="58778"/>
    <cellStyle name="40 % - Accent1 3 2 2 7 3" xfId="16589"/>
    <cellStyle name="40 % - Accent1 3 2 2 7 4" xfId="23079"/>
    <cellStyle name="40 % - Accent1 3 2 2 7 5" xfId="36059"/>
    <cellStyle name="40 % - Accent1 3 2 2 7 6" xfId="52288"/>
    <cellStyle name="40 % - Accent1 3 2 2 8" xfId="6851"/>
    <cellStyle name="40 % - Accent1 3 2 2 8 2" xfId="26324"/>
    <cellStyle name="40 % - Accent1 3 2 2 8 3" xfId="39304"/>
    <cellStyle name="40 % - Accent1 3 2 2 8 4" xfId="55533"/>
    <cellStyle name="40 % - Accent1 3 2 2 9" xfId="13344"/>
    <cellStyle name="40 % - Accent1 3 2 2 9 2" xfId="49043"/>
    <cellStyle name="40 % - Accent1 3 2 3" xfId="226"/>
    <cellStyle name="40 % - Accent1 3 2 3 10" xfId="32770"/>
    <cellStyle name="40 % - Accent1 3 2 3 11" xfId="45753"/>
    <cellStyle name="40 % - Accent1 3 2 3 2" xfId="690"/>
    <cellStyle name="40 % - Accent1 3 2 3 2 10" xfId="46213"/>
    <cellStyle name="40 % - Accent1 3 2 3 2 2" xfId="1629"/>
    <cellStyle name="40 % - Accent1 3 2 3 2 2 2" xfId="3296"/>
    <cellStyle name="40 % - Accent1 3 2 3 2 2 2 2" xfId="6541"/>
    <cellStyle name="40 % - Accent1 3 2 3 2 2 2 2 2" xfId="13073"/>
    <cellStyle name="40 % - Accent1 3 2 3 2 2 2 2 2 2" xfId="32546"/>
    <cellStyle name="40 % - Accent1 3 2 3 2 2 2 2 2 3" xfId="45526"/>
    <cellStyle name="40 % - Accent1 3 2 3 2 2 2 2 2 4" xfId="61755"/>
    <cellStyle name="40 % - Accent1 3 2 3 2 2 2 2 3" xfId="19566"/>
    <cellStyle name="40 % - Accent1 3 2 3 2 2 2 2 4" xfId="26056"/>
    <cellStyle name="40 % - Accent1 3 2 3 2 2 2 2 5" xfId="39036"/>
    <cellStyle name="40 % - Accent1 3 2 3 2 2 2 2 6" xfId="55265"/>
    <cellStyle name="40 % - Accent1 3 2 3 2 2 2 3" xfId="9828"/>
    <cellStyle name="40 % - Accent1 3 2 3 2 2 2 3 2" xfId="29301"/>
    <cellStyle name="40 % - Accent1 3 2 3 2 2 2 3 3" xfId="42281"/>
    <cellStyle name="40 % - Accent1 3 2 3 2 2 2 3 4" xfId="58510"/>
    <cellStyle name="40 % - Accent1 3 2 3 2 2 2 4" xfId="16321"/>
    <cellStyle name="40 % - Accent1 3 2 3 2 2 2 4 2" xfId="52020"/>
    <cellStyle name="40 % - Accent1 3 2 3 2 2 2 5" xfId="22811"/>
    <cellStyle name="40 % - Accent1 3 2 3 2 2 2 6" xfId="35791"/>
    <cellStyle name="40 % - Accent1 3 2 3 2 2 2 7" xfId="48774"/>
    <cellStyle name="40 % - Accent1 3 2 3 2 2 3" xfId="4918"/>
    <cellStyle name="40 % - Accent1 3 2 3 2 2 3 2" xfId="11450"/>
    <cellStyle name="40 % - Accent1 3 2 3 2 2 3 2 2" xfId="30923"/>
    <cellStyle name="40 % - Accent1 3 2 3 2 2 3 2 3" xfId="43903"/>
    <cellStyle name="40 % - Accent1 3 2 3 2 2 3 2 4" xfId="60132"/>
    <cellStyle name="40 % - Accent1 3 2 3 2 2 3 3" xfId="17943"/>
    <cellStyle name="40 % - Accent1 3 2 3 2 2 3 4" xfId="24433"/>
    <cellStyle name="40 % - Accent1 3 2 3 2 2 3 5" xfId="37413"/>
    <cellStyle name="40 % - Accent1 3 2 3 2 2 3 6" xfId="53642"/>
    <cellStyle name="40 % - Accent1 3 2 3 2 2 4" xfId="8205"/>
    <cellStyle name="40 % - Accent1 3 2 3 2 2 4 2" xfId="27678"/>
    <cellStyle name="40 % - Accent1 3 2 3 2 2 4 3" xfId="40658"/>
    <cellStyle name="40 % - Accent1 3 2 3 2 2 4 4" xfId="56887"/>
    <cellStyle name="40 % - Accent1 3 2 3 2 2 5" xfId="14698"/>
    <cellStyle name="40 % - Accent1 3 2 3 2 2 5 2" xfId="50397"/>
    <cellStyle name="40 % - Accent1 3 2 3 2 2 6" xfId="21188"/>
    <cellStyle name="40 % - Accent1 3 2 3 2 2 7" xfId="34168"/>
    <cellStyle name="40 % - Accent1 3 2 3 2 2 8" xfId="47151"/>
    <cellStyle name="40 % - Accent1 3 2 3 2 3" xfId="1166"/>
    <cellStyle name="40 % - Accent1 3 2 3 2 3 2" xfId="2833"/>
    <cellStyle name="40 % - Accent1 3 2 3 2 3 2 2" xfId="6078"/>
    <cellStyle name="40 % - Accent1 3 2 3 2 3 2 2 2" xfId="12610"/>
    <cellStyle name="40 % - Accent1 3 2 3 2 3 2 2 2 2" xfId="32083"/>
    <cellStyle name="40 % - Accent1 3 2 3 2 3 2 2 2 3" xfId="45063"/>
    <cellStyle name="40 % - Accent1 3 2 3 2 3 2 2 2 4" xfId="61292"/>
    <cellStyle name="40 % - Accent1 3 2 3 2 3 2 2 3" xfId="19103"/>
    <cellStyle name="40 % - Accent1 3 2 3 2 3 2 2 4" xfId="25593"/>
    <cellStyle name="40 % - Accent1 3 2 3 2 3 2 2 5" xfId="38573"/>
    <cellStyle name="40 % - Accent1 3 2 3 2 3 2 2 6" xfId="54802"/>
    <cellStyle name="40 % - Accent1 3 2 3 2 3 2 3" xfId="9365"/>
    <cellStyle name="40 % - Accent1 3 2 3 2 3 2 3 2" xfId="28838"/>
    <cellStyle name="40 % - Accent1 3 2 3 2 3 2 3 3" xfId="41818"/>
    <cellStyle name="40 % - Accent1 3 2 3 2 3 2 3 4" xfId="58047"/>
    <cellStyle name="40 % - Accent1 3 2 3 2 3 2 4" xfId="15858"/>
    <cellStyle name="40 % - Accent1 3 2 3 2 3 2 4 2" xfId="51557"/>
    <cellStyle name="40 % - Accent1 3 2 3 2 3 2 5" xfId="22348"/>
    <cellStyle name="40 % - Accent1 3 2 3 2 3 2 6" xfId="35328"/>
    <cellStyle name="40 % - Accent1 3 2 3 2 3 2 7" xfId="48311"/>
    <cellStyle name="40 % - Accent1 3 2 3 2 3 3" xfId="4455"/>
    <cellStyle name="40 % - Accent1 3 2 3 2 3 3 2" xfId="10987"/>
    <cellStyle name="40 % - Accent1 3 2 3 2 3 3 2 2" xfId="30460"/>
    <cellStyle name="40 % - Accent1 3 2 3 2 3 3 2 3" xfId="43440"/>
    <cellStyle name="40 % - Accent1 3 2 3 2 3 3 2 4" xfId="59669"/>
    <cellStyle name="40 % - Accent1 3 2 3 2 3 3 3" xfId="17480"/>
    <cellStyle name="40 % - Accent1 3 2 3 2 3 3 4" xfId="23970"/>
    <cellStyle name="40 % - Accent1 3 2 3 2 3 3 5" xfId="36950"/>
    <cellStyle name="40 % - Accent1 3 2 3 2 3 3 6" xfId="53179"/>
    <cellStyle name="40 % - Accent1 3 2 3 2 3 4" xfId="7742"/>
    <cellStyle name="40 % - Accent1 3 2 3 2 3 4 2" xfId="27215"/>
    <cellStyle name="40 % - Accent1 3 2 3 2 3 4 3" xfId="40195"/>
    <cellStyle name="40 % - Accent1 3 2 3 2 3 4 4" xfId="56424"/>
    <cellStyle name="40 % - Accent1 3 2 3 2 3 5" xfId="14235"/>
    <cellStyle name="40 % - Accent1 3 2 3 2 3 5 2" xfId="49934"/>
    <cellStyle name="40 % - Accent1 3 2 3 2 3 6" xfId="20725"/>
    <cellStyle name="40 % - Accent1 3 2 3 2 3 7" xfId="33705"/>
    <cellStyle name="40 % - Accent1 3 2 3 2 3 8" xfId="46688"/>
    <cellStyle name="40 % - Accent1 3 2 3 2 4" xfId="2358"/>
    <cellStyle name="40 % - Accent1 3 2 3 2 4 2" xfId="5603"/>
    <cellStyle name="40 % - Accent1 3 2 3 2 4 2 2" xfId="12135"/>
    <cellStyle name="40 % - Accent1 3 2 3 2 4 2 2 2" xfId="31608"/>
    <cellStyle name="40 % - Accent1 3 2 3 2 4 2 2 3" xfId="44588"/>
    <cellStyle name="40 % - Accent1 3 2 3 2 4 2 2 4" xfId="60817"/>
    <cellStyle name="40 % - Accent1 3 2 3 2 4 2 3" xfId="18628"/>
    <cellStyle name="40 % - Accent1 3 2 3 2 4 2 4" xfId="25118"/>
    <cellStyle name="40 % - Accent1 3 2 3 2 4 2 5" xfId="38098"/>
    <cellStyle name="40 % - Accent1 3 2 3 2 4 2 6" xfId="54327"/>
    <cellStyle name="40 % - Accent1 3 2 3 2 4 3" xfId="8890"/>
    <cellStyle name="40 % - Accent1 3 2 3 2 4 3 2" xfId="28363"/>
    <cellStyle name="40 % - Accent1 3 2 3 2 4 3 3" xfId="41343"/>
    <cellStyle name="40 % - Accent1 3 2 3 2 4 3 4" xfId="57572"/>
    <cellStyle name="40 % - Accent1 3 2 3 2 4 4" xfId="15383"/>
    <cellStyle name="40 % - Accent1 3 2 3 2 4 4 2" xfId="51082"/>
    <cellStyle name="40 % - Accent1 3 2 3 2 4 5" xfId="21873"/>
    <cellStyle name="40 % - Accent1 3 2 3 2 4 6" xfId="34853"/>
    <cellStyle name="40 % - Accent1 3 2 3 2 4 7" xfId="47836"/>
    <cellStyle name="40 % - Accent1 3 2 3 2 5" xfId="3980"/>
    <cellStyle name="40 % - Accent1 3 2 3 2 5 2" xfId="10512"/>
    <cellStyle name="40 % - Accent1 3 2 3 2 5 2 2" xfId="29985"/>
    <cellStyle name="40 % - Accent1 3 2 3 2 5 2 3" xfId="42965"/>
    <cellStyle name="40 % - Accent1 3 2 3 2 5 2 4" xfId="59194"/>
    <cellStyle name="40 % - Accent1 3 2 3 2 5 3" xfId="17005"/>
    <cellStyle name="40 % - Accent1 3 2 3 2 5 4" xfId="23495"/>
    <cellStyle name="40 % - Accent1 3 2 3 2 5 5" xfId="36475"/>
    <cellStyle name="40 % - Accent1 3 2 3 2 5 6" xfId="52704"/>
    <cellStyle name="40 % - Accent1 3 2 3 2 6" xfId="7267"/>
    <cellStyle name="40 % - Accent1 3 2 3 2 6 2" xfId="26740"/>
    <cellStyle name="40 % - Accent1 3 2 3 2 6 3" xfId="39720"/>
    <cellStyle name="40 % - Accent1 3 2 3 2 6 4" xfId="55949"/>
    <cellStyle name="40 % - Accent1 3 2 3 2 7" xfId="13760"/>
    <cellStyle name="40 % - Accent1 3 2 3 2 7 2" xfId="49459"/>
    <cellStyle name="40 % - Accent1 3 2 3 2 8" xfId="20250"/>
    <cellStyle name="40 % - Accent1 3 2 3 2 9" xfId="33230"/>
    <cellStyle name="40 % - Accent1 3 2 3 3" xfId="460"/>
    <cellStyle name="40 % - Accent1 3 2 3 3 2" xfId="1409"/>
    <cellStyle name="40 % - Accent1 3 2 3 3 2 2" xfId="3076"/>
    <cellStyle name="40 % - Accent1 3 2 3 3 2 2 2" xfId="6321"/>
    <cellStyle name="40 % - Accent1 3 2 3 3 2 2 2 2" xfId="12853"/>
    <cellStyle name="40 % - Accent1 3 2 3 3 2 2 2 2 2" xfId="32326"/>
    <cellStyle name="40 % - Accent1 3 2 3 3 2 2 2 2 3" xfId="45306"/>
    <cellStyle name="40 % - Accent1 3 2 3 3 2 2 2 2 4" xfId="61535"/>
    <cellStyle name="40 % - Accent1 3 2 3 3 2 2 2 3" xfId="19346"/>
    <cellStyle name="40 % - Accent1 3 2 3 3 2 2 2 4" xfId="25836"/>
    <cellStyle name="40 % - Accent1 3 2 3 3 2 2 2 5" xfId="38816"/>
    <cellStyle name="40 % - Accent1 3 2 3 3 2 2 2 6" xfId="55045"/>
    <cellStyle name="40 % - Accent1 3 2 3 3 2 2 3" xfId="9608"/>
    <cellStyle name="40 % - Accent1 3 2 3 3 2 2 3 2" xfId="29081"/>
    <cellStyle name="40 % - Accent1 3 2 3 3 2 2 3 3" xfId="42061"/>
    <cellStyle name="40 % - Accent1 3 2 3 3 2 2 3 4" xfId="58290"/>
    <cellStyle name="40 % - Accent1 3 2 3 3 2 2 4" xfId="16101"/>
    <cellStyle name="40 % - Accent1 3 2 3 3 2 2 4 2" xfId="51800"/>
    <cellStyle name="40 % - Accent1 3 2 3 3 2 2 5" xfId="22591"/>
    <cellStyle name="40 % - Accent1 3 2 3 3 2 2 6" xfId="35571"/>
    <cellStyle name="40 % - Accent1 3 2 3 3 2 2 7" xfId="48554"/>
    <cellStyle name="40 % - Accent1 3 2 3 3 2 3" xfId="4698"/>
    <cellStyle name="40 % - Accent1 3 2 3 3 2 3 2" xfId="11230"/>
    <cellStyle name="40 % - Accent1 3 2 3 3 2 3 2 2" xfId="30703"/>
    <cellStyle name="40 % - Accent1 3 2 3 3 2 3 2 3" xfId="43683"/>
    <cellStyle name="40 % - Accent1 3 2 3 3 2 3 2 4" xfId="59912"/>
    <cellStyle name="40 % - Accent1 3 2 3 3 2 3 3" xfId="17723"/>
    <cellStyle name="40 % - Accent1 3 2 3 3 2 3 4" xfId="24213"/>
    <cellStyle name="40 % - Accent1 3 2 3 3 2 3 5" xfId="37193"/>
    <cellStyle name="40 % - Accent1 3 2 3 3 2 3 6" xfId="53422"/>
    <cellStyle name="40 % - Accent1 3 2 3 3 2 4" xfId="7985"/>
    <cellStyle name="40 % - Accent1 3 2 3 3 2 4 2" xfId="27458"/>
    <cellStyle name="40 % - Accent1 3 2 3 3 2 4 3" xfId="40438"/>
    <cellStyle name="40 % - Accent1 3 2 3 3 2 4 4" xfId="56667"/>
    <cellStyle name="40 % - Accent1 3 2 3 3 2 5" xfId="14478"/>
    <cellStyle name="40 % - Accent1 3 2 3 3 2 5 2" xfId="50177"/>
    <cellStyle name="40 % - Accent1 3 2 3 3 2 6" xfId="20968"/>
    <cellStyle name="40 % - Accent1 3 2 3 3 2 7" xfId="33948"/>
    <cellStyle name="40 % - Accent1 3 2 3 3 2 8" xfId="46931"/>
    <cellStyle name="40 % - Accent1 3 2 3 3 3" xfId="2128"/>
    <cellStyle name="40 % - Accent1 3 2 3 3 3 2" xfId="5373"/>
    <cellStyle name="40 % - Accent1 3 2 3 3 3 2 2" xfId="11905"/>
    <cellStyle name="40 % - Accent1 3 2 3 3 3 2 2 2" xfId="31378"/>
    <cellStyle name="40 % - Accent1 3 2 3 3 3 2 2 3" xfId="44358"/>
    <cellStyle name="40 % - Accent1 3 2 3 3 3 2 2 4" xfId="60587"/>
    <cellStyle name="40 % - Accent1 3 2 3 3 3 2 3" xfId="18398"/>
    <cellStyle name="40 % - Accent1 3 2 3 3 3 2 4" xfId="24888"/>
    <cellStyle name="40 % - Accent1 3 2 3 3 3 2 5" xfId="37868"/>
    <cellStyle name="40 % - Accent1 3 2 3 3 3 2 6" xfId="54097"/>
    <cellStyle name="40 % - Accent1 3 2 3 3 3 3" xfId="8660"/>
    <cellStyle name="40 % - Accent1 3 2 3 3 3 3 2" xfId="28133"/>
    <cellStyle name="40 % - Accent1 3 2 3 3 3 3 3" xfId="41113"/>
    <cellStyle name="40 % - Accent1 3 2 3 3 3 3 4" xfId="57342"/>
    <cellStyle name="40 % - Accent1 3 2 3 3 3 4" xfId="15153"/>
    <cellStyle name="40 % - Accent1 3 2 3 3 3 4 2" xfId="50852"/>
    <cellStyle name="40 % - Accent1 3 2 3 3 3 5" xfId="21643"/>
    <cellStyle name="40 % - Accent1 3 2 3 3 3 6" xfId="34623"/>
    <cellStyle name="40 % - Accent1 3 2 3 3 3 7" xfId="47606"/>
    <cellStyle name="40 % - Accent1 3 2 3 3 4" xfId="3750"/>
    <cellStyle name="40 % - Accent1 3 2 3 3 4 2" xfId="10282"/>
    <cellStyle name="40 % - Accent1 3 2 3 3 4 2 2" xfId="29755"/>
    <cellStyle name="40 % - Accent1 3 2 3 3 4 2 3" xfId="42735"/>
    <cellStyle name="40 % - Accent1 3 2 3 3 4 2 4" xfId="58964"/>
    <cellStyle name="40 % - Accent1 3 2 3 3 4 3" xfId="16775"/>
    <cellStyle name="40 % - Accent1 3 2 3 3 4 4" xfId="23265"/>
    <cellStyle name="40 % - Accent1 3 2 3 3 4 5" xfId="36245"/>
    <cellStyle name="40 % - Accent1 3 2 3 3 4 6" xfId="52474"/>
    <cellStyle name="40 % - Accent1 3 2 3 3 5" xfId="7037"/>
    <cellStyle name="40 % - Accent1 3 2 3 3 5 2" xfId="26510"/>
    <cellStyle name="40 % - Accent1 3 2 3 3 5 3" xfId="39490"/>
    <cellStyle name="40 % - Accent1 3 2 3 3 5 4" xfId="55719"/>
    <cellStyle name="40 % - Accent1 3 2 3 3 6" xfId="13530"/>
    <cellStyle name="40 % - Accent1 3 2 3 3 6 2" xfId="49229"/>
    <cellStyle name="40 % - Accent1 3 2 3 3 7" xfId="20020"/>
    <cellStyle name="40 % - Accent1 3 2 3 3 8" xfId="33000"/>
    <cellStyle name="40 % - Accent1 3 2 3 3 9" xfId="45983"/>
    <cellStyle name="40 % - Accent1 3 2 3 4" xfId="946"/>
    <cellStyle name="40 % - Accent1 3 2 3 4 2" xfId="2613"/>
    <cellStyle name="40 % - Accent1 3 2 3 4 2 2" xfId="5858"/>
    <cellStyle name="40 % - Accent1 3 2 3 4 2 2 2" xfId="12390"/>
    <cellStyle name="40 % - Accent1 3 2 3 4 2 2 2 2" xfId="31863"/>
    <cellStyle name="40 % - Accent1 3 2 3 4 2 2 2 3" xfId="44843"/>
    <cellStyle name="40 % - Accent1 3 2 3 4 2 2 2 4" xfId="61072"/>
    <cellStyle name="40 % - Accent1 3 2 3 4 2 2 3" xfId="18883"/>
    <cellStyle name="40 % - Accent1 3 2 3 4 2 2 4" xfId="25373"/>
    <cellStyle name="40 % - Accent1 3 2 3 4 2 2 5" xfId="38353"/>
    <cellStyle name="40 % - Accent1 3 2 3 4 2 2 6" xfId="54582"/>
    <cellStyle name="40 % - Accent1 3 2 3 4 2 3" xfId="9145"/>
    <cellStyle name="40 % - Accent1 3 2 3 4 2 3 2" xfId="28618"/>
    <cellStyle name="40 % - Accent1 3 2 3 4 2 3 3" xfId="41598"/>
    <cellStyle name="40 % - Accent1 3 2 3 4 2 3 4" xfId="57827"/>
    <cellStyle name="40 % - Accent1 3 2 3 4 2 4" xfId="15638"/>
    <cellStyle name="40 % - Accent1 3 2 3 4 2 4 2" xfId="51337"/>
    <cellStyle name="40 % - Accent1 3 2 3 4 2 5" xfId="22128"/>
    <cellStyle name="40 % - Accent1 3 2 3 4 2 6" xfId="35108"/>
    <cellStyle name="40 % - Accent1 3 2 3 4 2 7" xfId="48091"/>
    <cellStyle name="40 % - Accent1 3 2 3 4 3" xfId="4235"/>
    <cellStyle name="40 % - Accent1 3 2 3 4 3 2" xfId="10767"/>
    <cellStyle name="40 % - Accent1 3 2 3 4 3 2 2" xfId="30240"/>
    <cellStyle name="40 % - Accent1 3 2 3 4 3 2 3" xfId="43220"/>
    <cellStyle name="40 % - Accent1 3 2 3 4 3 2 4" xfId="59449"/>
    <cellStyle name="40 % - Accent1 3 2 3 4 3 3" xfId="17260"/>
    <cellStyle name="40 % - Accent1 3 2 3 4 3 4" xfId="23750"/>
    <cellStyle name="40 % - Accent1 3 2 3 4 3 5" xfId="36730"/>
    <cellStyle name="40 % - Accent1 3 2 3 4 3 6" xfId="52959"/>
    <cellStyle name="40 % - Accent1 3 2 3 4 4" xfId="7522"/>
    <cellStyle name="40 % - Accent1 3 2 3 4 4 2" xfId="26995"/>
    <cellStyle name="40 % - Accent1 3 2 3 4 4 3" xfId="39975"/>
    <cellStyle name="40 % - Accent1 3 2 3 4 4 4" xfId="56204"/>
    <cellStyle name="40 % - Accent1 3 2 3 4 5" xfId="14015"/>
    <cellStyle name="40 % - Accent1 3 2 3 4 5 2" xfId="49714"/>
    <cellStyle name="40 % - Accent1 3 2 3 4 6" xfId="20505"/>
    <cellStyle name="40 % - Accent1 3 2 3 4 7" xfId="33485"/>
    <cellStyle name="40 % - Accent1 3 2 3 4 8" xfId="46468"/>
    <cellStyle name="40 % - Accent1 3 2 3 5" xfId="1899"/>
    <cellStyle name="40 % - Accent1 3 2 3 5 2" xfId="5144"/>
    <cellStyle name="40 % - Accent1 3 2 3 5 2 2" xfId="11676"/>
    <cellStyle name="40 % - Accent1 3 2 3 5 2 2 2" xfId="31149"/>
    <cellStyle name="40 % - Accent1 3 2 3 5 2 2 3" xfId="44129"/>
    <cellStyle name="40 % - Accent1 3 2 3 5 2 2 4" xfId="60358"/>
    <cellStyle name="40 % - Accent1 3 2 3 5 2 3" xfId="18169"/>
    <cellStyle name="40 % - Accent1 3 2 3 5 2 4" xfId="24659"/>
    <cellStyle name="40 % - Accent1 3 2 3 5 2 5" xfId="37639"/>
    <cellStyle name="40 % - Accent1 3 2 3 5 2 6" xfId="53868"/>
    <cellStyle name="40 % - Accent1 3 2 3 5 3" xfId="8431"/>
    <cellStyle name="40 % - Accent1 3 2 3 5 3 2" xfId="27904"/>
    <cellStyle name="40 % - Accent1 3 2 3 5 3 3" xfId="40884"/>
    <cellStyle name="40 % - Accent1 3 2 3 5 3 4" xfId="57113"/>
    <cellStyle name="40 % - Accent1 3 2 3 5 4" xfId="14924"/>
    <cellStyle name="40 % - Accent1 3 2 3 5 4 2" xfId="50623"/>
    <cellStyle name="40 % - Accent1 3 2 3 5 5" xfId="21414"/>
    <cellStyle name="40 % - Accent1 3 2 3 5 6" xfId="34394"/>
    <cellStyle name="40 % - Accent1 3 2 3 5 7" xfId="47377"/>
    <cellStyle name="40 % - Accent1 3 2 3 6" xfId="3520"/>
    <cellStyle name="40 % - Accent1 3 2 3 6 2" xfId="10052"/>
    <cellStyle name="40 % - Accent1 3 2 3 6 2 2" xfId="29525"/>
    <cellStyle name="40 % - Accent1 3 2 3 6 2 3" xfId="42505"/>
    <cellStyle name="40 % - Accent1 3 2 3 6 2 4" xfId="58734"/>
    <cellStyle name="40 % - Accent1 3 2 3 6 3" xfId="16545"/>
    <cellStyle name="40 % - Accent1 3 2 3 6 4" xfId="23035"/>
    <cellStyle name="40 % - Accent1 3 2 3 6 5" xfId="36015"/>
    <cellStyle name="40 % - Accent1 3 2 3 6 6" xfId="52244"/>
    <cellStyle name="40 % - Accent1 3 2 3 7" xfId="6807"/>
    <cellStyle name="40 % - Accent1 3 2 3 7 2" xfId="26280"/>
    <cellStyle name="40 % - Accent1 3 2 3 7 3" xfId="39260"/>
    <cellStyle name="40 % - Accent1 3 2 3 7 4" xfId="55489"/>
    <cellStyle name="40 % - Accent1 3 2 3 8" xfId="13300"/>
    <cellStyle name="40 % - Accent1 3 2 3 8 2" xfId="48999"/>
    <cellStyle name="40 % - Accent1 3 2 3 9" xfId="19790"/>
    <cellStyle name="40 % - Accent1 3 2 4" xfId="314"/>
    <cellStyle name="40 % - Accent1 3 2 4 10" xfId="32858"/>
    <cellStyle name="40 % - Accent1 3 2 4 11" xfId="45841"/>
    <cellStyle name="40 % - Accent1 3 2 4 2" xfId="778"/>
    <cellStyle name="40 % - Accent1 3 2 4 2 10" xfId="46301"/>
    <cellStyle name="40 % - Accent1 3 2 4 2 2" xfId="1717"/>
    <cellStyle name="40 % - Accent1 3 2 4 2 2 2" xfId="3384"/>
    <cellStyle name="40 % - Accent1 3 2 4 2 2 2 2" xfId="6629"/>
    <cellStyle name="40 % - Accent1 3 2 4 2 2 2 2 2" xfId="13161"/>
    <cellStyle name="40 % - Accent1 3 2 4 2 2 2 2 2 2" xfId="32634"/>
    <cellStyle name="40 % - Accent1 3 2 4 2 2 2 2 2 3" xfId="45614"/>
    <cellStyle name="40 % - Accent1 3 2 4 2 2 2 2 2 4" xfId="61843"/>
    <cellStyle name="40 % - Accent1 3 2 4 2 2 2 2 3" xfId="19654"/>
    <cellStyle name="40 % - Accent1 3 2 4 2 2 2 2 4" xfId="26144"/>
    <cellStyle name="40 % - Accent1 3 2 4 2 2 2 2 5" xfId="39124"/>
    <cellStyle name="40 % - Accent1 3 2 4 2 2 2 2 6" xfId="55353"/>
    <cellStyle name="40 % - Accent1 3 2 4 2 2 2 3" xfId="9916"/>
    <cellStyle name="40 % - Accent1 3 2 4 2 2 2 3 2" xfId="29389"/>
    <cellStyle name="40 % - Accent1 3 2 4 2 2 2 3 3" xfId="42369"/>
    <cellStyle name="40 % - Accent1 3 2 4 2 2 2 3 4" xfId="58598"/>
    <cellStyle name="40 % - Accent1 3 2 4 2 2 2 4" xfId="16409"/>
    <cellStyle name="40 % - Accent1 3 2 4 2 2 2 4 2" xfId="52108"/>
    <cellStyle name="40 % - Accent1 3 2 4 2 2 2 5" xfId="22899"/>
    <cellStyle name="40 % - Accent1 3 2 4 2 2 2 6" xfId="35879"/>
    <cellStyle name="40 % - Accent1 3 2 4 2 2 2 7" xfId="48862"/>
    <cellStyle name="40 % - Accent1 3 2 4 2 2 3" xfId="5006"/>
    <cellStyle name="40 % - Accent1 3 2 4 2 2 3 2" xfId="11538"/>
    <cellStyle name="40 % - Accent1 3 2 4 2 2 3 2 2" xfId="31011"/>
    <cellStyle name="40 % - Accent1 3 2 4 2 2 3 2 3" xfId="43991"/>
    <cellStyle name="40 % - Accent1 3 2 4 2 2 3 2 4" xfId="60220"/>
    <cellStyle name="40 % - Accent1 3 2 4 2 2 3 3" xfId="18031"/>
    <cellStyle name="40 % - Accent1 3 2 4 2 2 3 4" xfId="24521"/>
    <cellStyle name="40 % - Accent1 3 2 4 2 2 3 5" xfId="37501"/>
    <cellStyle name="40 % - Accent1 3 2 4 2 2 3 6" xfId="53730"/>
    <cellStyle name="40 % - Accent1 3 2 4 2 2 4" xfId="8293"/>
    <cellStyle name="40 % - Accent1 3 2 4 2 2 4 2" xfId="27766"/>
    <cellStyle name="40 % - Accent1 3 2 4 2 2 4 3" xfId="40746"/>
    <cellStyle name="40 % - Accent1 3 2 4 2 2 4 4" xfId="56975"/>
    <cellStyle name="40 % - Accent1 3 2 4 2 2 5" xfId="14786"/>
    <cellStyle name="40 % - Accent1 3 2 4 2 2 5 2" xfId="50485"/>
    <cellStyle name="40 % - Accent1 3 2 4 2 2 6" xfId="21276"/>
    <cellStyle name="40 % - Accent1 3 2 4 2 2 7" xfId="34256"/>
    <cellStyle name="40 % - Accent1 3 2 4 2 2 8" xfId="47239"/>
    <cellStyle name="40 % - Accent1 3 2 4 2 3" xfId="1254"/>
    <cellStyle name="40 % - Accent1 3 2 4 2 3 2" xfId="2921"/>
    <cellStyle name="40 % - Accent1 3 2 4 2 3 2 2" xfId="6166"/>
    <cellStyle name="40 % - Accent1 3 2 4 2 3 2 2 2" xfId="12698"/>
    <cellStyle name="40 % - Accent1 3 2 4 2 3 2 2 2 2" xfId="32171"/>
    <cellStyle name="40 % - Accent1 3 2 4 2 3 2 2 2 3" xfId="45151"/>
    <cellStyle name="40 % - Accent1 3 2 4 2 3 2 2 2 4" xfId="61380"/>
    <cellStyle name="40 % - Accent1 3 2 4 2 3 2 2 3" xfId="19191"/>
    <cellStyle name="40 % - Accent1 3 2 4 2 3 2 2 4" xfId="25681"/>
    <cellStyle name="40 % - Accent1 3 2 4 2 3 2 2 5" xfId="38661"/>
    <cellStyle name="40 % - Accent1 3 2 4 2 3 2 2 6" xfId="54890"/>
    <cellStyle name="40 % - Accent1 3 2 4 2 3 2 3" xfId="9453"/>
    <cellStyle name="40 % - Accent1 3 2 4 2 3 2 3 2" xfId="28926"/>
    <cellStyle name="40 % - Accent1 3 2 4 2 3 2 3 3" xfId="41906"/>
    <cellStyle name="40 % - Accent1 3 2 4 2 3 2 3 4" xfId="58135"/>
    <cellStyle name="40 % - Accent1 3 2 4 2 3 2 4" xfId="15946"/>
    <cellStyle name="40 % - Accent1 3 2 4 2 3 2 4 2" xfId="51645"/>
    <cellStyle name="40 % - Accent1 3 2 4 2 3 2 5" xfId="22436"/>
    <cellStyle name="40 % - Accent1 3 2 4 2 3 2 6" xfId="35416"/>
    <cellStyle name="40 % - Accent1 3 2 4 2 3 2 7" xfId="48399"/>
    <cellStyle name="40 % - Accent1 3 2 4 2 3 3" xfId="4543"/>
    <cellStyle name="40 % - Accent1 3 2 4 2 3 3 2" xfId="11075"/>
    <cellStyle name="40 % - Accent1 3 2 4 2 3 3 2 2" xfId="30548"/>
    <cellStyle name="40 % - Accent1 3 2 4 2 3 3 2 3" xfId="43528"/>
    <cellStyle name="40 % - Accent1 3 2 4 2 3 3 2 4" xfId="59757"/>
    <cellStyle name="40 % - Accent1 3 2 4 2 3 3 3" xfId="17568"/>
    <cellStyle name="40 % - Accent1 3 2 4 2 3 3 4" xfId="24058"/>
    <cellStyle name="40 % - Accent1 3 2 4 2 3 3 5" xfId="37038"/>
    <cellStyle name="40 % - Accent1 3 2 4 2 3 3 6" xfId="53267"/>
    <cellStyle name="40 % - Accent1 3 2 4 2 3 4" xfId="7830"/>
    <cellStyle name="40 % - Accent1 3 2 4 2 3 4 2" xfId="27303"/>
    <cellStyle name="40 % - Accent1 3 2 4 2 3 4 3" xfId="40283"/>
    <cellStyle name="40 % - Accent1 3 2 4 2 3 4 4" xfId="56512"/>
    <cellStyle name="40 % - Accent1 3 2 4 2 3 5" xfId="14323"/>
    <cellStyle name="40 % - Accent1 3 2 4 2 3 5 2" xfId="50022"/>
    <cellStyle name="40 % - Accent1 3 2 4 2 3 6" xfId="20813"/>
    <cellStyle name="40 % - Accent1 3 2 4 2 3 7" xfId="33793"/>
    <cellStyle name="40 % - Accent1 3 2 4 2 3 8" xfId="46776"/>
    <cellStyle name="40 % - Accent1 3 2 4 2 4" xfId="2446"/>
    <cellStyle name="40 % - Accent1 3 2 4 2 4 2" xfId="5691"/>
    <cellStyle name="40 % - Accent1 3 2 4 2 4 2 2" xfId="12223"/>
    <cellStyle name="40 % - Accent1 3 2 4 2 4 2 2 2" xfId="31696"/>
    <cellStyle name="40 % - Accent1 3 2 4 2 4 2 2 3" xfId="44676"/>
    <cellStyle name="40 % - Accent1 3 2 4 2 4 2 2 4" xfId="60905"/>
    <cellStyle name="40 % - Accent1 3 2 4 2 4 2 3" xfId="18716"/>
    <cellStyle name="40 % - Accent1 3 2 4 2 4 2 4" xfId="25206"/>
    <cellStyle name="40 % - Accent1 3 2 4 2 4 2 5" xfId="38186"/>
    <cellStyle name="40 % - Accent1 3 2 4 2 4 2 6" xfId="54415"/>
    <cellStyle name="40 % - Accent1 3 2 4 2 4 3" xfId="8978"/>
    <cellStyle name="40 % - Accent1 3 2 4 2 4 3 2" xfId="28451"/>
    <cellStyle name="40 % - Accent1 3 2 4 2 4 3 3" xfId="41431"/>
    <cellStyle name="40 % - Accent1 3 2 4 2 4 3 4" xfId="57660"/>
    <cellStyle name="40 % - Accent1 3 2 4 2 4 4" xfId="15471"/>
    <cellStyle name="40 % - Accent1 3 2 4 2 4 4 2" xfId="51170"/>
    <cellStyle name="40 % - Accent1 3 2 4 2 4 5" xfId="21961"/>
    <cellStyle name="40 % - Accent1 3 2 4 2 4 6" xfId="34941"/>
    <cellStyle name="40 % - Accent1 3 2 4 2 4 7" xfId="47924"/>
    <cellStyle name="40 % - Accent1 3 2 4 2 5" xfId="4068"/>
    <cellStyle name="40 % - Accent1 3 2 4 2 5 2" xfId="10600"/>
    <cellStyle name="40 % - Accent1 3 2 4 2 5 2 2" xfId="30073"/>
    <cellStyle name="40 % - Accent1 3 2 4 2 5 2 3" xfId="43053"/>
    <cellStyle name="40 % - Accent1 3 2 4 2 5 2 4" xfId="59282"/>
    <cellStyle name="40 % - Accent1 3 2 4 2 5 3" xfId="17093"/>
    <cellStyle name="40 % - Accent1 3 2 4 2 5 4" xfId="23583"/>
    <cellStyle name="40 % - Accent1 3 2 4 2 5 5" xfId="36563"/>
    <cellStyle name="40 % - Accent1 3 2 4 2 5 6" xfId="52792"/>
    <cellStyle name="40 % - Accent1 3 2 4 2 6" xfId="7355"/>
    <cellStyle name="40 % - Accent1 3 2 4 2 6 2" xfId="26828"/>
    <cellStyle name="40 % - Accent1 3 2 4 2 6 3" xfId="39808"/>
    <cellStyle name="40 % - Accent1 3 2 4 2 6 4" xfId="56037"/>
    <cellStyle name="40 % - Accent1 3 2 4 2 7" xfId="13848"/>
    <cellStyle name="40 % - Accent1 3 2 4 2 7 2" xfId="49547"/>
    <cellStyle name="40 % - Accent1 3 2 4 2 8" xfId="20338"/>
    <cellStyle name="40 % - Accent1 3 2 4 2 9" xfId="33318"/>
    <cellStyle name="40 % - Accent1 3 2 4 3" xfId="548"/>
    <cellStyle name="40 % - Accent1 3 2 4 3 2" xfId="1497"/>
    <cellStyle name="40 % - Accent1 3 2 4 3 2 2" xfId="3164"/>
    <cellStyle name="40 % - Accent1 3 2 4 3 2 2 2" xfId="6409"/>
    <cellStyle name="40 % - Accent1 3 2 4 3 2 2 2 2" xfId="12941"/>
    <cellStyle name="40 % - Accent1 3 2 4 3 2 2 2 2 2" xfId="32414"/>
    <cellStyle name="40 % - Accent1 3 2 4 3 2 2 2 2 3" xfId="45394"/>
    <cellStyle name="40 % - Accent1 3 2 4 3 2 2 2 2 4" xfId="61623"/>
    <cellStyle name="40 % - Accent1 3 2 4 3 2 2 2 3" xfId="19434"/>
    <cellStyle name="40 % - Accent1 3 2 4 3 2 2 2 4" xfId="25924"/>
    <cellStyle name="40 % - Accent1 3 2 4 3 2 2 2 5" xfId="38904"/>
    <cellStyle name="40 % - Accent1 3 2 4 3 2 2 2 6" xfId="55133"/>
    <cellStyle name="40 % - Accent1 3 2 4 3 2 2 3" xfId="9696"/>
    <cellStyle name="40 % - Accent1 3 2 4 3 2 2 3 2" xfId="29169"/>
    <cellStyle name="40 % - Accent1 3 2 4 3 2 2 3 3" xfId="42149"/>
    <cellStyle name="40 % - Accent1 3 2 4 3 2 2 3 4" xfId="58378"/>
    <cellStyle name="40 % - Accent1 3 2 4 3 2 2 4" xfId="16189"/>
    <cellStyle name="40 % - Accent1 3 2 4 3 2 2 4 2" xfId="51888"/>
    <cellStyle name="40 % - Accent1 3 2 4 3 2 2 5" xfId="22679"/>
    <cellStyle name="40 % - Accent1 3 2 4 3 2 2 6" xfId="35659"/>
    <cellStyle name="40 % - Accent1 3 2 4 3 2 2 7" xfId="48642"/>
    <cellStyle name="40 % - Accent1 3 2 4 3 2 3" xfId="4786"/>
    <cellStyle name="40 % - Accent1 3 2 4 3 2 3 2" xfId="11318"/>
    <cellStyle name="40 % - Accent1 3 2 4 3 2 3 2 2" xfId="30791"/>
    <cellStyle name="40 % - Accent1 3 2 4 3 2 3 2 3" xfId="43771"/>
    <cellStyle name="40 % - Accent1 3 2 4 3 2 3 2 4" xfId="60000"/>
    <cellStyle name="40 % - Accent1 3 2 4 3 2 3 3" xfId="17811"/>
    <cellStyle name="40 % - Accent1 3 2 4 3 2 3 4" xfId="24301"/>
    <cellStyle name="40 % - Accent1 3 2 4 3 2 3 5" xfId="37281"/>
    <cellStyle name="40 % - Accent1 3 2 4 3 2 3 6" xfId="53510"/>
    <cellStyle name="40 % - Accent1 3 2 4 3 2 4" xfId="8073"/>
    <cellStyle name="40 % - Accent1 3 2 4 3 2 4 2" xfId="27546"/>
    <cellStyle name="40 % - Accent1 3 2 4 3 2 4 3" xfId="40526"/>
    <cellStyle name="40 % - Accent1 3 2 4 3 2 4 4" xfId="56755"/>
    <cellStyle name="40 % - Accent1 3 2 4 3 2 5" xfId="14566"/>
    <cellStyle name="40 % - Accent1 3 2 4 3 2 5 2" xfId="50265"/>
    <cellStyle name="40 % - Accent1 3 2 4 3 2 6" xfId="21056"/>
    <cellStyle name="40 % - Accent1 3 2 4 3 2 7" xfId="34036"/>
    <cellStyle name="40 % - Accent1 3 2 4 3 2 8" xfId="47019"/>
    <cellStyle name="40 % - Accent1 3 2 4 3 3" xfId="2216"/>
    <cellStyle name="40 % - Accent1 3 2 4 3 3 2" xfId="5461"/>
    <cellStyle name="40 % - Accent1 3 2 4 3 3 2 2" xfId="11993"/>
    <cellStyle name="40 % - Accent1 3 2 4 3 3 2 2 2" xfId="31466"/>
    <cellStyle name="40 % - Accent1 3 2 4 3 3 2 2 3" xfId="44446"/>
    <cellStyle name="40 % - Accent1 3 2 4 3 3 2 2 4" xfId="60675"/>
    <cellStyle name="40 % - Accent1 3 2 4 3 3 2 3" xfId="18486"/>
    <cellStyle name="40 % - Accent1 3 2 4 3 3 2 4" xfId="24976"/>
    <cellStyle name="40 % - Accent1 3 2 4 3 3 2 5" xfId="37956"/>
    <cellStyle name="40 % - Accent1 3 2 4 3 3 2 6" xfId="54185"/>
    <cellStyle name="40 % - Accent1 3 2 4 3 3 3" xfId="8748"/>
    <cellStyle name="40 % - Accent1 3 2 4 3 3 3 2" xfId="28221"/>
    <cellStyle name="40 % - Accent1 3 2 4 3 3 3 3" xfId="41201"/>
    <cellStyle name="40 % - Accent1 3 2 4 3 3 3 4" xfId="57430"/>
    <cellStyle name="40 % - Accent1 3 2 4 3 3 4" xfId="15241"/>
    <cellStyle name="40 % - Accent1 3 2 4 3 3 4 2" xfId="50940"/>
    <cellStyle name="40 % - Accent1 3 2 4 3 3 5" xfId="21731"/>
    <cellStyle name="40 % - Accent1 3 2 4 3 3 6" xfId="34711"/>
    <cellStyle name="40 % - Accent1 3 2 4 3 3 7" xfId="47694"/>
    <cellStyle name="40 % - Accent1 3 2 4 3 4" xfId="3838"/>
    <cellStyle name="40 % - Accent1 3 2 4 3 4 2" xfId="10370"/>
    <cellStyle name="40 % - Accent1 3 2 4 3 4 2 2" xfId="29843"/>
    <cellStyle name="40 % - Accent1 3 2 4 3 4 2 3" xfId="42823"/>
    <cellStyle name="40 % - Accent1 3 2 4 3 4 2 4" xfId="59052"/>
    <cellStyle name="40 % - Accent1 3 2 4 3 4 3" xfId="16863"/>
    <cellStyle name="40 % - Accent1 3 2 4 3 4 4" xfId="23353"/>
    <cellStyle name="40 % - Accent1 3 2 4 3 4 5" xfId="36333"/>
    <cellStyle name="40 % - Accent1 3 2 4 3 4 6" xfId="52562"/>
    <cellStyle name="40 % - Accent1 3 2 4 3 5" xfId="7125"/>
    <cellStyle name="40 % - Accent1 3 2 4 3 5 2" xfId="26598"/>
    <cellStyle name="40 % - Accent1 3 2 4 3 5 3" xfId="39578"/>
    <cellStyle name="40 % - Accent1 3 2 4 3 5 4" xfId="55807"/>
    <cellStyle name="40 % - Accent1 3 2 4 3 6" xfId="13618"/>
    <cellStyle name="40 % - Accent1 3 2 4 3 6 2" xfId="49317"/>
    <cellStyle name="40 % - Accent1 3 2 4 3 7" xfId="20108"/>
    <cellStyle name="40 % - Accent1 3 2 4 3 8" xfId="33088"/>
    <cellStyle name="40 % - Accent1 3 2 4 3 9" xfId="46071"/>
    <cellStyle name="40 % - Accent1 3 2 4 4" xfId="1034"/>
    <cellStyle name="40 % - Accent1 3 2 4 4 2" xfId="2701"/>
    <cellStyle name="40 % - Accent1 3 2 4 4 2 2" xfId="5946"/>
    <cellStyle name="40 % - Accent1 3 2 4 4 2 2 2" xfId="12478"/>
    <cellStyle name="40 % - Accent1 3 2 4 4 2 2 2 2" xfId="31951"/>
    <cellStyle name="40 % - Accent1 3 2 4 4 2 2 2 3" xfId="44931"/>
    <cellStyle name="40 % - Accent1 3 2 4 4 2 2 2 4" xfId="61160"/>
    <cellStyle name="40 % - Accent1 3 2 4 4 2 2 3" xfId="18971"/>
    <cellStyle name="40 % - Accent1 3 2 4 4 2 2 4" xfId="25461"/>
    <cellStyle name="40 % - Accent1 3 2 4 4 2 2 5" xfId="38441"/>
    <cellStyle name="40 % - Accent1 3 2 4 4 2 2 6" xfId="54670"/>
    <cellStyle name="40 % - Accent1 3 2 4 4 2 3" xfId="9233"/>
    <cellStyle name="40 % - Accent1 3 2 4 4 2 3 2" xfId="28706"/>
    <cellStyle name="40 % - Accent1 3 2 4 4 2 3 3" xfId="41686"/>
    <cellStyle name="40 % - Accent1 3 2 4 4 2 3 4" xfId="57915"/>
    <cellStyle name="40 % - Accent1 3 2 4 4 2 4" xfId="15726"/>
    <cellStyle name="40 % - Accent1 3 2 4 4 2 4 2" xfId="51425"/>
    <cellStyle name="40 % - Accent1 3 2 4 4 2 5" xfId="22216"/>
    <cellStyle name="40 % - Accent1 3 2 4 4 2 6" xfId="35196"/>
    <cellStyle name="40 % - Accent1 3 2 4 4 2 7" xfId="48179"/>
    <cellStyle name="40 % - Accent1 3 2 4 4 3" xfId="4323"/>
    <cellStyle name="40 % - Accent1 3 2 4 4 3 2" xfId="10855"/>
    <cellStyle name="40 % - Accent1 3 2 4 4 3 2 2" xfId="30328"/>
    <cellStyle name="40 % - Accent1 3 2 4 4 3 2 3" xfId="43308"/>
    <cellStyle name="40 % - Accent1 3 2 4 4 3 2 4" xfId="59537"/>
    <cellStyle name="40 % - Accent1 3 2 4 4 3 3" xfId="17348"/>
    <cellStyle name="40 % - Accent1 3 2 4 4 3 4" xfId="23838"/>
    <cellStyle name="40 % - Accent1 3 2 4 4 3 5" xfId="36818"/>
    <cellStyle name="40 % - Accent1 3 2 4 4 3 6" xfId="53047"/>
    <cellStyle name="40 % - Accent1 3 2 4 4 4" xfId="7610"/>
    <cellStyle name="40 % - Accent1 3 2 4 4 4 2" xfId="27083"/>
    <cellStyle name="40 % - Accent1 3 2 4 4 4 3" xfId="40063"/>
    <cellStyle name="40 % - Accent1 3 2 4 4 4 4" xfId="56292"/>
    <cellStyle name="40 % - Accent1 3 2 4 4 5" xfId="14103"/>
    <cellStyle name="40 % - Accent1 3 2 4 4 5 2" xfId="49802"/>
    <cellStyle name="40 % - Accent1 3 2 4 4 6" xfId="20593"/>
    <cellStyle name="40 % - Accent1 3 2 4 4 7" xfId="33573"/>
    <cellStyle name="40 % - Accent1 3 2 4 4 8" xfId="46556"/>
    <cellStyle name="40 % - Accent1 3 2 4 5" xfId="1987"/>
    <cellStyle name="40 % - Accent1 3 2 4 5 2" xfId="5232"/>
    <cellStyle name="40 % - Accent1 3 2 4 5 2 2" xfId="11764"/>
    <cellStyle name="40 % - Accent1 3 2 4 5 2 2 2" xfId="31237"/>
    <cellStyle name="40 % - Accent1 3 2 4 5 2 2 3" xfId="44217"/>
    <cellStyle name="40 % - Accent1 3 2 4 5 2 2 4" xfId="60446"/>
    <cellStyle name="40 % - Accent1 3 2 4 5 2 3" xfId="18257"/>
    <cellStyle name="40 % - Accent1 3 2 4 5 2 4" xfId="24747"/>
    <cellStyle name="40 % - Accent1 3 2 4 5 2 5" xfId="37727"/>
    <cellStyle name="40 % - Accent1 3 2 4 5 2 6" xfId="53956"/>
    <cellStyle name="40 % - Accent1 3 2 4 5 3" xfId="8519"/>
    <cellStyle name="40 % - Accent1 3 2 4 5 3 2" xfId="27992"/>
    <cellStyle name="40 % - Accent1 3 2 4 5 3 3" xfId="40972"/>
    <cellStyle name="40 % - Accent1 3 2 4 5 3 4" xfId="57201"/>
    <cellStyle name="40 % - Accent1 3 2 4 5 4" xfId="15012"/>
    <cellStyle name="40 % - Accent1 3 2 4 5 4 2" xfId="50711"/>
    <cellStyle name="40 % - Accent1 3 2 4 5 5" xfId="21502"/>
    <cellStyle name="40 % - Accent1 3 2 4 5 6" xfId="34482"/>
    <cellStyle name="40 % - Accent1 3 2 4 5 7" xfId="47465"/>
    <cellStyle name="40 % - Accent1 3 2 4 6" xfId="3608"/>
    <cellStyle name="40 % - Accent1 3 2 4 6 2" xfId="10140"/>
    <cellStyle name="40 % - Accent1 3 2 4 6 2 2" xfId="29613"/>
    <cellStyle name="40 % - Accent1 3 2 4 6 2 3" xfId="42593"/>
    <cellStyle name="40 % - Accent1 3 2 4 6 2 4" xfId="58822"/>
    <cellStyle name="40 % - Accent1 3 2 4 6 3" xfId="16633"/>
    <cellStyle name="40 % - Accent1 3 2 4 6 4" xfId="23123"/>
    <cellStyle name="40 % - Accent1 3 2 4 6 5" xfId="36103"/>
    <cellStyle name="40 % - Accent1 3 2 4 6 6" xfId="52332"/>
    <cellStyle name="40 % - Accent1 3 2 4 7" xfId="6895"/>
    <cellStyle name="40 % - Accent1 3 2 4 7 2" xfId="26368"/>
    <cellStyle name="40 % - Accent1 3 2 4 7 3" xfId="39348"/>
    <cellStyle name="40 % - Accent1 3 2 4 7 4" xfId="55577"/>
    <cellStyle name="40 % - Accent1 3 2 4 8" xfId="13388"/>
    <cellStyle name="40 % - Accent1 3 2 4 8 2" xfId="49087"/>
    <cellStyle name="40 % - Accent1 3 2 4 9" xfId="19878"/>
    <cellStyle name="40 % - Accent1 3 2 5" xfId="646"/>
    <cellStyle name="40 % - Accent1 3 2 5 10" xfId="46169"/>
    <cellStyle name="40 % - Accent1 3 2 5 2" xfId="1585"/>
    <cellStyle name="40 % - Accent1 3 2 5 2 2" xfId="3252"/>
    <cellStyle name="40 % - Accent1 3 2 5 2 2 2" xfId="6497"/>
    <cellStyle name="40 % - Accent1 3 2 5 2 2 2 2" xfId="13029"/>
    <cellStyle name="40 % - Accent1 3 2 5 2 2 2 2 2" xfId="32502"/>
    <cellStyle name="40 % - Accent1 3 2 5 2 2 2 2 3" xfId="45482"/>
    <cellStyle name="40 % - Accent1 3 2 5 2 2 2 2 4" xfId="61711"/>
    <cellStyle name="40 % - Accent1 3 2 5 2 2 2 3" xfId="19522"/>
    <cellStyle name="40 % - Accent1 3 2 5 2 2 2 4" xfId="26012"/>
    <cellStyle name="40 % - Accent1 3 2 5 2 2 2 5" xfId="38992"/>
    <cellStyle name="40 % - Accent1 3 2 5 2 2 2 6" xfId="55221"/>
    <cellStyle name="40 % - Accent1 3 2 5 2 2 3" xfId="9784"/>
    <cellStyle name="40 % - Accent1 3 2 5 2 2 3 2" xfId="29257"/>
    <cellStyle name="40 % - Accent1 3 2 5 2 2 3 3" xfId="42237"/>
    <cellStyle name="40 % - Accent1 3 2 5 2 2 3 4" xfId="58466"/>
    <cellStyle name="40 % - Accent1 3 2 5 2 2 4" xfId="16277"/>
    <cellStyle name="40 % - Accent1 3 2 5 2 2 4 2" xfId="51976"/>
    <cellStyle name="40 % - Accent1 3 2 5 2 2 5" xfId="22767"/>
    <cellStyle name="40 % - Accent1 3 2 5 2 2 6" xfId="35747"/>
    <cellStyle name="40 % - Accent1 3 2 5 2 2 7" xfId="48730"/>
    <cellStyle name="40 % - Accent1 3 2 5 2 3" xfId="4874"/>
    <cellStyle name="40 % - Accent1 3 2 5 2 3 2" xfId="11406"/>
    <cellStyle name="40 % - Accent1 3 2 5 2 3 2 2" xfId="30879"/>
    <cellStyle name="40 % - Accent1 3 2 5 2 3 2 3" xfId="43859"/>
    <cellStyle name="40 % - Accent1 3 2 5 2 3 2 4" xfId="60088"/>
    <cellStyle name="40 % - Accent1 3 2 5 2 3 3" xfId="17899"/>
    <cellStyle name="40 % - Accent1 3 2 5 2 3 4" xfId="24389"/>
    <cellStyle name="40 % - Accent1 3 2 5 2 3 5" xfId="37369"/>
    <cellStyle name="40 % - Accent1 3 2 5 2 3 6" xfId="53598"/>
    <cellStyle name="40 % - Accent1 3 2 5 2 4" xfId="8161"/>
    <cellStyle name="40 % - Accent1 3 2 5 2 4 2" xfId="27634"/>
    <cellStyle name="40 % - Accent1 3 2 5 2 4 3" xfId="40614"/>
    <cellStyle name="40 % - Accent1 3 2 5 2 4 4" xfId="56843"/>
    <cellStyle name="40 % - Accent1 3 2 5 2 5" xfId="14654"/>
    <cellStyle name="40 % - Accent1 3 2 5 2 5 2" xfId="50353"/>
    <cellStyle name="40 % - Accent1 3 2 5 2 6" xfId="21144"/>
    <cellStyle name="40 % - Accent1 3 2 5 2 7" xfId="34124"/>
    <cellStyle name="40 % - Accent1 3 2 5 2 8" xfId="47107"/>
    <cellStyle name="40 % - Accent1 3 2 5 3" xfId="1122"/>
    <cellStyle name="40 % - Accent1 3 2 5 3 2" xfId="2789"/>
    <cellStyle name="40 % - Accent1 3 2 5 3 2 2" xfId="6034"/>
    <cellStyle name="40 % - Accent1 3 2 5 3 2 2 2" xfId="12566"/>
    <cellStyle name="40 % - Accent1 3 2 5 3 2 2 2 2" xfId="32039"/>
    <cellStyle name="40 % - Accent1 3 2 5 3 2 2 2 3" xfId="45019"/>
    <cellStyle name="40 % - Accent1 3 2 5 3 2 2 2 4" xfId="61248"/>
    <cellStyle name="40 % - Accent1 3 2 5 3 2 2 3" xfId="19059"/>
    <cellStyle name="40 % - Accent1 3 2 5 3 2 2 4" xfId="25549"/>
    <cellStyle name="40 % - Accent1 3 2 5 3 2 2 5" xfId="38529"/>
    <cellStyle name="40 % - Accent1 3 2 5 3 2 2 6" xfId="54758"/>
    <cellStyle name="40 % - Accent1 3 2 5 3 2 3" xfId="9321"/>
    <cellStyle name="40 % - Accent1 3 2 5 3 2 3 2" xfId="28794"/>
    <cellStyle name="40 % - Accent1 3 2 5 3 2 3 3" xfId="41774"/>
    <cellStyle name="40 % - Accent1 3 2 5 3 2 3 4" xfId="58003"/>
    <cellStyle name="40 % - Accent1 3 2 5 3 2 4" xfId="15814"/>
    <cellStyle name="40 % - Accent1 3 2 5 3 2 4 2" xfId="51513"/>
    <cellStyle name="40 % - Accent1 3 2 5 3 2 5" xfId="22304"/>
    <cellStyle name="40 % - Accent1 3 2 5 3 2 6" xfId="35284"/>
    <cellStyle name="40 % - Accent1 3 2 5 3 2 7" xfId="48267"/>
    <cellStyle name="40 % - Accent1 3 2 5 3 3" xfId="4411"/>
    <cellStyle name="40 % - Accent1 3 2 5 3 3 2" xfId="10943"/>
    <cellStyle name="40 % - Accent1 3 2 5 3 3 2 2" xfId="30416"/>
    <cellStyle name="40 % - Accent1 3 2 5 3 3 2 3" xfId="43396"/>
    <cellStyle name="40 % - Accent1 3 2 5 3 3 2 4" xfId="59625"/>
    <cellStyle name="40 % - Accent1 3 2 5 3 3 3" xfId="17436"/>
    <cellStyle name="40 % - Accent1 3 2 5 3 3 4" xfId="23926"/>
    <cellStyle name="40 % - Accent1 3 2 5 3 3 5" xfId="36906"/>
    <cellStyle name="40 % - Accent1 3 2 5 3 3 6" xfId="53135"/>
    <cellStyle name="40 % - Accent1 3 2 5 3 4" xfId="7698"/>
    <cellStyle name="40 % - Accent1 3 2 5 3 4 2" xfId="27171"/>
    <cellStyle name="40 % - Accent1 3 2 5 3 4 3" xfId="40151"/>
    <cellStyle name="40 % - Accent1 3 2 5 3 4 4" xfId="56380"/>
    <cellStyle name="40 % - Accent1 3 2 5 3 5" xfId="14191"/>
    <cellStyle name="40 % - Accent1 3 2 5 3 5 2" xfId="49890"/>
    <cellStyle name="40 % - Accent1 3 2 5 3 6" xfId="20681"/>
    <cellStyle name="40 % - Accent1 3 2 5 3 7" xfId="33661"/>
    <cellStyle name="40 % - Accent1 3 2 5 3 8" xfId="46644"/>
    <cellStyle name="40 % - Accent1 3 2 5 4" xfId="2314"/>
    <cellStyle name="40 % - Accent1 3 2 5 4 2" xfId="5559"/>
    <cellStyle name="40 % - Accent1 3 2 5 4 2 2" xfId="12091"/>
    <cellStyle name="40 % - Accent1 3 2 5 4 2 2 2" xfId="31564"/>
    <cellStyle name="40 % - Accent1 3 2 5 4 2 2 3" xfId="44544"/>
    <cellStyle name="40 % - Accent1 3 2 5 4 2 2 4" xfId="60773"/>
    <cellStyle name="40 % - Accent1 3 2 5 4 2 3" xfId="18584"/>
    <cellStyle name="40 % - Accent1 3 2 5 4 2 4" xfId="25074"/>
    <cellStyle name="40 % - Accent1 3 2 5 4 2 5" xfId="38054"/>
    <cellStyle name="40 % - Accent1 3 2 5 4 2 6" xfId="54283"/>
    <cellStyle name="40 % - Accent1 3 2 5 4 3" xfId="8846"/>
    <cellStyle name="40 % - Accent1 3 2 5 4 3 2" xfId="28319"/>
    <cellStyle name="40 % - Accent1 3 2 5 4 3 3" xfId="41299"/>
    <cellStyle name="40 % - Accent1 3 2 5 4 3 4" xfId="57528"/>
    <cellStyle name="40 % - Accent1 3 2 5 4 4" xfId="15339"/>
    <cellStyle name="40 % - Accent1 3 2 5 4 4 2" xfId="51038"/>
    <cellStyle name="40 % - Accent1 3 2 5 4 5" xfId="21829"/>
    <cellStyle name="40 % - Accent1 3 2 5 4 6" xfId="34809"/>
    <cellStyle name="40 % - Accent1 3 2 5 4 7" xfId="47792"/>
    <cellStyle name="40 % - Accent1 3 2 5 5" xfId="3936"/>
    <cellStyle name="40 % - Accent1 3 2 5 5 2" xfId="10468"/>
    <cellStyle name="40 % - Accent1 3 2 5 5 2 2" xfId="29941"/>
    <cellStyle name="40 % - Accent1 3 2 5 5 2 3" xfId="42921"/>
    <cellStyle name="40 % - Accent1 3 2 5 5 2 4" xfId="59150"/>
    <cellStyle name="40 % - Accent1 3 2 5 5 3" xfId="16961"/>
    <cellStyle name="40 % - Accent1 3 2 5 5 4" xfId="23451"/>
    <cellStyle name="40 % - Accent1 3 2 5 5 5" xfId="36431"/>
    <cellStyle name="40 % - Accent1 3 2 5 5 6" xfId="52660"/>
    <cellStyle name="40 % - Accent1 3 2 5 6" xfId="7223"/>
    <cellStyle name="40 % - Accent1 3 2 5 6 2" xfId="26696"/>
    <cellStyle name="40 % - Accent1 3 2 5 6 3" xfId="39676"/>
    <cellStyle name="40 % - Accent1 3 2 5 6 4" xfId="55905"/>
    <cellStyle name="40 % - Accent1 3 2 5 7" xfId="13716"/>
    <cellStyle name="40 % - Accent1 3 2 5 7 2" xfId="49415"/>
    <cellStyle name="40 % - Accent1 3 2 5 8" xfId="20206"/>
    <cellStyle name="40 % - Accent1 3 2 5 9" xfId="33186"/>
    <cellStyle name="40 % - Accent1 3 2 6" xfId="416"/>
    <cellStyle name="40 % - Accent1 3 2 6 2" xfId="1365"/>
    <cellStyle name="40 % - Accent1 3 2 6 2 2" xfId="3032"/>
    <cellStyle name="40 % - Accent1 3 2 6 2 2 2" xfId="6277"/>
    <cellStyle name="40 % - Accent1 3 2 6 2 2 2 2" xfId="12809"/>
    <cellStyle name="40 % - Accent1 3 2 6 2 2 2 2 2" xfId="32282"/>
    <cellStyle name="40 % - Accent1 3 2 6 2 2 2 2 3" xfId="45262"/>
    <cellStyle name="40 % - Accent1 3 2 6 2 2 2 2 4" xfId="61491"/>
    <cellStyle name="40 % - Accent1 3 2 6 2 2 2 3" xfId="19302"/>
    <cellStyle name="40 % - Accent1 3 2 6 2 2 2 4" xfId="25792"/>
    <cellStyle name="40 % - Accent1 3 2 6 2 2 2 5" xfId="38772"/>
    <cellStyle name="40 % - Accent1 3 2 6 2 2 2 6" xfId="55001"/>
    <cellStyle name="40 % - Accent1 3 2 6 2 2 3" xfId="9564"/>
    <cellStyle name="40 % - Accent1 3 2 6 2 2 3 2" xfId="29037"/>
    <cellStyle name="40 % - Accent1 3 2 6 2 2 3 3" xfId="42017"/>
    <cellStyle name="40 % - Accent1 3 2 6 2 2 3 4" xfId="58246"/>
    <cellStyle name="40 % - Accent1 3 2 6 2 2 4" xfId="16057"/>
    <cellStyle name="40 % - Accent1 3 2 6 2 2 4 2" xfId="51756"/>
    <cellStyle name="40 % - Accent1 3 2 6 2 2 5" xfId="22547"/>
    <cellStyle name="40 % - Accent1 3 2 6 2 2 6" xfId="35527"/>
    <cellStyle name="40 % - Accent1 3 2 6 2 2 7" xfId="48510"/>
    <cellStyle name="40 % - Accent1 3 2 6 2 3" xfId="4654"/>
    <cellStyle name="40 % - Accent1 3 2 6 2 3 2" xfId="11186"/>
    <cellStyle name="40 % - Accent1 3 2 6 2 3 2 2" xfId="30659"/>
    <cellStyle name="40 % - Accent1 3 2 6 2 3 2 3" xfId="43639"/>
    <cellStyle name="40 % - Accent1 3 2 6 2 3 2 4" xfId="59868"/>
    <cellStyle name="40 % - Accent1 3 2 6 2 3 3" xfId="17679"/>
    <cellStyle name="40 % - Accent1 3 2 6 2 3 4" xfId="24169"/>
    <cellStyle name="40 % - Accent1 3 2 6 2 3 5" xfId="37149"/>
    <cellStyle name="40 % - Accent1 3 2 6 2 3 6" xfId="53378"/>
    <cellStyle name="40 % - Accent1 3 2 6 2 4" xfId="7941"/>
    <cellStyle name="40 % - Accent1 3 2 6 2 4 2" xfId="27414"/>
    <cellStyle name="40 % - Accent1 3 2 6 2 4 3" xfId="40394"/>
    <cellStyle name="40 % - Accent1 3 2 6 2 4 4" xfId="56623"/>
    <cellStyle name="40 % - Accent1 3 2 6 2 5" xfId="14434"/>
    <cellStyle name="40 % - Accent1 3 2 6 2 5 2" xfId="50133"/>
    <cellStyle name="40 % - Accent1 3 2 6 2 6" xfId="20924"/>
    <cellStyle name="40 % - Accent1 3 2 6 2 7" xfId="33904"/>
    <cellStyle name="40 % - Accent1 3 2 6 2 8" xfId="46887"/>
    <cellStyle name="40 % - Accent1 3 2 6 3" xfId="2084"/>
    <cellStyle name="40 % - Accent1 3 2 6 3 2" xfId="5329"/>
    <cellStyle name="40 % - Accent1 3 2 6 3 2 2" xfId="11861"/>
    <cellStyle name="40 % - Accent1 3 2 6 3 2 2 2" xfId="31334"/>
    <cellStyle name="40 % - Accent1 3 2 6 3 2 2 3" xfId="44314"/>
    <cellStyle name="40 % - Accent1 3 2 6 3 2 2 4" xfId="60543"/>
    <cellStyle name="40 % - Accent1 3 2 6 3 2 3" xfId="18354"/>
    <cellStyle name="40 % - Accent1 3 2 6 3 2 4" xfId="24844"/>
    <cellStyle name="40 % - Accent1 3 2 6 3 2 5" xfId="37824"/>
    <cellStyle name="40 % - Accent1 3 2 6 3 2 6" xfId="54053"/>
    <cellStyle name="40 % - Accent1 3 2 6 3 3" xfId="8616"/>
    <cellStyle name="40 % - Accent1 3 2 6 3 3 2" xfId="28089"/>
    <cellStyle name="40 % - Accent1 3 2 6 3 3 3" xfId="41069"/>
    <cellStyle name="40 % - Accent1 3 2 6 3 3 4" xfId="57298"/>
    <cellStyle name="40 % - Accent1 3 2 6 3 4" xfId="15109"/>
    <cellStyle name="40 % - Accent1 3 2 6 3 4 2" xfId="50808"/>
    <cellStyle name="40 % - Accent1 3 2 6 3 5" xfId="21599"/>
    <cellStyle name="40 % - Accent1 3 2 6 3 6" xfId="34579"/>
    <cellStyle name="40 % - Accent1 3 2 6 3 7" xfId="47562"/>
    <cellStyle name="40 % - Accent1 3 2 6 4" xfId="3706"/>
    <cellStyle name="40 % - Accent1 3 2 6 4 2" xfId="10238"/>
    <cellStyle name="40 % - Accent1 3 2 6 4 2 2" xfId="29711"/>
    <cellStyle name="40 % - Accent1 3 2 6 4 2 3" xfId="42691"/>
    <cellStyle name="40 % - Accent1 3 2 6 4 2 4" xfId="58920"/>
    <cellStyle name="40 % - Accent1 3 2 6 4 3" xfId="16731"/>
    <cellStyle name="40 % - Accent1 3 2 6 4 4" xfId="23221"/>
    <cellStyle name="40 % - Accent1 3 2 6 4 5" xfId="36201"/>
    <cellStyle name="40 % - Accent1 3 2 6 4 6" xfId="52430"/>
    <cellStyle name="40 % - Accent1 3 2 6 5" xfId="6993"/>
    <cellStyle name="40 % - Accent1 3 2 6 5 2" xfId="26466"/>
    <cellStyle name="40 % - Accent1 3 2 6 5 3" xfId="39446"/>
    <cellStyle name="40 % - Accent1 3 2 6 5 4" xfId="55675"/>
    <cellStyle name="40 % - Accent1 3 2 6 6" xfId="13486"/>
    <cellStyle name="40 % - Accent1 3 2 6 6 2" xfId="49185"/>
    <cellStyle name="40 % - Accent1 3 2 6 7" xfId="19976"/>
    <cellStyle name="40 % - Accent1 3 2 6 8" xfId="32956"/>
    <cellStyle name="40 % - Accent1 3 2 6 9" xfId="45939"/>
    <cellStyle name="40 % - Accent1 3 2 7" xfId="902"/>
    <cellStyle name="40 % - Accent1 3 2 7 2" xfId="2569"/>
    <cellStyle name="40 % - Accent1 3 2 7 2 2" xfId="5814"/>
    <cellStyle name="40 % - Accent1 3 2 7 2 2 2" xfId="12346"/>
    <cellStyle name="40 % - Accent1 3 2 7 2 2 2 2" xfId="31819"/>
    <cellStyle name="40 % - Accent1 3 2 7 2 2 2 3" xfId="44799"/>
    <cellStyle name="40 % - Accent1 3 2 7 2 2 2 4" xfId="61028"/>
    <cellStyle name="40 % - Accent1 3 2 7 2 2 3" xfId="18839"/>
    <cellStyle name="40 % - Accent1 3 2 7 2 2 4" xfId="25329"/>
    <cellStyle name="40 % - Accent1 3 2 7 2 2 5" xfId="38309"/>
    <cellStyle name="40 % - Accent1 3 2 7 2 2 6" xfId="54538"/>
    <cellStyle name="40 % - Accent1 3 2 7 2 3" xfId="9101"/>
    <cellStyle name="40 % - Accent1 3 2 7 2 3 2" xfId="28574"/>
    <cellStyle name="40 % - Accent1 3 2 7 2 3 3" xfId="41554"/>
    <cellStyle name="40 % - Accent1 3 2 7 2 3 4" xfId="57783"/>
    <cellStyle name="40 % - Accent1 3 2 7 2 4" xfId="15594"/>
    <cellStyle name="40 % - Accent1 3 2 7 2 4 2" xfId="51293"/>
    <cellStyle name="40 % - Accent1 3 2 7 2 5" xfId="22084"/>
    <cellStyle name="40 % - Accent1 3 2 7 2 6" xfId="35064"/>
    <cellStyle name="40 % - Accent1 3 2 7 2 7" xfId="48047"/>
    <cellStyle name="40 % - Accent1 3 2 7 3" xfId="4191"/>
    <cellStyle name="40 % - Accent1 3 2 7 3 2" xfId="10723"/>
    <cellStyle name="40 % - Accent1 3 2 7 3 2 2" xfId="30196"/>
    <cellStyle name="40 % - Accent1 3 2 7 3 2 3" xfId="43176"/>
    <cellStyle name="40 % - Accent1 3 2 7 3 2 4" xfId="59405"/>
    <cellStyle name="40 % - Accent1 3 2 7 3 3" xfId="17216"/>
    <cellStyle name="40 % - Accent1 3 2 7 3 4" xfId="23706"/>
    <cellStyle name="40 % - Accent1 3 2 7 3 5" xfId="36686"/>
    <cellStyle name="40 % - Accent1 3 2 7 3 6" xfId="52915"/>
    <cellStyle name="40 % - Accent1 3 2 7 4" xfId="7478"/>
    <cellStyle name="40 % - Accent1 3 2 7 4 2" xfId="26951"/>
    <cellStyle name="40 % - Accent1 3 2 7 4 3" xfId="39931"/>
    <cellStyle name="40 % - Accent1 3 2 7 4 4" xfId="56160"/>
    <cellStyle name="40 % - Accent1 3 2 7 5" xfId="13971"/>
    <cellStyle name="40 % - Accent1 3 2 7 5 2" xfId="49670"/>
    <cellStyle name="40 % - Accent1 3 2 7 6" xfId="20461"/>
    <cellStyle name="40 % - Accent1 3 2 7 7" xfId="33441"/>
    <cellStyle name="40 % - Accent1 3 2 7 8" xfId="46424"/>
    <cellStyle name="40 % - Accent1 3 2 8" xfId="1855"/>
    <cellStyle name="40 % - Accent1 3 2 8 2" xfId="5100"/>
    <cellStyle name="40 % - Accent1 3 2 8 2 2" xfId="11632"/>
    <cellStyle name="40 % - Accent1 3 2 8 2 2 2" xfId="31105"/>
    <cellStyle name="40 % - Accent1 3 2 8 2 2 3" xfId="44085"/>
    <cellStyle name="40 % - Accent1 3 2 8 2 2 4" xfId="60314"/>
    <cellStyle name="40 % - Accent1 3 2 8 2 3" xfId="18125"/>
    <cellStyle name="40 % - Accent1 3 2 8 2 4" xfId="24615"/>
    <cellStyle name="40 % - Accent1 3 2 8 2 5" xfId="37595"/>
    <cellStyle name="40 % - Accent1 3 2 8 2 6" xfId="53824"/>
    <cellStyle name="40 % - Accent1 3 2 8 3" xfId="8387"/>
    <cellStyle name="40 % - Accent1 3 2 8 3 2" xfId="27860"/>
    <cellStyle name="40 % - Accent1 3 2 8 3 3" xfId="40840"/>
    <cellStyle name="40 % - Accent1 3 2 8 3 4" xfId="57069"/>
    <cellStyle name="40 % - Accent1 3 2 8 4" xfId="14880"/>
    <cellStyle name="40 % - Accent1 3 2 8 4 2" xfId="50579"/>
    <cellStyle name="40 % - Accent1 3 2 8 5" xfId="21370"/>
    <cellStyle name="40 % - Accent1 3 2 8 6" xfId="34350"/>
    <cellStyle name="40 % - Accent1 3 2 8 7" xfId="47333"/>
    <cellStyle name="40 % - Accent1 3 2 9" xfId="3476"/>
    <cellStyle name="40 % - Accent1 3 2 9 2" xfId="10008"/>
    <cellStyle name="40 % - Accent1 3 2 9 2 2" xfId="29481"/>
    <cellStyle name="40 % - Accent1 3 2 9 2 3" xfId="42461"/>
    <cellStyle name="40 % - Accent1 3 2 9 2 4" xfId="58690"/>
    <cellStyle name="40 % - Accent1 3 2 9 3" xfId="16501"/>
    <cellStyle name="40 % - Accent1 3 2 9 4" xfId="22991"/>
    <cellStyle name="40 % - Accent1 3 2 9 5" xfId="35971"/>
    <cellStyle name="40 % - Accent1 3 2 9 6" xfId="52200"/>
    <cellStyle name="40 % - Accent1 3 3" xfId="248"/>
    <cellStyle name="40 % - Accent1 3 3 10" xfId="19812"/>
    <cellStyle name="40 % - Accent1 3 3 11" xfId="32792"/>
    <cellStyle name="40 % - Accent1 3 3 12" xfId="45775"/>
    <cellStyle name="40 % - Accent1 3 3 2" xfId="336"/>
    <cellStyle name="40 % - Accent1 3 3 2 10" xfId="32880"/>
    <cellStyle name="40 % - Accent1 3 3 2 11" xfId="45863"/>
    <cellStyle name="40 % - Accent1 3 3 2 2" xfId="800"/>
    <cellStyle name="40 % - Accent1 3 3 2 2 10" xfId="46323"/>
    <cellStyle name="40 % - Accent1 3 3 2 2 2" xfId="1739"/>
    <cellStyle name="40 % - Accent1 3 3 2 2 2 2" xfId="3406"/>
    <cellStyle name="40 % - Accent1 3 3 2 2 2 2 2" xfId="6651"/>
    <cellStyle name="40 % - Accent1 3 3 2 2 2 2 2 2" xfId="13183"/>
    <cellStyle name="40 % - Accent1 3 3 2 2 2 2 2 2 2" xfId="32656"/>
    <cellStyle name="40 % - Accent1 3 3 2 2 2 2 2 2 3" xfId="45636"/>
    <cellStyle name="40 % - Accent1 3 3 2 2 2 2 2 2 4" xfId="61865"/>
    <cellStyle name="40 % - Accent1 3 3 2 2 2 2 2 3" xfId="19676"/>
    <cellStyle name="40 % - Accent1 3 3 2 2 2 2 2 4" xfId="26166"/>
    <cellStyle name="40 % - Accent1 3 3 2 2 2 2 2 5" xfId="39146"/>
    <cellStyle name="40 % - Accent1 3 3 2 2 2 2 2 6" xfId="55375"/>
    <cellStyle name="40 % - Accent1 3 3 2 2 2 2 3" xfId="9938"/>
    <cellStyle name="40 % - Accent1 3 3 2 2 2 2 3 2" xfId="29411"/>
    <cellStyle name="40 % - Accent1 3 3 2 2 2 2 3 3" xfId="42391"/>
    <cellStyle name="40 % - Accent1 3 3 2 2 2 2 3 4" xfId="58620"/>
    <cellStyle name="40 % - Accent1 3 3 2 2 2 2 4" xfId="16431"/>
    <cellStyle name="40 % - Accent1 3 3 2 2 2 2 4 2" xfId="52130"/>
    <cellStyle name="40 % - Accent1 3 3 2 2 2 2 5" xfId="22921"/>
    <cellStyle name="40 % - Accent1 3 3 2 2 2 2 6" xfId="35901"/>
    <cellStyle name="40 % - Accent1 3 3 2 2 2 2 7" xfId="48884"/>
    <cellStyle name="40 % - Accent1 3 3 2 2 2 3" xfId="5028"/>
    <cellStyle name="40 % - Accent1 3 3 2 2 2 3 2" xfId="11560"/>
    <cellStyle name="40 % - Accent1 3 3 2 2 2 3 2 2" xfId="31033"/>
    <cellStyle name="40 % - Accent1 3 3 2 2 2 3 2 3" xfId="44013"/>
    <cellStyle name="40 % - Accent1 3 3 2 2 2 3 2 4" xfId="60242"/>
    <cellStyle name="40 % - Accent1 3 3 2 2 2 3 3" xfId="18053"/>
    <cellStyle name="40 % - Accent1 3 3 2 2 2 3 4" xfId="24543"/>
    <cellStyle name="40 % - Accent1 3 3 2 2 2 3 5" xfId="37523"/>
    <cellStyle name="40 % - Accent1 3 3 2 2 2 3 6" xfId="53752"/>
    <cellStyle name="40 % - Accent1 3 3 2 2 2 4" xfId="8315"/>
    <cellStyle name="40 % - Accent1 3 3 2 2 2 4 2" xfId="27788"/>
    <cellStyle name="40 % - Accent1 3 3 2 2 2 4 3" xfId="40768"/>
    <cellStyle name="40 % - Accent1 3 3 2 2 2 4 4" xfId="56997"/>
    <cellStyle name="40 % - Accent1 3 3 2 2 2 5" xfId="14808"/>
    <cellStyle name="40 % - Accent1 3 3 2 2 2 5 2" xfId="50507"/>
    <cellStyle name="40 % - Accent1 3 3 2 2 2 6" xfId="21298"/>
    <cellStyle name="40 % - Accent1 3 3 2 2 2 7" xfId="34278"/>
    <cellStyle name="40 % - Accent1 3 3 2 2 2 8" xfId="47261"/>
    <cellStyle name="40 % - Accent1 3 3 2 2 3" xfId="1276"/>
    <cellStyle name="40 % - Accent1 3 3 2 2 3 2" xfId="2943"/>
    <cellStyle name="40 % - Accent1 3 3 2 2 3 2 2" xfId="6188"/>
    <cellStyle name="40 % - Accent1 3 3 2 2 3 2 2 2" xfId="12720"/>
    <cellStyle name="40 % - Accent1 3 3 2 2 3 2 2 2 2" xfId="32193"/>
    <cellStyle name="40 % - Accent1 3 3 2 2 3 2 2 2 3" xfId="45173"/>
    <cellStyle name="40 % - Accent1 3 3 2 2 3 2 2 2 4" xfId="61402"/>
    <cellStyle name="40 % - Accent1 3 3 2 2 3 2 2 3" xfId="19213"/>
    <cellStyle name="40 % - Accent1 3 3 2 2 3 2 2 4" xfId="25703"/>
    <cellStyle name="40 % - Accent1 3 3 2 2 3 2 2 5" xfId="38683"/>
    <cellStyle name="40 % - Accent1 3 3 2 2 3 2 2 6" xfId="54912"/>
    <cellStyle name="40 % - Accent1 3 3 2 2 3 2 3" xfId="9475"/>
    <cellStyle name="40 % - Accent1 3 3 2 2 3 2 3 2" xfId="28948"/>
    <cellStyle name="40 % - Accent1 3 3 2 2 3 2 3 3" xfId="41928"/>
    <cellStyle name="40 % - Accent1 3 3 2 2 3 2 3 4" xfId="58157"/>
    <cellStyle name="40 % - Accent1 3 3 2 2 3 2 4" xfId="15968"/>
    <cellStyle name="40 % - Accent1 3 3 2 2 3 2 4 2" xfId="51667"/>
    <cellStyle name="40 % - Accent1 3 3 2 2 3 2 5" xfId="22458"/>
    <cellStyle name="40 % - Accent1 3 3 2 2 3 2 6" xfId="35438"/>
    <cellStyle name="40 % - Accent1 3 3 2 2 3 2 7" xfId="48421"/>
    <cellStyle name="40 % - Accent1 3 3 2 2 3 3" xfId="4565"/>
    <cellStyle name="40 % - Accent1 3 3 2 2 3 3 2" xfId="11097"/>
    <cellStyle name="40 % - Accent1 3 3 2 2 3 3 2 2" xfId="30570"/>
    <cellStyle name="40 % - Accent1 3 3 2 2 3 3 2 3" xfId="43550"/>
    <cellStyle name="40 % - Accent1 3 3 2 2 3 3 2 4" xfId="59779"/>
    <cellStyle name="40 % - Accent1 3 3 2 2 3 3 3" xfId="17590"/>
    <cellStyle name="40 % - Accent1 3 3 2 2 3 3 4" xfId="24080"/>
    <cellStyle name="40 % - Accent1 3 3 2 2 3 3 5" xfId="37060"/>
    <cellStyle name="40 % - Accent1 3 3 2 2 3 3 6" xfId="53289"/>
    <cellStyle name="40 % - Accent1 3 3 2 2 3 4" xfId="7852"/>
    <cellStyle name="40 % - Accent1 3 3 2 2 3 4 2" xfId="27325"/>
    <cellStyle name="40 % - Accent1 3 3 2 2 3 4 3" xfId="40305"/>
    <cellStyle name="40 % - Accent1 3 3 2 2 3 4 4" xfId="56534"/>
    <cellStyle name="40 % - Accent1 3 3 2 2 3 5" xfId="14345"/>
    <cellStyle name="40 % - Accent1 3 3 2 2 3 5 2" xfId="50044"/>
    <cellStyle name="40 % - Accent1 3 3 2 2 3 6" xfId="20835"/>
    <cellStyle name="40 % - Accent1 3 3 2 2 3 7" xfId="33815"/>
    <cellStyle name="40 % - Accent1 3 3 2 2 3 8" xfId="46798"/>
    <cellStyle name="40 % - Accent1 3 3 2 2 4" xfId="2468"/>
    <cellStyle name="40 % - Accent1 3 3 2 2 4 2" xfId="5713"/>
    <cellStyle name="40 % - Accent1 3 3 2 2 4 2 2" xfId="12245"/>
    <cellStyle name="40 % - Accent1 3 3 2 2 4 2 2 2" xfId="31718"/>
    <cellStyle name="40 % - Accent1 3 3 2 2 4 2 2 3" xfId="44698"/>
    <cellStyle name="40 % - Accent1 3 3 2 2 4 2 2 4" xfId="60927"/>
    <cellStyle name="40 % - Accent1 3 3 2 2 4 2 3" xfId="18738"/>
    <cellStyle name="40 % - Accent1 3 3 2 2 4 2 4" xfId="25228"/>
    <cellStyle name="40 % - Accent1 3 3 2 2 4 2 5" xfId="38208"/>
    <cellStyle name="40 % - Accent1 3 3 2 2 4 2 6" xfId="54437"/>
    <cellStyle name="40 % - Accent1 3 3 2 2 4 3" xfId="9000"/>
    <cellStyle name="40 % - Accent1 3 3 2 2 4 3 2" xfId="28473"/>
    <cellStyle name="40 % - Accent1 3 3 2 2 4 3 3" xfId="41453"/>
    <cellStyle name="40 % - Accent1 3 3 2 2 4 3 4" xfId="57682"/>
    <cellStyle name="40 % - Accent1 3 3 2 2 4 4" xfId="15493"/>
    <cellStyle name="40 % - Accent1 3 3 2 2 4 4 2" xfId="51192"/>
    <cellStyle name="40 % - Accent1 3 3 2 2 4 5" xfId="21983"/>
    <cellStyle name="40 % - Accent1 3 3 2 2 4 6" xfId="34963"/>
    <cellStyle name="40 % - Accent1 3 3 2 2 4 7" xfId="47946"/>
    <cellStyle name="40 % - Accent1 3 3 2 2 5" xfId="4090"/>
    <cellStyle name="40 % - Accent1 3 3 2 2 5 2" xfId="10622"/>
    <cellStyle name="40 % - Accent1 3 3 2 2 5 2 2" xfId="30095"/>
    <cellStyle name="40 % - Accent1 3 3 2 2 5 2 3" xfId="43075"/>
    <cellStyle name="40 % - Accent1 3 3 2 2 5 2 4" xfId="59304"/>
    <cellStyle name="40 % - Accent1 3 3 2 2 5 3" xfId="17115"/>
    <cellStyle name="40 % - Accent1 3 3 2 2 5 4" xfId="23605"/>
    <cellStyle name="40 % - Accent1 3 3 2 2 5 5" xfId="36585"/>
    <cellStyle name="40 % - Accent1 3 3 2 2 5 6" xfId="52814"/>
    <cellStyle name="40 % - Accent1 3 3 2 2 6" xfId="7377"/>
    <cellStyle name="40 % - Accent1 3 3 2 2 6 2" xfId="26850"/>
    <cellStyle name="40 % - Accent1 3 3 2 2 6 3" xfId="39830"/>
    <cellStyle name="40 % - Accent1 3 3 2 2 6 4" xfId="56059"/>
    <cellStyle name="40 % - Accent1 3 3 2 2 7" xfId="13870"/>
    <cellStyle name="40 % - Accent1 3 3 2 2 7 2" xfId="49569"/>
    <cellStyle name="40 % - Accent1 3 3 2 2 8" xfId="20360"/>
    <cellStyle name="40 % - Accent1 3 3 2 2 9" xfId="33340"/>
    <cellStyle name="40 % - Accent1 3 3 2 3" xfId="570"/>
    <cellStyle name="40 % - Accent1 3 3 2 3 2" xfId="1519"/>
    <cellStyle name="40 % - Accent1 3 3 2 3 2 2" xfId="3186"/>
    <cellStyle name="40 % - Accent1 3 3 2 3 2 2 2" xfId="6431"/>
    <cellStyle name="40 % - Accent1 3 3 2 3 2 2 2 2" xfId="12963"/>
    <cellStyle name="40 % - Accent1 3 3 2 3 2 2 2 2 2" xfId="32436"/>
    <cellStyle name="40 % - Accent1 3 3 2 3 2 2 2 2 3" xfId="45416"/>
    <cellStyle name="40 % - Accent1 3 3 2 3 2 2 2 2 4" xfId="61645"/>
    <cellStyle name="40 % - Accent1 3 3 2 3 2 2 2 3" xfId="19456"/>
    <cellStyle name="40 % - Accent1 3 3 2 3 2 2 2 4" xfId="25946"/>
    <cellStyle name="40 % - Accent1 3 3 2 3 2 2 2 5" xfId="38926"/>
    <cellStyle name="40 % - Accent1 3 3 2 3 2 2 2 6" xfId="55155"/>
    <cellStyle name="40 % - Accent1 3 3 2 3 2 2 3" xfId="9718"/>
    <cellStyle name="40 % - Accent1 3 3 2 3 2 2 3 2" xfId="29191"/>
    <cellStyle name="40 % - Accent1 3 3 2 3 2 2 3 3" xfId="42171"/>
    <cellStyle name="40 % - Accent1 3 3 2 3 2 2 3 4" xfId="58400"/>
    <cellStyle name="40 % - Accent1 3 3 2 3 2 2 4" xfId="16211"/>
    <cellStyle name="40 % - Accent1 3 3 2 3 2 2 4 2" xfId="51910"/>
    <cellStyle name="40 % - Accent1 3 3 2 3 2 2 5" xfId="22701"/>
    <cellStyle name="40 % - Accent1 3 3 2 3 2 2 6" xfId="35681"/>
    <cellStyle name="40 % - Accent1 3 3 2 3 2 2 7" xfId="48664"/>
    <cellStyle name="40 % - Accent1 3 3 2 3 2 3" xfId="4808"/>
    <cellStyle name="40 % - Accent1 3 3 2 3 2 3 2" xfId="11340"/>
    <cellStyle name="40 % - Accent1 3 3 2 3 2 3 2 2" xfId="30813"/>
    <cellStyle name="40 % - Accent1 3 3 2 3 2 3 2 3" xfId="43793"/>
    <cellStyle name="40 % - Accent1 3 3 2 3 2 3 2 4" xfId="60022"/>
    <cellStyle name="40 % - Accent1 3 3 2 3 2 3 3" xfId="17833"/>
    <cellStyle name="40 % - Accent1 3 3 2 3 2 3 4" xfId="24323"/>
    <cellStyle name="40 % - Accent1 3 3 2 3 2 3 5" xfId="37303"/>
    <cellStyle name="40 % - Accent1 3 3 2 3 2 3 6" xfId="53532"/>
    <cellStyle name="40 % - Accent1 3 3 2 3 2 4" xfId="8095"/>
    <cellStyle name="40 % - Accent1 3 3 2 3 2 4 2" xfId="27568"/>
    <cellStyle name="40 % - Accent1 3 3 2 3 2 4 3" xfId="40548"/>
    <cellStyle name="40 % - Accent1 3 3 2 3 2 4 4" xfId="56777"/>
    <cellStyle name="40 % - Accent1 3 3 2 3 2 5" xfId="14588"/>
    <cellStyle name="40 % - Accent1 3 3 2 3 2 5 2" xfId="50287"/>
    <cellStyle name="40 % - Accent1 3 3 2 3 2 6" xfId="21078"/>
    <cellStyle name="40 % - Accent1 3 3 2 3 2 7" xfId="34058"/>
    <cellStyle name="40 % - Accent1 3 3 2 3 2 8" xfId="47041"/>
    <cellStyle name="40 % - Accent1 3 3 2 3 3" xfId="2238"/>
    <cellStyle name="40 % - Accent1 3 3 2 3 3 2" xfId="5483"/>
    <cellStyle name="40 % - Accent1 3 3 2 3 3 2 2" xfId="12015"/>
    <cellStyle name="40 % - Accent1 3 3 2 3 3 2 2 2" xfId="31488"/>
    <cellStyle name="40 % - Accent1 3 3 2 3 3 2 2 3" xfId="44468"/>
    <cellStyle name="40 % - Accent1 3 3 2 3 3 2 2 4" xfId="60697"/>
    <cellStyle name="40 % - Accent1 3 3 2 3 3 2 3" xfId="18508"/>
    <cellStyle name="40 % - Accent1 3 3 2 3 3 2 4" xfId="24998"/>
    <cellStyle name="40 % - Accent1 3 3 2 3 3 2 5" xfId="37978"/>
    <cellStyle name="40 % - Accent1 3 3 2 3 3 2 6" xfId="54207"/>
    <cellStyle name="40 % - Accent1 3 3 2 3 3 3" xfId="8770"/>
    <cellStyle name="40 % - Accent1 3 3 2 3 3 3 2" xfId="28243"/>
    <cellStyle name="40 % - Accent1 3 3 2 3 3 3 3" xfId="41223"/>
    <cellStyle name="40 % - Accent1 3 3 2 3 3 3 4" xfId="57452"/>
    <cellStyle name="40 % - Accent1 3 3 2 3 3 4" xfId="15263"/>
    <cellStyle name="40 % - Accent1 3 3 2 3 3 4 2" xfId="50962"/>
    <cellStyle name="40 % - Accent1 3 3 2 3 3 5" xfId="21753"/>
    <cellStyle name="40 % - Accent1 3 3 2 3 3 6" xfId="34733"/>
    <cellStyle name="40 % - Accent1 3 3 2 3 3 7" xfId="47716"/>
    <cellStyle name="40 % - Accent1 3 3 2 3 4" xfId="3860"/>
    <cellStyle name="40 % - Accent1 3 3 2 3 4 2" xfId="10392"/>
    <cellStyle name="40 % - Accent1 3 3 2 3 4 2 2" xfId="29865"/>
    <cellStyle name="40 % - Accent1 3 3 2 3 4 2 3" xfId="42845"/>
    <cellStyle name="40 % - Accent1 3 3 2 3 4 2 4" xfId="59074"/>
    <cellStyle name="40 % - Accent1 3 3 2 3 4 3" xfId="16885"/>
    <cellStyle name="40 % - Accent1 3 3 2 3 4 4" xfId="23375"/>
    <cellStyle name="40 % - Accent1 3 3 2 3 4 5" xfId="36355"/>
    <cellStyle name="40 % - Accent1 3 3 2 3 4 6" xfId="52584"/>
    <cellStyle name="40 % - Accent1 3 3 2 3 5" xfId="7147"/>
    <cellStyle name="40 % - Accent1 3 3 2 3 5 2" xfId="26620"/>
    <cellStyle name="40 % - Accent1 3 3 2 3 5 3" xfId="39600"/>
    <cellStyle name="40 % - Accent1 3 3 2 3 5 4" xfId="55829"/>
    <cellStyle name="40 % - Accent1 3 3 2 3 6" xfId="13640"/>
    <cellStyle name="40 % - Accent1 3 3 2 3 6 2" xfId="49339"/>
    <cellStyle name="40 % - Accent1 3 3 2 3 7" xfId="20130"/>
    <cellStyle name="40 % - Accent1 3 3 2 3 8" xfId="33110"/>
    <cellStyle name="40 % - Accent1 3 3 2 3 9" xfId="46093"/>
    <cellStyle name="40 % - Accent1 3 3 2 4" xfId="1056"/>
    <cellStyle name="40 % - Accent1 3 3 2 4 2" xfId="2723"/>
    <cellStyle name="40 % - Accent1 3 3 2 4 2 2" xfId="5968"/>
    <cellStyle name="40 % - Accent1 3 3 2 4 2 2 2" xfId="12500"/>
    <cellStyle name="40 % - Accent1 3 3 2 4 2 2 2 2" xfId="31973"/>
    <cellStyle name="40 % - Accent1 3 3 2 4 2 2 2 3" xfId="44953"/>
    <cellStyle name="40 % - Accent1 3 3 2 4 2 2 2 4" xfId="61182"/>
    <cellStyle name="40 % - Accent1 3 3 2 4 2 2 3" xfId="18993"/>
    <cellStyle name="40 % - Accent1 3 3 2 4 2 2 4" xfId="25483"/>
    <cellStyle name="40 % - Accent1 3 3 2 4 2 2 5" xfId="38463"/>
    <cellStyle name="40 % - Accent1 3 3 2 4 2 2 6" xfId="54692"/>
    <cellStyle name="40 % - Accent1 3 3 2 4 2 3" xfId="9255"/>
    <cellStyle name="40 % - Accent1 3 3 2 4 2 3 2" xfId="28728"/>
    <cellStyle name="40 % - Accent1 3 3 2 4 2 3 3" xfId="41708"/>
    <cellStyle name="40 % - Accent1 3 3 2 4 2 3 4" xfId="57937"/>
    <cellStyle name="40 % - Accent1 3 3 2 4 2 4" xfId="15748"/>
    <cellStyle name="40 % - Accent1 3 3 2 4 2 4 2" xfId="51447"/>
    <cellStyle name="40 % - Accent1 3 3 2 4 2 5" xfId="22238"/>
    <cellStyle name="40 % - Accent1 3 3 2 4 2 6" xfId="35218"/>
    <cellStyle name="40 % - Accent1 3 3 2 4 2 7" xfId="48201"/>
    <cellStyle name="40 % - Accent1 3 3 2 4 3" xfId="4345"/>
    <cellStyle name="40 % - Accent1 3 3 2 4 3 2" xfId="10877"/>
    <cellStyle name="40 % - Accent1 3 3 2 4 3 2 2" xfId="30350"/>
    <cellStyle name="40 % - Accent1 3 3 2 4 3 2 3" xfId="43330"/>
    <cellStyle name="40 % - Accent1 3 3 2 4 3 2 4" xfId="59559"/>
    <cellStyle name="40 % - Accent1 3 3 2 4 3 3" xfId="17370"/>
    <cellStyle name="40 % - Accent1 3 3 2 4 3 4" xfId="23860"/>
    <cellStyle name="40 % - Accent1 3 3 2 4 3 5" xfId="36840"/>
    <cellStyle name="40 % - Accent1 3 3 2 4 3 6" xfId="53069"/>
    <cellStyle name="40 % - Accent1 3 3 2 4 4" xfId="7632"/>
    <cellStyle name="40 % - Accent1 3 3 2 4 4 2" xfId="27105"/>
    <cellStyle name="40 % - Accent1 3 3 2 4 4 3" xfId="40085"/>
    <cellStyle name="40 % - Accent1 3 3 2 4 4 4" xfId="56314"/>
    <cellStyle name="40 % - Accent1 3 3 2 4 5" xfId="14125"/>
    <cellStyle name="40 % - Accent1 3 3 2 4 5 2" xfId="49824"/>
    <cellStyle name="40 % - Accent1 3 3 2 4 6" xfId="20615"/>
    <cellStyle name="40 % - Accent1 3 3 2 4 7" xfId="33595"/>
    <cellStyle name="40 % - Accent1 3 3 2 4 8" xfId="46578"/>
    <cellStyle name="40 % - Accent1 3 3 2 5" xfId="2009"/>
    <cellStyle name="40 % - Accent1 3 3 2 5 2" xfId="5254"/>
    <cellStyle name="40 % - Accent1 3 3 2 5 2 2" xfId="11786"/>
    <cellStyle name="40 % - Accent1 3 3 2 5 2 2 2" xfId="31259"/>
    <cellStyle name="40 % - Accent1 3 3 2 5 2 2 3" xfId="44239"/>
    <cellStyle name="40 % - Accent1 3 3 2 5 2 2 4" xfId="60468"/>
    <cellStyle name="40 % - Accent1 3 3 2 5 2 3" xfId="18279"/>
    <cellStyle name="40 % - Accent1 3 3 2 5 2 4" xfId="24769"/>
    <cellStyle name="40 % - Accent1 3 3 2 5 2 5" xfId="37749"/>
    <cellStyle name="40 % - Accent1 3 3 2 5 2 6" xfId="53978"/>
    <cellStyle name="40 % - Accent1 3 3 2 5 3" xfId="8541"/>
    <cellStyle name="40 % - Accent1 3 3 2 5 3 2" xfId="28014"/>
    <cellStyle name="40 % - Accent1 3 3 2 5 3 3" xfId="40994"/>
    <cellStyle name="40 % - Accent1 3 3 2 5 3 4" xfId="57223"/>
    <cellStyle name="40 % - Accent1 3 3 2 5 4" xfId="15034"/>
    <cellStyle name="40 % - Accent1 3 3 2 5 4 2" xfId="50733"/>
    <cellStyle name="40 % - Accent1 3 3 2 5 5" xfId="21524"/>
    <cellStyle name="40 % - Accent1 3 3 2 5 6" xfId="34504"/>
    <cellStyle name="40 % - Accent1 3 3 2 5 7" xfId="47487"/>
    <cellStyle name="40 % - Accent1 3 3 2 6" xfId="3630"/>
    <cellStyle name="40 % - Accent1 3 3 2 6 2" xfId="10162"/>
    <cellStyle name="40 % - Accent1 3 3 2 6 2 2" xfId="29635"/>
    <cellStyle name="40 % - Accent1 3 3 2 6 2 3" xfId="42615"/>
    <cellStyle name="40 % - Accent1 3 3 2 6 2 4" xfId="58844"/>
    <cellStyle name="40 % - Accent1 3 3 2 6 3" xfId="16655"/>
    <cellStyle name="40 % - Accent1 3 3 2 6 4" xfId="23145"/>
    <cellStyle name="40 % - Accent1 3 3 2 6 5" xfId="36125"/>
    <cellStyle name="40 % - Accent1 3 3 2 6 6" xfId="52354"/>
    <cellStyle name="40 % - Accent1 3 3 2 7" xfId="6917"/>
    <cellStyle name="40 % - Accent1 3 3 2 7 2" xfId="26390"/>
    <cellStyle name="40 % - Accent1 3 3 2 7 3" xfId="39370"/>
    <cellStyle name="40 % - Accent1 3 3 2 7 4" xfId="55599"/>
    <cellStyle name="40 % - Accent1 3 3 2 8" xfId="13410"/>
    <cellStyle name="40 % - Accent1 3 3 2 8 2" xfId="49109"/>
    <cellStyle name="40 % - Accent1 3 3 2 9" xfId="19900"/>
    <cellStyle name="40 % - Accent1 3 3 3" xfId="712"/>
    <cellStyle name="40 % - Accent1 3 3 3 10" xfId="46235"/>
    <cellStyle name="40 % - Accent1 3 3 3 2" xfId="1651"/>
    <cellStyle name="40 % - Accent1 3 3 3 2 2" xfId="3318"/>
    <cellStyle name="40 % - Accent1 3 3 3 2 2 2" xfId="6563"/>
    <cellStyle name="40 % - Accent1 3 3 3 2 2 2 2" xfId="13095"/>
    <cellStyle name="40 % - Accent1 3 3 3 2 2 2 2 2" xfId="32568"/>
    <cellStyle name="40 % - Accent1 3 3 3 2 2 2 2 3" xfId="45548"/>
    <cellStyle name="40 % - Accent1 3 3 3 2 2 2 2 4" xfId="61777"/>
    <cellStyle name="40 % - Accent1 3 3 3 2 2 2 3" xfId="19588"/>
    <cellStyle name="40 % - Accent1 3 3 3 2 2 2 4" xfId="26078"/>
    <cellStyle name="40 % - Accent1 3 3 3 2 2 2 5" xfId="39058"/>
    <cellStyle name="40 % - Accent1 3 3 3 2 2 2 6" xfId="55287"/>
    <cellStyle name="40 % - Accent1 3 3 3 2 2 3" xfId="9850"/>
    <cellStyle name="40 % - Accent1 3 3 3 2 2 3 2" xfId="29323"/>
    <cellStyle name="40 % - Accent1 3 3 3 2 2 3 3" xfId="42303"/>
    <cellStyle name="40 % - Accent1 3 3 3 2 2 3 4" xfId="58532"/>
    <cellStyle name="40 % - Accent1 3 3 3 2 2 4" xfId="16343"/>
    <cellStyle name="40 % - Accent1 3 3 3 2 2 4 2" xfId="52042"/>
    <cellStyle name="40 % - Accent1 3 3 3 2 2 5" xfId="22833"/>
    <cellStyle name="40 % - Accent1 3 3 3 2 2 6" xfId="35813"/>
    <cellStyle name="40 % - Accent1 3 3 3 2 2 7" xfId="48796"/>
    <cellStyle name="40 % - Accent1 3 3 3 2 3" xfId="4940"/>
    <cellStyle name="40 % - Accent1 3 3 3 2 3 2" xfId="11472"/>
    <cellStyle name="40 % - Accent1 3 3 3 2 3 2 2" xfId="30945"/>
    <cellStyle name="40 % - Accent1 3 3 3 2 3 2 3" xfId="43925"/>
    <cellStyle name="40 % - Accent1 3 3 3 2 3 2 4" xfId="60154"/>
    <cellStyle name="40 % - Accent1 3 3 3 2 3 3" xfId="17965"/>
    <cellStyle name="40 % - Accent1 3 3 3 2 3 4" xfId="24455"/>
    <cellStyle name="40 % - Accent1 3 3 3 2 3 5" xfId="37435"/>
    <cellStyle name="40 % - Accent1 3 3 3 2 3 6" xfId="53664"/>
    <cellStyle name="40 % - Accent1 3 3 3 2 4" xfId="8227"/>
    <cellStyle name="40 % - Accent1 3 3 3 2 4 2" xfId="27700"/>
    <cellStyle name="40 % - Accent1 3 3 3 2 4 3" xfId="40680"/>
    <cellStyle name="40 % - Accent1 3 3 3 2 4 4" xfId="56909"/>
    <cellStyle name="40 % - Accent1 3 3 3 2 5" xfId="14720"/>
    <cellStyle name="40 % - Accent1 3 3 3 2 5 2" xfId="50419"/>
    <cellStyle name="40 % - Accent1 3 3 3 2 6" xfId="21210"/>
    <cellStyle name="40 % - Accent1 3 3 3 2 7" xfId="34190"/>
    <cellStyle name="40 % - Accent1 3 3 3 2 8" xfId="47173"/>
    <cellStyle name="40 % - Accent1 3 3 3 3" xfId="1188"/>
    <cellStyle name="40 % - Accent1 3 3 3 3 2" xfId="2855"/>
    <cellStyle name="40 % - Accent1 3 3 3 3 2 2" xfId="6100"/>
    <cellStyle name="40 % - Accent1 3 3 3 3 2 2 2" xfId="12632"/>
    <cellStyle name="40 % - Accent1 3 3 3 3 2 2 2 2" xfId="32105"/>
    <cellStyle name="40 % - Accent1 3 3 3 3 2 2 2 3" xfId="45085"/>
    <cellStyle name="40 % - Accent1 3 3 3 3 2 2 2 4" xfId="61314"/>
    <cellStyle name="40 % - Accent1 3 3 3 3 2 2 3" xfId="19125"/>
    <cellStyle name="40 % - Accent1 3 3 3 3 2 2 4" xfId="25615"/>
    <cellStyle name="40 % - Accent1 3 3 3 3 2 2 5" xfId="38595"/>
    <cellStyle name="40 % - Accent1 3 3 3 3 2 2 6" xfId="54824"/>
    <cellStyle name="40 % - Accent1 3 3 3 3 2 3" xfId="9387"/>
    <cellStyle name="40 % - Accent1 3 3 3 3 2 3 2" xfId="28860"/>
    <cellStyle name="40 % - Accent1 3 3 3 3 2 3 3" xfId="41840"/>
    <cellStyle name="40 % - Accent1 3 3 3 3 2 3 4" xfId="58069"/>
    <cellStyle name="40 % - Accent1 3 3 3 3 2 4" xfId="15880"/>
    <cellStyle name="40 % - Accent1 3 3 3 3 2 4 2" xfId="51579"/>
    <cellStyle name="40 % - Accent1 3 3 3 3 2 5" xfId="22370"/>
    <cellStyle name="40 % - Accent1 3 3 3 3 2 6" xfId="35350"/>
    <cellStyle name="40 % - Accent1 3 3 3 3 2 7" xfId="48333"/>
    <cellStyle name="40 % - Accent1 3 3 3 3 3" xfId="4477"/>
    <cellStyle name="40 % - Accent1 3 3 3 3 3 2" xfId="11009"/>
    <cellStyle name="40 % - Accent1 3 3 3 3 3 2 2" xfId="30482"/>
    <cellStyle name="40 % - Accent1 3 3 3 3 3 2 3" xfId="43462"/>
    <cellStyle name="40 % - Accent1 3 3 3 3 3 2 4" xfId="59691"/>
    <cellStyle name="40 % - Accent1 3 3 3 3 3 3" xfId="17502"/>
    <cellStyle name="40 % - Accent1 3 3 3 3 3 4" xfId="23992"/>
    <cellStyle name="40 % - Accent1 3 3 3 3 3 5" xfId="36972"/>
    <cellStyle name="40 % - Accent1 3 3 3 3 3 6" xfId="53201"/>
    <cellStyle name="40 % - Accent1 3 3 3 3 4" xfId="7764"/>
    <cellStyle name="40 % - Accent1 3 3 3 3 4 2" xfId="27237"/>
    <cellStyle name="40 % - Accent1 3 3 3 3 4 3" xfId="40217"/>
    <cellStyle name="40 % - Accent1 3 3 3 3 4 4" xfId="56446"/>
    <cellStyle name="40 % - Accent1 3 3 3 3 5" xfId="14257"/>
    <cellStyle name="40 % - Accent1 3 3 3 3 5 2" xfId="49956"/>
    <cellStyle name="40 % - Accent1 3 3 3 3 6" xfId="20747"/>
    <cellStyle name="40 % - Accent1 3 3 3 3 7" xfId="33727"/>
    <cellStyle name="40 % - Accent1 3 3 3 3 8" xfId="46710"/>
    <cellStyle name="40 % - Accent1 3 3 3 4" xfId="2380"/>
    <cellStyle name="40 % - Accent1 3 3 3 4 2" xfId="5625"/>
    <cellStyle name="40 % - Accent1 3 3 3 4 2 2" xfId="12157"/>
    <cellStyle name="40 % - Accent1 3 3 3 4 2 2 2" xfId="31630"/>
    <cellStyle name="40 % - Accent1 3 3 3 4 2 2 3" xfId="44610"/>
    <cellStyle name="40 % - Accent1 3 3 3 4 2 2 4" xfId="60839"/>
    <cellStyle name="40 % - Accent1 3 3 3 4 2 3" xfId="18650"/>
    <cellStyle name="40 % - Accent1 3 3 3 4 2 4" xfId="25140"/>
    <cellStyle name="40 % - Accent1 3 3 3 4 2 5" xfId="38120"/>
    <cellStyle name="40 % - Accent1 3 3 3 4 2 6" xfId="54349"/>
    <cellStyle name="40 % - Accent1 3 3 3 4 3" xfId="8912"/>
    <cellStyle name="40 % - Accent1 3 3 3 4 3 2" xfId="28385"/>
    <cellStyle name="40 % - Accent1 3 3 3 4 3 3" xfId="41365"/>
    <cellStyle name="40 % - Accent1 3 3 3 4 3 4" xfId="57594"/>
    <cellStyle name="40 % - Accent1 3 3 3 4 4" xfId="15405"/>
    <cellStyle name="40 % - Accent1 3 3 3 4 4 2" xfId="51104"/>
    <cellStyle name="40 % - Accent1 3 3 3 4 5" xfId="21895"/>
    <cellStyle name="40 % - Accent1 3 3 3 4 6" xfId="34875"/>
    <cellStyle name="40 % - Accent1 3 3 3 4 7" xfId="47858"/>
    <cellStyle name="40 % - Accent1 3 3 3 5" xfId="4002"/>
    <cellStyle name="40 % - Accent1 3 3 3 5 2" xfId="10534"/>
    <cellStyle name="40 % - Accent1 3 3 3 5 2 2" xfId="30007"/>
    <cellStyle name="40 % - Accent1 3 3 3 5 2 3" xfId="42987"/>
    <cellStyle name="40 % - Accent1 3 3 3 5 2 4" xfId="59216"/>
    <cellStyle name="40 % - Accent1 3 3 3 5 3" xfId="17027"/>
    <cellStyle name="40 % - Accent1 3 3 3 5 4" xfId="23517"/>
    <cellStyle name="40 % - Accent1 3 3 3 5 5" xfId="36497"/>
    <cellStyle name="40 % - Accent1 3 3 3 5 6" xfId="52726"/>
    <cellStyle name="40 % - Accent1 3 3 3 6" xfId="7289"/>
    <cellStyle name="40 % - Accent1 3 3 3 6 2" xfId="26762"/>
    <cellStyle name="40 % - Accent1 3 3 3 6 3" xfId="39742"/>
    <cellStyle name="40 % - Accent1 3 3 3 6 4" xfId="55971"/>
    <cellStyle name="40 % - Accent1 3 3 3 7" xfId="13782"/>
    <cellStyle name="40 % - Accent1 3 3 3 7 2" xfId="49481"/>
    <cellStyle name="40 % - Accent1 3 3 3 8" xfId="20272"/>
    <cellStyle name="40 % - Accent1 3 3 3 9" xfId="33252"/>
    <cellStyle name="40 % - Accent1 3 3 4" xfId="482"/>
    <cellStyle name="40 % - Accent1 3 3 4 2" xfId="1431"/>
    <cellStyle name="40 % - Accent1 3 3 4 2 2" xfId="3098"/>
    <cellStyle name="40 % - Accent1 3 3 4 2 2 2" xfId="6343"/>
    <cellStyle name="40 % - Accent1 3 3 4 2 2 2 2" xfId="12875"/>
    <cellStyle name="40 % - Accent1 3 3 4 2 2 2 2 2" xfId="32348"/>
    <cellStyle name="40 % - Accent1 3 3 4 2 2 2 2 3" xfId="45328"/>
    <cellStyle name="40 % - Accent1 3 3 4 2 2 2 2 4" xfId="61557"/>
    <cellStyle name="40 % - Accent1 3 3 4 2 2 2 3" xfId="19368"/>
    <cellStyle name="40 % - Accent1 3 3 4 2 2 2 4" xfId="25858"/>
    <cellStyle name="40 % - Accent1 3 3 4 2 2 2 5" xfId="38838"/>
    <cellStyle name="40 % - Accent1 3 3 4 2 2 2 6" xfId="55067"/>
    <cellStyle name="40 % - Accent1 3 3 4 2 2 3" xfId="9630"/>
    <cellStyle name="40 % - Accent1 3 3 4 2 2 3 2" xfId="29103"/>
    <cellStyle name="40 % - Accent1 3 3 4 2 2 3 3" xfId="42083"/>
    <cellStyle name="40 % - Accent1 3 3 4 2 2 3 4" xfId="58312"/>
    <cellStyle name="40 % - Accent1 3 3 4 2 2 4" xfId="16123"/>
    <cellStyle name="40 % - Accent1 3 3 4 2 2 4 2" xfId="51822"/>
    <cellStyle name="40 % - Accent1 3 3 4 2 2 5" xfId="22613"/>
    <cellStyle name="40 % - Accent1 3 3 4 2 2 6" xfId="35593"/>
    <cellStyle name="40 % - Accent1 3 3 4 2 2 7" xfId="48576"/>
    <cellStyle name="40 % - Accent1 3 3 4 2 3" xfId="4720"/>
    <cellStyle name="40 % - Accent1 3 3 4 2 3 2" xfId="11252"/>
    <cellStyle name="40 % - Accent1 3 3 4 2 3 2 2" xfId="30725"/>
    <cellStyle name="40 % - Accent1 3 3 4 2 3 2 3" xfId="43705"/>
    <cellStyle name="40 % - Accent1 3 3 4 2 3 2 4" xfId="59934"/>
    <cellStyle name="40 % - Accent1 3 3 4 2 3 3" xfId="17745"/>
    <cellStyle name="40 % - Accent1 3 3 4 2 3 4" xfId="24235"/>
    <cellStyle name="40 % - Accent1 3 3 4 2 3 5" xfId="37215"/>
    <cellStyle name="40 % - Accent1 3 3 4 2 3 6" xfId="53444"/>
    <cellStyle name="40 % - Accent1 3 3 4 2 4" xfId="8007"/>
    <cellStyle name="40 % - Accent1 3 3 4 2 4 2" xfId="27480"/>
    <cellStyle name="40 % - Accent1 3 3 4 2 4 3" xfId="40460"/>
    <cellStyle name="40 % - Accent1 3 3 4 2 4 4" xfId="56689"/>
    <cellStyle name="40 % - Accent1 3 3 4 2 5" xfId="14500"/>
    <cellStyle name="40 % - Accent1 3 3 4 2 5 2" xfId="50199"/>
    <cellStyle name="40 % - Accent1 3 3 4 2 6" xfId="20990"/>
    <cellStyle name="40 % - Accent1 3 3 4 2 7" xfId="33970"/>
    <cellStyle name="40 % - Accent1 3 3 4 2 8" xfId="46953"/>
    <cellStyle name="40 % - Accent1 3 3 4 3" xfId="2150"/>
    <cellStyle name="40 % - Accent1 3 3 4 3 2" xfId="5395"/>
    <cellStyle name="40 % - Accent1 3 3 4 3 2 2" xfId="11927"/>
    <cellStyle name="40 % - Accent1 3 3 4 3 2 2 2" xfId="31400"/>
    <cellStyle name="40 % - Accent1 3 3 4 3 2 2 3" xfId="44380"/>
    <cellStyle name="40 % - Accent1 3 3 4 3 2 2 4" xfId="60609"/>
    <cellStyle name="40 % - Accent1 3 3 4 3 2 3" xfId="18420"/>
    <cellStyle name="40 % - Accent1 3 3 4 3 2 4" xfId="24910"/>
    <cellStyle name="40 % - Accent1 3 3 4 3 2 5" xfId="37890"/>
    <cellStyle name="40 % - Accent1 3 3 4 3 2 6" xfId="54119"/>
    <cellStyle name="40 % - Accent1 3 3 4 3 3" xfId="8682"/>
    <cellStyle name="40 % - Accent1 3 3 4 3 3 2" xfId="28155"/>
    <cellStyle name="40 % - Accent1 3 3 4 3 3 3" xfId="41135"/>
    <cellStyle name="40 % - Accent1 3 3 4 3 3 4" xfId="57364"/>
    <cellStyle name="40 % - Accent1 3 3 4 3 4" xfId="15175"/>
    <cellStyle name="40 % - Accent1 3 3 4 3 4 2" xfId="50874"/>
    <cellStyle name="40 % - Accent1 3 3 4 3 5" xfId="21665"/>
    <cellStyle name="40 % - Accent1 3 3 4 3 6" xfId="34645"/>
    <cellStyle name="40 % - Accent1 3 3 4 3 7" xfId="47628"/>
    <cellStyle name="40 % - Accent1 3 3 4 4" xfId="3772"/>
    <cellStyle name="40 % - Accent1 3 3 4 4 2" xfId="10304"/>
    <cellStyle name="40 % - Accent1 3 3 4 4 2 2" xfId="29777"/>
    <cellStyle name="40 % - Accent1 3 3 4 4 2 3" xfId="42757"/>
    <cellStyle name="40 % - Accent1 3 3 4 4 2 4" xfId="58986"/>
    <cellStyle name="40 % - Accent1 3 3 4 4 3" xfId="16797"/>
    <cellStyle name="40 % - Accent1 3 3 4 4 4" xfId="23287"/>
    <cellStyle name="40 % - Accent1 3 3 4 4 5" xfId="36267"/>
    <cellStyle name="40 % - Accent1 3 3 4 4 6" xfId="52496"/>
    <cellStyle name="40 % - Accent1 3 3 4 5" xfId="7059"/>
    <cellStyle name="40 % - Accent1 3 3 4 5 2" xfId="26532"/>
    <cellStyle name="40 % - Accent1 3 3 4 5 3" xfId="39512"/>
    <cellStyle name="40 % - Accent1 3 3 4 5 4" xfId="55741"/>
    <cellStyle name="40 % - Accent1 3 3 4 6" xfId="13552"/>
    <cellStyle name="40 % - Accent1 3 3 4 6 2" xfId="49251"/>
    <cellStyle name="40 % - Accent1 3 3 4 7" xfId="20042"/>
    <cellStyle name="40 % - Accent1 3 3 4 8" xfId="33022"/>
    <cellStyle name="40 % - Accent1 3 3 4 9" xfId="46005"/>
    <cellStyle name="40 % - Accent1 3 3 5" xfId="968"/>
    <cellStyle name="40 % - Accent1 3 3 5 2" xfId="2635"/>
    <cellStyle name="40 % - Accent1 3 3 5 2 2" xfId="5880"/>
    <cellStyle name="40 % - Accent1 3 3 5 2 2 2" xfId="12412"/>
    <cellStyle name="40 % - Accent1 3 3 5 2 2 2 2" xfId="31885"/>
    <cellStyle name="40 % - Accent1 3 3 5 2 2 2 3" xfId="44865"/>
    <cellStyle name="40 % - Accent1 3 3 5 2 2 2 4" xfId="61094"/>
    <cellStyle name="40 % - Accent1 3 3 5 2 2 3" xfId="18905"/>
    <cellStyle name="40 % - Accent1 3 3 5 2 2 4" xfId="25395"/>
    <cellStyle name="40 % - Accent1 3 3 5 2 2 5" xfId="38375"/>
    <cellStyle name="40 % - Accent1 3 3 5 2 2 6" xfId="54604"/>
    <cellStyle name="40 % - Accent1 3 3 5 2 3" xfId="9167"/>
    <cellStyle name="40 % - Accent1 3 3 5 2 3 2" xfId="28640"/>
    <cellStyle name="40 % - Accent1 3 3 5 2 3 3" xfId="41620"/>
    <cellStyle name="40 % - Accent1 3 3 5 2 3 4" xfId="57849"/>
    <cellStyle name="40 % - Accent1 3 3 5 2 4" xfId="15660"/>
    <cellStyle name="40 % - Accent1 3 3 5 2 4 2" xfId="51359"/>
    <cellStyle name="40 % - Accent1 3 3 5 2 5" xfId="22150"/>
    <cellStyle name="40 % - Accent1 3 3 5 2 6" xfId="35130"/>
    <cellStyle name="40 % - Accent1 3 3 5 2 7" xfId="48113"/>
    <cellStyle name="40 % - Accent1 3 3 5 3" xfId="4257"/>
    <cellStyle name="40 % - Accent1 3 3 5 3 2" xfId="10789"/>
    <cellStyle name="40 % - Accent1 3 3 5 3 2 2" xfId="30262"/>
    <cellStyle name="40 % - Accent1 3 3 5 3 2 3" xfId="43242"/>
    <cellStyle name="40 % - Accent1 3 3 5 3 2 4" xfId="59471"/>
    <cellStyle name="40 % - Accent1 3 3 5 3 3" xfId="17282"/>
    <cellStyle name="40 % - Accent1 3 3 5 3 4" xfId="23772"/>
    <cellStyle name="40 % - Accent1 3 3 5 3 5" xfId="36752"/>
    <cellStyle name="40 % - Accent1 3 3 5 3 6" xfId="52981"/>
    <cellStyle name="40 % - Accent1 3 3 5 4" xfId="7544"/>
    <cellStyle name="40 % - Accent1 3 3 5 4 2" xfId="27017"/>
    <cellStyle name="40 % - Accent1 3 3 5 4 3" xfId="39997"/>
    <cellStyle name="40 % - Accent1 3 3 5 4 4" xfId="56226"/>
    <cellStyle name="40 % - Accent1 3 3 5 5" xfId="14037"/>
    <cellStyle name="40 % - Accent1 3 3 5 5 2" xfId="49736"/>
    <cellStyle name="40 % - Accent1 3 3 5 6" xfId="20527"/>
    <cellStyle name="40 % - Accent1 3 3 5 7" xfId="33507"/>
    <cellStyle name="40 % - Accent1 3 3 5 8" xfId="46490"/>
    <cellStyle name="40 % - Accent1 3 3 6" xfId="1921"/>
    <cellStyle name="40 % - Accent1 3 3 6 2" xfId="5166"/>
    <cellStyle name="40 % - Accent1 3 3 6 2 2" xfId="11698"/>
    <cellStyle name="40 % - Accent1 3 3 6 2 2 2" xfId="31171"/>
    <cellStyle name="40 % - Accent1 3 3 6 2 2 3" xfId="44151"/>
    <cellStyle name="40 % - Accent1 3 3 6 2 2 4" xfId="60380"/>
    <cellStyle name="40 % - Accent1 3 3 6 2 3" xfId="18191"/>
    <cellStyle name="40 % - Accent1 3 3 6 2 4" xfId="24681"/>
    <cellStyle name="40 % - Accent1 3 3 6 2 5" xfId="37661"/>
    <cellStyle name="40 % - Accent1 3 3 6 2 6" xfId="53890"/>
    <cellStyle name="40 % - Accent1 3 3 6 3" xfId="8453"/>
    <cellStyle name="40 % - Accent1 3 3 6 3 2" xfId="27926"/>
    <cellStyle name="40 % - Accent1 3 3 6 3 3" xfId="40906"/>
    <cellStyle name="40 % - Accent1 3 3 6 3 4" xfId="57135"/>
    <cellStyle name="40 % - Accent1 3 3 6 4" xfId="14946"/>
    <cellStyle name="40 % - Accent1 3 3 6 4 2" xfId="50645"/>
    <cellStyle name="40 % - Accent1 3 3 6 5" xfId="21436"/>
    <cellStyle name="40 % - Accent1 3 3 6 6" xfId="34416"/>
    <cellStyle name="40 % - Accent1 3 3 6 7" xfId="47399"/>
    <cellStyle name="40 % - Accent1 3 3 7" xfId="3542"/>
    <cellStyle name="40 % - Accent1 3 3 7 2" xfId="10074"/>
    <cellStyle name="40 % - Accent1 3 3 7 2 2" xfId="29547"/>
    <cellStyle name="40 % - Accent1 3 3 7 2 3" xfId="42527"/>
    <cellStyle name="40 % - Accent1 3 3 7 2 4" xfId="58756"/>
    <cellStyle name="40 % - Accent1 3 3 7 3" xfId="16567"/>
    <cellStyle name="40 % - Accent1 3 3 7 4" xfId="23057"/>
    <cellStyle name="40 % - Accent1 3 3 7 5" xfId="36037"/>
    <cellStyle name="40 % - Accent1 3 3 7 6" xfId="52266"/>
    <cellStyle name="40 % - Accent1 3 3 8" xfId="6829"/>
    <cellStyle name="40 % - Accent1 3 3 8 2" xfId="26302"/>
    <cellStyle name="40 % - Accent1 3 3 8 3" xfId="39282"/>
    <cellStyle name="40 % - Accent1 3 3 8 4" xfId="55511"/>
    <cellStyle name="40 % - Accent1 3 3 9" xfId="13322"/>
    <cellStyle name="40 % - Accent1 3 3 9 2" xfId="49021"/>
    <cellStyle name="40 % - Accent1 3 4" xfId="204"/>
    <cellStyle name="40 % - Accent1 3 4 10" xfId="32748"/>
    <cellStyle name="40 % - Accent1 3 4 11" xfId="45731"/>
    <cellStyle name="40 % - Accent1 3 4 2" xfId="668"/>
    <cellStyle name="40 % - Accent1 3 4 2 10" xfId="46191"/>
    <cellStyle name="40 % - Accent1 3 4 2 2" xfId="1607"/>
    <cellStyle name="40 % - Accent1 3 4 2 2 2" xfId="3274"/>
    <cellStyle name="40 % - Accent1 3 4 2 2 2 2" xfId="6519"/>
    <cellStyle name="40 % - Accent1 3 4 2 2 2 2 2" xfId="13051"/>
    <cellStyle name="40 % - Accent1 3 4 2 2 2 2 2 2" xfId="32524"/>
    <cellStyle name="40 % - Accent1 3 4 2 2 2 2 2 3" xfId="45504"/>
    <cellStyle name="40 % - Accent1 3 4 2 2 2 2 2 4" xfId="61733"/>
    <cellStyle name="40 % - Accent1 3 4 2 2 2 2 3" xfId="19544"/>
    <cellStyle name="40 % - Accent1 3 4 2 2 2 2 4" xfId="26034"/>
    <cellStyle name="40 % - Accent1 3 4 2 2 2 2 5" xfId="39014"/>
    <cellStyle name="40 % - Accent1 3 4 2 2 2 2 6" xfId="55243"/>
    <cellStyle name="40 % - Accent1 3 4 2 2 2 3" xfId="9806"/>
    <cellStyle name="40 % - Accent1 3 4 2 2 2 3 2" xfId="29279"/>
    <cellStyle name="40 % - Accent1 3 4 2 2 2 3 3" xfId="42259"/>
    <cellStyle name="40 % - Accent1 3 4 2 2 2 3 4" xfId="58488"/>
    <cellStyle name="40 % - Accent1 3 4 2 2 2 4" xfId="16299"/>
    <cellStyle name="40 % - Accent1 3 4 2 2 2 4 2" xfId="51998"/>
    <cellStyle name="40 % - Accent1 3 4 2 2 2 5" xfId="22789"/>
    <cellStyle name="40 % - Accent1 3 4 2 2 2 6" xfId="35769"/>
    <cellStyle name="40 % - Accent1 3 4 2 2 2 7" xfId="48752"/>
    <cellStyle name="40 % - Accent1 3 4 2 2 3" xfId="4896"/>
    <cellStyle name="40 % - Accent1 3 4 2 2 3 2" xfId="11428"/>
    <cellStyle name="40 % - Accent1 3 4 2 2 3 2 2" xfId="30901"/>
    <cellStyle name="40 % - Accent1 3 4 2 2 3 2 3" xfId="43881"/>
    <cellStyle name="40 % - Accent1 3 4 2 2 3 2 4" xfId="60110"/>
    <cellStyle name="40 % - Accent1 3 4 2 2 3 3" xfId="17921"/>
    <cellStyle name="40 % - Accent1 3 4 2 2 3 4" xfId="24411"/>
    <cellStyle name="40 % - Accent1 3 4 2 2 3 5" xfId="37391"/>
    <cellStyle name="40 % - Accent1 3 4 2 2 3 6" xfId="53620"/>
    <cellStyle name="40 % - Accent1 3 4 2 2 4" xfId="8183"/>
    <cellStyle name="40 % - Accent1 3 4 2 2 4 2" xfId="27656"/>
    <cellStyle name="40 % - Accent1 3 4 2 2 4 3" xfId="40636"/>
    <cellStyle name="40 % - Accent1 3 4 2 2 4 4" xfId="56865"/>
    <cellStyle name="40 % - Accent1 3 4 2 2 5" xfId="14676"/>
    <cellStyle name="40 % - Accent1 3 4 2 2 5 2" xfId="50375"/>
    <cellStyle name="40 % - Accent1 3 4 2 2 6" xfId="21166"/>
    <cellStyle name="40 % - Accent1 3 4 2 2 7" xfId="34146"/>
    <cellStyle name="40 % - Accent1 3 4 2 2 8" xfId="47129"/>
    <cellStyle name="40 % - Accent1 3 4 2 3" xfId="1144"/>
    <cellStyle name="40 % - Accent1 3 4 2 3 2" xfId="2811"/>
    <cellStyle name="40 % - Accent1 3 4 2 3 2 2" xfId="6056"/>
    <cellStyle name="40 % - Accent1 3 4 2 3 2 2 2" xfId="12588"/>
    <cellStyle name="40 % - Accent1 3 4 2 3 2 2 2 2" xfId="32061"/>
    <cellStyle name="40 % - Accent1 3 4 2 3 2 2 2 3" xfId="45041"/>
    <cellStyle name="40 % - Accent1 3 4 2 3 2 2 2 4" xfId="61270"/>
    <cellStyle name="40 % - Accent1 3 4 2 3 2 2 3" xfId="19081"/>
    <cellStyle name="40 % - Accent1 3 4 2 3 2 2 4" xfId="25571"/>
    <cellStyle name="40 % - Accent1 3 4 2 3 2 2 5" xfId="38551"/>
    <cellStyle name="40 % - Accent1 3 4 2 3 2 2 6" xfId="54780"/>
    <cellStyle name="40 % - Accent1 3 4 2 3 2 3" xfId="9343"/>
    <cellStyle name="40 % - Accent1 3 4 2 3 2 3 2" xfId="28816"/>
    <cellStyle name="40 % - Accent1 3 4 2 3 2 3 3" xfId="41796"/>
    <cellStyle name="40 % - Accent1 3 4 2 3 2 3 4" xfId="58025"/>
    <cellStyle name="40 % - Accent1 3 4 2 3 2 4" xfId="15836"/>
    <cellStyle name="40 % - Accent1 3 4 2 3 2 4 2" xfId="51535"/>
    <cellStyle name="40 % - Accent1 3 4 2 3 2 5" xfId="22326"/>
    <cellStyle name="40 % - Accent1 3 4 2 3 2 6" xfId="35306"/>
    <cellStyle name="40 % - Accent1 3 4 2 3 2 7" xfId="48289"/>
    <cellStyle name="40 % - Accent1 3 4 2 3 3" xfId="4433"/>
    <cellStyle name="40 % - Accent1 3 4 2 3 3 2" xfId="10965"/>
    <cellStyle name="40 % - Accent1 3 4 2 3 3 2 2" xfId="30438"/>
    <cellStyle name="40 % - Accent1 3 4 2 3 3 2 3" xfId="43418"/>
    <cellStyle name="40 % - Accent1 3 4 2 3 3 2 4" xfId="59647"/>
    <cellStyle name="40 % - Accent1 3 4 2 3 3 3" xfId="17458"/>
    <cellStyle name="40 % - Accent1 3 4 2 3 3 4" xfId="23948"/>
    <cellStyle name="40 % - Accent1 3 4 2 3 3 5" xfId="36928"/>
    <cellStyle name="40 % - Accent1 3 4 2 3 3 6" xfId="53157"/>
    <cellStyle name="40 % - Accent1 3 4 2 3 4" xfId="7720"/>
    <cellStyle name="40 % - Accent1 3 4 2 3 4 2" xfId="27193"/>
    <cellStyle name="40 % - Accent1 3 4 2 3 4 3" xfId="40173"/>
    <cellStyle name="40 % - Accent1 3 4 2 3 4 4" xfId="56402"/>
    <cellStyle name="40 % - Accent1 3 4 2 3 5" xfId="14213"/>
    <cellStyle name="40 % - Accent1 3 4 2 3 5 2" xfId="49912"/>
    <cellStyle name="40 % - Accent1 3 4 2 3 6" xfId="20703"/>
    <cellStyle name="40 % - Accent1 3 4 2 3 7" xfId="33683"/>
    <cellStyle name="40 % - Accent1 3 4 2 3 8" xfId="46666"/>
    <cellStyle name="40 % - Accent1 3 4 2 4" xfId="2336"/>
    <cellStyle name="40 % - Accent1 3 4 2 4 2" xfId="5581"/>
    <cellStyle name="40 % - Accent1 3 4 2 4 2 2" xfId="12113"/>
    <cellStyle name="40 % - Accent1 3 4 2 4 2 2 2" xfId="31586"/>
    <cellStyle name="40 % - Accent1 3 4 2 4 2 2 3" xfId="44566"/>
    <cellStyle name="40 % - Accent1 3 4 2 4 2 2 4" xfId="60795"/>
    <cellStyle name="40 % - Accent1 3 4 2 4 2 3" xfId="18606"/>
    <cellStyle name="40 % - Accent1 3 4 2 4 2 4" xfId="25096"/>
    <cellStyle name="40 % - Accent1 3 4 2 4 2 5" xfId="38076"/>
    <cellStyle name="40 % - Accent1 3 4 2 4 2 6" xfId="54305"/>
    <cellStyle name="40 % - Accent1 3 4 2 4 3" xfId="8868"/>
    <cellStyle name="40 % - Accent1 3 4 2 4 3 2" xfId="28341"/>
    <cellStyle name="40 % - Accent1 3 4 2 4 3 3" xfId="41321"/>
    <cellStyle name="40 % - Accent1 3 4 2 4 3 4" xfId="57550"/>
    <cellStyle name="40 % - Accent1 3 4 2 4 4" xfId="15361"/>
    <cellStyle name="40 % - Accent1 3 4 2 4 4 2" xfId="51060"/>
    <cellStyle name="40 % - Accent1 3 4 2 4 5" xfId="21851"/>
    <cellStyle name="40 % - Accent1 3 4 2 4 6" xfId="34831"/>
    <cellStyle name="40 % - Accent1 3 4 2 4 7" xfId="47814"/>
    <cellStyle name="40 % - Accent1 3 4 2 5" xfId="3958"/>
    <cellStyle name="40 % - Accent1 3 4 2 5 2" xfId="10490"/>
    <cellStyle name="40 % - Accent1 3 4 2 5 2 2" xfId="29963"/>
    <cellStyle name="40 % - Accent1 3 4 2 5 2 3" xfId="42943"/>
    <cellStyle name="40 % - Accent1 3 4 2 5 2 4" xfId="59172"/>
    <cellStyle name="40 % - Accent1 3 4 2 5 3" xfId="16983"/>
    <cellStyle name="40 % - Accent1 3 4 2 5 4" xfId="23473"/>
    <cellStyle name="40 % - Accent1 3 4 2 5 5" xfId="36453"/>
    <cellStyle name="40 % - Accent1 3 4 2 5 6" xfId="52682"/>
    <cellStyle name="40 % - Accent1 3 4 2 6" xfId="7245"/>
    <cellStyle name="40 % - Accent1 3 4 2 6 2" xfId="26718"/>
    <cellStyle name="40 % - Accent1 3 4 2 6 3" xfId="39698"/>
    <cellStyle name="40 % - Accent1 3 4 2 6 4" xfId="55927"/>
    <cellStyle name="40 % - Accent1 3 4 2 7" xfId="13738"/>
    <cellStyle name="40 % - Accent1 3 4 2 7 2" xfId="49437"/>
    <cellStyle name="40 % - Accent1 3 4 2 8" xfId="20228"/>
    <cellStyle name="40 % - Accent1 3 4 2 9" xfId="33208"/>
    <cellStyle name="40 % - Accent1 3 4 3" xfId="438"/>
    <cellStyle name="40 % - Accent1 3 4 3 2" xfId="1387"/>
    <cellStyle name="40 % - Accent1 3 4 3 2 2" xfId="3054"/>
    <cellStyle name="40 % - Accent1 3 4 3 2 2 2" xfId="6299"/>
    <cellStyle name="40 % - Accent1 3 4 3 2 2 2 2" xfId="12831"/>
    <cellStyle name="40 % - Accent1 3 4 3 2 2 2 2 2" xfId="32304"/>
    <cellStyle name="40 % - Accent1 3 4 3 2 2 2 2 3" xfId="45284"/>
    <cellStyle name="40 % - Accent1 3 4 3 2 2 2 2 4" xfId="61513"/>
    <cellStyle name="40 % - Accent1 3 4 3 2 2 2 3" xfId="19324"/>
    <cellStyle name="40 % - Accent1 3 4 3 2 2 2 4" xfId="25814"/>
    <cellStyle name="40 % - Accent1 3 4 3 2 2 2 5" xfId="38794"/>
    <cellStyle name="40 % - Accent1 3 4 3 2 2 2 6" xfId="55023"/>
    <cellStyle name="40 % - Accent1 3 4 3 2 2 3" xfId="9586"/>
    <cellStyle name="40 % - Accent1 3 4 3 2 2 3 2" xfId="29059"/>
    <cellStyle name="40 % - Accent1 3 4 3 2 2 3 3" xfId="42039"/>
    <cellStyle name="40 % - Accent1 3 4 3 2 2 3 4" xfId="58268"/>
    <cellStyle name="40 % - Accent1 3 4 3 2 2 4" xfId="16079"/>
    <cellStyle name="40 % - Accent1 3 4 3 2 2 4 2" xfId="51778"/>
    <cellStyle name="40 % - Accent1 3 4 3 2 2 5" xfId="22569"/>
    <cellStyle name="40 % - Accent1 3 4 3 2 2 6" xfId="35549"/>
    <cellStyle name="40 % - Accent1 3 4 3 2 2 7" xfId="48532"/>
    <cellStyle name="40 % - Accent1 3 4 3 2 3" xfId="4676"/>
    <cellStyle name="40 % - Accent1 3 4 3 2 3 2" xfId="11208"/>
    <cellStyle name="40 % - Accent1 3 4 3 2 3 2 2" xfId="30681"/>
    <cellStyle name="40 % - Accent1 3 4 3 2 3 2 3" xfId="43661"/>
    <cellStyle name="40 % - Accent1 3 4 3 2 3 2 4" xfId="59890"/>
    <cellStyle name="40 % - Accent1 3 4 3 2 3 3" xfId="17701"/>
    <cellStyle name="40 % - Accent1 3 4 3 2 3 4" xfId="24191"/>
    <cellStyle name="40 % - Accent1 3 4 3 2 3 5" xfId="37171"/>
    <cellStyle name="40 % - Accent1 3 4 3 2 3 6" xfId="53400"/>
    <cellStyle name="40 % - Accent1 3 4 3 2 4" xfId="7963"/>
    <cellStyle name="40 % - Accent1 3 4 3 2 4 2" xfId="27436"/>
    <cellStyle name="40 % - Accent1 3 4 3 2 4 3" xfId="40416"/>
    <cellStyle name="40 % - Accent1 3 4 3 2 4 4" xfId="56645"/>
    <cellStyle name="40 % - Accent1 3 4 3 2 5" xfId="14456"/>
    <cellStyle name="40 % - Accent1 3 4 3 2 5 2" xfId="50155"/>
    <cellStyle name="40 % - Accent1 3 4 3 2 6" xfId="20946"/>
    <cellStyle name="40 % - Accent1 3 4 3 2 7" xfId="33926"/>
    <cellStyle name="40 % - Accent1 3 4 3 2 8" xfId="46909"/>
    <cellStyle name="40 % - Accent1 3 4 3 3" xfId="2106"/>
    <cellStyle name="40 % - Accent1 3 4 3 3 2" xfId="5351"/>
    <cellStyle name="40 % - Accent1 3 4 3 3 2 2" xfId="11883"/>
    <cellStyle name="40 % - Accent1 3 4 3 3 2 2 2" xfId="31356"/>
    <cellStyle name="40 % - Accent1 3 4 3 3 2 2 3" xfId="44336"/>
    <cellStyle name="40 % - Accent1 3 4 3 3 2 2 4" xfId="60565"/>
    <cellStyle name="40 % - Accent1 3 4 3 3 2 3" xfId="18376"/>
    <cellStyle name="40 % - Accent1 3 4 3 3 2 4" xfId="24866"/>
    <cellStyle name="40 % - Accent1 3 4 3 3 2 5" xfId="37846"/>
    <cellStyle name="40 % - Accent1 3 4 3 3 2 6" xfId="54075"/>
    <cellStyle name="40 % - Accent1 3 4 3 3 3" xfId="8638"/>
    <cellStyle name="40 % - Accent1 3 4 3 3 3 2" xfId="28111"/>
    <cellStyle name="40 % - Accent1 3 4 3 3 3 3" xfId="41091"/>
    <cellStyle name="40 % - Accent1 3 4 3 3 3 4" xfId="57320"/>
    <cellStyle name="40 % - Accent1 3 4 3 3 4" xfId="15131"/>
    <cellStyle name="40 % - Accent1 3 4 3 3 4 2" xfId="50830"/>
    <cellStyle name="40 % - Accent1 3 4 3 3 5" xfId="21621"/>
    <cellStyle name="40 % - Accent1 3 4 3 3 6" xfId="34601"/>
    <cellStyle name="40 % - Accent1 3 4 3 3 7" xfId="47584"/>
    <cellStyle name="40 % - Accent1 3 4 3 4" xfId="3728"/>
    <cellStyle name="40 % - Accent1 3 4 3 4 2" xfId="10260"/>
    <cellStyle name="40 % - Accent1 3 4 3 4 2 2" xfId="29733"/>
    <cellStyle name="40 % - Accent1 3 4 3 4 2 3" xfId="42713"/>
    <cellStyle name="40 % - Accent1 3 4 3 4 2 4" xfId="58942"/>
    <cellStyle name="40 % - Accent1 3 4 3 4 3" xfId="16753"/>
    <cellStyle name="40 % - Accent1 3 4 3 4 4" xfId="23243"/>
    <cellStyle name="40 % - Accent1 3 4 3 4 5" xfId="36223"/>
    <cellStyle name="40 % - Accent1 3 4 3 4 6" xfId="52452"/>
    <cellStyle name="40 % - Accent1 3 4 3 5" xfId="7015"/>
    <cellStyle name="40 % - Accent1 3 4 3 5 2" xfId="26488"/>
    <cellStyle name="40 % - Accent1 3 4 3 5 3" xfId="39468"/>
    <cellStyle name="40 % - Accent1 3 4 3 5 4" xfId="55697"/>
    <cellStyle name="40 % - Accent1 3 4 3 6" xfId="13508"/>
    <cellStyle name="40 % - Accent1 3 4 3 6 2" xfId="49207"/>
    <cellStyle name="40 % - Accent1 3 4 3 7" xfId="19998"/>
    <cellStyle name="40 % - Accent1 3 4 3 8" xfId="32978"/>
    <cellStyle name="40 % - Accent1 3 4 3 9" xfId="45961"/>
    <cellStyle name="40 % - Accent1 3 4 4" xfId="924"/>
    <cellStyle name="40 % - Accent1 3 4 4 2" xfId="2591"/>
    <cellStyle name="40 % - Accent1 3 4 4 2 2" xfId="5836"/>
    <cellStyle name="40 % - Accent1 3 4 4 2 2 2" xfId="12368"/>
    <cellStyle name="40 % - Accent1 3 4 4 2 2 2 2" xfId="31841"/>
    <cellStyle name="40 % - Accent1 3 4 4 2 2 2 3" xfId="44821"/>
    <cellStyle name="40 % - Accent1 3 4 4 2 2 2 4" xfId="61050"/>
    <cellStyle name="40 % - Accent1 3 4 4 2 2 3" xfId="18861"/>
    <cellStyle name="40 % - Accent1 3 4 4 2 2 4" xfId="25351"/>
    <cellStyle name="40 % - Accent1 3 4 4 2 2 5" xfId="38331"/>
    <cellStyle name="40 % - Accent1 3 4 4 2 2 6" xfId="54560"/>
    <cellStyle name="40 % - Accent1 3 4 4 2 3" xfId="9123"/>
    <cellStyle name="40 % - Accent1 3 4 4 2 3 2" xfId="28596"/>
    <cellStyle name="40 % - Accent1 3 4 4 2 3 3" xfId="41576"/>
    <cellStyle name="40 % - Accent1 3 4 4 2 3 4" xfId="57805"/>
    <cellStyle name="40 % - Accent1 3 4 4 2 4" xfId="15616"/>
    <cellStyle name="40 % - Accent1 3 4 4 2 4 2" xfId="51315"/>
    <cellStyle name="40 % - Accent1 3 4 4 2 5" xfId="22106"/>
    <cellStyle name="40 % - Accent1 3 4 4 2 6" xfId="35086"/>
    <cellStyle name="40 % - Accent1 3 4 4 2 7" xfId="48069"/>
    <cellStyle name="40 % - Accent1 3 4 4 3" xfId="4213"/>
    <cellStyle name="40 % - Accent1 3 4 4 3 2" xfId="10745"/>
    <cellStyle name="40 % - Accent1 3 4 4 3 2 2" xfId="30218"/>
    <cellStyle name="40 % - Accent1 3 4 4 3 2 3" xfId="43198"/>
    <cellStyle name="40 % - Accent1 3 4 4 3 2 4" xfId="59427"/>
    <cellStyle name="40 % - Accent1 3 4 4 3 3" xfId="17238"/>
    <cellStyle name="40 % - Accent1 3 4 4 3 4" xfId="23728"/>
    <cellStyle name="40 % - Accent1 3 4 4 3 5" xfId="36708"/>
    <cellStyle name="40 % - Accent1 3 4 4 3 6" xfId="52937"/>
    <cellStyle name="40 % - Accent1 3 4 4 4" xfId="7500"/>
    <cellStyle name="40 % - Accent1 3 4 4 4 2" xfId="26973"/>
    <cellStyle name="40 % - Accent1 3 4 4 4 3" xfId="39953"/>
    <cellStyle name="40 % - Accent1 3 4 4 4 4" xfId="56182"/>
    <cellStyle name="40 % - Accent1 3 4 4 5" xfId="13993"/>
    <cellStyle name="40 % - Accent1 3 4 4 5 2" xfId="49692"/>
    <cellStyle name="40 % - Accent1 3 4 4 6" xfId="20483"/>
    <cellStyle name="40 % - Accent1 3 4 4 7" xfId="33463"/>
    <cellStyle name="40 % - Accent1 3 4 4 8" xfId="46446"/>
    <cellStyle name="40 % - Accent1 3 4 5" xfId="1877"/>
    <cellStyle name="40 % - Accent1 3 4 5 2" xfId="5122"/>
    <cellStyle name="40 % - Accent1 3 4 5 2 2" xfId="11654"/>
    <cellStyle name="40 % - Accent1 3 4 5 2 2 2" xfId="31127"/>
    <cellStyle name="40 % - Accent1 3 4 5 2 2 3" xfId="44107"/>
    <cellStyle name="40 % - Accent1 3 4 5 2 2 4" xfId="60336"/>
    <cellStyle name="40 % - Accent1 3 4 5 2 3" xfId="18147"/>
    <cellStyle name="40 % - Accent1 3 4 5 2 4" xfId="24637"/>
    <cellStyle name="40 % - Accent1 3 4 5 2 5" xfId="37617"/>
    <cellStyle name="40 % - Accent1 3 4 5 2 6" xfId="53846"/>
    <cellStyle name="40 % - Accent1 3 4 5 3" xfId="8409"/>
    <cellStyle name="40 % - Accent1 3 4 5 3 2" xfId="27882"/>
    <cellStyle name="40 % - Accent1 3 4 5 3 3" xfId="40862"/>
    <cellStyle name="40 % - Accent1 3 4 5 3 4" xfId="57091"/>
    <cellStyle name="40 % - Accent1 3 4 5 4" xfId="14902"/>
    <cellStyle name="40 % - Accent1 3 4 5 4 2" xfId="50601"/>
    <cellStyle name="40 % - Accent1 3 4 5 5" xfId="21392"/>
    <cellStyle name="40 % - Accent1 3 4 5 6" xfId="34372"/>
    <cellStyle name="40 % - Accent1 3 4 5 7" xfId="47355"/>
    <cellStyle name="40 % - Accent1 3 4 6" xfId="3498"/>
    <cellStyle name="40 % - Accent1 3 4 6 2" xfId="10030"/>
    <cellStyle name="40 % - Accent1 3 4 6 2 2" xfId="29503"/>
    <cellStyle name="40 % - Accent1 3 4 6 2 3" xfId="42483"/>
    <cellStyle name="40 % - Accent1 3 4 6 2 4" xfId="58712"/>
    <cellStyle name="40 % - Accent1 3 4 6 3" xfId="16523"/>
    <cellStyle name="40 % - Accent1 3 4 6 4" xfId="23013"/>
    <cellStyle name="40 % - Accent1 3 4 6 5" xfId="35993"/>
    <cellStyle name="40 % - Accent1 3 4 6 6" xfId="52222"/>
    <cellStyle name="40 % - Accent1 3 4 7" xfId="6785"/>
    <cellStyle name="40 % - Accent1 3 4 7 2" xfId="26258"/>
    <cellStyle name="40 % - Accent1 3 4 7 3" xfId="39238"/>
    <cellStyle name="40 % - Accent1 3 4 7 4" xfId="55467"/>
    <cellStyle name="40 % - Accent1 3 4 8" xfId="13278"/>
    <cellStyle name="40 % - Accent1 3 4 8 2" xfId="48977"/>
    <cellStyle name="40 % - Accent1 3 4 9" xfId="19768"/>
    <cellStyle name="40 % - Accent1 3 5" xfId="292"/>
    <cellStyle name="40 % - Accent1 3 5 10" xfId="32836"/>
    <cellStyle name="40 % - Accent1 3 5 11" xfId="45819"/>
    <cellStyle name="40 % - Accent1 3 5 2" xfId="756"/>
    <cellStyle name="40 % - Accent1 3 5 2 10" xfId="46279"/>
    <cellStyle name="40 % - Accent1 3 5 2 2" xfId="1695"/>
    <cellStyle name="40 % - Accent1 3 5 2 2 2" xfId="3362"/>
    <cellStyle name="40 % - Accent1 3 5 2 2 2 2" xfId="6607"/>
    <cellStyle name="40 % - Accent1 3 5 2 2 2 2 2" xfId="13139"/>
    <cellStyle name="40 % - Accent1 3 5 2 2 2 2 2 2" xfId="32612"/>
    <cellStyle name="40 % - Accent1 3 5 2 2 2 2 2 3" xfId="45592"/>
    <cellStyle name="40 % - Accent1 3 5 2 2 2 2 2 4" xfId="61821"/>
    <cellStyle name="40 % - Accent1 3 5 2 2 2 2 3" xfId="19632"/>
    <cellStyle name="40 % - Accent1 3 5 2 2 2 2 4" xfId="26122"/>
    <cellStyle name="40 % - Accent1 3 5 2 2 2 2 5" xfId="39102"/>
    <cellStyle name="40 % - Accent1 3 5 2 2 2 2 6" xfId="55331"/>
    <cellStyle name="40 % - Accent1 3 5 2 2 2 3" xfId="9894"/>
    <cellStyle name="40 % - Accent1 3 5 2 2 2 3 2" xfId="29367"/>
    <cellStyle name="40 % - Accent1 3 5 2 2 2 3 3" xfId="42347"/>
    <cellStyle name="40 % - Accent1 3 5 2 2 2 3 4" xfId="58576"/>
    <cellStyle name="40 % - Accent1 3 5 2 2 2 4" xfId="16387"/>
    <cellStyle name="40 % - Accent1 3 5 2 2 2 4 2" xfId="52086"/>
    <cellStyle name="40 % - Accent1 3 5 2 2 2 5" xfId="22877"/>
    <cellStyle name="40 % - Accent1 3 5 2 2 2 6" xfId="35857"/>
    <cellStyle name="40 % - Accent1 3 5 2 2 2 7" xfId="48840"/>
    <cellStyle name="40 % - Accent1 3 5 2 2 3" xfId="4984"/>
    <cellStyle name="40 % - Accent1 3 5 2 2 3 2" xfId="11516"/>
    <cellStyle name="40 % - Accent1 3 5 2 2 3 2 2" xfId="30989"/>
    <cellStyle name="40 % - Accent1 3 5 2 2 3 2 3" xfId="43969"/>
    <cellStyle name="40 % - Accent1 3 5 2 2 3 2 4" xfId="60198"/>
    <cellStyle name="40 % - Accent1 3 5 2 2 3 3" xfId="18009"/>
    <cellStyle name="40 % - Accent1 3 5 2 2 3 4" xfId="24499"/>
    <cellStyle name="40 % - Accent1 3 5 2 2 3 5" xfId="37479"/>
    <cellStyle name="40 % - Accent1 3 5 2 2 3 6" xfId="53708"/>
    <cellStyle name="40 % - Accent1 3 5 2 2 4" xfId="8271"/>
    <cellStyle name="40 % - Accent1 3 5 2 2 4 2" xfId="27744"/>
    <cellStyle name="40 % - Accent1 3 5 2 2 4 3" xfId="40724"/>
    <cellStyle name="40 % - Accent1 3 5 2 2 4 4" xfId="56953"/>
    <cellStyle name="40 % - Accent1 3 5 2 2 5" xfId="14764"/>
    <cellStyle name="40 % - Accent1 3 5 2 2 5 2" xfId="50463"/>
    <cellStyle name="40 % - Accent1 3 5 2 2 6" xfId="21254"/>
    <cellStyle name="40 % - Accent1 3 5 2 2 7" xfId="34234"/>
    <cellStyle name="40 % - Accent1 3 5 2 2 8" xfId="47217"/>
    <cellStyle name="40 % - Accent1 3 5 2 3" xfId="1232"/>
    <cellStyle name="40 % - Accent1 3 5 2 3 2" xfId="2899"/>
    <cellStyle name="40 % - Accent1 3 5 2 3 2 2" xfId="6144"/>
    <cellStyle name="40 % - Accent1 3 5 2 3 2 2 2" xfId="12676"/>
    <cellStyle name="40 % - Accent1 3 5 2 3 2 2 2 2" xfId="32149"/>
    <cellStyle name="40 % - Accent1 3 5 2 3 2 2 2 3" xfId="45129"/>
    <cellStyle name="40 % - Accent1 3 5 2 3 2 2 2 4" xfId="61358"/>
    <cellStyle name="40 % - Accent1 3 5 2 3 2 2 3" xfId="19169"/>
    <cellStyle name="40 % - Accent1 3 5 2 3 2 2 4" xfId="25659"/>
    <cellStyle name="40 % - Accent1 3 5 2 3 2 2 5" xfId="38639"/>
    <cellStyle name="40 % - Accent1 3 5 2 3 2 2 6" xfId="54868"/>
    <cellStyle name="40 % - Accent1 3 5 2 3 2 3" xfId="9431"/>
    <cellStyle name="40 % - Accent1 3 5 2 3 2 3 2" xfId="28904"/>
    <cellStyle name="40 % - Accent1 3 5 2 3 2 3 3" xfId="41884"/>
    <cellStyle name="40 % - Accent1 3 5 2 3 2 3 4" xfId="58113"/>
    <cellStyle name="40 % - Accent1 3 5 2 3 2 4" xfId="15924"/>
    <cellStyle name="40 % - Accent1 3 5 2 3 2 4 2" xfId="51623"/>
    <cellStyle name="40 % - Accent1 3 5 2 3 2 5" xfId="22414"/>
    <cellStyle name="40 % - Accent1 3 5 2 3 2 6" xfId="35394"/>
    <cellStyle name="40 % - Accent1 3 5 2 3 2 7" xfId="48377"/>
    <cellStyle name="40 % - Accent1 3 5 2 3 3" xfId="4521"/>
    <cellStyle name="40 % - Accent1 3 5 2 3 3 2" xfId="11053"/>
    <cellStyle name="40 % - Accent1 3 5 2 3 3 2 2" xfId="30526"/>
    <cellStyle name="40 % - Accent1 3 5 2 3 3 2 3" xfId="43506"/>
    <cellStyle name="40 % - Accent1 3 5 2 3 3 2 4" xfId="59735"/>
    <cellStyle name="40 % - Accent1 3 5 2 3 3 3" xfId="17546"/>
    <cellStyle name="40 % - Accent1 3 5 2 3 3 4" xfId="24036"/>
    <cellStyle name="40 % - Accent1 3 5 2 3 3 5" xfId="37016"/>
    <cellStyle name="40 % - Accent1 3 5 2 3 3 6" xfId="53245"/>
    <cellStyle name="40 % - Accent1 3 5 2 3 4" xfId="7808"/>
    <cellStyle name="40 % - Accent1 3 5 2 3 4 2" xfId="27281"/>
    <cellStyle name="40 % - Accent1 3 5 2 3 4 3" xfId="40261"/>
    <cellStyle name="40 % - Accent1 3 5 2 3 4 4" xfId="56490"/>
    <cellStyle name="40 % - Accent1 3 5 2 3 5" xfId="14301"/>
    <cellStyle name="40 % - Accent1 3 5 2 3 5 2" xfId="50000"/>
    <cellStyle name="40 % - Accent1 3 5 2 3 6" xfId="20791"/>
    <cellStyle name="40 % - Accent1 3 5 2 3 7" xfId="33771"/>
    <cellStyle name="40 % - Accent1 3 5 2 3 8" xfId="46754"/>
    <cellStyle name="40 % - Accent1 3 5 2 4" xfId="2424"/>
    <cellStyle name="40 % - Accent1 3 5 2 4 2" xfId="5669"/>
    <cellStyle name="40 % - Accent1 3 5 2 4 2 2" xfId="12201"/>
    <cellStyle name="40 % - Accent1 3 5 2 4 2 2 2" xfId="31674"/>
    <cellStyle name="40 % - Accent1 3 5 2 4 2 2 3" xfId="44654"/>
    <cellStyle name="40 % - Accent1 3 5 2 4 2 2 4" xfId="60883"/>
    <cellStyle name="40 % - Accent1 3 5 2 4 2 3" xfId="18694"/>
    <cellStyle name="40 % - Accent1 3 5 2 4 2 4" xfId="25184"/>
    <cellStyle name="40 % - Accent1 3 5 2 4 2 5" xfId="38164"/>
    <cellStyle name="40 % - Accent1 3 5 2 4 2 6" xfId="54393"/>
    <cellStyle name="40 % - Accent1 3 5 2 4 3" xfId="8956"/>
    <cellStyle name="40 % - Accent1 3 5 2 4 3 2" xfId="28429"/>
    <cellStyle name="40 % - Accent1 3 5 2 4 3 3" xfId="41409"/>
    <cellStyle name="40 % - Accent1 3 5 2 4 3 4" xfId="57638"/>
    <cellStyle name="40 % - Accent1 3 5 2 4 4" xfId="15449"/>
    <cellStyle name="40 % - Accent1 3 5 2 4 4 2" xfId="51148"/>
    <cellStyle name="40 % - Accent1 3 5 2 4 5" xfId="21939"/>
    <cellStyle name="40 % - Accent1 3 5 2 4 6" xfId="34919"/>
    <cellStyle name="40 % - Accent1 3 5 2 4 7" xfId="47902"/>
    <cellStyle name="40 % - Accent1 3 5 2 5" xfId="4046"/>
    <cellStyle name="40 % - Accent1 3 5 2 5 2" xfId="10578"/>
    <cellStyle name="40 % - Accent1 3 5 2 5 2 2" xfId="30051"/>
    <cellStyle name="40 % - Accent1 3 5 2 5 2 3" xfId="43031"/>
    <cellStyle name="40 % - Accent1 3 5 2 5 2 4" xfId="59260"/>
    <cellStyle name="40 % - Accent1 3 5 2 5 3" xfId="17071"/>
    <cellStyle name="40 % - Accent1 3 5 2 5 4" xfId="23561"/>
    <cellStyle name="40 % - Accent1 3 5 2 5 5" xfId="36541"/>
    <cellStyle name="40 % - Accent1 3 5 2 5 6" xfId="52770"/>
    <cellStyle name="40 % - Accent1 3 5 2 6" xfId="7333"/>
    <cellStyle name="40 % - Accent1 3 5 2 6 2" xfId="26806"/>
    <cellStyle name="40 % - Accent1 3 5 2 6 3" xfId="39786"/>
    <cellStyle name="40 % - Accent1 3 5 2 6 4" xfId="56015"/>
    <cellStyle name="40 % - Accent1 3 5 2 7" xfId="13826"/>
    <cellStyle name="40 % - Accent1 3 5 2 7 2" xfId="49525"/>
    <cellStyle name="40 % - Accent1 3 5 2 8" xfId="20316"/>
    <cellStyle name="40 % - Accent1 3 5 2 9" xfId="33296"/>
    <cellStyle name="40 % - Accent1 3 5 3" xfId="526"/>
    <cellStyle name="40 % - Accent1 3 5 3 2" xfId="1475"/>
    <cellStyle name="40 % - Accent1 3 5 3 2 2" xfId="3142"/>
    <cellStyle name="40 % - Accent1 3 5 3 2 2 2" xfId="6387"/>
    <cellStyle name="40 % - Accent1 3 5 3 2 2 2 2" xfId="12919"/>
    <cellStyle name="40 % - Accent1 3 5 3 2 2 2 2 2" xfId="32392"/>
    <cellStyle name="40 % - Accent1 3 5 3 2 2 2 2 3" xfId="45372"/>
    <cellStyle name="40 % - Accent1 3 5 3 2 2 2 2 4" xfId="61601"/>
    <cellStyle name="40 % - Accent1 3 5 3 2 2 2 3" xfId="19412"/>
    <cellStyle name="40 % - Accent1 3 5 3 2 2 2 4" xfId="25902"/>
    <cellStyle name="40 % - Accent1 3 5 3 2 2 2 5" xfId="38882"/>
    <cellStyle name="40 % - Accent1 3 5 3 2 2 2 6" xfId="55111"/>
    <cellStyle name="40 % - Accent1 3 5 3 2 2 3" xfId="9674"/>
    <cellStyle name="40 % - Accent1 3 5 3 2 2 3 2" xfId="29147"/>
    <cellStyle name="40 % - Accent1 3 5 3 2 2 3 3" xfId="42127"/>
    <cellStyle name="40 % - Accent1 3 5 3 2 2 3 4" xfId="58356"/>
    <cellStyle name="40 % - Accent1 3 5 3 2 2 4" xfId="16167"/>
    <cellStyle name="40 % - Accent1 3 5 3 2 2 4 2" xfId="51866"/>
    <cellStyle name="40 % - Accent1 3 5 3 2 2 5" xfId="22657"/>
    <cellStyle name="40 % - Accent1 3 5 3 2 2 6" xfId="35637"/>
    <cellStyle name="40 % - Accent1 3 5 3 2 2 7" xfId="48620"/>
    <cellStyle name="40 % - Accent1 3 5 3 2 3" xfId="4764"/>
    <cellStyle name="40 % - Accent1 3 5 3 2 3 2" xfId="11296"/>
    <cellStyle name="40 % - Accent1 3 5 3 2 3 2 2" xfId="30769"/>
    <cellStyle name="40 % - Accent1 3 5 3 2 3 2 3" xfId="43749"/>
    <cellStyle name="40 % - Accent1 3 5 3 2 3 2 4" xfId="59978"/>
    <cellStyle name="40 % - Accent1 3 5 3 2 3 3" xfId="17789"/>
    <cellStyle name="40 % - Accent1 3 5 3 2 3 4" xfId="24279"/>
    <cellStyle name="40 % - Accent1 3 5 3 2 3 5" xfId="37259"/>
    <cellStyle name="40 % - Accent1 3 5 3 2 3 6" xfId="53488"/>
    <cellStyle name="40 % - Accent1 3 5 3 2 4" xfId="8051"/>
    <cellStyle name="40 % - Accent1 3 5 3 2 4 2" xfId="27524"/>
    <cellStyle name="40 % - Accent1 3 5 3 2 4 3" xfId="40504"/>
    <cellStyle name="40 % - Accent1 3 5 3 2 4 4" xfId="56733"/>
    <cellStyle name="40 % - Accent1 3 5 3 2 5" xfId="14544"/>
    <cellStyle name="40 % - Accent1 3 5 3 2 5 2" xfId="50243"/>
    <cellStyle name="40 % - Accent1 3 5 3 2 6" xfId="21034"/>
    <cellStyle name="40 % - Accent1 3 5 3 2 7" xfId="34014"/>
    <cellStyle name="40 % - Accent1 3 5 3 2 8" xfId="46997"/>
    <cellStyle name="40 % - Accent1 3 5 3 3" xfId="2194"/>
    <cellStyle name="40 % - Accent1 3 5 3 3 2" xfId="5439"/>
    <cellStyle name="40 % - Accent1 3 5 3 3 2 2" xfId="11971"/>
    <cellStyle name="40 % - Accent1 3 5 3 3 2 2 2" xfId="31444"/>
    <cellStyle name="40 % - Accent1 3 5 3 3 2 2 3" xfId="44424"/>
    <cellStyle name="40 % - Accent1 3 5 3 3 2 2 4" xfId="60653"/>
    <cellStyle name="40 % - Accent1 3 5 3 3 2 3" xfId="18464"/>
    <cellStyle name="40 % - Accent1 3 5 3 3 2 4" xfId="24954"/>
    <cellStyle name="40 % - Accent1 3 5 3 3 2 5" xfId="37934"/>
    <cellStyle name="40 % - Accent1 3 5 3 3 2 6" xfId="54163"/>
    <cellStyle name="40 % - Accent1 3 5 3 3 3" xfId="8726"/>
    <cellStyle name="40 % - Accent1 3 5 3 3 3 2" xfId="28199"/>
    <cellStyle name="40 % - Accent1 3 5 3 3 3 3" xfId="41179"/>
    <cellStyle name="40 % - Accent1 3 5 3 3 3 4" xfId="57408"/>
    <cellStyle name="40 % - Accent1 3 5 3 3 4" xfId="15219"/>
    <cellStyle name="40 % - Accent1 3 5 3 3 4 2" xfId="50918"/>
    <cellStyle name="40 % - Accent1 3 5 3 3 5" xfId="21709"/>
    <cellStyle name="40 % - Accent1 3 5 3 3 6" xfId="34689"/>
    <cellStyle name="40 % - Accent1 3 5 3 3 7" xfId="47672"/>
    <cellStyle name="40 % - Accent1 3 5 3 4" xfId="3816"/>
    <cellStyle name="40 % - Accent1 3 5 3 4 2" xfId="10348"/>
    <cellStyle name="40 % - Accent1 3 5 3 4 2 2" xfId="29821"/>
    <cellStyle name="40 % - Accent1 3 5 3 4 2 3" xfId="42801"/>
    <cellStyle name="40 % - Accent1 3 5 3 4 2 4" xfId="59030"/>
    <cellStyle name="40 % - Accent1 3 5 3 4 3" xfId="16841"/>
    <cellStyle name="40 % - Accent1 3 5 3 4 4" xfId="23331"/>
    <cellStyle name="40 % - Accent1 3 5 3 4 5" xfId="36311"/>
    <cellStyle name="40 % - Accent1 3 5 3 4 6" xfId="52540"/>
    <cellStyle name="40 % - Accent1 3 5 3 5" xfId="7103"/>
    <cellStyle name="40 % - Accent1 3 5 3 5 2" xfId="26576"/>
    <cellStyle name="40 % - Accent1 3 5 3 5 3" xfId="39556"/>
    <cellStyle name="40 % - Accent1 3 5 3 5 4" xfId="55785"/>
    <cellStyle name="40 % - Accent1 3 5 3 6" xfId="13596"/>
    <cellStyle name="40 % - Accent1 3 5 3 6 2" xfId="49295"/>
    <cellStyle name="40 % - Accent1 3 5 3 7" xfId="20086"/>
    <cellStyle name="40 % - Accent1 3 5 3 8" xfId="33066"/>
    <cellStyle name="40 % - Accent1 3 5 3 9" xfId="46049"/>
    <cellStyle name="40 % - Accent1 3 5 4" xfId="1012"/>
    <cellStyle name="40 % - Accent1 3 5 4 2" xfId="2679"/>
    <cellStyle name="40 % - Accent1 3 5 4 2 2" xfId="5924"/>
    <cellStyle name="40 % - Accent1 3 5 4 2 2 2" xfId="12456"/>
    <cellStyle name="40 % - Accent1 3 5 4 2 2 2 2" xfId="31929"/>
    <cellStyle name="40 % - Accent1 3 5 4 2 2 2 3" xfId="44909"/>
    <cellStyle name="40 % - Accent1 3 5 4 2 2 2 4" xfId="61138"/>
    <cellStyle name="40 % - Accent1 3 5 4 2 2 3" xfId="18949"/>
    <cellStyle name="40 % - Accent1 3 5 4 2 2 4" xfId="25439"/>
    <cellStyle name="40 % - Accent1 3 5 4 2 2 5" xfId="38419"/>
    <cellStyle name="40 % - Accent1 3 5 4 2 2 6" xfId="54648"/>
    <cellStyle name="40 % - Accent1 3 5 4 2 3" xfId="9211"/>
    <cellStyle name="40 % - Accent1 3 5 4 2 3 2" xfId="28684"/>
    <cellStyle name="40 % - Accent1 3 5 4 2 3 3" xfId="41664"/>
    <cellStyle name="40 % - Accent1 3 5 4 2 3 4" xfId="57893"/>
    <cellStyle name="40 % - Accent1 3 5 4 2 4" xfId="15704"/>
    <cellStyle name="40 % - Accent1 3 5 4 2 4 2" xfId="51403"/>
    <cellStyle name="40 % - Accent1 3 5 4 2 5" xfId="22194"/>
    <cellStyle name="40 % - Accent1 3 5 4 2 6" xfId="35174"/>
    <cellStyle name="40 % - Accent1 3 5 4 2 7" xfId="48157"/>
    <cellStyle name="40 % - Accent1 3 5 4 3" xfId="4301"/>
    <cellStyle name="40 % - Accent1 3 5 4 3 2" xfId="10833"/>
    <cellStyle name="40 % - Accent1 3 5 4 3 2 2" xfId="30306"/>
    <cellStyle name="40 % - Accent1 3 5 4 3 2 3" xfId="43286"/>
    <cellStyle name="40 % - Accent1 3 5 4 3 2 4" xfId="59515"/>
    <cellStyle name="40 % - Accent1 3 5 4 3 3" xfId="17326"/>
    <cellStyle name="40 % - Accent1 3 5 4 3 4" xfId="23816"/>
    <cellStyle name="40 % - Accent1 3 5 4 3 5" xfId="36796"/>
    <cellStyle name="40 % - Accent1 3 5 4 3 6" xfId="53025"/>
    <cellStyle name="40 % - Accent1 3 5 4 4" xfId="7588"/>
    <cellStyle name="40 % - Accent1 3 5 4 4 2" xfId="27061"/>
    <cellStyle name="40 % - Accent1 3 5 4 4 3" xfId="40041"/>
    <cellStyle name="40 % - Accent1 3 5 4 4 4" xfId="56270"/>
    <cellStyle name="40 % - Accent1 3 5 4 5" xfId="14081"/>
    <cellStyle name="40 % - Accent1 3 5 4 5 2" xfId="49780"/>
    <cellStyle name="40 % - Accent1 3 5 4 6" xfId="20571"/>
    <cellStyle name="40 % - Accent1 3 5 4 7" xfId="33551"/>
    <cellStyle name="40 % - Accent1 3 5 4 8" xfId="46534"/>
    <cellStyle name="40 % - Accent1 3 5 5" xfId="1965"/>
    <cellStyle name="40 % - Accent1 3 5 5 2" xfId="5210"/>
    <cellStyle name="40 % - Accent1 3 5 5 2 2" xfId="11742"/>
    <cellStyle name="40 % - Accent1 3 5 5 2 2 2" xfId="31215"/>
    <cellStyle name="40 % - Accent1 3 5 5 2 2 3" xfId="44195"/>
    <cellStyle name="40 % - Accent1 3 5 5 2 2 4" xfId="60424"/>
    <cellStyle name="40 % - Accent1 3 5 5 2 3" xfId="18235"/>
    <cellStyle name="40 % - Accent1 3 5 5 2 4" xfId="24725"/>
    <cellStyle name="40 % - Accent1 3 5 5 2 5" xfId="37705"/>
    <cellStyle name="40 % - Accent1 3 5 5 2 6" xfId="53934"/>
    <cellStyle name="40 % - Accent1 3 5 5 3" xfId="8497"/>
    <cellStyle name="40 % - Accent1 3 5 5 3 2" xfId="27970"/>
    <cellStyle name="40 % - Accent1 3 5 5 3 3" xfId="40950"/>
    <cellStyle name="40 % - Accent1 3 5 5 3 4" xfId="57179"/>
    <cellStyle name="40 % - Accent1 3 5 5 4" xfId="14990"/>
    <cellStyle name="40 % - Accent1 3 5 5 4 2" xfId="50689"/>
    <cellStyle name="40 % - Accent1 3 5 5 5" xfId="21480"/>
    <cellStyle name="40 % - Accent1 3 5 5 6" xfId="34460"/>
    <cellStyle name="40 % - Accent1 3 5 5 7" xfId="47443"/>
    <cellStyle name="40 % - Accent1 3 5 6" xfId="3586"/>
    <cellStyle name="40 % - Accent1 3 5 6 2" xfId="10118"/>
    <cellStyle name="40 % - Accent1 3 5 6 2 2" xfId="29591"/>
    <cellStyle name="40 % - Accent1 3 5 6 2 3" xfId="42571"/>
    <cellStyle name="40 % - Accent1 3 5 6 2 4" xfId="58800"/>
    <cellStyle name="40 % - Accent1 3 5 6 3" xfId="16611"/>
    <cellStyle name="40 % - Accent1 3 5 6 4" xfId="23101"/>
    <cellStyle name="40 % - Accent1 3 5 6 5" xfId="36081"/>
    <cellStyle name="40 % - Accent1 3 5 6 6" xfId="52310"/>
    <cellStyle name="40 % - Accent1 3 5 7" xfId="6873"/>
    <cellStyle name="40 % - Accent1 3 5 7 2" xfId="26346"/>
    <cellStyle name="40 % - Accent1 3 5 7 3" xfId="39326"/>
    <cellStyle name="40 % - Accent1 3 5 7 4" xfId="55555"/>
    <cellStyle name="40 % - Accent1 3 5 8" xfId="13366"/>
    <cellStyle name="40 % - Accent1 3 5 8 2" xfId="49065"/>
    <cellStyle name="40 % - Accent1 3 5 9" xfId="19856"/>
    <cellStyle name="40 % - Accent1 3 6" xfId="624"/>
    <cellStyle name="40 % - Accent1 3 6 10" xfId="46147"/>
    <cellStyle name="40 % - Accent1 3 6 2" xfId="1343"/>
    <cellStyle name="40 % - Accent1 3 6 2 2" xfId="3010"/>
    <cellStyle name="40 % - Accent1 3 6 2 2 2" xfId="6255"/>
    <cellStyle name="40 % - Accent1 3 6 2 2 2 2" xfId="12787"/>
    <cellStyle name="40 % - Accent1 3 6 2 2 2 2 2" xfId="32260"/>
    <cellStyle name="40 % - Accent1 3 6 2 2 2 2 3" xfId="45240"/>
    <cellStyle name="40 % - Accent1 3 6 2 2 2 2 4" xfId="61469"/>
    <cellStyle name="40 % - Accent1 3 6 2 2 2 3" xfId="19280"/>
    <cellStyle name="40 % - Accent1 3 6 2 2 2 4" xfId="25770"/>
    <cellStyle name="40 % - Accent1 3 6 2 2 2 5" xfId="38750"/>
    <cellStyle name="40 % - Accent1 3 6 2 2 2 6" xfId="54979"/>
    <cellStyle name="40 % - Accent1 3 6 2 2 3" xfId="9542"/>
    <cellStyle name="40 % - Accent1 3 6 2 2 3 2" xfId="29015"/>
    <cellStyle name="40 % - Accent1 3 6 2 2 3 3" xfId="41995"/>
    <cellStyle name="40 % - Accent1 3 6 2 2 3 4" xfId="58224"/>
    <cellStyle name="40 % - Accent1 3 6 2 2 4" xfId="16035"/>
    <cellStyle name="40 % - Accent1 3 6 2 2 4 2" xfId="51734"/>
    <cellStyle name="40 % - Accent1 3 6 2 2 5" xfId="22525"/>
    <cellStyle name="40 % - Accent1 3 6 2 2 6" xfId="35505"/>
    <cellStyle name="40 % - Accent1 3 6 2 2 7" xfId="48488"/>
    <cellStyle name="40 % - Accent1 3 6 2 3" xfId="4632"/>
    <cellStyle name="40 % - Accent1 3 6 2 3 2" xfId="11164"/>
    <cellStyle name="40 % - Accent1 3 6 2 3 2 2" xfId="30637"/>
    <cellStyle name="40 % - Accent1 3 6 2 3 2 3" xfId="43617"/>
    <cellStyle name="40 % - Accent1 3 6 2 3 2 4" xfId="59846"/>
    <cellStyle name="40 % - Accent1 3 6 2 3 3" xfId="17657"/>
    <cellStyle name="40 % - Accent1 3 6 2 3 4" xfId="24147"/>
    <cellStyle name="40 % - Accent1 3 6 2 3 5" xfId="37127"/>
    <cellStyle name="40 % - Accent1 3 6 2 3 6" xfId="53356"/>
    <cellStyle name="40 % - Accent1 3 6 2 4" xfId="7919"/>
    <cellStyle name="40 % - Accent1 3 6 2 4 2" xfId="27392"/>
    <cellStyle name="40 % - Accent1 3 6 2 4 3" xfId="40372"/>
    <cellStyle name="40 % - Accent1 3 6 2 4 4" xfId="56601"/>
    <cellStyle name="40 % - Accent1 3 6 2 5" xfId="14412"/>
    <cellStyle name="40 % - Accent1 3 6 2 5 2" xfId="50111"/>
    <cellStyle name="40 % - Accent1 3 6 2 6" xfId="20902"/>
    <cellStyle name="40 % - Accent1 3 6 2 7" xfId="33882"/>
    <cellStyle name="40 % - Accent1 3 6 2 8" xfId="46865"/>
    <cellStyle name="40 % - Accent1 3 6 3" xfId="879"/>
    <cellStyle name="40 % - Accent1 3 6 3 2" xfId="2547"/>
    <cellStyle name="40 % - Accent1 3 6 3 2 2" xfId="5792"/>
    <cellStyle name="40 % - Accent1 3 6 3 2 2 2" xfId="12324"/>
    <cellStyle name="40 % - Accent1 3 6 3 2 2 2 2" xfId="31797"/>
    <cellStyle name="40 % - Accent1 3 6 3 2 2 2 3" xfId="44777"/>
    <cellStyle name="40 % - Accent1 3 6 3 2 2 2 4" xfId="61006"/>
    <cellStyle name="40 % - Accent1 3 6 3 2 2 3" xfId="18817"/>
    <cellStyle name="40 % - Accent1 3 6 3 2 2 4" xfId="25307"/>
    <cellStyle name="40 % - Accent1 3 6 3 2 2 5" xfId="38287"/>
    <cellStyle name="40 % - Accent1 3 6 3 2 2 6" xfId="54516"/>
    <cellStyle name="40 % - Accent1 3 6 3 2 3" xfId="9079"/>
    <cellStyle name="40 % - Accent1 3 6 3 2 3 2" xfId="28552"/>
    <cellStyle name="40 % - Accent1 3 6 3 2 3 3" xfId="41532"/>
    <cellStyle name="40 % - Accent1 3 6 3 2 3 4" xfId="57761"/>
    <cellStyle name="40 % - Accent1 3 6 3 2 4" xfId="15572"/>
    <cellStyle name="40 % - Accent1 3 6 3 2 4 2" xfId="51271"/>
    <cellStyle name="40 % - Accent1 3 6 3 2 5" xfId="22062"/>
    <cellStyle name="40 % - Accent1 3 6 3 2 6" xfId="35042"/>
    <cellStyle name="40 % - Accent1 3 6 3 2 7" xfId="48025"/>
    <cellStyle name="40 % - Accent1 3 6 3 3" xfId="4169"/>
    <cellStyle name="40 % - Accent1 3 6 3 3 2" xfId="10701"/>
    <cellStyle name="40 % - Accent1 3 6 3 3 2 2" xfId="30174"/>
    <cellStyle name="40 % - Accent1 3 6 3 3 2 3" xfId="43154"/>
    <cellStyle name="40 % - Accent1 3 6 3 3 2 4" xfId="59383"/>
    <cellStyle name="40 % - Accent1 3 6 3 3 3" xfId="17194"/>
    <cellStyle name="40 % - Accent1 3 6 3 3 4" xfId="23684"/>
    <cellStyle name="40 % - Accent1 3 6 3 3 5" xfId="36664"/>
    <cellStyle name="40 % - Accent1 3 6 3 3 6" xfId="52893"/>
    <cellStyle name="40 % - Accent1 3 6 3 4" xfId="7456"/>
    <cellStyle name="40 % - Accent1 3 6 3 4 2" xfId="26929"/>
    <cellStyle name="40 % - Accent1 3 6 3 4 3" xfId="39909"/>
    <cellStyle name="40 % - Accent1 3 6 3 4 4" xfId="56138"/>
    <cellStyle name="40 % - Accent1 3 6 3 5" xfId="13949"/>
    <cellStyle name="40 % - Accent1 3 6 3 5 2" xfId="49648"/>
    <cellStyle name="40 % - Accent1 3 6 3 6" xfId="20439"/>
    <cellStyle name="40 % - Accent1 3 6 3 7" xfId="33419"/>
    <cellStyle name="40 % - Accent1 3 6 3 8" xfId="46402"/>
    <cellStyle name="40 % - Accent1 3 6 4" xfId="2292"/>
    <cellStyle name="40 % - Accent1 3 6 4 2" xfId="5537"/>
    <cellStyle name="40 % - Accent1 3 6 4 2 2" xfId="12069"/>
    <cellStyle name="40 % - Accent1 3 6 4 2 2 2" xfId="31542"/>
    <cellStyle name="40 % - Accent1 3 6 4 2 2 3" xfId="44522"/>
    <cellStyle name="40 % - Accent1 3 6 4 2 2 4" xfId="60751"/>
    <cellStyle name="40 % - Accent1 3 6 4 2 3" xfId="18562"/>
    <cellStyle name="40 % - Accent1 3 6 4 2 4" xfId="25052"/>
    <cellStyle name="40 % - Accent1 3 6 4 2 5" xfId="38032"/>
    <cellStyle name="40 % - Accent1 3 6 4 2 6" xfId="54261"/>
    <cellStyle name="40 % - Accent1 3 6 4 3" xfId="8824"/>
    <cellStyle name="40 % - Accent1 3 6 4 3 2" xfId="28297"/>
    <cellStyle name="40 % - Accent1 3 6 4 3 3" xfId="41277"/>
    <cellStyle name="40 % - Accent1 3 6 4 3 4" xfId="57506"/>
    <cellStyle name="40 % - Accent1 3 6 4 4" xfId="15317"/>
    <cellStyle name="40 % - Accent1 3 6 4 4 2" xfId="51016"/>
    <cellStyle name="40 % - Accent1 3 6 4 5" xfId="21807"/>
    <cellStyle name="40 % - Accent1 3 6 4 6" xfId="34787"/>
    <cellStyle name="40 % - Accent1 3 6 4 7" xfId="47770"/>
    <cellStyle name="40 % - Accent1 3 6 5" xfId="3914"/>
    <cellStyle name="40 % - Accent1 3 6 5 2" xfId="10446"/>
    <cellStyle name="40 % - Accent1 3 6 5 2 2" xfId="29919"/>
    <cellStyle name="40 % - Accent1 3 6 5 2 3" xfId="42899"/>
    <cellStyle name="40 % - Accent1 3 6 5 2 4" xfId="59128"/>
    <cellStyle name="40 % - Accent1 3 6 5 3" xfId="16939"/>
    <cellStyle name="40 % - Accent1 3 6 5 4" xfId="23429"/>
    <cellStyle name="40 % - Accent1 3 6 5 5" xfId="36409"/>
    <cellStyle name="40 % - Accent1 3 6 5 6" xfId="52638"/>
    <cellStyle name="40 % - Accent1 3 6 6" xfId="7201"/>
    <cellStyle name="40 % - Accent1 3 6 6 2" xfId="26674"/>
    <cellStyle name="40 % - Accent1 3 6 6 3" xfId="39654"/>
    <cellStyle name="40 % - Accent1 3 6 6 4" xfId="55883"/>
    <cellStyle name="40 % - Accent1 3 6 7" xfId="13694"/>
    <cellStyle name="40 % - Accent1 3 6 7 2" xfId="49393"/>
    <cellStyle name="40 % - Accent1 3 6 8" xfId="20184"/>
    <cellStyle name="40 % - Accent1 3 6 9" xfId="33164"/>
    <cellStyle name="40 % - Accent1 3 7" xfId="394"/>
    <cellStyle name="40 % - Accent1 3 7 10" xfId="45917"/>
    <cellStyle name="40 % - Accent1 3 7 2" xfId="1563"/>
    <cellStyle name="40 % - Accent1 3 7 2 2" xfId="3230"/>
    <cellStyle name="40 % - Accent1 3 7 2 2 2" xfId="6475"/>
    <cellStyle name="40 % - Accent1 3 7 2 2 2 2" xfId="13007"/>
    <cellStyle name="40 % - Accent1 3 7 2 2 2 2 2" xfId="32480"/>
    <cellStyle name="40 % - Accent1 3 7 2 2 2 2 3" xfId="45460"/>
    <cellStyle name="40 % - Accent1 3 7 2 2 2 2 4" xfId="61689"/>
    <cellStyle name="40 % - Accent1 3 7 2 2 2 3" xfId="19500"/>
    <cellStyle name="40 % - Accent1 3 7 2 2 2 4" xfId="25990"/>
    <cellStyle name="40 % - Accent1 3 7 2 2 2 5" xfId="38970"/>
    <cellStyle name="40 % - Accent1 3 7 2 2 2 6" xfId="55199"/>
    <cellStyle name="40 % - Accent1 3 7 2 2 3" xfId="9762"/>
    <cellStyle name="40 % - Accent1 3 7 2 2 3 2" xfId="29235"/>
    <cellStyle name="40 % - Accent1 3 7 2 2 3 3" xfId="42215"/>
    <cellStyle name="40 % - Accent1 3 7 2 2 3 4" xfId="58444"/>
    <cellStyle name="40 % - Accent1 3 7 2 2 4" xfId="16255"/>
    <cellStyle name="40 % - Accent1 3 7 2 2 4 2" xfId="51954"/>
    <cellStyle name="40 % - Accent1 3 7 2 2 5" xfId="22745"/>
    <cellStyle name="40 % - Accent1 3 7 2 2 6" xfId="35725"/>
    <cellStyle name="40 % - Accent1 3 7 2 2 7" xfId="48708"/>
    <cellStyle name="40 % - Accent1 3 7 2 3" xfId="4852"/>
    <cellStyle name="40 % - Accent1 3 7 2 3 2" xfId="11384"/>
    <cellStyle name="40 % - Accent1 3 7 2 3 2 2" xfId="30857"/>
    <cellStyle name="40 % - Accent1 3 7 2 3 2 3" xfId="43837"/>
    <cellStyle name="40 % - Accent1 3 7 2 3 2 4" xfId="60066"/>
    <cellStyle name="40 % - Accent1 3 7 2 3 3" xfId="17877"/>
    <cellStyle name="40 % - Accent1 3 7 2 3 4" xfId="24367"/>
    <cellStyle name="40 % - Accent1 3 7 2 3 5" xfId="37347"/>
    <cellStyle name="40 % - Accent1 3 7 2 3 6" xfId="53576"/>
    <cellStyle name="40 % - Accent1 3 7 2 4" xfId="8139"/>
    <cellStyle name="40 % - Accent1 3 7 2 4 2" xfId="27612"/>
    <cellStyle name="40 % - Accent1 3 7 2 4 3" xfId="40592"/>
    <cellStyle name="40 % - Accent1 3 7 2 4 4" xfId="56821"/>
    <cellStyle name="40 % - Accent1 3 7 2 5" xfId="14632"/>
    <cellStyle name="40 % - Accent1 3 7 2 5 2" xfId="50331"/>
    <cellStyle name="40 % - Accent1 3 7 2 6" xfId="21122"/>
    <cellStyle name="40 % - Accent1 3 7 2 7" xfId="34102"/>
    <cellStyle name="40 % - Accent1 3 7 2 8" xfId="47085"/>
    <cellStyle name="40 % - Accent1 3 7 3" xfId="1100"/>
    <cellStyle name="40 % - Accent1 3 7 3 2" xfId="2767"/>
    <cellStyle name="40 % - Accent1 3 7 3 2 2" xfId="6012"/>
    <cellStyle name="40 % - Accent1 3 7 3 2 2 2" xfId="12544"/>
    <cellStyle name="40 % - Accent1 3 7 3 2 2 2 2" xfId="32017"/>
    <cellStyle name="40 % - Accent1 3 7 3 2 2 2 3" xfId="44997"/>
    <cellStyle name="40 % - Accent1 3 7 3 2 2 2 4" xfId="61226"/>
    <cellStyle name="40 % - Accent1 3 7 3 2 2 3" xfId="19037"/>
    <cellStyle name="40 % - Accent1 3 7 3 2 2 4" xfId="25527"/>
    <cellStyle name="40 % - Accent1 3 7 3 2 2 5" xfId="38507"/>
    <cellStyle name="40 % - Accent1 3 7 3 2 2 6" xfId="54736"/>
    <cellStyle name="40 % - Accent1 3 7 3 2 3" xfId="9299"/>
    <cellStyle name="40 % - Accent1 3 7 3 2 3 2" xfId="28772"/>
    <cellStyle name="40 % - Accent1 3 7 3 2 3 3" xfId="41752"/>
    <cellStyle name="40 % - Accent1 3 7 3 2 3 4" xfId="57981"/>
    <cellStyle name="40 % - Accent1 3 7 3 2 4" xfId="15792"/>
    <cellStyle name="40 % - Accent1 3 7 3 2 4 2" xfId="51491"/>
    <cellStyle name="40 % - Accent1 3 7 3 2 5" xfId="22282"/>
    <cellStyle name="40 % - Accent1 3 7 3 2 6" xfId="35262"/>
    <cellStyle name="40 % - Accent1 3 7 3 2 7" xfId="48245"/>
    <cellStyle name="40 % - Accent1 3 7 3 3" xfId="4389"/>
    <cellStyle name="40 % - Accent1 3 7 3 3 2" xfId="10921"/>
    <cellStyle name="40 % - Accent1 3 7 3 3 2 2" xfId="30394"/>
    <cellStyle name="40 % - Accent1 3 7 3 3 2 3" xfId="43374"/>
    <cellStyle name="40 % - Accent1 3 7 3 3 2 4" xfId="59603"/>
    <cellStyle name="40 % - Accent1 3 7 3 3 3" xfId="17414"/>
    <cellStyle name="40 % - Accent1 3 7 3 3 4" xfId="23904"/>
    <cellStyle name="40 % - Accent1 3 7 3 3 5" xfId="36884"/>
    <cellStyle name="40 % - Accent1 3 7 3 3 6" xfId="53113"/>
    <cellStyle name="40 % - Accent1 3 7 3 4" xfId="7676"/>
    <cellStyle name="40 % - Accent1 3 7 3 4 2" xfId="27149"/>
    <cellStyle name="40 % - Accent1 3 7 3 4 3" xfId="40129"/>
    <cellStyle name="40 % - Accent1 3 7 3 4 4" xfId="56358"/>
    <cellStyle name="40 % - Accent1 3 7 3 5" xfId="14169"/>
    <cellStyle name="40 % - Accent1 3 7 3 5 2" xfId="49868"/>
    <cellStyle name="40 % - Accent1 3 7 3 6" xfId="20659"/>
    <cellStyle name="40 % - Accent1 3 7 3 7" xfId="33639"/>
    <cellStyle name="40 % - Accent1 3 7 3 8" xfId="46622"/>
    <cellStyle name="40 % - Accent1 3 7 4" xfId="2062"/>
    <cellStyle name="40 % - Accent1 3 7 4 2" xfId="5307"/>
    <cellStyle name="40 % - Accent1 3 7 4 2 2" xfId="11839"/>
    <cellStyle name="40 % - Accent1 3 7 4 2 2 2" xfId="31312"/>
    <cellStyle name="40 % - Accent1 3 7 4 2 2 3" xfId="44292"/>
    <cellStyle name="40 % - Accent1 3 7 4 2 2 4" xfId="60521"/>
    <cellStyle name="40 % - Accent1 3 7 4 2 3" xfId="18332"/>
    <cellStyle name="40 % - Accent1 3 7 4 2 4" xfId="24822"/>
    <cellStyle name="40 % - Accent1 3 7 4 2 5" xfId="37802"/>
    <cellStyle name="40 % - Accent1 3 7 4 2 6" xfId="54031"/>
    <cellStyle name="40 % - Accent1 3 7 4 3" xfId="8594"/>
    <cellStyle name="40 % - Accent1 3 7 4 3 2" xfId="28067"/>
    <cellStyle name="40 % - Accent1 3 7 4 3 3" xfId="41047"/>
    <cellStyle name="40 % - Accent1 3 7 4 3 4" xfId="57276"/>
    <cellStyle name="40 % - Accent1 3 7 4 4" xfId="15087"/>
    <cellStyle name="40 % - Accent1 3 7 4 4 2" xfId="50786"/>
    <cellStyle name="40 % - Accent1 3 7 4 5" xfId="21577"/>
    <cellStyle name="40 % - Accent1 3 7 4 6" xfId="34557"/>
    <cellStyle name="40 % - Accent1 3 7 4 7" xfId="47540"/>
    <cellStyle name="40 % - Accent1 3 7 5" xfId="3684"/>
    <cellStyle name="40 % - Accent1 3 7 5 2" xfId="10216"/>
    <cellStyle name="40 % - Accent1 3 7 5 2 2" xfId="29689"/>
    <cellStyle name="40 % - Accent1 3 7 5 2 3" xfId="42669"/>
    <cellStyle name="40 % - Accent1 3 7 5 2 4" xfId="58898"/>
    <cellStyle name="40 % - Accent1 3 7 5 3" xfId="16709"/>
    <cellStyle name="40 % - Accent1 3 7 5 4" xfId="23199"/>
    <cellStyle name="40 % - Accent1 3 7 5 5" xfId="36179"/>
    <cellStyle name="40 % - Accent1 3 7 5 6" xfId="52408"/>
    <cellStyle name="40 % - Accent1 3 7 6" xfId="6971"/>
    <cellStyle name="40 % - Accent1 3 7 6 2" xfId="26444"/>
    <cellStyle name="40 % - Accent1 3 7 6 3" xfId="39424"/>
    <cellStyle name="40 % - Accent1 3 7 6 4" xfId="55653"/>
    <cellStyle name="40 % - Accent1 3 7 7" xfId="13464"/>
    <cellStyle name="40 % - Accent1 3 7 7 2" xfId="49163"/>
    <cellStyle name="40 % - Accent1 3 7 8" xfId="19954"/>
    <cellStyle name="40 % - Accent1 3 7 9" xfId="32934"/>
    <cellStyle name="40 % - Accent1 3 8" xfId="1320"/>
    <cellStyle name="40 % - Accent1 3 8 2" xfId="2987"/>
    <cellStyle name="40 % - Accent1 3 8 2 2" xfId="6232"/>
    <cellStyle name="40 % - Accent1 3 8 2 2 2" xfId="12764"/>
    <cellStyle name="40 % - Accent1 3 8 2 2 2 2" xfId="32237"/>
    <cellStyle name="40 % - Accent1 3 8 2 2 2 3" xfId="45217"/>
    <cellStyle name="40 % - Accent1 3 8 2 2 2 4" xfId="61446"/>
    <cellStyle name="40 % - Accent1 3 8 2 2 3" xfId="19257"/>
    <cellStyle name="40 % - Accent1 3 8 2 2 4" xfId="25747"/>
    <cellStyle name="40 % - Accent1 3 8 2 2 5" xfId="38727"/>
    <cellStyle name="40 % - Accent1 3 8 2 2 6" xfId="54956"/>
    <cellStyle name="40 % - Accent1 3 8 2 3" xfId="9519"/>
    <cellStyle name="40 % - Accent1 3 8 2 3 2" xfId="28992"/>
    <cellStyle name="40 % - Accent1 3 8 2 3 3" xfId="41972"/>
    <cellStyle name="40 % - Accent1 3 8 2 3 4" xfId="58201"/>
    <cellStyle name="40 % - Accent1 3 8 2 4" xfId="16012"/>
    <cellStyle name="40 % - Accent1 3 8 2 4 2" xfId="51711"/>
    <cellStyle name="40 % - Accent1 3 8 2 5" xfId="22502"/>
    <cellStyle name="40 % - Accent1 3 8 2 6" xfId="35482"/>
    <cellStyle name="40 % - Accent1 3 8 2 7" xfId="48465"/>
    <cellStyle name="40 % - Accent1 3 8 3" xfId="4609"/>
    <cellStyle name="40 % - Accent1 3 8 3 2" xfId="11141"/>
    <cellStyle name="40 % - Accent1 3 8 3 2 2" xfId="30614"/>
    <cellStyle name="40 % - Accent1 3 8 3 2 3" xfId="43594"/>
    <cellStyle name="40 % - Accent1 3 8 3 2 4" xfId="59823"/>
    <cellStyle name="40 % - Accent1 3 8 3 3" xfId="17634"/>
    <cellStyle name="40 % - Accent1 3 8 3 4" xfId="24124"/>
    <cellStyle name="40 % - Accent1 3 8 3 5" xfId="37104"/>
    <cellStyle name="40 % - Accent1 3 8 3 6" xfId="53333"/>
    <cellStyle name="40 % - Accent1 3 8 4" xfId="7896"/>
    <cellStyle name="40 % - Accent1 3 8 4 2" xfId="27369"/>
    <cellStyle name="40 % - Accent1 3 8 4 3" xfId="40349"/>
    <cellStyle name="40 % - Accent1 3 8 4 4" xfId="56578"/>
    <cellStyle name="40 % - Accent1 3 8 5" xfId="14389"/>
    <cellStyle name="40 % - Accent1 3 8 5 2" xfId="50088"/>
    <cellStyle name="40 % - Accent1 3 8 6" xfId="20879"/>
    <cellStyle name="40 % - Accent1 3 8 7" xfId="33859"/>
    <cellStyle name="40 % - Accent1 3 8 8" xfId="46842"/>
    <cellStyle name="40 % - Accent1 3 9" xfId="856"/>
    <cellStyle name="40 % - Accent1 3 9 2" xfId="2524"/>
    <cellStyle name="40 % - Accent1 3 9 2 2" xfId="5769"/>
    <cellStyle name="40 % - Accent1 3 9 2 2 2" xfId="12301"/>
    <cellStyle name="40 % - Accent1 3 9 2 2 2 2" xfId="31774"/>
    <cellStyle name="40 % - Accent1 3 9 2 2 2 3" xfId="44754"/>
    <cellStyle name="40 % - Accent1 3 9 2 2 2 4" xfId="60983"/>
    <cellStyle name="40 % - Accent1 3 9 2 2 3" xfId="18794"/>
    <cellStyle name="40 % - Accent1 3 9 2 2 4" xfId="25284"/>
    <cellStyle name="40 % - Accent1 3 9 2 2 5" xfId="38264"/>
    <cellStyle name="40 % - Accent1 3 9 2 2 6" xfId="54493"/>
    <cellStyle name="40 % - Accent1 3 9 2 3" xfId="9056"/>
    <cellStyle name="40 % - Accent1 3 9 2 3 2" xfId="28529"/>
    <cellStyle name="40 % - Accent1 3 9 2 3 3" xfId="41509"/>
    <cellStyle name="40 % - Accent1 3 9 2 3 4" xfId="57738"/>
    <cellStyle name="40 % - Accent1 3 9 2 4" xfId="15549"/>
    <cellStyle name="40 % - Accent1 3 9 2 4 2" xfId="51248"/>
    <cellStyle name="40 % - Accent1 3 9 2 5" xfId="22039"/>
    <cellStyle name="40 % - Accent1 3 9 2 6" xfId="35019"/>
    <cellStyle name="40 % - Accent1 3 9 2 7" xfId="48002"/>
    <cellStyle name="40 % - Accent1 3 9 3" xfId="4146"/>
    <cellStyle name="40 % - Accent1 3 9 3 2" xfId="10678"/>
    <cellStyle name="40 % - Accent1 3 9 3 2 2" xfId="30151"/>
    <cellStyle name="40 % - Accent1 3 9 3 2 3" xfId="43131"/>
    <cellStyle name="40 % - Accent1 3 9 3 2 4" xfId="59360"/>
    <cellStyle name="40 % - Accent1 3 9 3 3" xfId="17171"/>
    <cellStyle name="40 % - Accent1 3 9 3 4" xfId="23661"/>
    <cellStyle name="40 % - Accent1 3 9 3 5" xfId="36641"/>
    <cellStyle name="40 % - Accent1 3 9 3 6" xfId="52870"/>
    <cellStyle name="40 % - Accent1 3 9 4" xfId="7433"/>
    <cellStyle name="40 % - Accent1 3 9 4 2" xfId="26906"/>
    <cellStyle name="40 % - Accent1 3 9 4 3" xfId="39886"/>
    <cellStyle name="40 % - Accent1 3 9 4 4" xfId="56115"/>
    <cellStyle name="40 % - Accent1 3 9 5" xfId="13926"/>
    <cellStyle name="40 % - Accent1 3 9 5 2" xfId="49625"/>
    <cellStyle name="40 % - Accent1 3 9 6" xfId="20416"/>
    <cellStyle name="40 % - Accent1 3 9 7" xfId="33396"/>
    <cellStyle name="40 % - Accent1 3 9 8" xfId="46379"/>
    <cellStyle name="40 % - Accent1 4" xfId="1791"/>
    <cellStyle name="40 % - Accent1 5" xfId="6700"/>
    <cellStyle name="40 % - Accent1 6" xfId="61912"/>
    <cellStyle name="40 % - Accent1 7" xfId="61930"/>
    <cellStyle name="40 % - Accent1 8" xfId="61942"/>
    <cellStyle name="40 % - Accent1 9" xfId="47"/>
    <cellStyle name="40 % - Accent2 2" xfId="91"/>
    <cellStyle name="40 % - Accent2 3" xfId="151"/>
    <cellStyle name="40 % - Accent2 3 10" xfId="1834"/>
    <cellStyle name="40 % - Accent2 3 10 2" xfId="5080"/>
    <cellStyle name="40 % - Accent2 3 10 2 2" xfId="11612"/>
    <cellStyle name="40 % - Accent2 3 10 2 2 2" xfId="31085"/>
    <cellStyle name="40 % - Accent2 3 10 2 2 3" xfId="44065"/>
    <cellStyle name="40 % - Accent2 3 10 2 2 4" xfId="60294"/>
    <cellStyle name="40 % - Accent2 3 10 2 3" xfId="18105"/>
    <cellStyle name="40 % - Accent2 3 10 2 4" xfId="24595"/>
    <cellStyle name="40 % - Accent2 3 10 2 5" xfId="37575"/>
    <cellStyle name="40 % - Accent2 3 10 2 6" xfId="53804"/>
    <cellStyle name="40 % - Accent2 3 10 3" xfId="8367"/>
    <cellStyle name="40 % - Accent2 3 10 3 2" xfId="27840"/>
    <cellStyle name="40 % - Accent2 3 10 3 3" xfId="40820"/>
    <cellStyle name="40 % - Accent2 3 10 3 4" xfId="57049"/>
    <cellStyle name="40 % - Accent2 3 10 4" xfId="14860"/>
    <cellStyle name="40 % - Accent2 3 10 4 2" xfId="50559"/>
    <cellStyle name="40 % - Accent2 3 10 5" xfId="21350"/>
    <cellStyle name="40 % - Accent2 3 10 6" xfId="34330"/>
    <cellStyle name="40 % - Accent2 3 10 7" xfId="47313"/>
    <cellStyle name="40 % - Accent2 3 11" xfId="3456"/>
    <cellStyle name="40 % - Accent2 3 11 2" xfId="9988"/>
    <cellStyle name="40 % - Accent2 3 11 2 2" xfId="29461"/>
    <cellStyle name="40 % - Accent2 3 11 2 3" xfId="42441"/>
    <cellStyle name="40 % - Accent2 3 11 2 4" xfId="58670"/>
    <cellStyle name="40 % - Accent2 3 11 3" xfId="16481"/>
    <cellStyle name="40 % - Accent2 3 11 4" xfId="22971"/>
    <cellStyle name="40 % - Accent2 3 11 5" xfId="35951"/>
    <cellStyle name="40 % - Accent2 3 11 6" xfId="52180"/>
    <cellStyle name="40 % - Accent2 3 12" xfId="6743"/>
    <cellStyle name="40 % - Accent2 3 12 2" xfId="26216"/>
    <cellStyle name="40 % - Accent2 3 12 3" xfId="39196"/>
    <cellStyle name="40 % - Accent2 3 12 4" xfId="55425"/>
    <cellStyle name="40 % - Accent2 3 13" xfId="13236"/>
    <cellStyle name="40 % - Accent2 3 13 2" xfId="48935"/>
    <cellStyle name="40 % - Accent2 3 14" xfId="19726"/>
    <cellStyle name="40 % - Accent2 3 15" xfId="32706"/>
    <cellStyle name="40 % - Accent2 3 16" xfId="45689"/>
    <cellStyle name="40 % - Accent2 3 2" xfId="183"/>
    <cellStyle name="40 % - Accent2 3 2 10" xfId="6765"/>
    <cellStyle name="40 % - Accent2 3 2 10 2" xfId="26238"/>
    <cellStyle name="40 % - Accent2 3 2 10 3" xfId="39218"/>
    <cellStyle name="40 % - Accent2 3 2 10 4" xfId="55447"/>
    <cellStyle name="40 % - Accent2 3 2 11" xfId="13258"/>
    <cellStyle name="40 % - Accent2 3 2 11 2" xfId="48957"/>
    <cellStyle name="40 % - Accent2 3 2 12" xfId="19748"/>
    <cellStyle name="40 % - Accent2 3 2 13" xfId="32728"/>
    <cellStyle name="40 % - Accent2 3 2 14" xfId="45711"/>
    <cellStyle name="40 % - Accent2 3 2 2" xfId="272"/>
    <cellStyle name="40 % - Accent2 3 2 2 10" xfId="19836"/>
    <cellStyle name="40 % - Accent2 3 2 2 11" xfId="32816"/>
    <cellStyle name="40 % - Accent2 3 2 2 12" xfId="45799"/>
    <cellStyle name="40 % - Accent2 3 2 2 2" xfId="360"/>
    <cellStyle name="40 % - Accent2 3 2 2 2 10" xfId="32904"/>
    <cellStyle name="40 % - Accent2 3 2 2 2 11" xfId="45887"/>
    <cellStyle name="40 % - Accent2 3 2 2 2 2" xfId="824"/>
    <cellStyle name="40 % - Accent2 3 2 2 2 2 10" xfId="46347"/>
    <cellStyle name="40 % - Accent2 3 2 2 2 2 2" xfId="1763"/>
    <cellStyle name="40 % - Accent2 3 2 2 2 2 2 2" xfId="3430"/>
    <cellStyle name="40 % - Accent2 3 2 2 2 2 2 2 2" xfId="6675"/>
    <cellStyle name="40 % - Accent2 3 2 2 2 2 2 2 2 2" xfId="13207"/>
    <cellStyle name="40 % - Accent2 3 2 2 2 2 2 2 2 2 2" xfId="32680"/>
    <cellStyle name="40 % - Accent2 3 2 2 2 2 2 2 2 2 3" xfId="45660"/>
    <cellStyle name="40 % - Accent2 3 2 2 2 2 2 2 2 2 4" xfId="61889"/>
    <cellStyle name="40 % - Accent2 3 2 2 2 2 2 2 2 3" xfId="19700"/>
    <cellStyle name="40 % - Accent2 3 2 2 2 2 2 2 2 4" xfId="26190"/>
    <cellStyle name="40 % - Accent2 3 2 2 2 2 2 2 2 5" xfId="39170"/>
    <cellStyle name="40 % - Accent2 3 2 2 2 2 2 2 2 6" xfId="55399"/>
    <cellStyle name="40 % - Accent2 3 2 2 2 2 2 2 3" xfId="9962"/>
    <cellStyle name="40 % - Accent2 3 2 2 2 2 2 2 3 2" xfId="29435"/>
    <cellStyle name="40 % - Accent2 3 2 2 2 2 2 2 3 3" xfId="42415"/>
    <cellStyle name="40 % - Accent2 3 2 2 2 2 2 2 3 4" xfId="58644"/>
    <cellStyle name="40 % - Accent2 3 2 2 2 2 2 2 4" xfId="16455"/>
    <cellStyle name="40 % - Accent2 3 2 2 2 2 2 2 4 2" xfId="52154"/>
    <cellStyle name="40 % - Accent2 3 2 2 2 2 2 2 5" xfId="22945"/>
    <cellStyle name="40 % - Accent2 3 2 2 2 2 2 2 6" xfId="35925"/>
    <cellStyle name="40 % - Accent2 3 2 2 2 2 2 2 7" xfId="48908"/>
    <cellStyle name="40 % - Accent2 3 2 2 2 2 2 3" xfId="5052"/>
    <cellStyle name="40 % - Accent2 3 2 2 2 2 2 3 2" xfId="11584"/>
    <cellStyle name="40 % - Accent2 3 2 2 2 2 2 3 2 2" xfId="31057"/>
    <cellStyle name="40 % - Accent2 3 2 2 2 2 2 3 2 3" xfId="44037"/>
    <cellStyle name="40 % - Accent2 3 2 2 2 2 2 3 2 4" xfId="60266"/>
    <cellStyle name="40 % - Accent2 3 2 2 2 2 2 3 3" xfId="18077"/>
    <cellStyle name="40 % - Accent2 3 2 2 2 2 2 3 4" xfId="24567"/>
    <cellStyle name="40 % - Accent2 3 2 2 2 2 2 3 5" xfId="37547"/>
    <cellStyle name="40 % - Accent2 3 2 2 2 2 2 3 6" xfId="53776"/>
    <cellStyle name="40 % - Accent2 3 2 2 2 2 2 4" xfId="8339"/>
    <cellStyle name="40 % - Accent2 3 2 2 2 2 2 4 2" xfId="27812"/>
    <cellStyle name="40 % - Accent2 3 2 2 2 2 2 4 3" xfId="40792"/>
    <cellStyle name="40 % - Accent2 3 2 2 2 2 2 4 4" xfId="57021"/>
    <cellStyle name="40 % - Accent2 3 2 2 2 2 2 5" xfId="14832"/>
    <cellStyle name="40 % - Accent2 3 2 2 2 2 2 5 2" xfId="50531"/>
    <cellStyle name="40 % - Accent2 3 2 2 2 2 2 6" xfId="21322"/>
    <cellStyle name="40 % - Accent2 3 2 2 2 2 2 7" xfId="34302"/>
    <cellStyle name="40 % - Accent2 3 2 2 2 2 2 8" xfId="47285"/>
    <cellStyle name="40 % - Accent2 3 2 2 2 2 3" xfId="1300"/>
    <cellStyle name="40 % - Accent2 3 2 2 2 2 3 2" xfId="2967"/>
    <cellStyle name="40 % - Accent2 3 2 2 2 2 3 2 2" xfId="6212"/>
    <cellStyle name="40 % - Accent2 3 2 2 2 2 3 2 2 2" xfId="12744"/>
    <cellStyle name="40 % - Accent2 3 2 2 2 2 3 2 2 2 2" xfId="32217"/>
    <cellStyle name="40 % - Accent2 3 2 2 2 2 3 2 2 2 3" xfId="45197"/>
    <cellStyle name="40 % - Accent2 3 2 2 2 2 3 2 2 2 4" xfId="61426"/>
    <cellStyle name="40 % - Accent2 3 2 2 2 2 3 2 2 3" xfId="19237"/>
    <cellStyle name="40 % - Accent2 3 2 2 2 2 3 2 2 4" xfId="25727"/>
    <cellStyle name="40 % - Accent2 3 2 2 2 2 3 2 2 5" xfId="38707"/>
    <cellStyle name="40 % - Accent2 3 2 2 2 2 3 2 2 6" xfId="54936"/>
    <cellStyle name="40 % - Accent2 3 2 2 2 2 3 2 3" xfId="9499"/>
    <cellStyle name="40 % - Accent2 3 2 2 2 2 3 2 3 2" xfId="28972"/>
    <cellStyle name="40 % - Accent2 3 2 2 2 2 3 2 3 3" xfId="41952"/>
    <cellStyle name="40 % - Accent2 3 2 2 2 2 3 2 3 4" xfId="58181"/>
    <cellStyle name="40 % - Accent2 3 2 2 2 2 3 2 4" xfId="15992"/>
    <cellStyle name="40 % - Accent2 3 2 2 2 2 3 2 4 2" xfId="51691"/>
    <cellStyle name="40 % - Accent2 3 2 2 2 2 3 2 5" xfId="22482"/>
    <cellStyle name="40 % - Accent2 3 2 2 2 2 3 2 6" xfId="35462"/>
    <cellStyle name="40 % - Accent2 3 2 2 2 2 3 2 7" xfId="48445"/>
    <cellStyle name="40 % - Accent2 3 2 2 2 2 3 3" xfId="4589"/>
    <cellStyle name="40 % - Accent2 3 2 2 2 2 3 3 2" xfId="11121"/>
    <cellStyle name="40 % - Accent2 3 2 2 2 2 3 3 2 2" xfId="30594"/>
    <cellStyle name="40 % - Accent2 3 2 2 2 2 3 3 2 3" xfId="43574"/>
    <cellStyle name="40 % - Accent2 3 2 2 2 2 3 3 2 4" xfId="59803"/>
    <cellStyle name="40 % - Accent2 3 2 2 2 2 3 3 3" xfId="17614"/>
    <cellStyle name="40 % - Accent2 3 2 2 2 2 3 3 4" xfId="24104"/>
    <cellStyle name="40 % - Accent2 3 2 2 2 2 3 3 5" xfId="37084"/>
    <cellStyle name="40 % - Accent2 3 2 2 2 2 3 3 6" xfId="53313"/>
    <cellStyle name="40 % - Accent2 3 2 2 2 2 3 4" xfId="7876"/>
    <cellStyle name="40 % - Accent2 3 2 2 2 2 3 4 2" xfId="27349"/>
    <cellStyle name="40 % - Accent2 3 2 2 2 2 3 4 3" xfId="40329"/>
    <cellStyle name="40 % - Accent2 3 2 2 2 2 3 4 4" xfId="56558"/>
    <cellStyle name="40 % - Accent2 3 2 2 2 2 3 5" xfId="14369"/>
    <cellStyle name="40 % - Accent2 3 2 2 2 2 3 5 2" xfId="50068"/>
    <cellStyle name="40 % - Accent2 3 2 2 2 2 3 6" xfId="20859"/>
    <cellStyle name="40 % - Accent2 3 2 2 2 2 3 7" xfId="33839"/>
    <cellStyle name="40 % - Accent2 3 2 2 2 2 3 8" xfId="46822"/>
    <cellStyle name="40 % - Accent2 3 2 2 2 2 4" xfId="2492"/>
    <cellStyle name="40 % - Accent2 3 2 2 2 2 4 2" xfId="5737"/>
    <cellStyle name="40 % - Accent2 3 2 2 2 2 4 2 2" xfId="12269"/>
    <cellStyle name="40 % - Accent2 3 2 2 2 2 4 2 2 2" xfId="31742"/>
    <cellStyle name="40 % - Accent2 3 2 2 2 2 4 2 2 3" xfId="44722"/>
    <cellStyle name="40 % - Accent2 3 2 2 2 2 4 2 2 4" xfId="60951"/>
    <cellStyle name="40 % - Accent2 3 2 2 2 2 4 2 3" xfId="18762"/>
    <cellStyle name="40 % - Accent2 3 2 2 2 2 4 2 4" xfId="25252"/>
    <cellStyle name="40 % - Accent2 3 2 2 2 2 4 2 5" xfId="38232"/>
    <cellStyle name="40 % - Accent2 3 2 2 2 2 4 2 6" xfId="54461"/>
    <cellStyle name="40 % - Accent2 3 2 2 2 2 4 3" xfId="9024"/>
    <cellStyle name="40 % - Accent2 3 2 2 2 2 4 3 2" xfId="28497"/>
    <cellStyle name="40 % - Accent2 3 2 2 2 2 4 3 3" xfId="41477"/>
    <cellStyle name="40 % - Accent2 3 2 2 2 2 4 3 4" xfId="57706"/>
    <cellStyle name="40 % - Accent2 3 2 2 2 2 4 4" xfId="15517"/>
    <cellStyle name="40 % - Accent2 3 2 2 2 2 4 4 2" xfId="51216"/>
    <cellStyle name="40 % - Accent2 3 2 2 2 2 4 5" xfId="22007"/>
    <cellStyle name="40 % - Accent2 3 2 2 2 2 4 6" xfId="34987"/>
    <cellStyle name="40 % - Accent2 3 2 2 2 2 4 7" xfId="47970"/>
    <cellStyle name="40 % - Accent2 3 2 2 2 2 5" xfId="4114"/>
    <cellStyle name="40 % - Accent2 3 2 2 2 2 5 2" xfId="10646"/>
    <cellStyle name="40 % - Accent2 3 2 2 2 2 5 2 2" xfId="30119"/>
    <cellStyle name="40 % - Accent2 3 2 2 2 2 5 2 3" xfId="43099"/>
    <cellStyle name="40 % - Accent2 3 2 2 2 2 5 2 4" xfId="59328"/>
    <cellStyle name="40 % - Accent2 3 2 2 2 2 5 3" xfId="17139"/>
    <cellStyle name="40 % - Accent2 3 2 2 2 2 5 4" xfId="23629"/>
    <cellStyle name="40 % - Accent2 3 2 2 2 2 5 5" xfId="36609"/>
    <cellStyle name="40 % - Accent2 3 2 2 2 2 5 6" xfId="52838"/>
    <cellStyle name="40 % - Accent2 3 2 2 2 2 6" xfId="7401"/>
    <cellStyle name="40 % - Accent2 3 2 2 2 2 6 2" xfId="26874"/>
    <cellStyle name="40 % - Accent2 3 2 2 2 2 6 3" xfId="39854"/>
    <cellStyle name="40 % - Accent2 3 2 2 2 2 6 4" xfId="56083"/>
    <cellStyle name="40 % - Accent2 3 2 2 2 2 7" xfId="13894"/>
    <cellStyle name="40 % - Accent2 3 2 2 2 2 7 2" xfId="49593"/>
    <cellStyle name="40 % - Accent2 3 2 2 2 2 8" xfId="20384"/>
    <cellStyle name="40 % - Accent2 3 2 2 2 2 9" xfId="33364"/>
    <cellStyle name="40 % - Accent2 3 2 2 2 3" xfId="594"/>
    <cellStyle name="40 % - Accent2 3 2 2 2 3 2" xfId="1543"/>
    <cellStyle name="40 % - Accent2 3 2 2 2 3 2 2" xfId="3210"/>
    <cellStyle name="40 % - Accent2 3 2 2 2 3 2 2 2" xfId="6455"/>
    <cellStyle name="40 % - Accent2 3 2 2 2 3 2 2 2 2" xfId="12987"/>
    <cellStyle name="40 % - Accent2 3 2 2 2 3 2 2 2 2 2" xfId="32460"/>
    <cellStyle name="40 % - Accent2 3 2 2 2 3 2 2 2 2 3" xfId="45440"/>
    <cellStyle name="40 % - Accent2 3 2 2 2 3 2 2 2 2 4" xfId="61669"/>
    <cellStyle name="40 % - Accent2 3 2 2 2 3 2 2 2 3" xfId="19480"/>
    <cellStyle name="40 % - Accent2 3 2 2 2 3 2 2 2 4" xfId="25970"/>
    <cellStyle name="40 % - Accent2 3 2 2 2 3 2 2 2 5" xfId="38950"/>
    <cellStyle name="40 % - Accent2 3 2 2 2 3 2 2 2 6" xfId="55179"/>
    <cellStyle name="40 % - Accent2 3 2 2 2 3 2 2 3" xfId="9742"/>
    <cellStyle name="40 % - Accent2 3 2 2 2 3 2 2 3 2" xfId="29215"/>
    <cellStyle name="40 % - Accent2 3 2 2 2 3 2 2 3 3" xfId="42195"/>
    <cellStyle name="40 % - Accent2 3 2 2 2 3 2 2 3 4" xfId="58424"/>
    <cellStyle name="40 % - Accent2 3 2 2 2 3 2 2 4" xfId="16235"/>
    <cellStyle name="40 % - Accent2 3 2 2 2 3 2 2 4 2" xfId="51934"/>
    <cellStyle name="40 % - Accent2 3 2 2 2 3 2 2 5" xfId="22725"/>
    <cellStyle name="40 % - Accent2 3 2 2 2 3 2 2 6" xfId="35705"/>
    <cellStyle name="40 % - Accent2 3 2 2 2 3 2 2 7" xfId="48688"/>
    <cellStyle name="40 % - Accent2 3 2 2 2 3 2 3" xfId="4832"/>
    <cellStyle name="40 % - Accent2 3 2 2 2 3 2 3 2" xfId="11364"/>
    <cellStyle name="40 % - Accent2 3 2 2 2 3 2 3 2 2" xfId="30837"/>
    <cellStyle name="40 % - Accent2 3 2 2 2 3 2 3 2 3" xfId="43817"/>
    <cellStyle name="40 % - Accent2 3 2 2 2 3 2 3 2 4" xfId="60046"/>
    <cellStyle name="40 % - Accent2 3 2 2 2 3 2 3 3" xfId="17857"/>
    <cellStyle name="40 % - Accent2 3 2 2 2 3 2 3 4" xfId="24347"/>
    <cellStyle name="40 % - Accent2 3 2 2 2 3 2 3 5" xfId="37327"/>
    <cellStyle name="40 % - Accent2 3 2 2 2 3 2 3 6" xfId="53556"/>
    <cellStyle name="40 % - Accent2 3 2 2 2 3 2 4" xfId="8119"/>
    <cellStyle name="40 % - Accent2 3 2 2 2 3 2 4 2" xfId="27592"/>
    <cellStyle name="40 % - Accent2 3 2 2 2 3 2 4 3" xfId="40572"/>
    <cellStyle name="40 % - Accent2 3 2 2 2 3 2 4 4" xfId="56801"/>
    <cellStyle name="40 % - Accent2 3 2 2 2 3 2 5" xfId="14612"/>
    <cellStyle name="40 % - Accent2 3 2 2 2 3 2 5 2" xfId="50311"/>
    <cellStyle name="40 % - Accent2 3 2 2 2 3 2 6" xfId="21102"/>
    <cellStyle name="40 % - Accent2 3 2 2 2 3 2 7" xfId="34082"/>
    <cellStyle name="40 % - Accent2 3 2 2 2 3 2 8" xfId="47065"/>
    <cellStyle name="40 % - Accent2 3 2 2 2 3 3" xfId="2262"/>
    <cellStyle name="40 % - Accent2 3 2 2 2 3 3 2" xfId="5507"/>
    <cellStyle name="40 % - Accent2 3 2 2 2 3 3 2 2" xfId="12039"/>
    <cellStyle name="40 % - Accent2 3 2 2 2 3 3 2 2 2" xfId="31512"/>
    <cellStyle name="40 % - Accent2 3 2 2 2 3 3 2 2 3" xfId="44492"/>
    <cellStyle name="40 % - Accent2 3 2 2 2 3 3 2 2 4" xfId="60721"/>
    <cellStyle name="40 % - Accent2 3 2 2 2 3 3 2 3" xfId="18532"/>
    <cellStyle name="40 % - Accent2 3 2 2 2 3 3 2 4" xfId="25022"/>
    <cellStyle name="40 % - Accent2 3 2 2 2 3 3 2 5" xfId="38002"/>
    <cellStyle name="40 % - Accent2 3 2 2 2 3 3 2 6" xfId="54231"/>
    <cellStyle name="40 % - Accent2 3 2 2 2 3 3 3" xfId="8794"/>
    <cellStyle name="40 % - Accent2 3 2 2 2 3 3 3 2" xfId="28267"/>
    <cellStyle name="40 % - Accent2 3 2 2 2 3 3 3 3" xfId="41247"/>
    <cellStyle name="40 % - Accent2 3 2 2 2 3 3 3 4" xfId="57476"/>
    <cellStyle name="40 % - Accent2 3 2 2 2 3 3 4" xfId="15287"/>
    <cellStyle name="40 % - Accent2 3 2 2 2 3 3 4 2" xfId="50986"/>
    <cellStyle name="40 % - Accent2 3 2 2 2 3 3 5" xfId="21777"/>
    <cellStyle name="40 % - Accent2 3 2 2 2 3 3 6" xfId="34757"/>
    <cellStyle name="40 % - Accent2 3 2 2 2 3 3 7" xfId="47740"/>
    <cellStyle name="40 % - Accent2 3 2 2 2 3 4" xfId="3884"/>
    <cellStyle name="40 % - Accent2 3 2 2 2 3 4 2" xfId="10416"/>
    <cellStyle name="40 % - Accent2 3 2 2 2 3 4 2 2" xfId="29889"/>
    <cellStyle name="40 % - Accent2 3 2 2 2 3 4 2 3" xfId="42869"/>
    <cellStyle name="40 % - Accent2 3 2 2 2 3 4 2 4" xfId="59098"/>
    <cellStyle name="40 % - Accent2 3 2 2 2 3 4 3" xfId="16909"/>
    <cellStyle name="40 % - Accent2 3 2 2 2 3 4 4" xfId="23399"/>
    <cellStyle name="40 % - Accent2 3 2 2 2 3 4 5" xfId="36379"/>
    <cellStyle name="40 % - Accent2 3 2 2 2 3 4 6" xfId="52608"/>
    <cellStyle name="40 % - Accent2 3 2 2 2 3 5" xfId="7171"/>
    <cellStyle name="40 % - Accent2 3 2 2 2 3 5 2" xfId="26644"/>
    <cellStyle name="40 % - Accent2 3 2 2 2 3 5 3" xfId="39624"/>
    <cellStyle name="40 % - Accent2 3 2 2 2 3 5 4" xfId="55853"/>
    <cellStyle name="40 % - Accent2 3 2 2 2 3 6" xfId="13664"/>
    <cellStyle name="40 % - Accent2 3 2 2 2 3 6 2" xfId="49363"/>
    <cellStyle name="40 % - Accent2 3 2 2 2 3 7" xfId="20154"/>
    <cellStyle name="40 % - Accent2 3 2 2 2 3 8" xfId="33134"/>
    <cellStyle name="40 % - Accent2 3 2 2 2 3 9" xfId="46117"/>
    <cellStyle name="40 % - Accent2 3 2 2 2 4" xfId="1080"/>
    <cellStyle name="40 % - Accent2 3 2 2 2 4 2" xfId="2747"/>
    <cellStyle name="40 % - Accent2 3 2 2 2 4 2 2" xfId="5992"/>
    <cellStyle name="40 % - Accent2 3 2 2 2 4 2 2 2" xfId="12524"/>
    <cellStyle name="40 % - Accent2 3 2 2 2 4 2 2 2 2" xfId="31997"/>
    <cellStyle name="40 % - Accent2 3 2 2 2 4 2 2 2 3" xfId="44977"/>
    <cellStyle name="40 % - Accent2 3 2 2 2 4 2 2 2 4" xfId="61206"/>
    <cellStyle name="40 % - Accent2 3 2 2 2 4 2 2 3" xfId="19017"/>
    <cellStyle name="40 % - Accent2 3 2 2 2 4 2 2 4" xfId="25507"/>
    <cellStyle name="40 % - Accent2 3 2 2 2 4 2 2 5" xfId="38487"/>
    <cellStyle name="40 % - Accent2 3 2 2 2 4 2 2 6" xfId="54716"/>
    <cellStyle name="40 % - Accent2 3 2 2 2 4 2 3" xfId="9279"/>
    <cellStyle name="40 % - Accent2 3 2 2 2 4 2 3 2" xfId="28752"/>
    <cellStyle name="40 % - Accent2 3 2 2 2 4 2 3 3" xfId="41732"/>
    <cellStyle name="40 % - Accent2 3 2 2 2 4 2 3 4" xfId="57961"/>
    <cellStyle name="40 % - Accent2 3 2 2 2 4 2 4" xfId="15772"/>
    <cellStyle name="40 % - Accent2 3 2 2 2 4 2 4 2" xfId="51471"/>
    <cellStyle name="40 % - Accent2 3 2 2 2 4 2 5" xfId="22262"/>
    <cellStyle name="40 % - Accent2 3 2 2 2 4 2 6" xfId="35242"/>
    <cellStyle name="40 % - Accent2 3 2 2 2 4 2 7" xfId="48225"/>
    <cellStyle name="40 % - Accent2 3 2 2 2 4 3" xfId="4369"/>
    <cellStyle name="40 % - Accent2 3 2 2 2 4 3 2" xfId="10901"/>
    <cellStyle name="40 % - Accent2 3 2 2 2 4 3 2 2" xfId="30374"/>
    <cellStyle name="40 % - Accent2 3 2 2 2 4 3 2 3" xfId="43354"/>
    <cellStyle name="40 % - Accent2 3 2 2 2 4 3 2 4" xfId="59583"/>
    <cellStyle name="40 % - Accent2 3 2 2 2 4 3 3" xfId="17394"/>
    <cellStyle name="40 % - Accent2 3 2 2 2 4 3 4" xfId="23884"/>
    <cellStyle name="40 % - Accent2 3 2 2 2 4 3 5" xfId="36864"/>
    <cellStyle name="40 % - Accent2 3 2 2 2 4 3 6" xfId="53093"/>
    <cellStyle name="40 % - Accent2 3 2 2 2 4 4" xfId="7656"/>
    <cellStyle name="40 % - Accent2 3 2 2 2 4 4 2" xfId="27129"/>
    <cellStyle name="40 % - Accent2 3 2 2 2 4 4 3" xfId="40109"/>
    <cellStyle name="40 % - Accent2 3 2 2 2 4 4 4" xfId="56338"/>
    <cellStyle name="40 % - Accent2 3 2 2 2 4 5" xfId="14149"/>
    <cellStyle name="40 % - Accent2 3 2 2 2 4 5 2" xfId="49848"/>
    <cellStyle name="40 % - Accent2 3 2 2 2 4 6" xfId="20639"/>
    <cellStyle name="40 % - Accent2 3 2 2 2 4 7" xfId="33619"/>
    <cellStyle name="40 % - Accent2 3 2 2 2 4 8" xfId="46602"/>
    <cellStyle name="40 % - Accent2 3 2 2 2 5" xfId="2033"/>
    <cellStyle name="40 % - Accent2 3 2 2 2 5 2" xfId="5278"/>
    <cellStyle name="40 % - Accent2 3 2 2 2 5 2 2" xfId="11810"/>
    <cellStyle name="40 % - Accent2 3 2 2 2 5 2 2 2" xfId="31283"/>
    <cellStyle name="40 % - Accent2 3 2 2 2 5 2 2 3" xfId="44263"/>
    <cellStyle name="40 % - Accent2 3 2 2 2 5 2 2 4" xfId="60492"/>
    <cellStyle name="40 % - Accent2 3 2 2 2 5 2 3" xfId="18303"/>
    <cellStyle name="40 % - Accent2 3 2 2 2 5 2 4" xfId="24793"/>
    <cellStyle name="40 % - Accent2 3 2 2 2 5 2 5" xfId="37773"/>
    <cellStyle name="40 % - Accent2 3 2 2 2 5 2 6" xfId="54002"/>
    <cellStyle name="40 % - Accent2 3 2 2 2 5 3" xfId="8565"/>
    <cellStyle name="40 % - Accent2 3 2 2 2 5 3 2" xfId="28038"/>
    <cellStyle name="40 % - Accent2 3 2 2 2 5 3 3" xfId="41018"/>
    <cellStyle name="40 % - Accent2 3 2 2 2 5 3 4" xfId="57247"/>
    <cellStyle name="40 % - Accent2 3 2 2 2 5 4" xfId="15058"/>
    <cellStyle name="40 % - Accent2 3 2 2 2 5 4 2" xfId="50757"/>
    <cellStyle name="40 % - Accent2 3 2 2 2 5 5" xfId="21548"/>
    <cellStyle name="40 % - Accent2 3 2 2 2 5 6" xfId="34528"/>
    <cellStyle name="40 % - Accent2 3 2 2 2 5 7" xfId="47511"/>
    <cellStyle name="40 % - Accent2 3 2 2 2 6" xfId="3654"/>
    <cellStyle name="40 % - Accent2 3 2 2 2 6 2" xfId="10186"/>
    <cellStyle name="40 % - Accent2 3 2 2 2 6 2 2" xfId="29659"/>
    <cellStyle name="40 % - Accent2 3 2 2 2 6 2 3" xfId="42639"/>
    <cellStyle name="40 % - Accent2 3 2 2 2 6 2 4" xfId="58868"/>
    <cellStyle name="40 % - Accent2 3 2 2 2 6 3" xfId="16679"/>
    <cellStyle name="40 % - Accent2 3 2 2 2 6 4" xfId="23169"/>
    <cellStyle name="40 % - Accent2 3 2 2 2 6 5" xfId="36149"/>
    <cellStyle name="40 % - Accent2 3 2 2 2 6 6" xfId="52378"/>
    <cellStyle name="40 % - Accent2 3 2 2 2 7" xfId="6941"/>
    <cellStyle name="40 % - Accent2 3 2 2 2 7 2" xfId="26414"/>
    <cellStyle name="40 % - Accent2 3 2 2 2 7 3" xfId="39394"/>
    <cellStyle name="40 % - Accent2 3 2 2 2 7 4" xfId="55623"/>
    <cellStyle name="40 % - Accent2 3 2 2 2 8" xfId="13434"/>
    <cellStyle name="40 % - Accent2 3 2 2 2 8 2" xfId="49133"/>
    <cellStyle name="40 % - Accent2 3 2 2 2 9" xfId="19924"/>
    <cellStyle name="40 % - Accent2 3 2 2 3" xfId="736"/>
    <cellStyle name="40 % - Accent2 3 2 2 3 10" xfId="46259"/>
    <cellStyle name="40 % - Accent2 3 2 2 3 2" xfId="1675"/>
    <cellStyle name="40 % - Accent2 3 2 2 3 2 2" xfId="3342"/>
    <cellStyle name="40 % - Accent2 3 2 2 3 2 2 2" xfId="6587"/>
    <cellStyle name="40 % - Accent2 3 2 2 3 2 2 2 2" xfId="13119"/>
    <cellStyle name="40 % - Accent2 3 2 2 3 2 2 2 2 2" xfId="32592"/>
    <cellStyle name="40 % - Accent2 3 2 2 3 2 2 2 2 3" xfId="45572"/>
    <cellStyle name="40 % - Accent2 3 2 2 3 2 2 2 2 4" xfId="61801"/>
    <cellStyle name="40 % - Accent2 3 2 2 3 2 2 2 3" xfId="19612"/>
    <cellStyle name="40 % - Accent2 3 2 2 3 2 2 2 4" xfId="26102"/>
    <cellStyle name="40 % - Accent2 3 2 2 3 2 2 2 5" xfId="39082"/>
    <cellStyle name="40 % - Accent2 3 2 2 3 2 2 2 6" xfId="55311"/>
    <cellStyle name="40 % - Accent2 3 2 2 3 2 2 3" xfId="9874"/>
    <cellStyle name="40 % - Accent2 3 2 2 3 2 2 3 2" xfId="29347"/>
    <cellStyle name="40 % - Accent2 3 2 2 3 2 2 3 3" xfId="42327"/>
    <cellStyle name="40 % - Accent2 3 2 2 3 2 2 3 4" xfId="58556"/>
    <cellStyle name="40 % - Accent2 3 2 2 3 2 2 4" xfId="16367"/>
    <cellStyle name="40 % - Accent2 3 2 2 3 2 2 4 2" xfId="52066"/>
    <cellStyle name="40 % - Accent2 3 2 2 3 2 2 5" xfId="22857"/>
    <cellStyle name="40 % - Accent2 3 2 2 3 2 2 6" xfId="35837"/>
    <cellStyle name="40 % - Accent2 3 2 2 3 2 2 7" xfId="48820"/>
    <cellStyle name="40 % - Accent2 3 2 2 3 2 3" xfId="4964"/>
    <cellStyle name="40 % - Accent2 3 2 2 3 2 3 2" xfId="11496"/>
    <cellStyle name="40 % - Accent2 3 2 2 3 2 3 2 2" xfId="30969"/>
    <cellStyle name="40 % - Accent2 3 2 2 3 2 3 2 3" xfId="43949"/>
    <cellStyle name="40 % - Accent2 3 2 2 3 2 3 2 4" xfId="60178"/>
    <cellStyle name="40 % - Accent2 3 2 2 3 2 3 3" xfId="17989"/>
    <cellStyle name="40 % - Accent2 3 2 2 3 2 3 4" xfId="24479"/>
    <cellStyle name="40 % - Accent2 3 2 2 3 2 3 5" xfId="37459"/>
    <cellStyle name="40 % - Accent2 3 2 2 3 2 3 6" xfId="53688"/>
    <cellStyle name="40 % - Accent2 3 2 2 3 2 4" xfId="8251"/>
    <cellStyle name="40 % - Accent2 3 2 2 3 2 4 2" xfId="27724"/>
    <cellStyle name="40 % - Accent2 3 2 2 3 2 4 3" xfId="40704"/>
    <cellStyle name="40 % - Accent2 3 2 2 3 2 4 4" xfId="56933"/>
    <cellStyle name="40 % - Accent2 3 2 2 3 2 5" xfId="14744"/>
    <cellStyle name="40 % - Accent2 3 2 2 3 2 5 2" xfId="50443"/>
    <cellStyle name="40 % - Accent2 3 2 2 3 2 6" xfId="21234"/>
    <cellStyle name="40 % - Accent2 3 2 2 3 2 7" xfId="34214"/>
    <cellStyle name="40 % - Accent2 3 2 2 3 2 8" xfId="47197"/>
    <cellStyle name="40 % - Accent2 3 2 2 3 3" xfId="1212"/>
    <cellStyle name="40 % - Accent2 3 2 2 3 3 2" xfId="2879"/>
    <cellStyle name="40 % - Accent2 3 2 2 3 3 2 2" xfId="6124"/>
    <cellStyle name="40 % - Accent2 3 2 2 3 3 2 2 2" xfId="12656"/>
    <cellStyle name="40 % - Accent2 3 2 2 3 3 2 2 2 2" xfId="32129"/>
    <cellStyle name="40 % - Accent2 3 2 2 3 3 2 2 2 3" xfId="45109"/>
    <cellStyle name="40 % - Accent2 3 2 2 3 3 2 2 2 4" xfId="61338"/>
    <cellStyle name="40 % - Accent2 3 2 2 3 3 2 2 3" xfId="19149"/>
    <cellStyle name="40 % - Accent2 3 2 2 3 3 2 2 4" xfId="25639"/>
    <cellStyle name="40 % - Accent2 3 2 2 3 3 2 2 5" xfId="38619"/>
    <cellStyle name="40 % - Accent2 3 2 2 3 3 2 2 6" xfId="54848"/>
    <cellStyle name="40 % - Accent2 3 2 2 3 3 2 3" xfId="9411"/>
    <cellStyle name="40 % - Accent2 3 2 2 3 3 2 3 2" xfId="28884"/>
    <cellStyle name="40 % - Accent2 3 2 2 3 3 2 3 3" xfId="41864"/>
    <cellStyle name="40 % - Accent2 3 2 2 3 3 2 3 4" xfId="58093"/>
    <cellStyle name="40 % - Accent2 3 2 2 3 3 2 4" xfId="15904"/>
    <cellStyle name="40 % - Accent2 3 2 2 3 3 2 4 2" xfId="51603"/>
    <cellStyle name="40 % - Accent2 3 2 2 3 3 2 5" xfId="22394"/>
    <cellStyle name="40 % - Accent2 3 2 2 3 3 2 6" xfId="35374"/>
    <cellStyle name="40 % - Accent2 3 2 2 3 3 2 7" xfId="48357"/>
    <cellStyle name="40 % - Accent2 3 2 2 3 3 3" xfId="4501"/>
    <cellStyle name="40 % - Accent2 3 2 2 3 3 3 2" xfId="11033"/>
    <cellStyle name="40 % - Accent2 3 2 2 3 3 3 2 2" xfId="30506"/>
    <cellStyle name="40 % - Accent2 3 2 2 3 3 3 2 3" xfId="43486"/>
    <cellStyle name="40 % - Accent2 3 2 2 3 3 3 2 4" xfId="59715"/>
    <cellStyle name="40 % - Accent2 3 2 2 3 3 3 3" xfId="17526"/>
    <cellStyle name="40 % - Accent2 3 2 2 3 3 3 4" xfId="24016"/>
    <cellStyle name="40 % - Accent2 3 2 2 3 3 3 5" xfId="36996"/>
    <cellStyle name="40 % - Accent2 3 2 2 3 3 3 6" xfId="53225"/>
    <cellStyle name="40 % - Accent2 3 2 2 3 3 4" xfId="7788"/>
    <cellStyle name="40 % - Accent2 3 2 2 3 3 4 2" xfId="27261"/>
    <cellStyle name="40 % - Accent2 3 2 2 3 3 4 3" xfId="40241"/>
    <cellStyle name="40 % - Accent2 3 2 2 3 3 4 4" xfId="56470"/>
    <cellStyle name="40 % - Accent2 3 2 2 3 3 5" xfId="14281"/>
    <cellStyle name="40 % - Accent2 3 2 2 3 3 5 2" xfId="49980"/>
    <cellStyle name="40 % - Accent2 3 2 2 3 3 6" xfId="20771"/>
    <cellStyle name="40 % - Accent2 3 2 2 3 3 7" xfId="33751"/>
    <cellStyle name="40 % - Accent2 3 2 2 3 3 8" xfId="46734"/>
    <cellStyle name="40 % - Accent2 3 2 2 3 4" xfId="2404"/>
    <cellStyle name="40 % - Accent2 3 2 2 3 4 2" xfId="5649"/>
    <cellStyle name="40 % - Accent2 3 2 2 3 4 2 2" xfId="12181"/>
    <cellStyle name="40 % - Accent2 3 2 2 3 4 2 2 2" xfId="31654"/>
    <cellStyle name="40 % - Accent2 3 2 2 3 4 2 2 3" xfId="44634"/>
    <cellStyle name="40 % - Accent2 3 2 2 3 4 2 2 4" xfId="60863"/>
    <cellStyle name="40 % - Accent2 3 2 2 3 4 2 3" xfId="18674"/>
    <cellStyle name="40 % - Accent2 3 2 2 3 4 2 4" xfId="25164"/>
    <cellStyle name="40 % - Accent2 3 2 2 3 4 2 5" xfId="38144"/>
    <cellStyle name="40 % - Accent2 3 2 2 3 4 2 6" xfId="54373"/>
    <cellStyle name="40 % - Accent2 3 2 2 3 4 3" xfId="8936"/>
    <cellStyle name="40 % - Accent2 3 2 2 3 4 3 2" xfId="28409"/>
    <cellStyle name="40 % - Accent2 3 2 2 3 4 3 3" xfId="41389"/>
    <cellStyle name="40 % - Accent2 3 2 2 3 4 3 4" xfId="57618"/>
    <cellStyle name="40 % - Accent2 3 2 2 3 4 4" xfId="15429"/>
    <cellStyle name="40 % - Accent2 3 2 2 3 4 4 2" xfId="51128"/>
    <cellStyle name="40 % - Accent2 3 2 2 3 4 5" xfId="21919"/>
    <cellStyle name="40 % - Accent2 3 2 2 3 4 6" xfId="34899"/>
    <cellStyle name="40 % - Accent2 3 2 2 3 4 7" xfId="47882"/>
    <cellStyle name="40 % - Accent2 3 2 2 3 5" xfId="4026"/>
    <cellStyle name="40 % - Accent2 3 2 2 3 5 2" xfId="10558"/>
    <cellStyle name="40 % - Accent2 3 2 2 3 5 2 2" xfId="30031"/>
    <cellStyle name="40 % - Accent2 3 2 2 3 5 2 3" xfId="43011"/>
    <cellStyle name="40 % - Accent2 3 2 2 3 5 2 4" xfId="59240"/>
    <cellStyle name="40 % - Accent2 3 2 2 3 5 3" xfId="17051"/>
    <cellStyle name="40 % - Accent2 3 2 2 3 5 4" xfId="23541"/>
    <cellStyle name="40 % - Accent2 3 2 2 3 5 5" xfId="36521"/>
    <cellStyle name="40 % - Accent2 3 2 2 3 5 6" xfId="52750"/>
    <cellStyle name="40 % - Accent2 3 2 2 3 6" xfId="7313"/>
    <cellStyle name="40 % - Accent2 3 2 2 3 6 2" xfId="26786"/>
    <cellStyle name="40 % - Accent2 3 2 2 3 6 3" xfId="39766"/>
    <cellStyle name="40 % - Accent2 3 2 2 3 6 4" xfId="55995"/>
    <cellStyle name="40 % - Accent2 3 2 2 3 7" xfId="13806"/>
    <cellStyle name="40 % - Accent2 3 2 2 3 7 2" xfId="49505"/>
    <cellStyle name="40 % - Accent2 3 2 2 3 8" xfId="20296"/>
    <cellStyle name="40 % - Accent2 3 2 2 3 9" xfId="33276"/>
    <cellStyle name="40 % - Accent2 3 2 2 4" xfId="506"/>
    <cellStyle name="40 % - Accent2 3 2 2 4 2" xfId="1455"/>
    <cellStyle name="40 % - Accent2 3 2 2 4 2 2" xfId="3122"/>
    <cellStyle name="40 % - Accent2 3 2 2 4 2 2 2" xfId="6367"/>
    <cellStyle name="40 % - Accent2 3 2 2 4 2 2 2 2" xfId="12899"/>
    <cellStyle name="40 % - Accent2 3 2 2 4 2 2 2 2 2" xfId="32372"/>
    <cellStyle name="40 % - Accent2 3 2 2 4 2 2 2 2 3" xfId="45352"/>
    <cellStyle name="40 % - Accent2 3 2 2 4 2 2 2 2 4" xfId="61581"/>
    <cellStyle name="40 % - Accent2 3 2 2 4 2 2 2 3" xfId="19392"/>
    <cellStyle name="40 % - Accent2 3 2 2 4 2 2 2 4" xfId="25882"/>
    <cellStyle name="40 % - Accent2 3 2 2 4 2 2 2 5" xfId="38862"/>
    <cellStyle name="40 % - Accent2 3 2 2 4 2 2 2 6" xfId="55091"/>
    <cellStyle name="40 % - Accent2 3 2 2 4 2 2 3" xfId="9654"/>
    <cellStyle name="40 % - Accent2 3 2 2 4 2 2 3 2" xfId="29127"/>
    <cellStyle name="40 % - Accent2 3 2 2 4 2 2 3 3" xfId="42107"/>
    <cellStyle name="40 % - Accent2 3 2 2 4 2 2 3 4" xfId="58336"/>
    <cellStyle name="40 % - Accent2 3 2 2 4 2 2 4" xfId="16147"/>
    <cellStyle name="40 % - Accent2 3 2 2 4 2 2 4 2" xfId="51846"/>
    <cellStyle name="40 % - Accent2 3 2 2 4 2 2 5" xfId="22637"/>
    <cellStyle name="40 % - Accent2 3 2 2 4 2 2 6" xfId="35617"/>
    <cellStyle name="40 % - Accent2 3 2 2 4 2 2 7" xfId="48600"/>
    <cellStyle name="40 % - Accent2 3 2 2 4 2 3" xfId="4744"/>
    <cellStyle name="40 % - Accent2 3 2 2 4 2 3 2" xfId="11276"/>
    <cellStyle name="40 % - Accent2 3 2 2 4 2 3 2 2" xfId="30749"/>
    <cellStyle name="40 % - Accent2 3 2 2 4 2 3 2 3" xfId="43729"/>
    <cellStyle name="40 % - Accent2 3 2 2 4 2 3 2 4" xfId="59958"/>
    <cellStyle name="40 % - Accent2 3 2 2 4 2 3 3" xfId="17769"/>
    <cellStyle name="40 % - Accent2 3 2 2 4 2 3 4" xfId="24259"/>
    <cellStyle name="40 % - Accent2 3 2 2 4 2 3 5" xfId="37239"/>
    <cellStyle name="40 % - Accent2 3 2 2 4 2 3 6" xfId="53468"/>
    <cellStyle name="40 % - Accent2 3 2 2 4 2 4" xfId="8031"/>
    <cellStyle name="40 % - Accent2 3 2 2 4 2 4 2" xfId="27504"/>
    <cellStyle name="40 % - Accent2 3 2 2 4 2 4 3" xfId="40484"/>
    <cellStyle name="40 % - Accent2 3 2 2 4 2 4 4" xfId="56713"/>
    <cellStyle name="40 % - Accent2 3 2 2 4 2 5" xfId="14524"/>
    <cellStyle name="40 % - Accent2 3 2 2 4 2 5 2" xfId="50223"/>
    <cellStyle name="40 % - Accent2 3 2 2 4 2 6" xfId="21014"/>
    <cellStyle name="40 % - Accent2 3 2 2 4 2 7" xfId="33994"/>
    <cellStyle name="40 % - Accent2 3 2 2 4 2 8" xfId="46977"/>
    <cellStyle name="40 % - Accent2 3 2 2 4 3" xfId="2174"/>
    <cellStyle name="40 % - Accent2 3 2 2 4 3 2" xfId="5419"/>
    <cellStyle name="40 % - Accent2 3 2 2 4 3 2 2" xfId="11951"/>
    <cellStyle name="40 % - Accent2 3 2 2 4 3 2 2 2" xfId="31424"/>
    <cellStyle name="40 % - Accent2 3 2 2 4 3 2 2 3" xfId="44404"/>
    <cellStyle name="40 % - Accent2 3 2 2 4 3 2 2 4" xfId="60633"/>
    <cellStyle name="40 % - Accent2 3 2 2 4 3 2 3" xfId="18444"/>
    <cellStyle name="40 % - Accent2 3 2 2 4 3 2 4" xfId="24934"/>
    <cellStyle name="40 % - Accent2 3 2 2 4 3 2 5" xfId="37914"/>
    <cellStyle name="40 % - Accent2 3 2 2 4 3 2 6" xfId="54143"/>
    <cellStyle name="40 % - Accent2 3 2 2 4 3 3" xfId="8706"/>
    <cellStyle name="40 % - Accent2 3 2 2 4 3 3 2" xfId="28179"/>
    <cellStyle name="40 % - Accent2 3 2 2 4 3 3 3" xfId="41159"/>
    <cellStyle name="40 % - Accent2 3 2 2 4 3 3 4" xfId="57388"/>
    <cellStyle name="40 % - Accent2 3 2 2 4 3 4" xfId="15199"/>
    <cellStyle name="40 % - Accent2 3 2 2 4 3 4 2" xfId="50898"/>
    <cellStyle name="40 % - Accent2 3 2 2 4 3 5" xfId="21689"/>
    <cellStyle name="40 % - Accent2 3 2 2 4 3 6" xfId="34669"/>
    <cellStyle name="40 % - Accent2 3 2 2 4 3 7" xfId="47652"/>
    <cellStyle name="40 % - Accent2 3 2 2 4 4" xfId="3796"/>
    <cellStyle name="40 % - Accent2 3 2 2 4 4 2" xfId="10328"/>
    <cellStyle name="40 % - Accent2 3 2 2 4 4 2 2" xfId="29801"/>
    <cellStyle name="40 % - Accent2 3 2 2 4 4 2 3" xfId="42781"/>
    <cellStyle name="40 % - Accent2 3 2 2 4 4 2 4" xfId="59010"/>
    <cellStyle name="40 % - Accent2 3 2 2 4 4 3" xfId="16821"/>
    <cellStyle name="40 % - Accent2 3 2 2 4 4 4" xfId="23311"/>
    <cellStyle name="40 % - Accent2 3 2 2 4 4 5" xfId="36291"/>
    <cellStyle name="40 % - Accent2 3 2 2 4 4 6" xfId="52520"/>
    <cellStyle name="40 % - Accent2 3 2 2 4 5" xfId="7083"/>
    <cellStyle name="40 % - Accent2 3 2 2 4 5 2" xfId="26556"/>
    <cellStyle name="40 % - Accent2 3 2 2 4 5 3" xfId="39536"/>
    <cellStyle name="40 % - Accent2 3 2 2 4 5 4" xfId="55765"/>
    <cellStyle name="40 % - Accent2 3 2 2 4 6" xfId="13576"/>
    <cellStyle name="40 % - Accent2 3 2 2 4 6 2" xfId="49275"/>
    <cellStyle name="40 % - Accent2 3 2 2 4 7" xfId="20066"/>
    <cellStyle name="40 % - Accent2 3 2 2 4 8" xfId="33046"/>
    <cellStyle name="40 % - Accent2 3 2 2 4 9" xfId="46029"/>
    <cellStyle name="40 % - Accent2 3 2 2 5" xfId="992"/>
    <cellStyle name="40 % - Accent2 3 2 2 5 2" xfId="2659"/>
    <cellStyle name="40 % - Accent2 3 2 2 5 2 2" xfId="5904"/>
    <cellStyle name="40 % - Accent2 3 2 2 5 2 2 2" xfId="12436"/>
    <cellStyle name="40 % - Accent2 3 2 2 5 2 2 2 2" xfId="31909"/>
    <cellStyle name="40 % - Accent2 3 2 2 5 2 2 2 3" xfId="44889"/>
    <cellStyle name="40 % - Accent2 3 2 2 5 2 2 2 4" xfId="61118"/>
    <cellStyle name="40 % - Accent2 3 2 2 5 2 2 3" xfId="18929"/>
    <cellStyle name="40 % - Accent2 3 2 2 5 2 2 4" xfId="25419"/>
    <cellStyle name="40 % - Accent2 3 2 2 5 2 2 5" xfId="38399"/>
    <cellStyle name="40 % - Accent2 3 2 2 5 2 2 6" xfId="54628"/>
    <cellStyle name="40 % - Accent2 3 2 2 5 2 3" xfId="9191"/>
    <cellStyle name="40 % - Accent2 3 2 2 5 2 3 2" xfId="28664"/>
    <cellStyle name="40 % - Accent2 3 2 2 5 2 3 3" xfId="41644"/>
    <cellStyle name="40 % - Accent2 3 2 2 5 2 3 4" xfId="57873"/>
    <cellStyle name="40 % - Accent2 3 2 2 5 2 4" xfId="15684"/>
    <cellStyle name="40 % - Accent2 3 2 2 5 2 4 2" xfId="51383"/>
    <cellStyle name="40 % - Accent2 3 2 2 5 2 5" xfId="22174"/>
    <cellStyle name="40 % - Accent2 3 2 2 5 2 6" xfId="35154"/>
    <cellStyle name="40 % - Accent2 3 2 2 5 2 7" xfId="48137"/>
    <cellStyle name="40 % - Accent2 3 2 2 5 3" xfId="4281"/>
    <cellStyle name="40 % - Accent2 3 2 2 5 3 2" xfId="10813"/>
    <cellStyle name="40 % - Accent2 3 2 2 5 3 2 2" xfId="30286"/>
    <cellStyle name="40 % - Accent2 3 2 2 5 3 2 3" xfId="43266"/>
    <cellStyle name="40 % - Accent2 3 2 2 5 3 2 4" xfId="59495"/>
    <cellStyle name="40 % - Accent2 3 2 2 5 3 3" xfId="17306"/>
    <cellStyle name="40 % - Accent2 3 2 2 5 3 4" xfId="23796"/>
    <cellStyle name="40 % - Accent2 3 2 2 5 3 5" xfId="36776"/>
    <cellStyle name="40 % - Accent2 3 2 2 5 3 6" xfId="53005"/>
    <cellStyle name="40 % - Accent2 3 2 2 5 4" xfId="7568"/>
    <cellStyle name="40 % - Accent2 3 2 2 5 4 2" xfId="27041"/>
    <cellStyle name="40 % - Accent2 3 2 2 5 4 3" xfId="40021"/>
    <cellStyle name="40 % - Accent2 3 2 2 5 4 4" xfId="56250"/>
    <cellStyle name="40 % - Accent2 3 2 2 5 5" xfId="14061"/>
    <cellStyle name="40 % - Accent2 3 2 2 5 5 2" xfId="49760"/>
    <cellStyle name="40 % - Accent2 3 2 2 5 6" xfId="20551"/>
    <cellStyle name="40 % - Accent2 3 2 2 5 7" xfId="33531"/>
    <cellStyle name="40 % - Accent2 3 2 2 5 8" xfId="46514"/>
    <cellStyle name="40 % - Accent2 3 2 2 6" xfId="1945"/>
    <cellStyle name="40 % - Accent2 3 2 2 6 2" xfId="5190"/>
    <cellStyle name="40 % - Accent2 3 2 2 6 2 2" xfId="11722"/>
    <cellStyle name="40 % - Accent2 3 2 2 6 2 2 2" xfId="31195"/>
    <cellStyle name="40 % - Accent2 3 2 2 6 2 2 3" xfId="44175"/>
    <cellStyle name="40 % - Accent2 3 2 2 6 2 2 4" xfId="60404"/>
    <cellStyle name="40 % - Accent2 3 2 2 6 2 3" xfId="18215"/>
    <cellStyle name="40 % - Accent2 3 2 2 6 2 4" xfId="24705"/>
    <cellStyle name="40 % - Accent2 3 2 2 6 2 5" xfId="37685"/>
    <cellStyle name="40 % - Accent2 3 2 2 6 2 6" xfId="53914"/>
    <cellStyle name="40 % - Accent2 3 2 2 6 3" xfId="8477"/>
    <cellStyle name="40 % - Accent2 3 2 2 6 3 2" xfId="27950"/>
    <cellStyle name="40 % - Accent2 3 2 2 6 3 3" xfId="40930"/>
    <cellStyle name="40 % - Accent2 3 2 2 6 3 4" xfId="57159"/>
    <cellStyle name="40 % - Accent2 3 2 2 6 4" xfId="14970"/>
    <cellStyle name="40 % - Accent2 3 2 2 6 4 2" xfId="50669"/>
    <cellStyle name="40 % - Accent2 3 2 2 6 5" xfId="21460"/>
    <cellStyle name="40 % - Accent2 3 2 2 6 6" xfId="34440"/>
    <cellStyle name="40 % - Accent2 3 2 2 6 7" xfId="47423"/>
    <cellStyle name="40 % - Accent2 3 2 2 7" xfId="3566"/>
    <cellStyle name="40 % - Accent2 3 2 2 7 2" xfId="10098"/>
    <cellStyle name="40 % - Accent2 3 2 2 7 2 2" xfId="29571"/>
    <cellStyle name="40 % - Accent2 3 2 2 7 2 3" xfId="42551"/>
    <cellStyle name="40 % - Accent2 3 2 2 7 2 4" xfId="58780"/>
    <cellStyle name="40 % - Accent2 3 2 2 7 3" xfId="16591"/>
    <cellStyle name="40 % - Accent2 3 2 2 7 4" xfId="23081"/>
    <cellStyle name="40 % - Accent2 3 2 2 7 5" xfId="36061"/>
    <cellStyle name="40 % - Accent2 3 2 2 7 6" xfId="52290"/>
    <cellStyle name="40 % - Accent2 3 2 2 8" xfId="6853"/>
    <cellStyle name="40 % - Accent2 3 2 2 8 2" xfId="26326"/>
    <cellStyle name="40 % - Accent2 3 2 2 8 3" xfId="39306"/>
    <cellStyle name="40 % - Accent2 3 2 2 8 4" xfId="55535"/>
    <cellStyle name="40 % - Accent2 3 2 2 9" xfId="13346"/>
    <cellStyle name="40 % - Accent2 3 2 2 9 2" xfId="49045"/>
    <cellStyle name="40 % - Accent2 3 2 3" xfId="228"/>
    <cellStyle name="40 % - Accent2 3 2 3 10" xfId="32772"/>
    <cellStyle name="40 % - Accent2 3 2 3 11" xfId="45755"/>
    <cellStyle name="40 % - Accent2 3 2 3 2" xfId="692"/>
    <cellStyle name="40 % - Accent2 3 2 3 2 10" xfId="46215"/>
    <cellStyle name="40 % - Accent2 3 2 3 2 2" xfId="1631"/>
    <cellStyle name="40 % - Accent2 3 2 3 2 2 2" xfId="3298"/>
    <cellStyle name="40 % - Accent2 3 2 3 2 2 2 2" xfId="6543"/>
    <cellStyle name="40 % - Accent2 3 2 3 2 2 2 2 2" xfId="13075"/>
    <cellStyle name="40 % - Accent2 3 2 3 2 2 2 2 2 2" xfId="32548"/>
    <cellStyle name="40 % - Accent2 3 2 3 2 2 2 2 2 3" xfId="45528"/>
    <cellStyle name="40 % - Accent2 3 2 3 2 2 2 2 2 4" xfId="61757"/>
    <cellStyle name="40 % - Accent2 3 2 3 2 2 2 2 3" xfId="19568"/>
    <cellStyle name="40 % - Accent2 3 2 3 2 2 2 2 4" xfId="26058"/>
    <cellStyle name="40 % - Accent2 3 2 3 2 2 2 2 5" xfId="39038"/>
    <cellStyle name="40 % - Accent2 3 2 3 2 2 2 2 6" xfId="55267"/>
    <cellStyle name="40 % - Accent2 3 2 3 2 2 2 3" xfId="9830"/>
    <cellStyle name="40 % - Accent2 3 2 3 2 2 2 3 2" xfId="29303"/>
    <cellStyle name="40 % - Accent2 3 2 3 2 2 2 3 3" xfId="42283"/>
    <cellStyle name="40 % - Accent2 3 2 3 2 2 2 3 4" xfId="58512"/>
    <cellStyle name="40 % - Accent2 3 2 3 2 2 2 4" xfId="16323"/>
    <cellStyle name="40 % - Accent2 3 2 3 2 2 2 4 2" xfId="52022"/>
    <cellStyle name="40 % - Accent2 3 2 3 2 2 2 5" xfId="22813"/>
    <cellStyle name="40 % - Accent2 3 2 3 2 2 2 6" xfId="35793"/>
    <cellStyle name="40 % - Accent2 3 2 3 2 2 2 7" xfId="48776"/>
    <cellStyle name="40 % - Accent2 3 2 3 2 2 3" xfId="4920"/>
    <cellStyle name="40 % - Accent2 3 2 3 2 2 3 2" xfId="11452"/>
    <cellStyle name="40 % - Accent2 3 2 3 2 2 3 2 2" xfId="30925"/>
    <cellStyle name="40 % - Accent2 3 2 3 2 2 3 2 3" xfId="43905"/>
    <cellStyle name="40 % - Accent2 3 2 3 2 2 3 2 4" xfId="60134"/>
    <cellStyle name="40 % - Accent2 3 2 3 2 2 3 3" xfId="17945"/>
    <cellStyle name="40 % - Accent2 3 2 3 2 2 3 4" xfId="24435"/>
    <cellStyle name="40 % - Accent2 3 2 3 2 2 3 5" xfId="37415"/>
    <cellStyle name="40 % - Accent2 3 2 3 2 2 3 6" xfId="53644"/>
    <cellStyle name="40 % - Accent2 3 2 3 2 2 4" xfId="8207"/>
    <cellStyle name="40 % - Accent2 3 2 3 2 2 4 2" xfId="27680"/>
    <cellStyle name="40 % - Accent2 3 2 3 2 2 4 3" xfId="40660"/>
    <cellStyle name="40 % - Accent2 3 2 3 2 2 4 4" xfId="56889"/>
    <cellStyle name="40 % - Accent2 3 2 3 2 2 5" xfId="14700"/>
    <cellStyle name="40 % - Accent2 3 2 3 2 2 5 2" xfId="50399"/>
    <cellStyle name="40 % - Accent2 3 2 3 2 2 6" xfId="21190"/>
    <cellStyle name="40 % - Accent2 3 2 3 2 2 7" xfId="34170"/>
    <cellStyle name="40 % - Accent2 3 2 3 2 2 8" xfId="47153"/>
    <cellStyle name="40 % - Accent2 3 2 3 2 3" xfId="1168"/>
    <cellStyle name="40 % - Accent2 3 2 3 2 3 2" xfId="2835"/>
    <cellStyle name="40 % - Accent2 3 2 3 2 3 2 2" xfId="6080"/>
    <cellStyle name="40 % - Accent2 3 2 3 2 3 2 2 2" xfId="12612"/>
    <cellStyle name="40 % - Accent2 3 2 3 2 3 2 2 2 2" xfId="32085"/>
    <cellStyle name="40 % - Accent2 3 2 3 2 3 2 2 2 3" xfId="45065"/>
    <cellStyle name="40 % - Accent2 3 2 3 2 3 2 2 2 4" xfId="61294"/>
    <cellStyle name="40 % - Accent2 3 2 3 2 3 2 2 3" xfId="19105"/>
    <cellStyle name="40 % - Accent2 3 2 3 2 3 2 2 4" xfId="25595"/>
    <cellStyle name="40 % - Accent2 3 2 3 2 3 2 2 5" xfId="38575"/>
    <cellStyle name="40 % - Accent2 3 2 3 2 3 2 2 6" xfId="54804"/>
    <cellStyle name="40 % - Accent2 3 2 3 2 3 2 3" xfId="9367"/>
    <cellStyle name="40 % - Accent2 3 2 3 2 3 2 3 2" xfId="28840"/>
    <cellStyle name="40 % - Accent2 3 2 3 2 3 2 3 3" xfId="41820"/>
    <cellStyle name="40 % - Accent2 3 2 3 2 3 2 3 4" xfId="58049"/>
    <cellStyle name="40 % - Accent2 3 2 3 2 3 2 4" xfId="15860"/>
    <cellStyle name="40 % - Accent2 3 2 3 2 3 2 4 2" xfId="51559"/>
    <cellStyle name="40 % - Accent2 3 2 3 2 3 2 5" xfId="22350"/>
    <cellStyle name="40 % - Accent2 3 2 3 2 3 2 6" xfId="35330"/>
    <cellStyle name="40 % - Accent2 3 2 3 2 3 2 7" xfId="48313"/>
    <cellStyle name="40 % - Accent2 3 2 3 2 3 3" xfId="4457"/>
    <cellStyle name="40 % - Accent2 3 2 3 2 3 3 2" xfId="10989"/>
    <cellStyle name="40 % - Accent2 3 2 3 2 3 3 2 2" xfId="30462"/>
    <cellStyle name="40 % - Accent2 3 2 3 2 3 3 2 3" xfId="43442"/>
    <cellStyle name="40 % - Accent2 3 2 3 2 3 3 2 4" xfId="59671"/>
    <cellStyle name="40 % - Accent2 3 2 3 2 3 3 3" xfId="17482"/>
    <cellStyle name="40 % - Accent2 3 2 3 2 3 3 4" xfId="23972"/>
    <cellStyle name="40 % - Accent2 3 2 3 2 3 3 5" xfId="36952"/>
    <cellStyle name="40 % - Accent2 3 2 3 2 3 3 6" xfId="53181"/>
    <cellStyle name="40 % - Accent2 3 2 3 2 3 4" xfId="7744"/>
    <cellStyle name="40 % - Accent2 3 2 3 2 3 4 2" xfId="27217"/>
    <cellStyle name="40 % - Accent2 3 2 3 2 3 4 3" xfId="40197"/>
    <cellStyle name="40 % - Accent2 3 2 3 2 3 4 4" xfId="56426"/>
    <cellStyle name="40 % - Accent2 3 2 3 2 3 5" xfId="14237"/>
    <cellStyle name="40 % - Accent2 3 2 3 2 3 5 2" xfId="49936"/>
    <cellStyle name="40 % - Accent2 3 2 3 2 3 6" xfId="20727"/>
    <cellStyle name="40 % - Accent2 3 2 3 2 3 7" xfId="33707"/>
    <cellStyle name="40 % - Accent2 3 2 3 2 3 8" xfId="46690"/>
    <cellStyle name="40 % - Accent2 3 2 3 2 4" xfId="2360"/>
    <cellStyle name="40 % - Accent2 3 2 3 2 4 2" xfId="5605"/>
    <cellStyle name="40 % - Accent2 3 2 3 2 4 2 2" xfId="12137"/>
    <cellStyle name="40 % - Accent2 3 2 3 2 4 2 2 2" xfId="31610"/>
    <cellStyle name="40 % - Accent2 3 2 3 2 4 2 2 3" xfId="44590"/>
    <cellStyle name="40 % - Accent2 3 2 3 2 4 2 2 4" xfId="60819"/>
    <cellStyle name="40 % - Accent2 3 2 3 2 4 2 3" xfId="18630"/>
    <cellStyle name="40 % - Accent2 3 2 3 2 4 2 4" xfId="25120"/>
    <cellStyle name="40 % - Accent2 3 2 3 2 4 2 5" xfId="38100"/>
    <cellStyle name="40 % - Accent2 3 2 3 2 4 2 6" xfId="54329"/>
    <cellStyle name="40 % - Accent2 3 2 3 2 4 3" xfId="8892"/>
    <cellStyle name="40 % - Accent2 3 2 3 2 4 3 2" xfId="28365"/>
    <cellStyle name="40 % - Accent2 3 2 3 2 4 3 3" xfId="41345"/>
    <cellStyle name="40 % - Accent2 3 2 3 2 4 3 4" xfId="57574"/>
    <cellStyle name="40 % - Accent2 3 2 3 2 4 4" xfId="15385"/>
    <cellStyle name="40 % - Accent2 3 2 3 2 4 4 2" xfId="51084"/>
    <cellStyle name="40 % - Accent2 3 2 3 2 4 5" xfId="21875"/>
    <cellStyle name="40 % - Accent2 3 2 3 2 4 6" xfId="34855"/>
    <cellStyle name="40 % - Accent2 3 2 3 2 4 7" xfId="47838"/>
    <cellStyle name="40 % - Accent2 3 2 3 2 5" xfId="3982"/>
    <cellStyle name="40 % - Accent2 3 2 3 2 5 2" xfId="10514"/>
    <cellStyle name="40 % - Accent2 3 2 3 2 5 2 2" xfId="29987"/>
    <cellStyle name="40 % - Accent2 3 2 3 2 5 2 3" xfId="42967"/>
    <cellStyle name="40 % - Accent2 3 2 3 2 5 2 4" xfId="59196"/>
    <cellStyle name="40 % - Accent2 3 2 3 2 5 3" xfId="17007"/>
    <cellStyle name="40 % - Accent2 3 2 3 2 5 4" xfId="23497"/>
    <cellStyle name="40 % - Accent2 3 2 3 2 5 5" xfId="36477"/>
    <cellStyle name="40 % - Accent2 3 2 3 2 5 6" xfId="52706"/>
    <cellStyle name="40 % - Accent2 3 2 3 2 6" xfId="7269"/>
    <cellStyle name="40 % - Accent2 3 2 3 2 6 2" xfId="26742"/>
    <cellStyle name="40 % - Accent2 3 2 3 2 6 3" xfId="39722"/>
    <cellStyle name="40 % - Accent2 3 2 3 2 6 4" xfId="55951"/>
    <cellStyle name="40 % - Accent2 3 2 3 2 7" xfId="13762"/>
    <cellStyle name="40 % - Accent2 3 2 3 2 7 2" xfId="49461"/>
    <cellStyle name="40 % - Accent2 3 2 3 2 8" xfId="20252"/>
    <cellStyle name="40 % - Accent2 3 2 3 2 9" xfId="33232"/>
    <cellStyle name="40 % - Accent2 3 2 3 3" xfId="462"/>
    <cellStyle name="40 % - Accent2 3 2 3 3 2" xfId="1411"/>
    <cellStyle name="40 % - Accent2 3 2 3 3 2 2" xfId="3078"/>
    <cellStyle name="40 % - Accent2 3 2 3 3 2 2 2" xfId="6323"/>
    <cellStyle name="40 % - Accent2 3 2 3 3 2 2 2 2" xfId="12855"/>
    <cellStyle name="40 % - Accent2 3 2 3 3 2 2 2 2 2" xfId="32328"/>
    <cellStyle name="40 % - Accent2 3 2 3 3 2 2 2 2 3" xfId="45308"/>
    <cellStyle name="40 % - Accent2 3 2 3 3 2 2 2 2 4" xfId="61537"/>
    <cellStyle name="40 % - Accent2 3 2 3 3 2 2 2 3" xfId="19348"/>
    <cellStyle name="40 % - Accent2 3 2 3 3 2 2 2 4" xfId="25838"/>
    <cellStyle name="40 % - Accent2 3 2 3 3 2 2 2 5" xfId="38818"/>
    <cellStyle name="40 % - Accent2 3 2 3 3 2 2 2 6" xfId="55047"/>
    <cellStyle name="40 % - Accent2 3 2 3 3 2 2 3" xfId="9610"/>
    <cellStyle name="40 % - Accent2 3 2 3 3 2 2 3 2" xfId="29083"/>
    <cellStyle name="40 % - Accent2 3 2 3 3 2 2 3 3" xfId="42063"/>
    <cellStyle name="40 % - Accent2 3 2 3 3 2 2 3 4" xfId="58292"/>
    <cellStyle name="40 % - Accent2 3 2 3 3 2 2 4" xfId="16103"/>
    <cellStyle name="40 % - Accent2 3 2 3 3 2 2 4 2" xfId="51802"/>
    <cellStyle name="40 % - Accent2 3 2 3 3 2 2 5" xfId="22593"/>
    <cellStyle name="40 % - Accent2 3 2 3 3 2 2 6" xfId="35573"/>
    <cellStyle name="40 % - Accent2 3 2 3 3 2 2 7" xfId="48556"/>
    <cellStyle name="40 % - Accent2 3 2 3 3 2 3" xfId="4700"/>
    <cellStyle name="40 % - Accent2 3 2 3 3 2 3 2" xfId="11232"/>
    <cellStyle name="40 % - Accent2 3 2 3 3 2 3 2 2" xfId="30705"/>
    <cellStyle name="40 % - Accent2 3 2 3 3 2 3 2 3" xfId="43685"/>
    <cellStyle name="40 % - Accent2 3 2 3 3 2 3 2 4" xfId="59914"/>
    <cellStyle name="40 % - Accent2 3 2 3 3 2 3 3" xfId="17725"/>
    <cellStyle name="40 % - Accent2 3 2 3 3 2 3 4" xfId="24215"/>
    <cellStyle name="40 % - Accent2 3 2 3 3 2 3 5" xfId="37195"/>
    <cellStyle name="40 % - Accent2 3 2 3 3 2 3 6" xfId="53424"/>
    <cellStyle name="40 % - Accent2 3 2 3 3 2 4" xfId="7987"/>
    <cellStyle name="40 % - Accent2 3 2 3 3 2 4 2" xfId="27460"/>
    <cellStyle name="40 % - Accent2 3 2 3 3 2 4 3" xfId="40440"/>
    <cellStyle name="40 % - Accent2 3 2 3 3 2 4 4" xfId="56669"/>
    <cellStyle name="40 % - Accent2 3 2 3 3 2 5" xfId="14480"/>
    <cellStyle name="40 % - Accent2 3 2 3 3 2 5 2" xfId="50179"/>
    <cellStyle name="40 % - Accent2 3 2 3 3 2 6" xfId="20970"/>
    <cellStyle name="40 % - Accent2 3 2 3 3 2 7" xfId="33950"/>
    <cellStyle name="40 % - Accent2 3 2 3 3 2 8" xfId="46933"/>
    <cellStyle name="40 % - Accent2 3 2 3 3 3" xfId="2130"/>
    <cellStyle name="40 % - Accent2 3 2 3 3 3 2" xfId="5375"/>
    <cellStyle name="40 % - Accent2 3 2 3 3 3 2 2" xfId="11907"/>
    <cellStyle name="40 % - Accent2 3 2 3 3 3 2 2 2" xfId="31380"/>
    <cellStyle name="40 % - Accent2 3 2 3 3 3 2 2 3" xfId="44360"/>
    <cellStyle name="40 % - Accent2 3 2 3 3 3 2 2 4" xfId="60589"/>
    <cellStyle name="40 % - Accent2 3 2 3 3 3 2 3" xfId="18400"/>
    <cellStyle name="40 % - Accent2 3 2 3 3 3 2 4" xfId="24890"/>
    <cellStyle name="40 % - Accent2 3 2 3 3 3 2 5" xfId="37870"/>
    <cellStyle name="40 % - Accent2 3 2 3 3 3 2 6" xfId="54099"/>
    <cellStyle name="40 % - Accent2 3 2 3 3 3 3" xfId="8662"/>
    <cellStyle name="40 % - Accent2 3 2 3 3 3 3 2" xfId="28135"/>
    <cellStyle name="40 % - Accent2 3 2 3 3 3 3 3" xfId="41115"/>
    <cellStyle name="40 % - Accent2 3 2 3 3 3 3 4" xfId="57344"/>
    <cellStyle name="40 % - Accent2 3 2 3 3 3 4" xfId="15155"/>
    <cellStyle name="40 % - Accent2 3 2 3 3 3 4 2" xfId="50854"/>
    <cellStyle name="40 % - Accent2 3 2 3 3 3 5" xfId="21645"/>
    <cellStyle name="40 % - Accent2 3 2 3 3 3 6" xfId="34625"/>
    <cellStyle name="40 % - Accent2 3 2 3 3 3 7" xfId="47608"/>
    <cellStyle name="40 % - Accent2 3 2 3 3 4" xfId="3752"/>
    <cellStyle name="40 % - Accent2 3 2 3 3 4 2" xfId="10284"/>
    <cellStyle name="40 % - Accent2 3 2 3 3 4 2 2" xfId="29757"/>
    <cellStyle name="40 % - Accent2 3 2 3 3 4 2 3" xfId="42737"/>
    <cellStyle name="40 % - Accent2 3 2 3 3 4 2 4" xfId="58966"/>
    <cellStyle name="40 % - Accent2 3 2 3 3 4 3" xfId="16777"/>
    <cellStyle name="40 % - Accent2 3 2 3 3 4 4" xfId="23267"/>
    <cellStyle name="40 % - Accent2 3 2 3 3 4 5" xfId="36247"/>
    <cellStyle name="40 % - Accent2 3 2 3 3 4 6" xfId="52476"/>
    <cellStyle name="40 % - Accent2 3 2 3 3 5" xfId="7039"/>
    <cellStyle name="40 % - Accent2 3 2 3 3 5 2" xfId="26512"/>
    <cellStyle name="40 % - Accent2 3 2 3 3 5 3" xfId="39492"/>
    <cellStyle name="40 % - Accent2 3 2 3 3 5 4" xfId="55721"/>
    <cellStyle name="40 % - Accent2 3 2 3 3 6" xfId="13532"/>
    <cellStyle name="40 % - Accent2 3 2 3 3 6 2" xfId="49231"/>
    <cellStyle name="40 % - Accent2 3 2 3 3 7" xfId="20022"/>
    <cellStyle name="40 % - Accent2 3 2 3 3 8" xfId="33002"/>
    <cellStyle name="40 % - Accent2 3 2 3 3 9" xfId="45985"/>
    <cellStyle name="40 % - Accent2 3 2 3 4" xfId="948"/>
    <cellStyle name="40 % - Accent2 3 2 3 4 2" xfId="2615"/>
    <cellStyle name="40 % - Accent2 3 2 3 4 2 2" xfId="5860"/>
    <cellStyle name="40 % - Accent2 3 2 3 4 2 2 2" xfId="12392"/>
    <cellStyle name="40 % - Accent2 3 2 3 4 2 2 2 2" xfId="31865"/>
    <cellStyle name="40 % - Accent2 3 2 3 4 2 2 2 3" xfId="44845"/>
    <cellStyle name="40 % - Accent2 3 2 3 4 2 2 2 4" xfId="61074"/>
    <cellStyle name="40 % - Accent2 3 2 3 4 2 2 3" xfId="18885"/>
    <cellStyle name="40 % - Accent2 3 2 3 4 2 2 4" xfId="25375"/>
    <cellStyle name="40 % - Accent2 3 2 3 4 2 2 5" xfId="38355"/>
    <cellStyle name="40 % - Accent2 3 2 3 4 2 2 6" xfId="54584"/>
    <cellStyle name="40 % - Accent2 3 2 3 4 2 3" xfId="9147"/>
    <cellStyle name="40 % - Accent2 3 2 3 4 2 3 2" xfId="28620"/>
    <cellStyle name="40 % - Accent2 3 2 3 4 2 3 3" xfId="41600"/>
    <cellStyle name="40 % - Accent2 3 2 3 4 2 3 4" xfId="57829"/>
    <cellStyle name="40 % - Accent2 3 2 3 4 2 4" xfId="15640"/>
    <cellStyle name="40 % - Accent2 3 2 3 4 2 4 2" xfId="51339"/>
    <cellStyle name="40 % - Accent2 3 2 3 4 2 5" xfId="22130"/>
    <cellStyle name="40 % - Accent2 3 2 3 4 2 6" xfId="35110"/>
    <cellStyle name="40 % - Accent2 3 2 3 4 2 7" xfId="48093"/>
    <cellStyle name="40 % - Accent2 3 2 3 4 3" xfId="4237"/>
    <cellStyle name="40 % - Accent2 3 2 3 4 3 2" xfId="10769"/>
    <cellStyle name="40 % - Accent2 3 2 3 4 3 2 2" xfId="30242"/>
    <cellStyle name="40 % - Accent2 3 2 3 4 3 2 3" xfId="43222"/>
    <cellStyle name="40 % - Accent2 3 2 3 4 3 2 4" xfId="59451"/>
    <cellStyle name="40 % - Accent2 3 2 3 4 3 3" xfId="17262"/>
    <cellStyle name="40 % - Accent2 3 2 3 4 3 4" xfId="23752"/>
    <cellStyle name="40 % - Accent2 3 2 3 4 3 5" xfId="36732"/>
    <cellStyle name="40 % - Accent2 3 2 3 4 3 6" xfId="52961"/>
    <cellStyle name="40 % - Accent2 3 2 3 4 4" xfId="7524"/>
    <cellStyle name="40 % - Accent2 3 2 3 4 4 2" xfId="26997"/>
    <cellStyle name="40 % - Accent2 3 2 3 4 4 3" xfId="39977"/>
    <cellStyle name="40 % - Accent2 3 2 3 4 4 4" xfId="56206"/>
    <cellStyle name="40 % - Accent2 3 2 3 4 5" xfId="14017"/>
    <cellStyle name="40 % - Accent2 3 2 3 4 5 2" xfId="49716"/>
    <cellStyle name="40 % - Accent2 3 2 3 4 6" xfId="20507"/>
    <cellStyle name="40 % - Accent2 3 2 3 4 7" xfId="33487"/>
    <cellStyle name="40 % - Accent2 3 2 3 4 8" xfId="46470"/>
    <cellStyle name="40 % - Accent2 3 2 3 5" xfId="1901"/>
    <cellStyle name="40 % - Accent2 3 2 3 5 2" xfId="5146"/>
    <cellStyle name="40 % - Accent2 3 2 3 5 2 2" xfId="11678"/>
    <cellStyle name="40 % - Accent2 3 2 3 5 2 2 2" xfId="31151"/>
    <cellStyle name="40 % - Accent2 3 2 3 5 2 2 3" xfId="44131"/>
    <cellStyle name="40 % - Accent2 3 2 3 5 2 2 4" xfId="60360"/>
    <cellStyle name="40 % - Accent2 3 2 3 5 2 3" xfId="18171"/>
    <cellStyle name="40 % - Accent2 3 2 3 5 2 4" xfId="24661"/>
    <cellStyle name="40 % - Accent2 3 2 3 5 2 5" xfId="37641"/>
    <cellStyle name="40 % - Accent2 3 2 3 5 2 6" xfId="53870"/>
    <cellStyle name="40 % - Accent2 3 2 3 5 3" xfId="8433"/>
    <cellStyle name="40 % - Accent2 3 2 3 5 3 2" xfId="27906"/>
    <cellStyle name="40 % - Accent2 3 2 3 5 3 3" xfId="40886"/>
    <cellStyle name="40 % - Accent2 3 2 3 5 3 4" xfId="57115"/>
    <cellStyle name="40 % - Accent2 3 2 3 5 4" xfId="14926"/>
    <cellStyle name="40 % - Accent2 3 2 3 5 4 2" xfId="50625"/>
    <cellStyle name="40 % - Accent2 3 2 3 5 5" xfId="21416"/>
    <cellStyle name="40 % - Accent2 3 2 3 5 6" xfId="34396"/>
    <cellStyle name="40 % - Accent2 3 2 3 5 7" xfId="47379"/>
    <cellStyle name="40 % - Accent2 3 2 3 6" xfId="3522"/>
    <cellStyle name="40 % - Accent2 3 2 3 6 2" xfId="10054"/>
    <cellStyle name="40 % - Accent2 3 2 3 6 2 2" xfId="29527"/>
    <cellStyle name="40 % - Accent2 3 2 3 6 2 3" xfId="42507"/>
    <cellStyle name="40 % - Accent2 3 2 3 6 2 4" xfId="58736"/>
    <cellStyle name="40 % - Accent2 3 2 3 6 3" xfId="16547"/>
    <cellStyle name="40 % - Accent2 3 2 3 6 4" xfId="23037"/>
    <cellStyle name="40 % - Accent2 3 2 3 6 5" xfId="36017"/>
    <cellStyle name="40 % - Accent2 3 2 3 6 6" xfId="52246"/>
    <cellStyle name="40 % - Accent2 3 2 3 7" xfId="6809"/>
    <cellStyle name="40 % - Accent2 3 2 3 7 2" xfId="26282"/>
    <cellStyle name="40 % - Accent2 3 2 3 7 3" xfId="39262"/>
    <cellStyle name="40 % - Accent2 3 2 3 7 4" xfId="55491"/>
    <cellStyle name="40 % - Accent2 3 2 3 8" xfId="13302"/>
    <cellStyle name="40 % - Accent2 3 2 3 8 2" xfId="49001"/>
    <cellStyle name="40 % - Accent2 3 2 3 9" xfId="19792"/>
    <cellStyle name="40 % - Accent2 3 2 4" xfId="316"/>
    <cellStyle name="40 % - Accent2 3 2 4 10" xfId="32860"/>
    <cellStyle name="40 % - Accent2 3 2 4 11" xfId="45843"/>
    <cellStyle name="40 % - Accent2 3 2 4 2" xfId="780"/>
    <cellStyle name="40 % - Accent2 3 2 4 2 10" xfId="46303"/>
    <cellStyle name="40 % - Accent2 3 2 4 2 2" xfId="1719"/>
    <cellStyle name="40 % - Accent2 3 2 4 2 2 2" xfId="3386"/>
    <cellStyle name="40 % - Accent2 3 2 4 2 2 2 2" xfId="6631"/>
    <cellStyle name="40 % - Accent2 3 2 4 2 2 2 2 2" xfId="13163"/>
    <cellStyle name="40 % - Accent2 3 2 4 2 2 2 2 2 2" xfId="32636"/>
    <cellStyle name="40 % - Accent2 3 2 4 2 2 2 2 2 3" xfId="45616"/>
    <cellStyle name="40 % - Accent2 3 2 4 2 2 2 2 2 4" xfId="61845"/>
    <cellStyle name="40 % - Accent2 3 2 4 2 2 2 2 3" xfId="19656"/>
    <cellStyle name="40 % - Accent2 3 2 4 2 2 2 2 4" xfId="26146"/>
    <cellStyle name="40 % - Accent2 3 2 4 2 2 2 2 5" xfId="39126"/>
    <cellStyle name="40 % - Accent2 3 2 4 2 2 2 2 6" xfId="55355"/>
    <cellStyle name="40 % - Accent2 3 2 4 2 2 2 3" xfId="9918"/>
    <cellStyle name="40 % - Accent2 3 2 4 2 2 2 3 2" xfId="29391"/>
    <cellStyle name="40 % - Accent2 3 2 4 2 2 2 3 3" xfId="42371"/>
    <cellStyle name="40 % - Accent2 3 2 4 2 2 2 3 4" xfId="58600"/>
    <cellStyle name="40 % - Accent2 3 2 4 2 2 2 4" xfId="16411"/>
    <cellStyle name="40 % - Accent2 3 2 4 2 2 2 4 2" xfId="52110"/>
    <cellStyle name="40 % - Accent2 3 2 4 2 2 2 5" xfId="22901"/>
    <cellStyle name="40 % - Accent2 3 2 4 2 2 2 6" xfId="35881"/>
    <cellStyle name="40 % - Accent2 3 2 4 2 2 2 7" xfId="48864"/>
    <cellStyle name="40 % - Accent2 3 2 4 2 2 3" xfId="5008"/>
    <cellStyle name="40 % - Accent2 3 2 4 2 2 3 2" xfId="11540"/>
    <cellStyle name="40 % - Accent2 3 2 4 2 2 3 2 2" xfId="31013"/>
    <cellStyle name="40 % - Accent2 3 2 4 2 2 3 2 3" xfId="43993"/>
    <cellStyle name="40 % - Accent2 3 2 4 2 2 3 2 4" xfId="60222"/>
    <cellStyle name="40 % - Accent2 3 2 4 2 2 3 3" xfId="18033"/>
    <cellStyle name="40 % - Accent2 3 2 4 2 2 3 4" xfId="24523"/>
    <cellStyle name="40 % - Accent2 3 2 4 2 2 3 5" xfId="37503"/>
    <cellStyle name="40 % - Accent2 3 2 4 2 2 3 6" xfId="53732"/>
    <cellStyle name="40 % - Accent2 3 2 4 2 2 4" xfId="8295"/>
    <cellStyle name="40 % - Accent2 3 2 4 2 2 4 2" xfId="27768"/>
    <cellStyle name="40 % - Accent2 3 2 4 2 2 4 3" xfId="40748"/>
    <cellStyle name="40 % - Accent2 3 2 4 2 2 4 4" xfId="56977"/>
    <cellStyle name="40 % - Accent2 3 2 4 2 2 5" xfId="14788"/>
    <cellStyle name="40 % - Accent2 3 2 4 2 2 5 2" xfId="50487"/>
    <cellStyle name="40 % - Accent2 3 2 4 2 2 6" xfId="21278"/>
    <cellStyle name="40 % - Accent2 3 2 4 2 2 7" xfId="34258"/>
    <cellStyle name="40 % - Accent2 3 2 4 2 2 8" xfId="47241"/>
    <cellStyle name="40 % - Accent2 3 2 4 2 3" xfId="1256"/>
    <cellStyle name="40 % - Accent2 3 2 4 2 3 2" xfId="2923"/>
    <cellStyle name="40 % - Accent2 3 2 4 2 3 2 2" xfId="6168"/>
    <cellStyle name="40 % - Accent2 3 2 4 2 3 2 2 2" xfId="12700"/>
    <cellStyle name="40 % - Accent2 3 2 4 2 3 2 2 2 2" xfId="32173"/>
    <cellStyle name="40 % - Accent2 3 2 4 2 3 2 2 2 3" xfId="45153"/>
    <cellStyle name="40 % - Accent2 3 2 4 2 3 2 2 2 4" xfId="61382"/>
    <cellStyle name="40 % - Accent2 3 2 4 2 3 2 2 3" xfId="19193"/>
    <cellStyle name="40 % - Accent2 3 2 4 2 3 2 2 4" xfId="25683"/>
    <cellStyle name="40 % - Accent2 3 2 4 2 3 2 2 5" xfId="38663"/>
    <cellStyle name="40 % - Accent2 3 2 4 2 3 2 2 6" xfId="54892"/>
    <cellStyle name="40 % - Accent2 3 2 4 2 3 2 3" xfId="9455"/>
    <cellStyle name="40 % - Accent2 3 2 4 2 3 2 3 2" xfId="28928"/>
    <cellStyle name="40 % - Accent2 3 2 4 2 3 2 3 3" xfId="41908"/>
    <cellStyle name="40 % - Accent2 3 2 4 2 3 2 3 4" xfId="58137"/>
    <cellStyle name="40 % - Accent2 3 2 4 2 3 2 4" xfId="15948"/>
    <cellStyle name="40 % - Accent2 3 2 4 2 3 2 4 2" xfId="51647"/>
    <cellStyle name="40 % - Accent2 3 2 4 2 3 2 5" xfId="22438"/>
    <cellStyle name="40 % - Accent2 3 2 4 2 3 2 6" xfId="35418"/>
    <cellStyle name="40 % - Accent2 3 2 4 2 3 2 7" xfId="48401"/>
    <cellStyle name="40 % - Accent2 3 2 4 2 3 3" xfId="4545"/>
    <cellStyle name="40 % - Accent2 3 2 4 2 3 3 2" xfId="11077"/>
    <cellStyle name="40 % - Accent2 3 2 4 2 3 3 2 2" xfId="30550"/>
    <cellStyle name="40 % - Accent2 3 2 4 2 3 3 2 3" xfId="43530"/>
    <cellStyle name="40 % - Accent2 3 2 4 2 3 3 2 4" xfId="59759"/>
    <cellStyle name="40 % - Accent2 3 2 4 2 3 3 3" xfId="17570"/>
    <cellStyle name="40 % - Accent2 3 2 4 2 3 3 4" xfId="24060"/>
    <cellStyle name="40 % - Accent2 3 2 4 2 3 3 5" xfId="37040"/>
    <cellStyle name="40 % - Accent2 3 2 4 2 3 3 6" xfId="53269"/>
    <cellStyle name="40 % - Accent2 3 2 4 2 3 4" xfId="7832"/>
    <cellStyle name="40 % - Accent2 3 2 4 2 3 4 2" xfId="27305"/>
    <cellStyle name="40 % - Accent2 3 2 4 2 3 4 3" xfId="40285"/>
    <cellStyle name="40 % - Accent2 3 2 4 2 3 4 4" xfId="56514"/>
    <cellStyle name="40 % - Accent2 3 2 4 2 3 5" xfId="14325"/>
    <cellStyle name="40 % - Accent2 3 2 4 2 3 5 2" xfId="50024"/>
    <cellStyle name="40 % - Accent2 3 2 4 2 3 6" xfId="20815"/>
    <cellStyle name="40 % - Accent2 3 2 4 2 3 7" xfId="33795"/>
    <cellStyle name="40 % - Accent2 3 2 4 2 3 8" xfId="46778"/>
    <cellStyle name="40 % - Accent2 3 2 4 2 4" xfId="2448"/>
    <cellStyle name="40 % - Accent2 3 2 4 2 4 2" xfId="5693"/>
    <cellStyle name="40 % - Accent2 3 2 4 2 4 2 2" xfId="12225"/>
    <cellStyle name="40 % - Accent2 3 2 4 2 4 2 2 2" xfId="31698"/>
    <cellStyle name="40 % - Accent2 3 2 4 2 4 2 2 3" xfId="44678"/>
    <cellStyle name="40 % - Accent2 3 2 4 2 4 2 2 4" xfId="60907"/>
    <cellStyle name="40 % - Accent2 3 2 4 2 4 2 3" xfId="18718"/>
    <cellStyle name="40 % - Accent2 3 2 4 2 4 2 4" xfId="25208"/>
    <cellStyle name="40 % - Accent2 3 2 4 2 4 2 5" xfId="38188"/>
    <cellStyle name="40 % - Accent2 3 2 4 2 4 2 6" xfId="54417"/>
    <cellStyle name="40 % - Accent2 3 2 4 2 4 3" xfId="8980"/>
    <cellStyle name="40 % - Accent2 3 2 4 2 4 3 2" xfId="28453"/>
    <cellStyle name="40 % - Accent2 3 2 4 2 4 3 3" xfId="41433"/>
    <cellStyle name="40 % - Accent2 3 2 4 2 4 3 4" xfId="57662"/>
    <cellStyle name="40 % - Accent2 3 2 4 2 4 4" xfId="15473"/>
    <cellStyle name="40 % - Accent2 3 2 4 2 4 4 2" xfId="51172"/>
    <cellStyle name="40 % - Accent2 3 2 4 2 4 5" xfId="21963"/>
    <cellStyle name="40 % - Accent2 3 2 4 2 4 6" xfId="34943"/>
    <cellStyle name="40 % - Accent2 3 2 4 2 4 7" xfId="47926"/>
    <cellStyle name="40 % - Accent2 3 2 4 2 5" xfId="4070"/>
    <cellStyle name="40 % - Accent2 3 2 4 2 5 2" xfId="10602"/>
    <cellStyle name="40 % - Accent2 3 2 4 2 5 2 2" xfId="30075"/>
    <cellStyle name="40 % - Accent2 3 2 4 2 5 2 3" xfId="43055"/>
    <cellStyle name="40 % - Accent2 3 2 4 2 5 2 4" xfId="59284"/>
    <cellStyle name="40 % - Accent2 3 2 4 2 5 3" xfId="17095"/>
    <cellStyle name="40 % - Accent2 3 2 4 2 5 4" xfId="23585"/>
    <cellStyle name="40 % - Accent2 3 2 4 2 5 5" xfId="36565"/>
    <cellStyle name="40 % - Accent2 3 2 4 2 5 6" xfId="52794"/>
    <cellStyle name="40 % - Accent2 3 2 4 2 6" xfId="7357"/>
    <cellStyle name="40 % - Accent2 3 2 4 2 6 2" xfId="26830"/>
    <cellStyle name="40 % - Accent2 3 2 4 2 6 3" xfId="39810"/>
    <cellStyle name="40 % - Accent2 3 2 4 2 6 4" xfId="56039"/>
    <cellStyle name="40 % - Accent2 3 2 4 2 7" xfId="13850"/>
    <cellStyle name="40 % - Accent2 3 2 4 2 7 2" xfId="49549"/>
    <cellStyle name="40 % - Accent2 3 2 4 2 8" xfId="20340"/>
    <cellStyle name="40 % - Accent2 3 2 4 2 9" xfId="33320"/>
    <cellStyle name="40 % - Accent2 3 2 4 3" xfId="550"/>
    <cellStyle name="40 % - Accent2 3 2 4 3 2" xfId="1499"/>
    <cellStyle name="40 % - Accent2 3 2 4 3 2 2" xfId="3166"/>
    <cellStyle name="40 % - Accent2 3 2 4 3 2 2 2" xfId="6411"/>
    <cellStyle name="40 % - Accent2 3 2 4 3 2 2 2 2" xfId="12943"/>
    <cellStyle name="40 % - Accent2 3 2 4 3 2 2 2 2 2" xfId="32416"/>
    <cellStyle name="40 % - Accent2 3 2 4 3 2 2 2 2 3" xfId="45396"/>
    <cellStyle name="40 % - Accent2 3 2 4 3 2 2 2 2 4" xfId="61625"/>
    <cellStyle name="40 % - Accent2 3 2 4 3 2 2 2 3" xfId="19436"/>
    <cellStyle name="40 % - Accent2 3 2 4 3 2 2 2 4" xfId="25926"/>
    <cellStyle name="40 % - Accent2 3 2 4 3 2 2 2 5" xfId="38906"/>
    <cellStyle name="40 % - Accent2 3 2 4 3 2 2 2 6" xfId="55135"/>
    <cellStyle name="40 % - Accent2 3 2 4 3 2 2 3" xfId="9698"/>
    <cellStyle name="40 % - Accent2 3 2 4 3 2 2 3 2" xfId="29171"/>
    <cellStyle name="40 % - Accent2 3 2 4 3 2 2 3 3" xfId="42151"/>
    <cellStyle name="40 % - Accent2 3 2 4 3 2 2 3 4" xfId="58380"/>
    <cellStyle name="40 % - Accent2 3 2 4 3 2 2 4" xfId="16191"/>
    <cellStyle name="40 % - Accent2 3 2 4 3 2 2 4 2" xfId="51890"/>
    <cellStyle name="40 % - Accent2 3 2 4 3 2 2 5" xfId="22681"/>
    <cellStyle name="40 % - Accent2 3 2 4 3 2 2 6" xfId="35661"/>
    <cellStyle name="40 % - Accent2 3 2 4 3 2 2 7" xfId="48644"/>
    <cellStyle name="40 % - Accent2 3 2 4 3 2 3" xfId="4788"/>
    <cellStyle name="40 % - Accent2 3 2 4 3 2 3 2" xfId="11320"/>
    <cellStyle name="40 % - Accent2 3 2 4 3 2 3 2 2" xfId="30793"/>
    <cellStyle name="40 % - Accent2 3 2 4 3 2 3 2 3" xfId="43773"/>
    <cellStyle name="40 % - Accent2 3 2 4 3 2 3 2 4" xfId="60002"/>
    <cellStyle name="40 % - Accent2 3 2 4 3 2 3 3" xfId="17813"/>
    <cellStyle name="40 % - Accent2 3 2 4 3 2 3 4" xfId="24303"/>
    <cellStyle name="40 % - Accent2 3 2 4 3 2 3 5" xfId="37283"/>
    <cellStyle name="40 % - Accent2 3 2 4 3 2 3 6" xfId="53512"/>
    <cellStyle name="40 % - Accent2 3 2 4 3 2 4" xfId="8075"/>
    <cellStyle name="40 % - Accent2 3 2 4 3 2 4 2" xfId="27548"/>
    <cellStyle name="40 % - Accent2 3 2 4 3 2 4 3" xfId="40528"/>
    <cellStyle name="40 % - Accent2 3 2 4 3 2 4 4" xfId="56757"/>
    <cellStyle name="40 % - Accent2 3 2 4 3 2 5" xfId="14568"/>
    <cellStyle name="40 % - Accent2 3 2 4 3 2 5 2" xfId="50267"/>
    <cellStyle name="40 % - Accent2 3 2 4 3 2 6" xfId="21058"/>
    <cellStyle name="40 % - Accent2 3 2 4 3 2 7" xfId="34038"/>
    <cellStyle name="40 % - Accent2 3 2 4 3 2 8" xfId="47021"/>
    <cellStyle name="40 % - Accent2 3 2 4 3 3" xfId="2218"/>
    <cellStyle name="40 % - Accent2 3 2 4 3 3 2" xfId="5463"/>
    <cellStyle name="40 % - Accent2 3 2 4 3 3 2 2" xfId="11995"/>
    <cellStyle name="40 % - Accent2 3 2 4 3 3 2 2 2" xfId="31468"/>
    <cellStyle name="40 % - Accent2 3 2 4 3 3 2 2 3" xfId="44448"/>
    <cellStyle name="40 % - Accent2 3 2 4 3 3 2 2 4" xfId="60677"/>
    <cellStyle name="40 % - Accent2 3 2 4 3 3 2 3" xfId="18488"/>
    <cellStyle name="40 % - Accent2 3 2 4 3 3 2 4" xfId="24978"/>
    <cellStyle name="40 % - Accent2 3 2 4 3 3 2 5" xfId="37958"/>
    <cellStyle name="40 % - Accent2 3 2 4 3 3 2 6" xfId="54187"/>
    <cellStyle name="40 % - Accent2 3 2 4 3 3 3" xfId="8750"/>
    <cellStyle name="40 % - Accent2 3 2 4 3 3 3 2" xfId="28223"/>
    <cellStyle name="40 % - Accent2 3 2 4 3 3 3 3" xfId="41203"/>
    <cellStyle name="40 % - Accent2 3 2 4 3 3 3 4" xfId="57432"/>
    <cellStyle name="40 % - Accent2 3 2 4 3 3 4" xfId="15243"/>
    <cellStyle name="40 % - Accent2 3 2 4 3 3 4 2" xfId="50942"/>
    <cellStyle name="40 % - Accent2 3 2 4 3 3 5" xfId="21733"/>
    <cellStyle name="40 % - Accent2 3 2 4 3 3 6" xfId="34713"/>
    <cellStyle name="40 % - Accent2 3 2 4 3 3 7" xfId="47696"/>
    <cellStyle name="40 % - Accent2 3 2 4 3 4" xfId="3840"/>
    <cellStyle name="40 % - Accent2 3 2 4 3 4 2" xfId="10372"/>
    <cellStyle name="40 % - Accent2 3 2 4 3 4 2 2" xfId="29845"/>
    <cellStyle name="40 % - Accent2 3 2 4 3 4 2 3" xfId="42825"/>
    <cellStyle name="40 % - Accent2 3 2 4 3 4 2 4" xfId="59054"/>
    <cellStyle name="40 % - Accent2 3 2 4 3 4 3" xfId="16865"/>
    <cellStyle name="40 % - Accent2 3 2 4 3 4 4" xfId="23355"/>
    <cellStyle name="40 % - Accent2 3 2 4 3 4 5" xfId="36335"/>
    <cellStyle name="40 % - Accent2 3 2 4 3 4 6" xfId="52564"/>
    <cellStyle name="40 % - Accent2 3 2 4 3 5" xfId="7127"/>
    <cellStyle name="40 % - Accent2 3 2 4 3 5 2" xfId="26600"/>
    <cellStyle name="40 % - Accent2 3 2 4 3 5 3" xfId="39580"/>
    <cellStyle name="40 % - Accent2 3 2 4 3 5 4" xfId="55809"/>
    <cellStyle name="40 % - Accent2 3 2 4 3 6" xfId="13620"/>
    <cellStyle name="40 % - Accent2 3 2 4 3 6 2" xfId="49319"/>
    <cellStyle name="40 % - Accent2 3 2 4 3 7" xfId="20110"/>
    <cellStyle name="40 % - Accent2 3 2 4 3 8" xfId="33090"/>
    <cellStyle name="40 % - Accent2 3 2 4 3 9" xfId="46073"/>
    <cellStyle name="40 % - Accent2 3 2 4 4" xfId="1036"/>
    <cellStyle name="40 % - Accent2 3 2 4 4 2" xfId="2703"/>
    <cellStyle name="40 % - Accent2 3 2 4 4 2 2" xfId="5948"/>
    <cellStyle name="40 % - Accent2 3 2 4 4 2 2 2" xfId="12480"/>
    <cellStyle name="40 % - Accent2 3 2 4 4 2 2 2 2" xfId="31953"/>
    <cellStyle name="40 % - Accent2 3 2 4 4 2 2 2 3" xfId="44933"/>
    <cellStyle name="40 % - Accent2 3 2 4 4 2 2 2 4" xfId="61162"/>
    <cellStyle name="40 % - Accent2 3 2 4 4 2 2 3" xfId="18973"/>
    <cellStyle name="40 % - Accent2 3 2 4 4 2 2 4" xfId="25463"/>
    <cellStyle name="40 % - Accent2 3 2 4 4 2 2 5" xfId="38443"/>
    <cellStyle name="40 % - Accent2 3 2 4 4 2 2 6" xfId="54672"/>
    <cellStyle name="40 % - Accent2 3 2 4 4 2 3" xfId="9235"/>
    <cellStyle name="40 % - Accent2 3 2 4 4 2 3 2" xfId="28708"/>
    <cellStyle name="40 % - Accent2 3 2 4 4 2 3 3" xfId="41688"/>
    <cellStyle name="40 % - Accent2 3 2 4 4 2 3 4" xfId="57917"/>
    <cellStyle name="40 % - Accent2 3 2 4 4 2 4" xfId="15728"/>
    <cellStyle name="40 % - Accent2 3 2 4 4 2 4 2" xfId="51427"/>
    <cellStyle name="40 % - Accent2 3 2 4 4 2 5" xfId="22218"/>
    <cellStyle name="40 % - Accent2 3 2 4 4 2 6" xfId="35198"/>
    <cellStyle name="40 % - Accent2 3 2 4 4 2 7" xfId="48181"/>
    <cellStyle name="40 % - Accent2 3 2 4 4 3" xfId="4325"/>
    <cellStyle name="40 % - Accent2 3 2 4 4 3 2" xfId="10857"/>
    <cellStyle name="40 % - Accent2 3 2 4 4 3 2 2" xfId="30330"/>
    <cellStyle name="40 % - Accent2 3 2 4 4 3 2 3" xfId="43310"/>
    <cellStyle name="40 % - Accent2 3 2 4 4 3 2 4" xfId="59539"/>
    <cellStyle name="40 % - Accent2 3 2 4 4 3 3" xfId="17350"/>
    <cellStyle name="40 % - Accent2 3 2 4 4 3 4" xfId="23840"/>
    <cellStyle name="40 % - Accent2 3 2 4 4 3 5" xfId="36820"/>
    <cellStyle name="40 % - Accent2 3 2 4 4 3 6" xfId="53049"/>
    <cellStyle name="40 % - Accent2 3 2 4 4 4" xfId="7612"/>
    <cellStyle name="40 % - Accent2 3 2 4 4 4 2" xfId="27085"/>
    <cellStyle name="40 % - Accent2 3 2 4 4 4 3" xfId="40065"/>
    <cellStyle name="40 % - Accent2 3 2 4 4 4 4" xfId="56294"/>
    <cellStyle name="40 % - Accent2 3 2 4 4 5" xfId="14105"/>
    <cellStyle name="40 % - Accent2 3 2 4 4 5 2" xfId="49804"/>
    <cellStyle name="40 % - Accent2 3 2 4 4 6" xfId="20595"/>
    <cellStyle name="40 % - Accent2 3 2 4 4 7" xfId="33575"/>
    <cellStyle name="40 % - Accent2 3 2 4 4 8" xfId="46558"/>
    <cellStyle name="40 % - Accent2 3 2 4 5" xfId="1989"/>
    <cellStyle name="40 % - Accent2 3 2 4 5 2" xfId="5234"/>
    <cellStyle name="40 % - Accent2 3 2 4 5 2 2" xfId="11766"/>
    <cellStyle name="40 % - Accent2 3 2 4 5 2 2 2" xfId="31239"/>
    <cellStyle name="40 % - Accent2 3 2 4 5 2 2 3" xfId="44219"/>
    <cellStyle name="40 % - Accent2 3 2 4 5 2 2 4" xfId="60448"/>
    <cellStyle name="40 % - Accent2 3 2 4 5 2 3" xfId="18259"/>
    <cellStyle name="40 % - Accent2 3 2 4 5 2 4" xfId="24749"/>
    <cellStyle name="40 % - Accent2 3 2 4 5 2 5" xfId="37729"/>
    <cellStyle name="40 % - Accent2 3 2 4 5 2 6" xfId="53958"/>
    <cellStyle name="40 % - Accent2 3 2 4 5 3" xfId="8521"/>
    <cellStyle name="40 % - Accent2 3 2 4 5 3 2" xfId="27994"/>
    <cellStyle name="40 % - Accent2 3 2 4 5 3 3" xfId="40974"/>
    <cellStyle name="40 % - Accent2 3 2 4 5 3 4" xfId="57203"/>
    <cellStyle name="40 % - Accent2 3 2 4 5 4" xfId="15014"/>
    <cellStyle name="40 % - Accent2 3 2 4 5 4 2" xfId="50713"/>
    <cellStyle name="40 % - Accent2 3 2 4 5 5" xfId="21504"/>
    <cellStyle name="40 % - Accent2 3 2 4 5 6" xfId="34484"/>
    <cellStyle name="40 % - Accent2 3 2 4 5 7" xfId="47467"/>
    <cellStyle name="40 % - Accent2 3 2 4 6" xfId="3610"/>
    <cellStyle name="40 % - Accent2 3 2 4 6 2" xfId="10142"/>
    <cellStyle name="40 % - Accent2 3 2 4 6 2 2" xfId="29615"/>
    <cellStyle name="40 % - Accent2 3 2 4 6 2 3" xfId="42595"/>
    <cellStyle name="40 % - Accent2 3 2 4 6 2 4" xfId="58824"/>
    <cellStyle name="40 % - Accent2 3 2 4 6 3" xfId="16635"/>
    <cellStyle name="40 % - Accent2 3 2 4 6 4" xfId="23125"/>
    <cellStyle name="40 % - Accent2 3 2 4 6 5" xfId="36105"/>
    <cellStyle name="40 % - Accent2 3 2 4 6 6" xfId="52334"/>
    <cellStyle name="40 % - Accent2 3 2 4 7" xfId="6897"/>
    <cellStyle name="40 % - Accent2 3 2 4 7 2" xfId="26370"/>
    <cellStyle name="40 % - Accent2 3 2 4 7 3" xfId="39350"/>
    <cellStyle name="40 % - Accent2 3 2 4 7 4" xfId="55579"/>
    <cellStyle name="40 % - Accent2 3 2 4 8" xfId="13390"/>
    <cellStyle name="40 % - Accent2 3 2 4 8 2" xfId="49089"/>
    <cellStyle name="40 % - Accent2 3 2 4 9" xfId="19880"/>
    <cellStyle name="40 % - Accent2 3 2 5" xfId="648"/>
    <cellStyle name="40 % - Accent2 3 2 5 10" xfId="46171"/>
    <cellStyle name="40 % - Accent2 3 2 5 2" xfId="1587"/>
    <cellStyle name="40 % - Accent2 3 2 5 2 2" xfId="3254"/>
    <cellStyle name="40 % - Accent2 3 2 5 2 2 2" xfId="6499"/>
    <cellStyle name="40 % - Accent2 3 2 5 2 2 2 2" xfId="13031"/>
    <cellStyle name="40 % - Accent2 3 2 5 2 2 2 2 2" xfId="32504"/>
    <cellStyle name="40 % - Accent2 3 2 5 2 2 2 2 3" xfId="45484"/>
    <cellStyle name="40 % - Accent2 3 2 5 2 2 2 2 4" xfId="61713"/>
    <cellStyle name="40 % - Accent2 3 2 5 2 2 2 3" xfId="19524"/>
    <cellStyle name="40 % - Accent2 3 2 5 2 2 2 4" xfId="26014"/>
    <cellStyle name="40 % - Accent2 3 2 5 2 2 2 5" xfId="38994"/>
    <cellStyle name="40 % - Accent2 3 2 5 2 2 2 6" xfId="55223"/>
    <cellStyle name="40 % - Accent2 3 2 5 2 2 3" xfId="9786"/>
    <cellStyle name="40 % - Accent2 3 2 5 2 2 3 2" xfId="29259"/>
    <cellStyle name="40 % - Accent2 3 2 5 2 2 3 3" xfId="42239"/>
    <cellStyle name="40 % - Accent2 3 2 5 2 2 3 4" xfId="58468"/>
    <cellStyle name="40 % - Accent2 3 2 5 2 2 4" xfId="16279"/>
    <cellStyle name="40 % - Accent2 3 2 5 2 2 4 2" xfId="51978"/>
    <cellStyle name="40 % - Accent2 3 2 5 2 2 5" xfId="22769"/>
    <cellStyle name="40 % - Accent2 3 2 5 2 2 6" xfId="35749"/>
    <cellStyle name="40 % - Accent2 3 2 5 2 2 7" xfId="48732"/>
    <cellStyle name="40 % - Accent2 3 2 5 2 3" xfId="4876"/>
    <cellStyle name="40 % - Accent2 3 2 5 2 3 2" xfId="11408"/>
    <cellStyle name="40 % - Accent2 3 2 5 2 3 2 2" xfId="30881"/>
    <cellStyle name="40 % - Accent2 3 2 5 2 3 2 3" xfId="43861"/>
    <cellStyle name="40 % - Accent2 3 2 5 2 3 2 4" xfId="60090"/>
    <cellStyle name="40 % - Accent2 3 2 5 2 3 3" xfId="17901"/>
    <cellStyle name="40 % - Accent2 3 2 5 2 3 4" xfId="24391"/>
    <cellStyle name="40 % - Accent2 3 2 5 2 3 5" xfId="37371"/>
    <cellStyle name="40 % - Accent2 3 2 5 2 3 6" xfId="53600"/>
    <cellStyle name="40 % - Accent2 3 2 5 2 4" xfId="8163"/>
    <cellStyle name="40 % - Accent2 3 2 5 2 4 2" xfId="27636"/>
    <cellStyle name="40 % - Accent2 3 2 5 2 4 3" xfId="40616"/>
    <cellStyle name="40 % - Accent2 3 2 5 2 4 4" xfId="56845"/>
    <cellStyle name="40 % - Accent2 3 2 5 2 5" xfId="14656"/>
    <cellStyle name="40 % - Accent2 3 2 5 2 5 2" xfId="50355"/>
    <cellStyle name="40 % - Accent2 3 2 5 2 6" xfId="21146"/>
    <cellStyle name="40 % - Accent2 3 2 5 2 7" xfId="34126"/>
    <cellStyle name="40 % - Accent2 3 2 5 2 8" xfId="47109"/>
    <cellStyle name="40 % - Accent2 3 2 5 3" xfId="1124"/>
    <cellStyle name="40 % - Accent2 3 2 5 3 2" xfId="2791"/>
    <cellStyle name="40 % - Accent2 3 2 5 3 2 2" xfId="6036"/>
    <cellStyle name="40 % - Accent2 3 2 5 3 2 2 2" xfId="12568"/>
    <cellStyle name="40 % - Accent2 3 2 5 3 2 2 2 2" xfId="32041"/>
    <cellStyle name="40 % - Accent2 3 2 5 3 2 2 2 3" xfId="45021"/>
    <cellStyle name="40 % - Accent2 3 2 5 3 2 2 2 4" xfId="61250"/>
    <cellStyle name="40 % - Accent2 3 2 5 3 2 2 3" xfId="19061"/>
    <cellStyle name="40 % - Accent2 3 2 5 3 2 2 4" xfId="25551"/>
    <cellStyle name="40 % - Accent2 3 2 5 3 2 2 5" xfId="38531"/>
    <cellStyle name="40 % - Accent2 3 2 5 3 2 2 6" xfId="54760"/>
    <cellStyle name="40 % - Accent2 3 2 5 3 2 3" xfId="9323"/>
    <cellStyle name="40 % - Accent2 3 2 5 3 2 3 2" xfId="28796"/>
    <cellStyle name="40 % - Accent2 3 2 5 3 2 3 3" xfId="41776"/>
    <cellStyle name="40 % - Accent2 3 2 5 3 2 3 4" xfId="58005"/>
    <cellStyle name="40 % - Accent2 3 2 5 3 2 4" xfId="15816"/>
    <cellStyle name="40 % - Accent2 3 2 5 3 2 4 2" xfId="51515"/>
    <cellStyle name="40 % - Accent2 3 2 5 3 2 5" xfId="22306"/>
    <cellStyle name="40 % - Accent2 3 2 5 3 2 6" xfId="35286"/>
    <cellStyle name="40 % - Accent2 3 2 5 3 2 7" xfId="48269"/>
    <cellStyle name="40 % - Accent2 3 2 5 3 3" xfId="4413"/>
    <cellStyle name="40 % - Accent2 3 2 5 3 3 2" xfId="10945"/>
    <cellStyle name="40 % - Accent2 3 2 5 3 3 2 2" xfId="30418"/>
    <cellStyle name="40 % - Accent2 3 2 5 3 3 2 3" xfId="43398"/>
    <cellStyle name="40 % - Accent2 3 2 5 3 3 2 4" xfId="59627"/>
    <cellStyle name="40 % - Accent2 3 2 5 3 3 3" xfId="17438"/>
    <cellStyle name="40 % - Accent2 3 2 5 3 3 4" xfId="23928"/>
    <cellStyle name="40 % - Accent2 3 2 5 3 3 5" xfId="36908"/>
    <cellStyle name="40 % - Accent2 3 2 5 3 3 6" xfId="53137"/>
    <cellStyle name="40 % - Accent2 3 2 5 3 4" xfId="7700"/>
    <cellStyle name="40 % - Accent2 3 2 5 3 4 2" xfId="27173"/>
    <cellStyle name="40 % - Accent2 3 2 5 3 4 3" xfId="40153"/>
    <cellStyle name="40 % - Accent2 3 2 5 3 4 4" xfId="56382"/>
    <cellStyle name="40 % - Accent2 3 2 5 3 5" xfId="14193"/>
    <cellStyle name="40 % - Accent2 3 2 5 3 5 2" xfId="49892"/>
    <cellStyle name="40 % - Accent2 3 2 5 3 6" xfId="20683"/>
    <cellStyle name="40 % - Accent2 3 2 5 3 7" xfId="33663"/>
    <cellStyle name="40 % - Accent2 3 2 5 3 8" xfId="46646"/>
    <cellStyle name="40 % - Accent2 3 2 5 4" xfId="2316"/>
    <cellStyle name="40 % - Accent2 3 2 5 4 2" xfId="5561"/>
    <cellStyle name="40 % - Accent2 3 2 5 4 2 2" xfId="12093"/>
    <cellStyle name="40 % - Accent2 3 2 5 4 2 2 2" xfId="31566"/>
    <cellStyle name="40 % - Accent2 3 2 5 4 2 2 3" xfId="44546"/>
    <cellStyle name="40 % - Accent2 3 2 5 4 2 2 4" xfId="60775"/>
    <cellStyle name="40 % - Accent2 3 2 5 4 2 3" xfId="18586"/>
    <cellStyle name="40 % - Accent2 3 2 5 4 2 4" xfId="25076"/>
    <cellStyle name="40 % - Accent2 3 2 5 4 2 5" xfId="38056"/>
    <cellStyle name="40 % - Accent2 3 2 5 4 2 6" xfId="54285"/>
    <cellStyle name="40 % - Accent2 3 2 5 4 3" xfId="8848"/>
    <cellStyle name="40 % - Accent2 3 2 5 4 3 2" xfId="28321"/>
    <cellStyle name="40 % - Accent2 3 2 5 4 3 3" xfId="41301"/>
    <cellStyle name="40 % - Accent2 3 2 5 4 3 4" xfId="57530"/>
    <cellStyle name="40 % - Accent2 3 2 5 4 4" xfId="15341"/>
    <cellStyle name="40 % - Accent2 3 2 5 4 4 2" xfId="51040"/>
    <cellStyle name="40 % - Accent2 3 2 5 4 5" xfId="21831"/>
    <cellStyle name="40 % - Accent2 3 2 5 4 6" xfId="34811"/>
    <cellStyle name="40 % - Accent2 3 2 5 4 7" xfId="47794"/>
    <cellStyle name="40 % - Accent2 3 2 5 5" xfId="3938"/>
    <cellStyle name="40 % - Accent2 3 2 5 5 2" xfId="10470"/>
    <cellStyle name="40 % - Accent2 3 2 5 5 2 2" xfId="29943"/>
    <cellStyle name="40 % - Accent2 3 2 5 5 2 3" xfId="42923"/>
    <cellStyle name="40 % - Accent2 3 2 5 5 2 4" xfId="59152"/>
    <cellStyle name="40 % - Accent2 3 2 5 5 3" xfId="16963"/>
    <cellStyle name="40 % - Accent2 3 2 5 5 4" xfId="23453"/>
    <cellStyle name="40 % - Accent2 3 2 5 5 5" xfId="36433"/>
    <cellStyle name="40 % - Accent2 3 2 5 5 6" xfId="52662"/>
    <cellStyle name="40 % - Accent2 3 2 5 6" xfId="7225"/>
    <cellStyle name="40 % - Accent2 3 2 5 6 2" xfId="26698"/>
    <cellStyle name="40 % - Accent2 3 2 5 6 3" xfId="39678"/>
    <cellStyle name="40 % - Accent2 3 2 5 6 4" xfId="55907"/>
    <cellStyle name="40 % - Accent2 3 2 5 7" xfId="13718"/>
    <cellStyle name="40 % - Accent2 3 2 5 7 2" xfId="49417"/>
    <cellStyle name="40 % - Accent2 3 2 5 8" xfId="20208"/>
    <cellStyle name="40 % - Accent2 3 2 5 9" xfId="33188"/>
    <cellStyle name="40 % - Accent2 3 2 6" xfId="418"/>
    <cellStyle name="40 % - Accent2 3 2 6 2" xfId="1367"/>
    <cellStyle name="40 % - Accent2 3 2 6 2 2" xfId="3034"/>
    <cellStyle name="40 % - Accent2 3 2 6 2 2 2" xfId="6279"/>
    <cellStyle name="40 % - Accent2 3 2 6 2 2 2 2" xfId="12811"/>
    <cellStyle name="40 % - Accent2 3 2 6 2 2 2 2 2" xfId="32284"/>
    <cellStyle name="40 % - Accent2 3 2 6 2 2 2 2 3" xfId="45264"/>
    <cellStyle name="40 % - Accent2 3 2 6 2 2 2 2 4" xfId="61493"/>
    <cellStyle name="40 % - Accent2 3 2 6 2 2 2 3" xfId="19304"/>
    <cellStyle name="40 % - Accent2 3 2 6 2 2 2 4" xfId="25794"/>
    <cellStyle name="40 % - Accent2 3 2 6 2 2 2 5" xfId="38774"/>
    <cellStyle name="40 % - Accent2 3 2 6 2 2 2 6" xfId="55003"/>
    <cellStyle name="40 % - Accent2 3 2 6 2 2 3" xfId="9566"/>
    <cellStyle name="40 % - Accent2 3 2 6 2 2 3 2" xfId="29039"/>
    <cellStyle name="40 % - Accent2 3 2 6 2 2 3 3" xfId="42019"/>
    <cellStyle name="40 % - Accent2 3 2 6 2 2 3 4" xfId="58248"/>
    <cellStyle name="40 % - Accent2 3 2 6 2 2 4" xfId="16059"/>
    <cellStyle name="40 % - Accent2 3 2 6 2 2 4 2" xfId="51758"/>
    <cellStyle name="40 % - Accent2 3 2 6 2 2 5" xfId="22549"/>
    <cellStyle name="40 % - Accent2 3 2 6 2 2 6" xfId="35529"/>
    <cellStyle name="40 % - Accent2 3 2 6 2 2 7" xfId="48512"/>
    <cellStyle name="40 % - Accent2 3 2 6 2 3" xfId="4656"/>
    <cellStyle name="40 % - Accent2 3 2 6 2 3 2" xfId="11188"/>
    <cellStyle name="40 % - Accent2 3 2 6 2 3 2 2" xfId="30661"/>
    <cellStyle name="40 % - Accent2 3 2 6 2 3 2 3" xfId="43641"/>
    <cellStyle name="40 % - Accent2 3 2 6 2 3 2 4" xfId="59870"/>
    <cellStyle name="40 % - Accent2 3 2 6 2 3 3" xfId="17681"/>
    <cellStyle name="40 % - Accent2 3 2 6 2 3 4" xfId="24171"/>
    <cellStyle name="40 % - Accent2 3 2 6 2 3 5" xfId="37151"/>
    <cellStyle name="40 % - Accent2 3 2 6 2 3 6" xfId="53380"/>
    <cellStyle name="40 % - Accent2 3 2 6 2 4" xfId="7943"/>
    <cellStyle name="40 % - Accent2 3 2 6 2 4 2" xfId="27416"/>
    <cellStyle name="40 % - Accent2 3 2 6 2 4 3" xfId="40396"/>
    <cellStyle name="40 % - Accent2 3 2 6 2 4 4" xfId="56625"/>
    <cellStyle name="40 % - Accent2 3 2 6 2 5" xfId="14436"/>
    <cellStyle name="40 % - Accent2 3 2 6 2 5 2" xfId="50135"/>
    <cellStyle name="40 % - Accent2 3 2 6 2 6" xfId="20926"/>
    <cellStyle name="40 % - Accent2 3 2 6 2 7" xfId="33906"/>
    <cellStyle name="40 % - Accent2 3 2 6 2 8" xfId="46889"/>
    <cellStyle name="40 % - Accent2 3 2 6 3" xfId="2086"/>
    <cellStyle name="40 % - Accent2 3 2 6 3 2" xfId="5331"/>
    <cellStyle name="40 % - Accent2 3 2 6 3 2 2" xfId="11863"/>
    <cellStyle name="40 % - Accent2 3 2 6 3 2 2 2" xfId="31336"/>
    <cellStyle name="40 % - Accent2 3 2 6 3 2 2 3" xfId="44316"/>
    <cellStyle name="40 % - Accent2 3 2 6 3 2 2 4" xfId="60545"/>
    <cellStyle name="40 % - Accent2 3 2 6 3 2 3" xfId="18356"/>
    <cellStyle name="40 % - Accent2 3 2 6 3 2 4" xfId="24846"/>
    <cellStyle name="40 % - Accent2 3 2 6 3 2 5" xfId="37826"/>
    <cellStyle name="40 % - Accent2 3 2 6 3 2 6" xfId="54055"/>
    <cellStyle name="40 % - Accent2 3 2 6 3 3" xfId="8618"/>
    <cellStyle name="40 % - Accent2 3 2 6 3 3 2" xfId="28091"/>
    <cellStyle name="40 % - Accent2 3 2 6 3 3 3" xfId="41071"/>
    <cellStyle name="40 % - Accent2 3 2 6 3 3 4" xfId="57300"/>
    <cellStyle name="40 % - Accent2 3 2 6 3 4" xfId="15111"/>
    <cellStyle name="40 % - Accent2 3 2 6 3 4 2" xfId="50810"/>
    <cellStyle name="40 % - Accent2 3 2 6 3 5" xfId="21601"/>
    <cellStyle name="40 % - Accent2 3 2 6 3 6" xfId="34581"/>
    <cellStyle name="40 % - Accent2 3 2 6 3 7" xfId="47564"/>
    <cellStyle name="40 % - Accent2 3 2 6 4" xfId="3708"/>
    <cellStyle name="40 % - Accent2 3 2 6 4 2" xfId="10240"/>
    <cellStyle name="40 % - Accent2 3 2 6 4 2 2" xfId="29713"/>
    <cellStyle name="40 % - Accent2 3 2 6 4 2 3" xfId="42693"/>
    <cellStyle name="40 % - Accent2 3 2 6 4 2 4" xfId="58922"/>
    <cellStyle name="40 % - Accent2 3 2 6 4 3" xfId="16733"/>
    <cellStyle name="40 % - Accent2 3 2 6 4 4" xfId="23223"/>
    <cellStyle name="40 % - Accent2 3 2 6 4 5" xfId="36203"/>
    <cellStyle name="40 % - Accent2 3 2 6 4 6" xfId="52432"/>
    <cellStyle name="40 % - Accent2 3 2 6 5" xfId="6995"/>
    <cellStyle name="40 % - Accent2 3 2 6 5 2" xfId="26468"/>
    <cellStyle name="40 % - Accent2 3 2 6 5 3" xfId="39448"/>
    <cellStyle name="40 % - Accent2 3 2 6 5 4" xfId="55677"/>
    <cellStyle name="40 % - Accent2 3 2 6 6" xfId="13488"/>
    <cellStyle name="40 % - Accent2 3 2 6 6 2" xfId="49187"/>
    <cellStyle name="40 % - Accent2 3 2 6 7" xfId="19978"/>
    <cellStyle name="40 % - Accent2 3 2 6 8" xfId="32958"/>
    <cellStyle name="40 % - Accent2 3 2 6 9" xfId="45941"/>
    <cellStyle name="40 % - Accent2 3 2 7" xfId="904"/>
    <cellStyle name="40 % - Accent2 3 2 7 2" xfId="2571"/>
    <cellStyle name="40 % - Accent2 3 2 7 2 2" xfId="5816"/>
    <cellStyle name="40 % - Accent2 3 2 7 2 2 2" xfId="12348"/>
    <cellStyle name="40 % - Accent2 3 2 7 2 2 2 2" xfId="31821"/>
    <cellStyle name="40 % - Accent2 3 2 7 2 2 2 3" xfId="44801"/>
    <cellStyle name="40 % - Accent2 3 2 7 2 2 2 4" xfId="61030"/>
    <cellStyle name="40 % - Accent2 3 2 7 2 2 3" xfId="18841"/>
    <cellStyle name="40 % - Accent2 3 2 7 2 2 4" xfId="25331"/>
    <cellStyle name="40 % - Accent2 3 2 7 2 2 5" xfId="38311"/>
    <cellStyle name="40 % - Accent2 3 2 7 2 2 6" xfId="54540"/>
    <cellStyle name="40 % - Accent2 3 2 7 2 3" xfId="9103"/>
    <cellStyle name="40 % - Accent2 3 2 7 2 3 2" xfId="28576"/>
    <cellStyle name="40 % - Accent2 3 2 7 2 3 3" xfId="41556"/>
    <cellStyle name="40 % - Accent2 3 2 7 2 3 4" xfId="57785"/>
    <cellStyle name="40 % - Accent2 3 2 7 2 4" xfId="15596"/>
    <cellStyle name="40 % - Accent2 3 2 7 2 4 2" xfId="51295"/>
    <cellStyle name="40 % - Accent2 3 2 7 2 5" xfId="22086"/>
    <cellStyle name="40 % - Accent2 3 2 7 2 6" xfId="35066"/>
    <cellStyle name="40 % - Accent2 3 2 7 2 7" xfId="48049"/>
    <cellStyle name="40 % - Accent2 3 2 7 3" xfId="4193"/>
    <cellStyle name="40 % - Accent2 3 2 7 3 2" xfId="10725"/>
    <cellStyle name="40 % - Accent2 3 2 7 3 2 2" xfId="30198"/>
    <cellStyle name="40 % - Accent2 3 2 7 3 2 3" xfId="43178"/>
    <cellStyle name="40 % - Accent2 3 2 7 3 2 4" xfId="59407"/>
    <cellStyle name="40 % - Accent2 3 2 7 3 3" xfId="17218"/>
    <cellStyle name="40 % - Accent2 3 2 7 3 4" xfId="23708"/>
    <cellStyle name="40 % - Accent2 3 2 7 3 5" xfId="36688"/>
    <cellStyle name="40 % - Accent2 3 2 7 3 6" xfId="52917"/>
    <cellStyle name="40 % - Accent2 3 2 7 4" xfId="7480"/>
    <cellStyle name="40 % - Accent2 3 2 7 4 2" xfId="26953"/>
    <cellStyle name="40 % - Accent2 3 2 7 4 3" xfId="39933"/>
    <cellStyle name="40 % - Accent2 3 2 7 4 4" xfId="56162"/>
    <cellStyle name="40 % - Accent2 3 2 7 5" xfId="13973"/>
    <cellStyle name="40 % - Accent2 3 2 7 5 2" xfId="49672"/>
    <cellStyle name="40 % - Accent2 3 2 7 6" xfId="20463"/>
    <cellStyle name="40 % - Accent2 3 2 7 7" xfId="33443"/>
    <cellStyle name="40 % - Accent2 3 2 7 8" xfId="46426"/>
    <cellStyle name="40 % - Accent2 3 2 8" xfId="1857"/>
    <cellStyle name="40 % - Accent2 3 2 8 2" xfId="5102"/>
    <cellStyle name="40 % - Accent2 3 2 8 2 2" xfId="11634"/>
    <cellStyle name="40 % - Accent2 3 2 8 2 2 2" xfId="31107"/>
    <cellStyle name="40 % - Accent2 3 2 8 2 2 3" xfId="44087"/>
    <cellStyle name="40 % - Accent2 3 2 8 2 2 4" xfId="60316"/>
    <cellStyle name="40 % - Accent2 3 2 8 2 3" xfId="18127"/>
    <cellStyle name="40 % - Accent2 3 2 8 2 4" xfId="24617"/>
    <cellStyle name="40 % - Accent2 3 2 8 2 5" xfId="37597"/>
    <cellStyle name="40 % - Accent2 3 2 8 2 6" xfId="53826"/>
    <cellStyle name="40 % - Accent2 3 2 8 3" xfId="8389"/>
    <cellStyle name="40 % - Accent2 3 2 8 3 2" xfId="27862"/>
    <cellStyle name="40 % - Accent2 3 2 8 3 3" xfId="40842"/>
    <cellStyle name="40 % - Accent2 3 2 8 3 4" xfId="57071"/>
    <cellStyle name="40 % - Accent2 3 2 8 4" xfId="14882"/>
    <cellStyle name="40 % - Accent2 3 2 8 4 2" xfId="50581"/>
    <cellStyle name="40 % - Accent2 3 2 8 5" xfId="21372"/>
    <cellStyle name="40 % - Accent2 3 2 8 6" xfId="34352"/>
    <cellStyle name="40 % - Accent2 3 2 8 7" xfId="47335"/>
    <cellStyle name="40 % - Accent2 3 2 9" xfId="3478"/>
    <cellStyle name="40 % - Accent2 3 2 9 2" xfId="10010"/>
    <cellStyle name="40 % - Accent2 3 2 9 2 2" xfId="29483"/>
    <cellStyle name="40 % - Accent2 3 2 9 2 3" xfId="42463"/>
    <cellStyle name="40 % - Accent2 3 2 9 2 4" xfId="58692"/>
    <cellStyle name="40 % - Accent2 3 2 9 3" xfId="16503"/>
    <cellStyle name="40 % - Accent2 3 2 9 4" xfId="22993"/>
    <cellStyle name="40 % - Accent2 3 2 9 5" xfId="35973"/>
    <cellStyle name="40 % - Accent2 3 2 9 6" xfId="52202"/>
    <cellStyle name="40 % - Accent2 3 3" xfId="250"/>
    <cellStyle name="40 % - Accent2 3 3 10" xfId="19814"/>
    <cellStyle name="40 % - Accent2 3 3 11" xfId="32794"/>
    <cellStyle name="40 % - Accent2 3 3 12" xfId="45777"/>
    <cellStyle name="40 % - Accent2 3 3 2" xfId="338"/>
    <cellStyle name="40 % - Accent2 3 3 2 10" xfId="32882"/>
    <cellStyle name="40 % - Accent2 3 3 2 11" xfId="45865"/>
    <cellStyle name="40 % - Accent2 3 3 2 2" xfId="802"/>
    <cellStyle name="40 % - Accent2 3 3 2 2 10" xfId="46325"/>
    <cellStyle name="40 % - Accent2 3 3 2 2 2" xfId="1741"/>
    <cellStyle name="40 % - Accent2 3 3 2 2 2 2" xfId="3408"/>
    <cellStyle name="40 % - Accent2 3 3 2 2 2 2 2" xfId="6653"/>
    <cellStyle name="40 % - Accent2 3 3 2 2 2 2 2 2" xfId="13185"/>
    <cellStyle name="40 % - Accent2 3 3 2 2 2 2 2 2 2" xfId="32658"/>
    <cellStyle name="40 % - Accent2 3 3 2 2 2 2 2 2 3" xfId="45638"/>
    <cellStyle name="40 % - Accent2 3 3 2 2 2 2 2 2 4" xfId="61867"/>
    <cellStyle name="40 % - Accent2 3 3 2 2 2 2 2 3" xfId="19678"/>
    <cellStyle name="40 % - Accent2 3 3 2 2 2 2 2 4" xfId="26168"/>
    <cellStyle name="40 % - Accent2 3 3 2 2 2 2 2 5" xfId="39148"/>
    <cellStyle name="40 % - Accent2 3 3 2 2 2 2 2 6" xfId="55377"/>
    <cellStyle name="40 % - Accent2 3 3 2 2 2 2 3" xfId="9940"/>
    <cellStyle name="40 % - Accent2 3 3 2 2 2 2 3 2" xfId="29413"/>
    <cellStyle name="40 % - Accent2 3 3 2 2 2 2 3 3" xfId="42393"/>
    <cellStyle name="40 % - Accent2 3 3 2 2 2 2 3 4" xfId="58622"/>
    <cellStyle name="40 % - Accent2 3 3 2 2 2 2 4" xfId="16433"/>
    <cellStyle name="40 % - Accent2 3 3 2 2 2 2 4 2" xfId="52132"/>
    <cellStyle name="40 % - Accent2 3 3 2 2 2 2 5" xfId="22923"/>
    <cellStyle name="40 % - Accent2 3 3 2 2 2 2 6" xfId="35903"/>
    <cellStyle name="40 % - Accent2 3 3 2 2 2 2 7" xfId="48886"/>
    <cellStyle name="40 % - Accent2 3 3 2 2 2 3" xfId="5030"/>
    <cellStyle name="40 % - Accent2 3 3 2 2 2 3 2" xfId="11562"/>
    <cellStyle name="40 % - Accent2 3 3 2 2 2 3 2 2" xfId="31035"/>
    <cellStyle name="40 % - Accent2 3 3 2 2 2 3 2 3" xfId="44015"/>
    <cellStyle name="40 % - Accent2 3 3 2 2 2 3 2 4" xfId="60244"/>
    <cellStyle name="40 % - Accent2 3 3 2 2 2 3 3" xfId="18055"/>
    <cellStyle name="40 % - Accent2 3 3 2 2 2 3 4" xfId="24545"/>
    <cellStyle name="40 % - Accent2 3 3 2 2 2 3 5" xfId="37525"/>
    <cellStyle name="40 % - Accent2 3 3 2 2 2 3 6" xfId="53754"/>
    <cellStyle name="40 % - Accent2 3 3 2 2 2 4" xfId="8317"/>
    <cellStyle name="40 % - Accent2 3 3 2 2 2 4 2" xfId="27790"/>
    <cellStyle name="40 % - Accent2 3 3 2 2 2 4 3" xfId="40770"/>
    <cellStyle name="40 % - Accent2 3 3 2 2 2 4 4" xfId="56999"/>
    <cellStyle name="40 % - Accent2 3 3 2 2 2 5" xfId="14810"/>
    <cellStyle name="40 % - Accent2 3 3 2 2 2 5 2" xfId="50509"/>
    <cellStyle name="40 % - Accent2 3 3 2 2 2 6" xfId="21300"/>
    <cellStyle name="40 % - Accent2 3 3 2 2 2 7" xfId="34280"/>
    <cellStyle name="40 % - Accent2 3 3 2 2 2 8" xfId="47263"/>
    <cellStyle name="40 % - Accent2 3 3 2 2 3" xfId="1278"/>
    <cellStyle name="40 % - Accent2 3 3 2 2 3 2" xfId="2945"/>
    <cellStyle name="40 % - Accent2 3 3 2 2 3 2 2" xfId="6190"/>
    <cellStyle name="40 % - Accent2 3 3 2 2 3 2 2 2" xfId="12722"/>
    <cellStyle name="40 % - Accent2 3 3 2 2 3 2 2 2 2" xfId="32195"/>
    <cellStyle name="40 % - Accent2 3 3 2 2 3 2 2 2 3" xfId="45175"/>
    <cellStyle name="40 % - Accent2 3 3 2 2 3 2 2 2 4" xfId="61404"/>
    <cellStyle name="40 % - Accent2 3 3 2 2 3 2 2 3" xfId="19215"/>
    <cellStyle name="40 % - Accent2 3 3 2 2 3 2 2 4" xfId="25705"/>
    <cellStyle name="40 % - Accent2 3 3 2 2 3 2 2 5" xfId="38685"/>
    <cellStyle name="40 % - Accent2 3 3 2 2 3 2 2 6" xfId="54914"/>
    <cellStyle name="40 % - Accent2 3 3 2 2 3 2 3" xfId="9477"/>
    <cellStyle name="40 % - Accent2 3 3 2 2 3 2 3 2" xfId="28950"/>
    <cellStyle name="40 % - Accent2 3 3 2 2 3 2 3 3" xfId="41930"/>
    <cellStyle name="40 % - Accent2 3 3 2 2 3 2 3 4" xfId="58159"/>
    <cellStyle name="40 % - Accent2 3 3 2 2 3 2 4" xfId="15970"/>
    <cellStyle name="40 % - Accent2 3 3 2 2 3 2 4 2" xfId="51669"/>
    <cellStyle name="40 % - Accent2 3 3 2 2 3 2 5" xfId="22460"/>
    <cellStyle name="40 % - Accent2 3 3 2 2 3 2 6" xfId="35440"/>
    <cellStyle name="40 % - Accent2 3 3 2 2 3 2 7" xfId="48423"/>
    <cellStyle name="40 % - Accent2 3 3 2 2 3 3" xfId="4567"/>
    <cellStyle name="40 % - Accent2 3 3 2 2 3 3 2" xfId="11099"/>
    <cellStyle name="40 % - Accent2 3 3 2 2 3 3 2 2" xfId="30572"/>
    <cellStyle name="40 % - Accent2 3 3 2 2 3 3 2 3" xfId="43552"/>
    <cellStyle name="40 % - Accent2 3 3 2 2 3 3 2 4" xfId="59781"/>
    <cellStyle name="40 % - Accent2 3 3 2 2 3 3 3" xfId="17592"/>
    <cellStyle name="40 % - Accent2 3 3 2 2 3 3 4" xfId="24082"/>
    <cellStyle name="40 % - Accent2 3 3 2 2 3 3 5" xfId="37062"/>
    <cellStyle name="40 % - Accent2 3 3 2 2 3 3 6" xfId="53291"/>
    <cellStyle name="40 % - Accent2 3 3 2 2 3 4" xfId="7854"/>
    <cellStyle name="40 % - Accent2 3 3 2 2 3 4 2" xfId="27327"/>
    <cellStyle name="40 % - Accent2 3 3 2 2 3 4 3" xfId="40307"/>
    <cellStyle name="40 % - Accent2 3 3 2 2 3 4 4" xfId="56536"/>
    <cellStyle name="40 % - Accent2 3 3 2 2 3 5" xfId="14347"/>
    <cellStyle name="40 % - Accent2 3 3 2 2 3 5 2" xfId="50046"/>
    <cellStyle name="40 % - Accent2 3 3 2 2 3 6" xfId="20837"/>
    <cellStyle name="40 % - Accent2 3 3 2 2 3 7" xfId="33817"/>
    <cellStyle name="40 % - Accent2 3 3 2 2 3 8" xfId="46800"/>
    <cellStyle name="40 % - Accent2 3 3 2 2 4" xfId="2470"/>
    <cellStyle name="40 % - Accent2 3 3 2 2 4 2" xfId="5715"/>
    <cellStyle name="40 % - Accent2 3 3 2 2 4 2 2" xfId="12247"/>
    <cellStyle name="40 % - Accent2 3 3 2 2 4 2 2 2" xfId="31720"/>
    <cellStyle name="40 % - Accent2 3 3 2 2 4 2 2 3" xfId="44700"/>
    <cellStyle name="40 % - Accent2 3 3 2 2 4 2 2 4" xfId="60929"/>
    <cellStyle name="40 % - Accent2 3 3 2 2 4 2 3" xfId="18740"/>
    <cellStyle name="40 % - Accent2 3 3 2 2 4 2 4" xfId="25230"/>
    <cellStyle name="40 % - Accent2 3 3 2 2 4 2 5" xfId="38210"/>
    <cellStyle name="40 % - Accent2 3 3 2 2 4 2 6" xfId="54439"/>
    <cellStyle name="40 % - Accent2 3 3 2 2 4 3" xfId="9002"/>
    <cellStyle name="40 % - Accent2 3 3 2 2 4 3 2" xfId="28475"/>
    <cellStyle name="40 % - Accent2 3 3 2 2 4 3 3" xfId="41455"/>
    <cellStyle name="40 % - Accent2 3 3 2 2 4 3 4" xfId="57684"/>
    <cellStyle name="40 % - Accent2 3 3 2 2 4 4" xfId="15495"/>
    <cellStyle name="40 % - Accent2 3 3 2 2 4 4 2" xfId="51194"/>
    <cellStyle name="40 % - Accent2 3 3 2 2 4 5" xfId="21985"/>
    <cellStyle name="40 % - Accent2 3 3 2 2 4 6" xfId="34965"/>
    <cellStyle name="40 % - Accent2 3 3 2 2 4 7" xfId="47948"/>
    <cellStyle name="40 % - Accent2 3 3 2 2 5" xfId="4092"/>
    <cellStyle name="40 % - Accent2 3 3 2 2 5 2" xfId="10624"/>
    <cellStyle name="40 % - Accent2 3 3 2 2 5 2 2" xfId="30097"/>
    <cellStyle name="40 % - Accent2 3 3 2 2 5 2 3" xfId="43077"/>
    <cellStyle name="40 % - Accent2 3 3 2 2 5 2 4" xfId="59306"/>
    <cellStyle name="40 % - Accent2 3 3 2 2 5 3" xfId="17117"/>
    <cellStyle name="40 % - Accent2 3 3 2 2 5 4" xfId="23607"/>
    <cellStyle name="40 % - Accent2 3 3 2 2 5 5" xfId="36587"/>
    <cellStyle name="40 % - Accent2 3 3 2 2 5 6" xfId="52816"/>
    <cellStyle name="40 % - Accent2 3 3 2 2 6" xfId="7379"/>
    <cellStyle name="40 % - Accent2 3 3 2 2 6 2" xfId="26852"/>
    <cellStyle name="40 % - Accent2 3 3 2 2 6 3" xfId="39832"/>
    <cellStyle name="40 % - Accent2 3 3 2 2 6 4" xfId="56061"/>
    <cellStyle name="40 % - Accent2 3 3 2 2 7" xfId="13872"/>
    <cellStyle name="40 % - Accent2 3 3 2 2 7 2" xfId="49571"/>
    <cellStyle name="40 % - Accent2 3 3 2 2 8" xfId="20362"/>
    <cellStyle name="40 % - Accent2 3 3 2 2 9" xfId="33342"/>
    <cellStyle name="40 % - Accent2 3 3 2 3" xfId="572"/>
    <cellStyle name="40 % - Accent2 3 3 2 3 2" xfId="1521"/>
    <cellStyle name="40 % - Accent2 3 3 2 3 2 2" xfId="3188"/>
    <cellStyle name="40 % - Accent2 3 3 2 3 2 2 2" xfId="6433"/>
    <cellStyle name="40 % - Accent2 3 3 2 3 2 2 2 2" xfId="12965"/>
    <cellStyle name="40 % - Accent2 3 3 2 3 2 2 2 2 2" xfId="32438"/>
    <cellStyle name="40 % - Accent2 3 3 2 3 2 2 2 2 3" xfId="45418"/>
    <cellStyle name="40 % - Accent2 3 3 2 3 2 2 2 2 4" xfId="61647"/>
    <cellStyle name="40 % - Accent2 3 3 2 3 2 2 2 3" xfId="19458"/>
    <cellStyle name="40 % - Accent2 3 3 2 3 2 2 2 4" xfId="25948"/>
    <cellStyle name="40 % - Accent2 3 3 2 3 2 2 2 5" xfId="38928"/>
    <cellStyle name="40 % - Accent2 3 3 2 3 2 2 2 6" xfId="55157"/>
    <cellStyle name="40 % - Accent2 3 3 2 3 2 2 3" xfId="9720"/>
    <cellStyle name="40 % - Accent2 3 3 2 3 2 2 3 2" xfId="29193"/>
    <cellStyle name="40 % - Accent2 3 3 2 3 2 2 3 3" xfId="42173"/>
    <cellStyle name="40 % - Accent2 3 3 2 3 2 2 3 4" xfId="58402"/>
    <cellStyle name="40 % - Accent2 3 3 2 3 2 2 4" xfId="16213"/>
    <cellStyle name="40 % - Accent2 3 3 2 3 2 2 4 2" xfId="51912"/>
    <cellStyle name="40 % - Accent2 3 3 2 3 2 2 5" xfId="22703"/>
    <cellStyle name="40 % - Accent2 3 3 2 3 2 2 6" xfId="35683"/>
    <cellStyle name="40 % - Accent2 3 3 2 3 2 2 7" xfId="48666"/>
    <cellStyle name="40 % - Accent2 3 3 2 3 2 3" xfId="4810"/>
    <cellStyle name="40 % - Accent2 3 3 2 3 2 3 2" xfId="11342"/>
    <cellStyle name="40 % - Accent2 3 3 2 3 2 3 2 2" xfId="30815"/>
    <cellStyle name="40 % - Accent2 3 3 2 3 2 3 2 3" xfId="43795"/>
    <cellStyle name="40 % - Accent2 3 3 2 3 2 3 2 4" xfId="60024"/>
    <cellStyle name="40 % - Accent2 3 3 2 3 2 3 3" xfId="17835"/>
    <cellStyle name="40 % - Accent2 3 3 2 3 2 3 4" xfId="24325"/>
    <cellStyle name="40 % - Accent2 3 3 2 3 2 3 5" xfId="37305"/>
    <cellStyle name="40 % - Accent2 3 3 2 3 2 3 6" xfId="53534"/>
    <cellStyle name="40 % - Accent2 3 3 2 3 2 4" xfId="8097"/>
    <cellStyle name="40 % - Accent2 3 3 2 3 2 4 2" xfId="27570"/>
    <cellStyle name="40 % - Accent2 3 3 2 3 2 4 3" xfId="40550"/>
    <cellStyle name="40 % - Accent2 3 3 2 3 2 4 4" xfId="56779"/>
    <cellStyle name="40 % - Accent2 3 3 2 3 2 5" xfId="14590"/>
    <cellStyle name="40 % - Accent2 3 3 2 3 2 5 2" xfId="50289"/>
    <cellStyle name="40 % - Accent2 3 3 2 3 2 6" xfId="21080"/>
    <cellStyle name="40 % - Accent2 3 3 2 3 2 7" xfId="34060"/>
    <cellStyle name="40 % - Accent2 3 3 2 3 2 8" xfId="47043"/>
    <cellStyle name="40 % - Accent2 3 3 2 3 3" xfId="2240"/>
    <cellStyle name="40 % - Accent2 3 3 2 3 3 2" xfId="5485"/>
    <cellStyle name="40 % - Accent2 3 3 2 3 3 2 2" xfId="12017"/>
    <cellStyle name="40 % - Accent2 3 3 2 3 3 2 2 2" xfId="31490"/>
    <cellStyle name="40 % - Accent2 3 3 2 3 3 2 2 3" xfId="44470"/>
    <cellStyle name="40 % - Accent2 3 3 2 3 3 2 2 4" xfId="60699"/>
    <cellStyle name="40 % - Accent2 3 3 2 3 3 2 3" xfId="18510"/>
    <cellStyle name="40 % - Accent2 3 3 2 3 3 2 4" xfId="25000"/>
    <cellStyle name="40 % - Accent2 3 3 2 3 3 2 5" xfId="37980"/>
    <cellStyle name="40 % - Accent2 3 3 2 3 3 2 6" xfId="54209"/>
    <cellStyle name="40 % - Accent2 3 3 2 3 3 3" xfId="8772"/>
    <cellStyle name="40 % - Accent2 3 3 2 3 3 3 2" xfId="28245"/>
    <cellStyle name="40 % - Accent2 3 3 2 3 3 3 3" xfId="41225"/>
    <cellStyle name="40 % - Accent2 3 3 2 3 3 3 4" xfId="57454"/>
    <cellStyle name="40 % - Accent2 3 3 2 3 3 4" xfId="15265"/>
    <cellStyle name="40 % - Accent2 3 3 2 3 3 4 2" xfId="50964"/>
    <cellStyle name="40 % - Accent2 3 3 2 3 3 5" xfId="21755"/>
    <cellStyle name="40 % - Accent2 3 3 2 3 3 6" xfId="34735"/>
    <cellStyle name="40 % - Accent2 3 3 2 3 3 7" xfId="47718"/>
    <cellStyle name="40 % - Accent2 3 3 2 3 4" xfId="3862"/>
    <cellStyle name="40 % - Accent2 3 3 2 3 4 2" xfId="10394"/>
    <cellStyle name="40 % - Accent2 3 3 2 3 4 2 2" xfId="29867"/>
    <cellStyle name="40 % - Accent2 3 3 2 3 4 2 3" xfId="42847"/>
    <cellStyle name="40 % - Accent2 3 3 2 3 4 2 4" xfId="59076"/>
    <cellStyle name="40 % - Accent2 3 3 2 3 4 3" xfId="16887"/>
    <cellStyle name="40 % - Accent2 3 3 2 3 4 4" xfId="23377"/>
    <cellStyle name="40 % - Accent2 3 3 2 3 4 5" xfId="36357"/>
    <cellStyle name="40 % - Accent2 3 3 2 3 4 6" xfId="52586"/>
    <cellStyle name="40 % - Accent2 3 3 2 3 5" xfId="7149"/>
    <cellStyle name="40 % - Accent2 3 3 2 3 5 2" xfId="26622"/>
    <cellStyle name="40 % - Accent2 3 3 2 3 5 3" xfId="39602"/>
    <cellStyle name="40 % - Accent2 3 3 2 3 5 4" xfId="55831"/>
    <cellStyle name="40 % - Accent2 3 3 2 3 6" xfId="13642"/>
    <cellStyle name="40 % - Accent2 3 3 2 3 6 2" xfId="49341"/>
    <cellStyle name="40 % - Accent2 3 3 2 3 7" xfId="20132"/>
    <cellStyle name="40 % - Accent2 3 3 2 3 8" xfId="33112"/>
    <cellStyle name="40 % - Accent2 3 3 2 3 9" xfId="46095"/>
    <cellStyle name="40 % - Accent2 3 3 2 4" xfId="1058"/>
    <cellStyle name="40 % - Accent2 3 3 2 4 2" xfId="2725"/>
    <cellStyle name="40 % - Accent2 3 3 2 4 2 2" xfId="5970"/>
    <cellStyle name="40 % - Accent2 3 3 2 4 2 2 2" xfId="12502"/>
    <cellStyle name="40 % - Accent2 3 3 2 4 2 2 2 2" xfId="31975"/>
    <cellStyle name="40 % - Accent2 3 3 2 4 2 2 2 3" xfId="44955"/>
    <cellStyle name="40 % - Accent2 3 3 2 4 2 2 2 4" xfId="61184"/>
    <cellStyle name="40 % - Accent2 3 3 2 4 2 2 3" xfId="18995"/>
    <cellStyle name="40 % - Accent2 3 3 2 4 2 2 4" xfId="25485"/>
    <cellStyle name="40 % - Accent2 3 3 2 4 2 2 5" xfId="38465"/>
    <cellStyle name="40 % - Accent2 3 3 2 4 2 2 6" xfId="54694"/>
    <cellStyle name="40 % - Accent2 3 3 2 4 2 3" xfId="9257"/>
    <cellStyle name="40 % - Accent2 3 3 2 4 2 3 2" xfId="28730"/>
    <cellStyle name="40 % - Accent2 3 3 2 4 2 3 3" xfId="41710"/>
    <cellStyle name="40 % - Accent2 3 3 2 4 2 3 4" xfId="57939"/>
    <cellStyle name="40 % - Accent2 3 3 2 4 2 4" xfId="15750"/>
    <cellStyle name="40 % - Accent2 3 3 2 4 2 4 2" xfId="51449"/>
    <cellStyle name="40 % - Accent2 3 3 2 4 2 5" xfId="22240"/>
    <cellStyle name="40 % - Accent2 3 3 2 4 2 6" xfId="35220"/>
    <cellStyle name="40 % - Accent2 3 3 2 4 2 7" xfId="48203"/>
    <cellStyle name="40 % - Accent2 3 3 2 4 3" xfId="4347"/>
    <cellStyle name="40 % - Accent2 3 3 2 4 3 2" xfId="10879"/>
    <cellStyle name="40 % - Accent2 3 3 2 4 3 2 2" xfId="30352"/>
    <cellStyle name="40 % - Accent2 3 3 2 4 3 2 3" xfId="43332"/>
    <cellStyle name="40 % - Accent2 3 3 2 4 3 2 4" xfId="59561"/>
    <cellStyle name="40 % - Accent2 3 3 2 4 3 3" xfId="17372"/>
    <cellStyle name="40 % - Accent2 3 3 2 4 3 4" xfId="23862"/>
    <cellStyle name="40 % - Accent2 3 3 2 4 3 5" xfId="36842"/>
    <cellStyle name="40 % - Accent2 3 3 2 4 3 6" xfId="53071"/>
    <cellStyle name="40 % - Accent2 3 3 2 4 4" xfId="7634"/>
    <cellStyle name="40 % - Accent2 3 3 2 4 4 2" xfId="27107"/>
    <cellStyle name="40 % - Accent2 3 3 2 4 4 3" xfId="40087"/>
    <cellStyle name="40 % - Accent2 3 3 2 4 4 4" xfId="56316"/>
    <cellStyle name="40 % - Accent2 3 3 2 4 5" xfId="14127"/>
    <cellStyle name="40 % - Accent2 3 3 2 4 5 2" xfId="49826"/>
    <cellStyle name="40 % - Accent2 3 3 2 4 6" xfId="20617"/>
    <cellStyle name="40 % - Accent2 3 3 2 4 7" xfId="33597"/>
    <cellStyle name="40 % - Accent2 3 3 2 4 8" xfId="46580"/>
    <cellStyle name="40 % - Accent2 3 3 2 5" xfId="2011"/>
    <cellStyle name="40 % - Accent2 3 3 2 5 2" xfId="5256"/>
    <cellStyle name="40 % - Accent2 3 3 2 5 2 2" xfId="11788"/>
    <cellStyle name="40 % - Accent2 3 3 2 5 2 2 2" xfId="31261"/>
    <cellStyle name="40 % - Accent2 3 3 2 5 2 2 3" xfId="44241"/>
    <cellStyle name="40 % - Accent2 3 3 2 5 2 2 4" xfId="60470"/>
    <cellStyle name="40 % - Accent2 3 3 2 5 2 3" xfId="18281"/>
    <cellStyle name="40 % - Accent2 3 3 2 5 2 4" xfId="24771"/>
    <cellStyle name="40 % - Accent2 3 3 2 5 2 5" xfId="37751"/>
    <cellStyle name="40 % - Accent2 3 3 2 5 2 6" xfId="53980"/>
    <cellStyle name="40 % - Accent2 3 3 2 5 3" xfId="8543"/>
    <cellStyle name="40 % - Accent2 3 3 2 5 3 2" xfId="28016"/>
    <cellStyle name="40 % - Accent2 3 3 2 5 3 3" xfId="40996"/>
    <cellStyle name="40 % - Accent2 3 3 2 5 3 4" xfId="57225"/>
    <cellStyle name="40 % - Accent2 3 3 2 5 4" xfId="15036"/>
    <cellStyle name="40 % - Accent2 3 3 2 5 4 2" xfId="50735"/>
    <cellStyle name="40 % - Accent2 3 3 2 5 5" xfId="21526"/>
    <cellStyle name="40 % - Accent2 3 3 2 5 6" xfId="34506"/>
    <cellStyle name="40 % - Accent2 3 3 2 5 7" xfId="47489"/>
    <cellStyle name="40 % - Accent2 3 3 2 6" xfId="3632"/>
    <cellStyle name="40 % - Accent2 3 3 2 6 2" xfId="10164"/>
    <cellStyle name="40 % - Accent2 3 3 2 6 2 2" xfId="29637"/>
    <cellStyle name="40 % - Accent2 3 3 2 6 2 3" xfId="42617"/>
    <cellStyle name="40 % - Accent2 3 3 2 6 2 4" xfId="58846"/>
    <cellStyle name="40 % - Accent2 3 3 2 6 3" xfId="16657"/>
    <cellStyle name="40 % - Accent2 3 3 2 6 4" xfId="23147"/>
    <cellStyle name="40 % - Accent2 3 3 2 6 5" xfId="36127"/>
    <cellStyle name="40 % - Accent2 3 3 2 6 6" xfId="52356"/>
    <cellStyle name="40 % - Accent2 3 3 2 7" xfId="6919"/>
    <cellStyle name="40 % - Accent2 3 3 2 7 2" xfId="26392"/>
    <cellStyle name="40 % - Accent2 3 3 2 7 3" xfId="39372"/>
    <cellStyle name="40 % - Accent2 3 3 2 7 4" xfId="55601"/>
    <cellStyle name="40 % - Accent2 3 3 2 8" xfId="13412"/>
    <cellStyle name="40 % - Accent2 3 3 2 8 2" xfId="49111"/>
    <cellStyle name="40 % - Accent2 3 3 2 9" xfId="19902"/>
    <cellStyle name="40 % - Accent2 3 3 3" xfId="714"/>
    <cellStyle name="40 % - Accent2 3 3 3 10" xfId="46237"/>
    <cellStyle name="40 % - Accent2 3 3 3 2" xfId="1653"/>
    <cellStyle name="40 % - Accent2 3 3 3 2 2" xfId="3320"/>
    <cellStyle name="40 % - Accent2 3 3 3 2 2 2" xfId="6565"/>
    <cellStyle name="40 % - Accent2 3 3 3 2 2 2 2" xfId="13097"/>
    <cellStyle name="40 % - Accent2 3 3 3 2 2 2 2 2" xfId="32570"/>
    <cellStyle name="40 % - Accent2 3 3 3 2 2 2 2 3" xfId="45550"/>
    <cellStyle name="40 % - Accent2 3 3 3 2 2 2 2 4" xfId="61779"/>
    <cellStyle name="40 % - Accent2 3 3 3 2 2 2 3" xfId="19590"/>
    <cellStyle name="40 % - Accent2 3 3 3 2 2 2 4" xfId="26080"/>
    <cellStyle name="40 % - Accent2 3 3 3 2 2 2 5" xfId="39060"/>
    <cellStyle name="40 % - Accent2 3 3 3 2 2 2 6" xfId="55289"/>
    <cellStyle name="40 % - Accent2 3 3 3 2 2 3" xfId="9852"/>
    <cellStyle name="40 % - Accent2 3 3 3 2 2 3 2" xfId="29325"/>
    <cellStyle name="40 % - Accent2 3 3 3 2 2 3 3" xfId="42305"/>
    <cellStyle name="40 % - Accent2 3 3 3 2 2 3 4" xfId="58534"/>
    <cellStyle name="40 % - Accent2 3 3 3 2 2 4" xfId="16345"/>
    <cellStyle name="40 % - Accent2 3 3 3 2 2 4 2" xfId="52044"/>
    <cellStyle name="40 % - Accent2 3 3 3 2 2 5" xfId="22835"/>
    <cellStyle name="40 % - Accent2 3 3 3 2 2 6" xfId="35815"/>
    <cellStyle name="40 % - Accent2 3 3 3 2 2 7" xfId="48798"/>
    <cellStyle name="40 % - Accent2 3 3 3 2 3" xfId="4942"/>
    <cellStyle name="40 % - Accent2 3 3 3 2 3 2" xfId="11474"/>
    <cellStyle name="40 % - Accent2 3 3 3 2 3 2 2" xfId="30947"/>
    <cellStyle name="40 % - Accent2 3 3 3 2 3 2 3" xfId="43927"/>
    <cellStyle name="40 % - Accent2 3 3 3 2 3 2 4" xfId="60156"/>
    <cellStyle name="40 % - Accent2 3 3 3 2 3 3" xfId="17967"/>
    <cellStyle name="40 % - Accent2 3 3 3 2 3 4" xfId="24457"/>
    <cellStyle name="40 % - Accent2 3 3 3 2 3 5" xfId="37437"/>
    <cellStyle name="40 % - Accent2 3 3 3 2 3 6" xfId="53666"/>
    <cellStyle name="40 % - Accent2 3 3 3 2 4" xfId="8229"/>
    <cellStyle name="40 % - Accent2 3 3 3 2 4 2" xfId="27702"/>
    <cellStyle name="40 % - Accent2 3 3 3 2 4 3" xfId="40682"/>
    <cellStyle name="40 % - Accent2 3 3 3 2 4 4" xfId="56911"/>
    <cellStyle name="40 % - Accent2 3 3 3 2 5" xfId="14722"/>
    <cellStyle name="40 % - Accent2 3 3 3 2 5 2" xfId="50421"/>
    <cellStyle name="40 % - Accent2 3 3 3 2 6" xfId="21212"/>
    <cellStyle name="40 % - Accent2 3 3 3 2 7" xfId="34192"/>
    <cellStyle name="40 % - Accent2 3 3 3 2 8" xfId="47175"/>
    <cellStyle name="40 % - Accent2 3 3 3 3" xfId="1190"/>
    <cellStyle name="40 % - Accent2 3 3 3 3 2" xfId="2857"/>
    <cellStyle name="40 % - Accent2 3 3 3 3 2 2" xfId="6102"/>
    <cellStyle name="40 % - Accent2 3 3 3 3 2 2 2" xfId="12634"/>
    <cellStyle name="40 % - Accent2 3 3 3 3 2 2 2 2" xfId="32107"/>
    <cellStyle name="40 % - Accent2 3 3 3 3 2 2 2 3" xfId="45087"/>
    <cellStyle name="40 % - Accent2 3 3 3 3 2 2 2 4" xfId="61316"/>
    <cellStyle name="40 % - Accent2 3 3 3 3 2 2 3" xfId="19127"/>
    <cellStyle name="40 % - Accent2 3 3 3 3 2 2 4" xfId="25617"/>
    <cellStyle name="40 % - Accent2 3 3 3 3 2 2 5" xfId="38597"/>
    <cellStyle name="40 % - Accent2 3 3 3 3 2 2 6" xfId="54826"/>
    <cellStyle name="40 % - Accent2 3 3 3 3 2 3" xfId="9389"/>
    <cellStyle name="40 % - Accent2 3 3 3 3 2 3 2" xfId="28862"/>
    <cellStyle name="40 % - Accent2 3 3 3 3 2 3 3" xfId="41842"/>
    <cellStyle name="40 % - Accent2 3 3 3 3 2 3 4" xfId="58071"/>
    <cellStyle name="40 % - Accent2 3 3 3 3 2 4" xfId="15882"/>
    <cellStyle name="40 % - Accent2 3 3 3 3 2 4 2" xfId="51581"/>
    <cellStyle name="40 % - Accent2 3 3 3 3 2 5" xfId="22372"/>
    <cellStyle name="40 % - Accent2 3 3 3 3 2 6" xfId="35352"/>
    <cellStyle name="40 % - Accent2 3 3 3 3 2 7" xfId="48335"/>
    <cellStyle name="40 % - Accent2 3 3 3 3 3" xfId="4479"/>
    <cellStyle name="40 % - Accent2 3 3 3 3 3 2" xfId="11011"/>
    <cellStyle name="40 % - Accent2 3 3 3 3 3 2 2" xfId="30484"/>
    <cellStyle name="40 % - Accent2 3 3 3 3 3 2 3" xfId="43464"/>
    <cellStyle name="40 % - Accent2 3 3 3 3 3 2 4" xfId="59693"/>
    <cellStyle name="40 % - Accent2 3 3 3 3 3 3" xfId="17504"/>
    <cellStyle name="40 % - Accent2 3 3 3 3 3 4" xfId="23994"/>
    <cellStyle name="40 % - Accent2 3 3 3 3 3 5" xfId="36974"/>
    <cellStyle name="40 % - Accent2 3 3 3 3 3 6" xfId="53203"/>
    <cellStyle name="40 % - Accent2 3 3 3 3 4" xfId="7766"/>
    <cellStyle name="40 % - Accent2 3 3 3 3 4 2" xfId="27239"/>
    <cellStyle name="40 % - Accent2 3 3 3 3 4 3" xfId="40219"/>
    <cellStyle name="40 % - Accent2 3 3 3 3 4 4" xfId="56448"/>
    <cellStyle name="40 % - Accent2 3 3 3 3 5" xfId="14259"/>
    <cellStyle name="40 % - Accent2 3 3 3 3 5 2" xfId="49958"/>
    <cellStyle name="40 % - Accent2 3 3 3 3 6" xfId="20749"/>
    <cellStyle name="40 % - Accent2 3 3 3 3 7" xfId="33729"/>
    <cellStyle name="40 % - Accent2 3 3 3 3 8" xfId="46712"/>
    <cellStyle name="40 % - Accent2 3 3 3 4" xfId="2382"/>
    <cellStyle name="40 % - Accent2 3 3 3 4 2" xfId="5627"/>
    <cellStyle name="40 % - Accent2 3 3 3 4 2 2" xfId="12159"/>
    <cellStyle name="40 % - Accent2 3 3 3 4 2 2 2" xfId="31632"/>
    <cellStyle name="40 % - Accent2 3 3 3 4 2 2 3" xfId="44612"/>
    <cellStyle name="40 % - Accent2 3 3 3 4 2 2 4" xfId="60841"/>
    <cellStyle name="40 % - Accent2 3 3 3 4 2 3" xfId="18652"/>
    <cellStyle name="40 % - Accent2 3 3 3 4 2 4" xfId="25142"/>
    <cellStyle name="40 % - Accent2 3 3 3 4 2 5" xfId="38122"/>
    <cellStyle name="40 % - Accent2 3 3 3 4 2 6" xfId="54351"/>
    <cellStyle name="40 % - Accent2 3 3 3 4 3" xfId="8914"/>
    <cellStyle name="40 % - Accent2 3 3 3 4 3 2" xfId="28387"/>
    <cellStyle name="40 % - Accent2 3 3 3 4 3 3" xfId="41367"/>
    <cellStyle name="40 % - Accent2 3 3 3 4 3 4" xfId="57596"/>
    <cellStyle name="40 % - Accent2 3 3 3 4 4" xfId="15407"/>
    <cellStyle name="40 % - Accent2 3 3 3 4 4 2" xfId="51106"/>
    <cellStyle name="40 % - Accent2 3 3 3 4 5" xfId="21897"/>
    <cellStyle name="40 % - Accent2 3 3 3 4 6" xfId="34877"/>
    <cellStyle name="40 % - Accent2 3 3 3 4 7" xfId="47860"/>
    <cellStyle name="40 % - Accent2 3 3 3 5" xfId="4004"/>
    <cellStyle name="40 % - Accent2 3 3 3 5 2" xfId="10536"/>
    <cellStyle name="40 % - Accent2 3 3 3 5 2 2" xfId="30009"/>
    <cellStyle name="40 % - Accent2 3 3 3 5 2 3" xfId="42989"/>
    <cellStyle name="40 % - Accent2 3 3 3 5 2 4" xfId="59218"/>
    <cellStyle name="40 % - Accent2 3 3 3 5 3" xfId="17029"/>
    <cellStyle name="40 % - Accent2 3 3 3 5 4" xfId="23519"/>
    <cellStyle name="40 % - Accent2 3 3 3 5 5" xfId="36499"/>
    <cellStyle name="40 % - Accent2 3 3 3 5 6" xfId="52728"/>
    <cellStyle name="40 % - Accent2 3 3 3 6" xfId="7291"/>
    <cellStyle name="40 % - Accent2 3 3 3 6 2" xfId="26764"/>
    <cellStyle name="40 % - Accent2 3 3 3 6 3" xfId="39744"/>
    <cellStyle name="40 % - Accent2 3 3 3 6 4" xfId="55973"/>
    <cellStyle name="40 % - Accent2 3 3 3 7" xfId="13784"/>
    <cellStyle name="40 % - Accent2 3 3 3 7 2" xfId="49483"/>
    <cellStyle name="40 % - Accent2 3 3 3 8" xfId="20274"/>
    <cellStyle name="40 % - Accent2 3 3 3 9" xfId="33254"/>
    <cellStyle name="40 % - Accent2 3 3 4" xfId="484"/>
    <cellStyle name="40 % - Accent2 3 3 4 2" xfId="1433"/>
    <cellStyle name="40 % - Accent2 3 3 4 2 2" xfId="3100"/>
    <cellStyle name="40 % - Accent2 3 3 4 2 2 2" xfId="6345"/>
    <cellStyle name="40 % - Accent2 3 3 4 2 2 2 2" xfId="12877"/>
    <cellStyle name="40 % - Accent2 3 3 4 2 2 2 2 2" xfId="32350"/>
    <cellStyle name="40 % - Accent2 3 3 4 2 2 2 2 3" xfId="45330"/>
    <cellStyle name="40 % - Accent2 3 3 4 2 2 2 2 4" xfId="61559"/>
    <cellStyle name="40 % - Accent2 3 3 4 2 2 2 3" xfId="19370"/>
    <cellStyle name="40 % - Accent2 3 3 4 2 2 2 4" xfId="25860"/>
    <cellStyle name="40 % - Accent2 3 3 4 2 2 2 5" xfId="38840"/>
    <cellStyle name="40 % - Accent2 3 3 4 2 2 2 6" xfId="55069"/>
    <cellStyle name="40 % - Accent2 3 3 4 2 2 3" xfId="9632"/>
    <cellStyle name="40 % - Accent2 3 3 4 2 2 3 2" xfId="29105"/>
    <cellStyle name="40 % - Accent2 3 3 4 2 2 3 3" xfId="42085"/>
    <cellStyle name="40 % - Accent2 3 3 4 2 2 3 4" xfId="58314"/>
    <cellStyle name="40 % - Accent2 3 3 4 2 2 4" xfId="16125"/>
    <cellStyle name="40 % - Accent2 3 3 4 2 2 4 2" xfId="51824"/>
    <cellStyle name="40 % - Accent2 3 3 4 2 2 5" xfId="22615"/>
    <cellStyle name="40 % - Accent2 3 3 4 2 2 6" xfId="35595"/>
    <cellStyle name="40 % - Accent2 3 3 4 2 2 7" xfId="48578"/>
    <cellStyle name="40 % - Accent2 3 3 4 2 3" xfId="4722"/>
    <cellStyle name="40 % - Accent2 3 3 4 2 3 2" xfId="11254"/>
    <cellStyle name="40 % - Accent2 3 3 4 2 3 2 2" xfId="30727"/>
    <cellStyle name="40 % - Accent2 3 3 4 2 3 2 3" xfId="43707"/>
    <cellStyle name="40 % - Accent2 3 3 4 2 3 2 4" xfId="59936"/>
    <cellStyle name="40 % - Accent2 3 3 4 2 3 3" xfId="17747"/>
    <cellStyle name="40 % - Accent2 3 3 4 2 3 4" xfId="24237"/>
    <cellStyle name="40 % - Accent2 3 3 4 2 3 5" xfId="37217"/>
    <cellStyle name="40 % - Accent2 3 3 4 2 3 6" xfId="53446"/>
    <cellStyle name="40 % - Accent2 3 3 4 2 4" xfId="8009"/>
    <cellStyle name="40 % - Accent2 3 3 4 2 4 2" xfId="27482"/>
    <cellStyle name="40 % - Accent2 3 3 4 2 4 3" xfId="40462"/>
    <cellStyle name="40 % - Accent2 3 3 4 2 4 4" xfId="56691"/>
    <cellStyle name="40 % - Accent2 3 3 4 2 5" xfId="14502"/>
    <cellStyle name="40 % - Accent2 3 3 4 2 5 2" xfId="50201"/>
    <cellStyle name="40 % - Accent2 3 3 4 2 6" xfId="20992"/>
    <cellStyle name="40 % - Accent2 3 3 4 2 7" xfId="33972"/>
    <cellStyle name="40 % - Accent2 3 3 4 2 8" xfId="46955"/>
    <cellStyle name="40 % - Accent2 3 3 4 3" xfId="2152"/>
    <cellStyle name="40 % - Accent2 3 3 4 3 2" xfId="5397"/>
    <cellStyle name="40 % - Accent2 3 3 4 3 2 2" xfId="11929"/>
    <cellStyle name="40 % - Accent2 3 3 4 3 2 2 2" xfId="31402"/>
    <cellStyle name="40 % - Accent2 3 3 4 3 2 2 3" xfId="44382"/>
    <cellStyle name="40 % - Accent2 3 3 4 3 2 2 4" xfId="60611"/>
    <cellStyle name="40 % - Accent2 3 3 4 3 2 3" xfId="18422"/>
    <cellStyle name="40 % - Accent2 3 3 4 3 2 4" xfId="24912"/>
    <cellStyle name="40 % - Accent2 3 3 4 3 2 5" xfId="37892"/>
    <cellStyle name="40 % - Accent2 3 3 4 3 2 6" xfId="54121"/>
    <cellStyle name="40 % - Accent2 3 3 4 3 3" xfId="8684"/>
    <cellStyle name="40 % - Accent2 3 3 4 3 3 2" xfId="28157"/>
    <cellStyle name="40 % - Accent2 3 3 4 3 3 3" xfId="41137"/>
    <cellStyle name="40 % - Accent2 3 3 4 3 3 4" xfId="57366"/>
    <cellStyle name="40 % - Accent2 3 3 4 3 4" xfId="15177"/>
    <cellStyle name="40 % - Accent2 3 3 4 3 4 2" xfId="50876"/>
    <cellStyle name="40 % - Accent2 3 3 4 3 5" xfId="21667"/>
    <cellStyle name="40 % - Accent2 3 3 4 3 6" xfId="34647"/>
    <cellStyle name="40 % - Accent2 3 3 4 3 7" xfId="47630"/>
    <cellStyle name="40 % - Accent2 3 3 4 4" xfId="3774"/>
    <cellStyle name="40 % - Accent2 3 3 4 4 2" xfId="10306"/>
    <cellStyle name="40 % - Accent2 3 3 4 4 2 2" xfId="29779"/>
    <cellStyle name="40 % - Accent2 3 3 4 4 2 3" xfId="42759"/>
    <cellStyle name="40 % - Accent2 3 3 4 4 2 4" xfId="58988"/>
    <cellStyle name="40 % - Accent2 3 3 4 4 3" xfId="16799"/>
    <cellStyle name="40 % - Accent2 3 3 4 4 4" xfId="23289"/>
    <cellStyle name="40 % - Accent2 3 3 4 4 5" xfId="36269"/>
    <cellStyle name="40 % - Accent2 3 3 4 4 6" xfId="52498"/>
    <cellStyle name="40 % - Accent2 3 3 4 5" xfId="7061"/>
    <cellStyle name="40 % - Accent2 3 3 4 5 2" xfId="26534"/>
    <cellStyle name="40 % - Accent2 3 3 4 5 3" xfId="39514"/>
    <cellStyle name="40 % - Accent2 3 3 4 5 4" xfId="55743"/>
    <cellStyle name="40 % - Accent2 3 3 4 6" xfId="13554"/>
    <cellStyle name="40 % - Accent2 3 3 4 6 2" xfId="49253"/>
    <cellStyle name="40 % - Accent2 3 3 4 7" xfId="20044"/>
    <cellStyle name="40 % - Accent2 3 3 4 8" xfId="33024"/>
    <cellStyle name="40 % - Accent2 3 3 4 9" xfId="46007"/>
    <cellStyle name="40 % - Accent2 3 3 5" xfId="970"/>
    <cellStyle name="40 % - Accent2 3 3 5 2" xfId="2637"/>
    <cellStyle name="40 % - Accent2 3 3 5 2 2" xfId="5882"/>
    <cellStyle name="40 % - Accent2 3 3 5 2 2 2" xfId="12414"/>
    <cellStyle name="40 % - Accent2 3 3 5 2 2 2 2" xfId="31887"/>
    <cellStyle name="40 % - Accent2 3 3 5 2 2 2 3" xfId="44867"/>
    <cellStyle name="40 % - Accent2 3 3 5 2 2 2 4" xfId="61096"/>
    <cellStyle name="40 % - Accent2 3 3 5 2 2 3" xfId="18907"/>
    <cellStyle name="40 % - Accent2 3 3 5 2 2 4" xfId="25397"/>
    <cellStyle name="40 % - Accent2 3 3 5 2 2 5" xfId="38377"/>
    <cellStyle name="40 % - Accent2 3 3 5 2 2 6" xfId="54606"/>
    <cellStyle name="40 % - Accent2 3 3 5 2 3" xfId="9169"/>
    <cellStyle name="40 % - Accent2 3 3 5 2 3 2" xfId="28642"/>
    <cellStyle name="40 % - Accent2 3 3 5 2 3 3" xfId="41622"/>
    <cellStyle name="40 % - Accent2 3 3 5 2 3 4" xfId="57851"/>
    <cellStyle name="40 % - Accent2 3 3 5 2 4" xfId="15662"/>
    <cellStyle name="40 % - Accent2 3 3 5 2 4 2" xfId="51361"/>
    <cellStyle name="40 % - Accent2 3 3 5 2 5" xfId="22152"/>
    <cellStyle name="40 % - Accent2 3 3 5 2 6" xfId="35132"/>
    <cellStyle name="40 % - Accent2 3 3 5 2 7" xfId="48115"/>
    <cellStyle name="40 % - Accent2 3 3 5 3" xfId="4259"/>
    <cellStyle name="40 % - Accent2 3 3 5 3 2" xfId="10791"/>
    <cellStyle name="40 % - Accent2 3 3 5 3 2 2" xfId="30264"/>
    <cellStyle name="40 % - Accent2 3 3 5 3 2 3" xfId="43244"/>
    <cellStyle name="40 % - Accent2 3 3 5 3 2 4" xfId="59473"/>
    <cellStyle name="40 % - Accent2 3 3 5 3 3" xfId="17284"/>
    <cellStyle name="40 % - Accent2 3 3 5 3 4" xfId="23774"/>
    <cellStyle name="40 % - Accent2 3 3 5 3 5" xfId="36754"/>
    <cellStyle name="40 % - Accent2 3 3 5 3 6" xfId="52983"/>
    <cellStyle name="40 % - Accent2 3 3 5 4" xfId="7546"/>
    <cellStyle name="40 % - Accent2 3 3 5 4 2" xfId="27019"/>
    <cellStyle name="40 % - Accent2 3 3 5 4 3" xfId="39999"/>
    <cellStyle name="40 % - Accent2 3 3 5 4 4" xfId="56228"/>
    <cellStyle name="40 % - Accent2 3 3 5 5" xfId="14039"/>
    <cellStyle name="40 % - Accent2 3 3 5 5 2" xfId="49738"/>
    <cellStyle name="40 % - Accent2 3 3 5 6" xfId="20529"/>
    <cellStyle name="40 % - Accent2 3 3 5 7" xfId="33509"/>
    <cellStyle name="40 % - Accent2 3 3 5 8" xfId="46492"/>
    <cellStyle name="40 % - Accent2 3 3 6" xfId="1923"/>
    <cellStyle name="40 % - Accent2 3 3 6 2" xfId="5168"/>
    <cellStyle name="40 % - Accent2 3 3 6 2 2" xfId="11700"/>
    <cellStyle name="40 % - Accent2 3 3 6 2 2 2" xfId="31173"/>
    <cellStyle name="40 % - Accent2 3 3 6 2 2 3" xfId="44153"/>
    <cellStyle name="40 % - Accent2 3 3 6 2 2 4" xfId="60382"/>
    <cellStyle name="40 % - Accent2 3 3 6 2 3" xfId="18193"/>
    <cellStyle name="40 % - Accent2 3 3 6 2 4" xfId="24683"/>
    <cellStyle name="40 % - Accent2 3 3 6 2 5" xfId="37663"/>
    <cellStyle name="40 % - Accent2 3 3 6 2 6" xfId="53892"/>
    <cellStyle name="40 % - Accent2 3 3 6 3" xfId="8455"/>
    <cellStyle name="40 % - Accent2 3 3 6 3 2" xfId="27928"/>
    <cellStyle name="40 % - Accent2 3 3 6 3 3" xfId="40908"/>
    <cellStyle name="40 % - Accent2 3 3 6 3 4" xfId="57137"/>
    <cellStyle name="40 % - Accent2 3 3 6 4" xfId="14948"/>
    <cellStyle name="40 % - Accent2 3 3 6 4 2" xfId="50647"/>
    <cellStyle name="40 % - Accent2 3 3 6 5" xfId="21438"/>
    <cellStyle name="40 % - Accent2 3 3 6 6" xfId="34418"/>
    <cellStyle name="40 % - Accent2 3 3 6 7" xfId="47401"/>
    <cellStyle name="40 % - Accent2 3 3 7" xfId="3544"/>
    <cellStyle name="40 % - Accent2 3 3 7 2" xfId="10076"/>
    <cellStyle name="40 % - Accent2 3 3 7 2 2" xfId="29549"/>
    <cellStyle name="40 % - Accent2 3 3 7 2 3" xfId="42529"/>
    <cellStyle name="40 % - Accent2 3 3 7 2 4" xfId="58758"/>
    <cellStyle name="40 % - Accent2 3 3 7 3" xfId="16569"/>
    <cellStyle name="40 % - Accent2 3 3 7 4" xfId="23059"/>
    <cellStyle name="40 % - Accent2 3 3 7 5" xfId="36039"/>
    <cellStyle name="40 % - Accent2 3 3 7 6" xfId="52268"/>
    <cellStyle name="40 % - Accent2 3 3 8" xfId="6831"/>
    <cellStyle name="40 % - Accent2 3 3 8 2" xfId="26304"/>
    <cellStyle name="40 % - Accent2 3 3 8 3" xfId="39284"/>
    <cellStyle name="40 % - Accent2 3 3 8 4" xfId="55513"/>
    <cellStyle name="40 % - Accent2 3 3 9" xfId="13324"/>
    <cellStyle name="40 % - Accent2 3 3 9 2" xfId="49023"/>
    <cellStyle name="40 % - Accent2 3 4" xfId="206"/>
    <cellStyle name="40 % - Accent2 3 4 10" xfId="32750"/>
    <cellStyle name="40 % - Accent2 3 4 11" xfId="45733"/>
    <cellStyle name="40 % - Accent2 3 4 2" xfId="670"/>
    <cellStyle name="40 % - Accent2 3 4 2 10" xfId="46193"/>
    <cellStyle name="40 % - Accent2 3 4 2 2" xfId="1609"/>
    <cellStyle name="40 % - Accent2 3 4 2 2 2" xfId="3276"/>
    <cellStyle name="40 % - Accent2 3 4 2 2 2 2" xfId="6521"/>
    <cellStyle name="40 % - Accent2 3 4 2 2 2 2 2" xfId="13053"/>
    <cellStyle name="40 % - Accent2 3 4 2 2 2 2 2 2" xfId="32526"/>
    <cellStyle name="40 % - Accent2 3 4 2 2 2 2 2 3" xfId="45506"/>
    <cellStyle name="40 % - Accent2 3 4 2 2 2 2 2 4" xfId="61735"/>
    <cellStyle name="40 % - Accent2 3 4 2 2 2 2 3" xfId="19546"/>
    <cellStyle name="40 % - Accent2 3 4 2 2 2 2 4" xfId="26036"/>
    <cellStyle name="40 % - Accent2 3 4 2 2 2 2 5" xfId="39016"/>
    <cellStyle name="40 % - Accent2 3 4 2 2 2 2 6" xfId="55245"/>
    <cellStyle name="40 % - Accent2 3 4 2 2 2 3" xfId="9808"/>
    <cellStyle name="40 % - Accent2 3 4 2 2 2 3 2" xfId="29281"/>
    <cellStyle name="40 % - Accent2 3 4 2 2 2 3 3" xfId="42261"/>
    <cellStyle name="40 % - Accent2 3 4 2 2 2 3 4" xfId="58490"/>
    <cellStyle name="40 % - Accent2 3 4 2 2 2 4" xfId="16301"/>
    <cellStyle name="40 % - Accent2 3 4 2 2 2 4 2" xfId="52000"/>
    <cellStyle name="40 % - Accent2 3 4 2 2 2 5" xfId="22791"/>
    <cellStyle name="40 % - Accent2 3 4 2 2 2 6" xfId="35771"/>
    <cellStyle name="40 % - Accent2 3 4 2 2 2 7" xfId="48754"/>
    <cellStyle name="40 % - Accent2 3 4 2 2 3" xfId="4898"/>
    <cellStyle name="40 % - Accent2 3 4 2 2 3 2" xfId="11430"/>
    <cellStyle name="40 % - Accent2 3 4 2 2 3 2 2" xfId="30903"/>
    <cellStyle name="40 % - Accent2 3 4 2 2 3 2 3" xfId="43883"/>
    <cellStyle name="40 % - Accent2 3 4 2 2 3 2 4" xfId="60112"/>
    <cellStyle name="40 % - Accent2 3 4 2 2 3 3" xfId="17923"/>
    <cellStyle name="40 % - Accent2 3 4 2 2 3 4" xfId="24413"/>
    <cellStyle name="40 % - Accent2 3 4 2 2 3 5" xfId="37393"/>
    <cellStyle name="40 % - Accent2 3 4 2 2 3 6" xfId="53622"/>
    <cellStyle name="40 % - Accent2 3 4 2 2 4" xfId="8185"/>
    <cellStyle name="40 % - Accent2 3 4 2 2 4 2" xfId="27658"/>
    <cellStyle name="40 % - Accent2 3 4 2 2 4 3" xfId="40638"/>
    <cellStyle name="40 % - Accent2 3 4 2 2 4 4" xfId="56867"/>
    <cellStyle name="40 % - Accent2 3 4 2 2 5" xfId="14678"/>
    <cellStyle name="40 % - Accent2 3 4 2 2 5 2" xfId="50377"/>
    <cellStyle name="40 % - Accent2 3 4 2 2 6" xfId="21168"/>
    <cellStyle name="40 % - Accent2 3 4 2 2 7" xfId="34148"/>
    <cellStyle name="40 % - Accent2 3 4 2 2 8" xfId="47131"/>
    <cellStyle name="40 % - Accent2 3 4 2 3" xfId="1146"/>
    <cellStyle name="40 % - Accent2 3 4 2 3 2" xfId="2813"/>
    <cellStyle name="40 % - Accent2 3 4 2 3 2 2" xfId="6058"/>
    <cellStyle name="40 % - Accent2 3 4 2 3 2 2 2" xfId="12590"/>
    <cellStyle name="40 % - Accent2 3 4 2 3 2 2 2 2" xfId="32063"/>
    <cellStyle name="40 % - Accent2 3 4 2 3 2 2 2 3" xfId="45043"/>
    <cellStyle name="40 % - Accent2 3 4 2 3 2 2 2 4" xfId="61272"/>
    <cellStyle name="40 % - Accent2 3 4 2 3 2 2 3" xfId="19083"/>
    <cellStyle name="40 % - Accent2 3 4 2 3 2 2 4" xfId="25573"/>
    <cellStyle name="40 % - Accent2 3 4 2 3 2 2 5" xfId="38553"/>
    <cellStyle name="40 % - Accent2 3 4 2 3 2 2 6" xfId="54782"/>
    <cellStyle name="40 % - Accent2 3 4 2 3 2 3" xfId="9345"/>
    <cellStyle name="40 % - Accent2 3 4 2 3 2 3 2" xfId="28818"/>
    <cellStyle name="40 % - Accent2 3 4 2 3 2 3 3" xfId="41798"/>
    <cellStyle name="40 % - Accent2 3 4 2 3 2 3 4" xfId="58027"/>
    <cellStyle name="40 % - Accent2 3 4 2 3 2 4" xfId="15838"/>
    <cellStyle name="40 % - Accent2 3 4 2 3 2 4 2" xfId="51537"/>
    <cellStyle name="40 % - Accent2 3 4 2 3 2 5" xfId="22328"/>
    <cellStyle name="40 % - Accent2 3 4 2 3 2 6" xfId="35308"/>
    <cellStyle name="40 % - Accent2 3 4 2 3 2 7" xfId="48291"/>
    <cellStyle name="40 % - Accent2 3 4 2 3 3" xfId="4435"/>
    <cellStyle name="40 % - Accent2 3 4 2 3 3 2" xfId="10967"/>
    <cellStyle name="40 % - Accent2 3 4 2 3 3 2 2" xfId="30440"/>
    <cellStyle name="40 % - Accent2 3 4 2 3 3 2 3" xfId="43420"/>
    <cellStyle name="40 % - Accent2 3 4 2 3 3 2 4" xfId="59649"/>
    <cellStyle name="40 % - Accent2 3 4 2 3 3 3" xfId="17460"/>
    <cellStyle name="40 % - Accent2 3 4 2 3 3 4" xfId="23950"/>
    <cellStyle name="40 % - Accent2 3 4 2 3 3 5" xfId="36930"/>
    <cellStyle name="40 % - Accent2 3 4 2 3 3 6" xfId="53159"/>
    <cellStyle name="40 % - Accent2 3 4 2 3 4" xfId="7722"/>
    <cellStyle name="40 % - Accent2 3 4 2 3 4 2" xfId="27195"/>
    <cellStyle name="40 % - Accent2 3 4 2 3 4 3" xfId="40175"/>
    <cellStyle name="40 % - Accent2 3 4 2 3 4 4" xfId="56404"/>
    <cellStyle name="40 % - Accent2 3 4 2 3 5" xfId="14215"/>
    <cellStyle name="40 % - Accent2 3 4 2 3 5 2" xfId="49914"/>
    <cellStyle name="40 % - Accent2 3 4 2 3 6" xfId="20705"/>
    <cellStyle name="40 % - Accent2 3 4 2 3 7" xfId="33685"/>
    <cellStyle name="40 % - Accent2 3 4 2 3 8" xfId="46668"/>
    <cellStyle name="40 % - Accent2 3 4 2 4" xfId="2338"/>
    <cellStyle name="40 % - Accent2 3 4 2 4 2" xfId="5583"/>
    <cellStyle name="40 % - Accent2 3 4 2 4 2 2" xfId="12115"/>
    <cellStyle name="40 % - Accent2 3 4 2 4 2 2 2" xfId="31588"/>
    <cellStyle name="40 % - Accent2 3 4 2 4 2 2 3" xfId="44568"/>
    <cellStyle name="40 % - Accent2 3 4 2 4 2 2 4" xfId="60797"/>
    <cellStyle name="40 % - Accent2 3 4 2 4 2 3" xfId="18608"/>
    <cellStyle name="40 % - Accent2 3 4 2 4 2 4" xfId="25098"/>
    <cellStyle name="40 % - Accent2 3 4 2 4 2 5" xfId="38078"/>
    <cellStyle name="40 % - Accent2 3 4 2 4 2 6" xfId="54307"/>
    <cellStyle name="40 % - Accent2 3 4 2 4 3" xfId="8870"/>
    <cellStyle name="40 % - Accent2 3 4 2 4 3 2" xfId="28343"/>
    <cellStyle name="40 % - Accent2 3 4 2 4 3 3" xfId="41323"/>
    <cellStyle name="40 % - Accent2 3 4 2 4 3 4" xfId="57552"/>
    <cellStyle name="40 % - Accent2 3 4 2 4 4" xfId="15363"/>
    <cellStyle name="40 % - Accent2 3 4 2 4 4 2" xfId="51062"/>
    <cellStyle name="40 % - Accent2 3 4 2 4 5" xfId="21853"/>
    <cellStyle name="40 % - Accent2 3 4 2 4 6" xfId="34833"/>
    <cellStyle name="40 % - Accent2 3 4 2 4 7" xfId="47816"/>
    <cellStyle name="40 % - Accent2 3 4 2 5" xfId="3960"/>
    <cellStyle name="40 % - Accent2 3 4 2 5 2" xfId="10492"/>
    <cellStyle name="40 % - Accent2 3 4 2 5 2 2" xfId="29965"/>
    <cellStyle name="40 % - Accent2 3 4 2 5 2 3" xfId="42945"/>
    <cellStyle name="40 % - Accent2 3 4 2 5 2 4" xfId="59174"/>
    <cellStyle name="40 % - Accent2 3 4 2 5 3" xfId="16985"/>
    <cellStyle name="40 % - Accent2 3 4 2 5 4" xfId="23475"/>
    <cellStyle name="40 % - Accent2 3 4 2 5 5" xfId="36455"/>
    <cellStyle name="40 % - Accent2 3 4 2 5 6" xfId="52684"/>
    <cellStyle name="40 % - Accent2 3 4 2 6" xfId="7247"/>
    <cellStyle name="40 % - Accent2 3 4 2 6 2" xfId="26720"/>
    <cellStyle name="40 % - Accent2 3 4 2 6 3" xfId="39700"/>
    <cellStyle name="40 % - Accent2 3 4 2 6 4" xfId="55929"/>
    <cellStyle name="40 % - Accent2 3 4 2 7" xfId="13740"/>
    <cellStyle name="40 % - Accent2 3 4 2 7 2" xfId="49439"/>
    <cellStyle name="40 % - Accent2 3 4 2 8" xfId="20230"/>
    <cellStyle name="40 % - Accent2 3 4 2 9" xfId="33210"/>
    <cellStyle name="40 % - Accent2 3 4 3" xfId="440"/>
    <cellStyle name="40 % - Accent2 3 4 3 2" xfId="1389"/>
    <cellStyle name="40 % - Accent2 3 4 3 2 2" xfId="3056"/>
    <cellStyle name="40 % - Accent2 3 4 3 2 2 2" xfId="6301"/>
    <cellStyle name="40 % - Accent2 3 4 3 2 2 2 2" xfId="12833"/>
    <cellStyle name="40 % - Accent2 3 4 3 2 2 2 2 2" xfId="32306"/>
    <cellStyle name="40 % - Accent2 3 4 3 2 2 2 2 3" xfId="45286"/>
    <cellStyle name="40 % - Accent2 3 4 3 2 2 2 2 4" xfId="61515"/>
    <cellStyle name="40 % - Accent2 3 4 3 2 2 2 3" xfId="19326"/>
    <cellStyle name="40 % - Accent2 3 4 3 2 2 2 4" xfId="25816"/>
    <cellStyle name="40 % - Accent2 3 4 3 2 2 2 5" xfId="38796"/>
    <cellStyle name="40 % - Accent2 3 4 3 2 2 2 6" xfId="55025"/>
    <cellStyle name="40 % - Accent2 3 4 3 2 2 3" xfId="9588"/>
    <cellStyle name="40 % - Accent2 3 4 3 2 2 3 2" xfId="29061"/>
    <cellStyle name="40 % - Accent2 3 4 3 2 2 3 3" xfId="42041"/>
    <cellStyle name="40 % - Accent2 3 4 3 2 2 3 4" xfId="58270"/>
    <cellStyle name="40 % - Accent2 3 4 3 2 2 4" xfId="16081"/>
    <cellStyle name="40 % - Accent2 3 4 3 2 2 4 2" xfId="51780"/>
    <cellStyle name="40 % - Accent2 3 4 3 2 2 5" xfId="22571"/>
    <cellStyle name="40 % - Accent2 3 4 3 2 2 6" xfId="35551"/>
    <cellStyle name="40 % - Accent2 3 4 3 2 2 7" xfId="48534"/>
    <cellStyle name="40 % - Accent2 3 4 3 2 3" xfId="4678"/>
    <cellStyle name="40 % - Accent2 3 4 3 2 3 2" xfId="11210"/>
    <cellStyle name="40 % - Accent2 3 4 3 2 3 2 2" xfId="30683"/>
    <cellStyle name="40 % - Accent2 3 4 3 2 3 2 3" xfId="43663"/>
    <cellStyle name="40 % - Accent2 3 4 3 2 3 2 4" xfId="59892"/>
    <cellStyle name="40 % - Accent2 3 4 3 2 3 3" xfId="17703"/>
    <cellStyle name="40 % - Accent2 3 4 3 2 3 4" xfId="24193"/>
    <cellStyle name="40 % - Accent2 3 4 3 2 3 5" xfId="37173"/>
    <cellStyle name="40 % - Accent2 3 4 3 2 3 6" xfId="53402"/>
    <cellStyle name="40 % - Accent2 3 4 3 2 4" xfId="7965"/>
    <cellStyle name="40 % - Accent2 3 4 3 2 4 2" xfId="27438"/>
    <cellStyle name="40 % - Accent2 3 4 3 2 4 3" xfId="40418"/>
    <cellStyle name="40 % - Accent2 3 4 3 2 4 4" xfId="56647"/>
    <cellStyle name="40 % - Accent2 3 4 3 2 5" xfId="14458"/>
    <cellStyle name="40 % - Accent2 3 4 3 2 5 2" xfId="50157"/>
    <cellStyle name="40 % - Accent2 3 4 3 2 6" xfId="20948"/>
    <cellStyle name="40 % - Accent2 3 4 3 2 7" xfId="33928"/>
    <cellStyle name="40 % - Accent2 3 4 3 2 8" xfId="46911"/>
    <cellStyle name="40 % - Accent2 3 4 3 3" xfId="2108"/>
    <cellStyle name="40 % - Accent2 3 4 3 3 2" xfId="5353"/>
    <cellStyle name="40 % - Accent2 3 4 3 3 2 2" xfId="11885"/>
    <cellStyle name="40 % - Accent2 3 4 3 3 2 2 2" xfId="31358"/>
    <cellStyle name="40 % - Accent2 3 4 3 3 2 2 3" xfId="44338"/>
    <cellStyle name="40 % - Accent2 3 4 3 3 2 2 4" xfId="60567"/>
    <cellStyle name="40 % - Accent2 3 4 3 3 2 3" xfId="18378"/>
    <cellStyle name="40 % - Accent2 3 4 3 3 2 4" xfId="24868"/>
    <cellStyle name="40 % - Accent2 3 4 3 3 2 5" xfId="37848"/>
    <cellStyle name="40 % - Accent2 3 4 3 3 2 6" xfId="54077"/>
    <cellStyle name="40 % - Accent2 3 4 3 3 3" xfId="8640"/>
    <cellStyle name="40 % - Accent2 3 4 3 3 3 2" xfId="28113"/>
    <cellStyle name="40 % - Accent2 3 4 3 3 3 3" xfId="41093"/>
    <cellStyle name="40 % - Accent2 3 4 3 3 3 4" xfId="57322"/>
    <cellStyle name="40 % - Accent2 3 4 3 3 4" xfId="15133"/>
    <cellStyle name="40 % - Accent2 3 4 3 3 4 2" xfId="50832"/>
    <cellStyle name="40 % - Accent2 3 4 3 3 5" xfId="21623"/>
    <cellStyle name="40 % - Accent2 3 4 3 3 6" xfId="34603"/>
    <cellStyle name="40 % - Accent2 3 4 3 3 7" xfId="47586"/>
    <cellStyle name="40 % - Accent2 3 4 3 4" xfId="3730"/>
    <cellStyle name="40 % - Accent2 3 4 3 4 2" xfId="10262"/>
    <cellStyle name="40 % - Accent2 3 4 3 4 2 2" xfId="29735"/>
    <cellStyle name="40 % - Accent2 3 4 3 4 2 3" xfId="42715"/>
    <cellStyle name="40 % - Accent2 3 4 3 4 2 4" xfId="58944"/>
    <cellStyle name="40 % - Accent2 3 4 3 4 3" xfId="16755"/>
    <cellStyle name="40 % - Accent2 3 4 3 4 4" xfId="23245"/>
    <cellStyle name="40 % - Accent2 3 4 3 4 5" xfId="36225"/>
    <cellStyle name="40 % - Accent2 3 4 3 4 6" xfId="52454"/>
    <cellStyle name="40 % - Accent2 3 4 3 5" xfId="7017"/>
    <cellStyle name="40 % - Accent2 3 4 3 5 2" xfId="26490"/>
    <cellStyle name="40 % - Accent2 3 4 3 5 3" xfId="39470"/>
    <cellStyle name="40 % - Accent2 3 4 3 5 4" xfId="55699"/>
    <cellStyle name="40 % - Accent2 3 4 3 6" xfId="13510"/>
    <cellStyle name="40 % - Accent2 3 4 3 6 2" xfId="49209"/>
    <cellStyle name="40 % - Accent2 3 4 3 7" xfId="20000"/>
    <cellStyle name="40 % - Accent2 3 4 3 8" xfId="32980"/>
    <cellStyle name="40 % - Accent2 3 4 3 9" xfId="45963"/>
    <cellStyle name="40 % - Accent2 3 4 4" xfId="926"/>
    <cellStyle name="40 % - Accent2 3 4 4 2" xfId="2593"/>
    <cellStyle name="40 % - Accent2 3 4 4 2 2" xfId="5838"/>
    <cellStyle name="40 % - Accent2 3 4 4 2 2 2" xfId="12370"/>
    <cellStyle name="40 % - Accent2 3 4 4 2 2 2 2" xfId="31843"/>
    <cellStyle name="40 % - Accent2 3 4 4 2 2 2 3" xfId="44823"/>
    <cellStyle name="40 % - Accent2 3 4 4 2 2 2 4" xfId="61052"/>
    <cellStyle name="40 % - Accent2 3 4 4 2 2 3" xfId="18863"/>
    <cellStyle name="40 % - Accent2 3 4 4 2 2 4" xfId="25353"/>
    <cellStyle name="40 % - Accent2 3 4 4 2 2 5" xfId="38333"/>
    <cellStyle name="40 % - Accent2 3 4 4 2 2 6" xfId="54562"/>
    <cellStyle name="40 % - Accent2 3 4 4 2 3" xfId="9125"/>
    <cellStyle name="40 % - Accent2 3 4 4 2 3 2" xfId="28598"/>
    <cellStyle name="40 % - Accent2 3 4 4 2 3 3" xfId="41578"/>
    <cellStyle name="40 % - Accent2 3 4 4 2 3 4" xfId="57807"/>
    <cellStyle name="40 % - Accent2 3 4 4 2 4" xfId="15618"/>
    <cellStyle name="40 % - Accent2 3 4 4 2 4 2" xfId="51317"/>
    <cellStyle name="40 % - Accent2 3 4 4 2 5" xfId="22108"/>
    <cellStyle name="40 % - Accent2 3 4 4 2 6" xfId="35088"/>
    <cellStyle name="40 % - Accent2 3 4 4 2 7" xfId="48071"/>
    <cellStyle name="40 % - Accent2 3 4 4 3" xfId="4215"/>
    <cellStyle name="40 % - Accent2 3 4 4 3 2" xfId="10747"/>
    <cellStyle name="40 % - Accent2 3 4 4 3 2 2" xfId="30220"/>
    <cellStyle name="40 % - Accent2 3 4 4 3 2 3" xfId="43200"/>
    <cellStyle name="40 % - Accent2 3 4 4 3 2 4" xfId="59429"/>
    <cellStyle name="40 % - Accent2 3 4 4 3 3" xfId="17240"/>
    <cellStyle name="40 % - Accent2 3 4 4 3 4" xfId="23730"/>
    <cellStyle name="40 % - Accent2 3 4 4 3 5" xfId="36710"/>
    <cellStyle name="40 % - Accent2 3 4 4 3 6" xfId="52939"/>
    <cellStyle name="40 % - Accent2 3 4 4 4" xfId="7502"/>
    <cellStyle name="40 % - Accent2 3 4 4 4 2" xfId="26975"/>
    <cellStyle name="40 % - Accent2 3 4 4 4 3" xfId="39955"/>
    <cellStyle name="40 % - Accent2 3 4 4 4 4" xfId="56184"/>
    <cellStyle name="40 % - Accent2 3 4 4 5" xfId="13995"/>
    <cellStyle name="40 % - Accent2 3 4 4 5 2" xfId="49694"/>
    <cellStyle name="40 % - Accent2 3 4 4 6" xfId="20485"/>
    <cellStyle name="40 % - Accent2 3 4 4 7" xfId="33465"/>
    <cellStyle name="40 % - Accent2 3 4 4 8" xfId="46448"/>
    <cellStyle name="40 % - Accent2 3 4 5" xfId="1879"/>
    <cellStyle name="40 % - Accent2 3 4 5 2" xfId="5124"/>
    <cellStyle name="40 % - Accent2 3 4 5 2 2" xfId="11656"/>
    <cellStyle name="40 % - Accent2 3 4 5 2 2 2" xfId="31129"/>
    <cellStyle name="40 % - Accent2 3 4 5 2 2 3" xfId="44109"/>
    <cellStyle name="40 % - Accent2 3 4 5 2 2 4" xfId="60338"/>
    <cellStyle name="40 % - Accent2 3 4 5 2 3" xfId="18149"/>
    <cellStyle name="40 % - Accent2 3 4 5 2 4" xfId="24639"/>
    <cellStyle name="40 % - Accent2 3 4 5 2 5" xfId="37619"/>
    <cellStyle name="40 % - Accent2 3 4 5 2 6" xfId="53848"/>
    <cellStyle name="40 % - Accent2 3 4 5 3" xfId="8411"/>
    <cellStyle name="40 % - Accent2 3 4 5 3 2" xfId="27884"/>
    <cellStyle name="40 % - Accent2 3 4 5 3 3" xfId="40864"/>
    <cellStyle name="40 % - Accent2 3 4 5 3 4" xfId="57093"/>
    <cellStyle name="40 % - Accent2 3 4 5 4" xfId="14904"/>
    <cellStyle name="40 % - Accent2 3 4 5 4 2" xfId="50603"/>
    <cellStyle name="40 % - Accent2 3 4 5 5" xfId="21394"/>
    <cellStyle name="40 % - Accent2 3 4 5 6" xfId="34374"/>
    <cellStyle name="40 % - Accent2 3 4 5 7" xfId="47357"/>
    <cellStyle name="40 % - Accent2 3 4 6" xfId="3500"/>
    <cellStyle name="40 % - Accent2 3 4 6 2" xfId="10032"/>
    <cellStyle name="40 % - Accent2 3 4 6 2 2" xfId="29505"/>
    <cellStyle name="40 % - Accent2 3 4 6 2 3" xfId="42485"/>
    <cellStyle name="40 % - Accent2 3 4 6 2 4" xfId="58714"/>
    <cellStyle name="40 % - Accent2 3 4 6 3" xfId="16525"/>
    <cellStyle name="40 % - Accent2 3 4 6 4" xfId="23015"/>
    <cellStyle name="40 % - Accent2 3 4 6 5" xfId="35995"/>
    <cellStyle name="40 % - Accent2 3 4 6 6" xfId="52224"/>
    <cellStyle name="40 % - Accent2 3 4 7" xfId="6787"/>
    <cellStyle name="40 % - Accent2 3 4 7 2" xfId="26260"/>
    <cellStyle name="40 % - Accent2 3 4 7 3" xfId="39240"/>
    <cellStyle name="40 % - Accent2 3 4 7 4" xfId="55469"/>
    <cellStyle name="40 % - Accent2 3 4 8" xfId="13280"/>
    <cellStyle name="40 % - Accent2 3 4 8 2" xfId="48979"/>
    <cellStyle name="40 % - Accent2 3 4 9" xfId="19770"/>
    <cellStyle name="40 % - Accent2 3 5" xfId="294"/>
    <cellStyle name="40 % - Accent2 3 5 10" xfId="32838"/>
    <cellStyle name="40 % - Accent2 3 5 11" xfId="45821"/>
    <cellStyle name="40 % - Accent2 3 5 2" xfId="758"/>
    <cellStyle name="40 % - Accent2 3 5 2 10" xfId="46281"/>
    <cellStyle name="40 % - Accent2 3 5 2 2" xfId="1697"/>
    <cellStyle name="40 % - Accent2 3 5 2 2 2" xfId="3364"/>
    <cellStyle name="40 % - Accent2 3 5 2 2 2 2" xfId="6609"/>
    <cellStyle name="40 % - Accent2 3 5 2 2 2 2 2" xfId="13141"/>
    <cellStyle name="40 % - Accent2 3 5 2 2 2 2 2 2" xfId="32614"/>
    <cellStyle name="40 % - Accent2 3 5 2 2 2 2 2 3" xfId="45594"/>
    <cellStyle name="40 % - Accent2 3 5 2 2 2 2 2 4" xfId="61823"/>
    <cellStyle name="40 % - Accent2 3 5 2 2 2 2 3" xfId="19634"/>
    <cellStyle name="40 % - Accent2 3 5 2 2 2 2 4" xfId="26124"/>
    <cellStyle name="40 % - Accent2 3 5 2 2 2 2 5" xfId="39104"/>
    <cellStyle name="40 % - Accent2 3 5 2 2 2 2 6" xfId="55333"/>
    <cellStyle name="40 % - Accent2 3 5 2 2 2 3" xfId="9896"/>
    <cellStyle name="40 % - Accent2 3 5 2 2 2 3 2" xfId="29369"/>
    <cellStyle name="40 % - Accent2 3 5 2 2 2 3 3" xfId="42349"/>
    <cellStyle name="40 % - Accent2 3 5 2 2 2 3 4" xfId="58578"/>
    <cellStyle name="40 % - Accent2 3 5 2 2 2 4" xfId="16389"/>
    <cellStyle name="40 % - Accent2 3 5 2 2 2 4 2" xfId="52088"/>
    <cellStyle name="40 % - Accent2 3 5 2 2 2 5" xfId="22879"/>
    <cellStyle name="40 % - Accent2 3 5 2 2 2 6" xfId="35859"/>
    <cellStyle name="40 % - Accent2 3 5 2 2 2 7" xfId="48842"/>
    <cellStyle name="40 % - Accent2 3 5 2 2 3" xfId="4986"/>
    <cellStyle name="40 % - Accent2 3 5 2 2 3 2" xfId="11518"/>
    <cellStyle name="40 % - Accent2 3 5 2 2 3 2 2" xfId="30991"/>
    <cellStyle name="40 % - Accent2 3 5 2 2 3 2 3" xfId="43971"/>
    <cellStyle name="40 % - Accent2 3 5 2 2 3 2 4" xfId="60200"/>
    <cellStyle name="40 % - Accent2 3 5 2 2 3 3" xfId="18011"/>
    <cellStyle name="40 % - Accent2 3 5 2 2 3 4" xfId="24501"/>
    <cellStyle name="40 % - Accent2 3 5 2 2 3 5" xfId="37481"/>
    <cellStyle name="40 % - Accent2 3 5 2 2 3 6" xfId="53710"/>
    <cellStyle name="40 % - Accent2 3 5 2 2 4" xfId="8273"/>
    <cellStyle name="40 % - Accent2 3 5 2 2 4 2" xfId="27746"/>
    <cellStyle name="40 % - Accent2 3 5 2 2 4 3" xfId="40726"/>
    <cellStyle name="40 % - Accent2 3 5 2 2 4 4" xfId="56955"/>
    <cellStyle name="40 % - Accent2 3 5 2 2 5" xfId="14766"/>
    <cellStyle name="40 % - Accent2 3 5 2 2 5 2" xfId="50465"/>
    <cellStyle name="40 % - Accent2 3 5 2 2 6" xfId="21256"/>
    <cellStyle name="40 % - Accent2 3 5 2 2 7" xfId="34236"/>
    <cellStyle name="40 % - Accent2 3 5 2 2 8" xfId="47219"/>
    <cellStyle name="40 % - Accent2 3 5 2 3" xfId="1234"/>
    <cellStyle name="40 % - Accent2 3 5 2 3 2" xfId="2901"/>
    <cellStyle name="40 % - Accent2 3 5 2 3 2 2" xfId="6146"/>
    <cellStyle name="40 % - Accent2 3 5 2 3 2 2 2" xfId="12678"/>
    <cellStyle name="40 % - Accent2 3 5 2 3 2 2 2 2" xfId="32151"/>
    <cellStyle name="40 % - Accent2 3 5 2 3 2 2 2 3" xfId="45131"/>
    <cellStyle name="40 % - Accent2 3 5 2 3 2 2 2 4" xfId="61360"/>
    <cellStyle name="40 % - Accent2 3 5 2 3 2 2 3" xfId="19171"/>
    <cellStyle name="40 % - Accent2 3 5 2 3 2 2 4" xfId="25661"/>
    <cellStyle name="40 % - Accent2 3 5 2 3 2 2 5" xfId="38641"/>
    <cellStyle name="40 % - Accent2 3 5 2 3 2 2 6" xfId="54870"/>
    <cellStyle name="40 % - Accent2 3 5 2 3 2 3" xfId="9433"/>
    <cellStyle name="40 % - Accent2 3 5 2 3 2 3 2" xfId="28906"/>
    <cellStyle name="40 % - Accent2 3 5 2 3 2 3 3" xfId="41886"/>
    <cellStyle name="40 % - Accent2 3 5 2 3 2 3 4" xfId="58115"/>
    <cellStyle name="40 % - Accent2 3 5 2 3 2 4" xfId="15926"/>
    <cellStyle name="40 % - Accent2 3 5 2 3 2 4 2" xfId="51625"/>
    <cellStyle name="40 % - Accent2 3 5 2 3 2 5" xfId="22416"/>
    <cellStyle name="40 % - Accent2 3 5 2 3 2 6" xfId="35396"/>
    <cellStyle name="40 % - Accent2 3 5 2 3 2 7" xfId="48379"/>
    <cellStyle name="40 % - Accent2 3 5 2 3 3" xfId="4523"/>
    <cellStyle name="40 % - Accent2 3 5 2 3 3 2" xfId="11055"/>
    <cellStyle name="40 % - Accent2 3 5 2 3 3 2 2" xfId="30528"/>
    <cellStyle name="40 % - Accent2 3 5 2 3 3 2 3" xfId="43508"/>
    <cellStyle name="40 % - Accent2 3 5 2 3 3 2 4" xfId="59737"/>
    <cellStyle name="40 % - Accent2 3 5 2 3 3 3" xfId="17548"/>
    <cellStyle name="40 % - Accent2 3 5 2 3 3 4" xfId="24038"/>
    <cellStyle name="40 % - Accent2 3 5 2 3 3 5" xfId="37018"/>
    <cellStyle name="40 % - Accent2 3 5 2 3 3 6" xfId="53247"/>
    <cellStyle name="40 % - Accent2 3 5 2 3 4" xfId="7810"/>
    <cellStyle name="40 % - Accent2 3 5 2 3 4 2" xfId="27283"/>
    <cellStyle name="40 % - Accent2 3 5 2 3 4 3" xfId="40263"/>
    <cellStyle name="40 % - Accent2 3 5 2 3 4 4" xfId="56492"/>
    <cellStyle name="40 % - Accent2 3 5 2 3 5" xfId="14303"/>
    <cellStyle name="40 % - Accent2 3 5 2 3 5 2" xfId="50002"/>
    <cellStyle name="40 % - Accent2 3 5 2 3 6" xfId="20793"/>
    <cellStyle name="40 % - Accent2 3 5 2 3 7" xfId="33773"/>
    <cellStyle name="40 % - Accent2 3 5 2 3 8" xfId="46756"/>
    <cellStyle name="40 % - Accent2 3 5 2 4" xfId="2426"/>
    <cellStyle name="40 % - Accent2 3 5 2 4 2" xfId="5671"/>
    <cellStyle name="40 % - Accent2 3 5 2 4 2 2" xfId="12203"/>
    <cellStyle name="40 % - Accent2 3 5 2 4 2 2 2" xfId="31676"/>
    <cellStyle name="40 % - Accent2 3 5 2 4 2 2 3" xfId="44656"/>
    <cellStyle name="40 % - Accent2 3 5 2 4 2 2 4" xfId="60885"/>
    <cellStyle name="40 % - Accent2 3 5 2 4 2 3" xfId="18696"/>
    <cellStyle name="40 % - Accent2 3 5 2 4 2 4" xfId="25186"/>
    <cellStyle name="40 % - Accent2 3 5 2 4 2 5" xfId="38166"/>
    <cellStyle name="40 % - Accent2 3 5 2 4 2 6" xfId="54395"/>
    <cellStyle name="40 % - Accent2 3 5 2 4 3" xfId="8958"/>
    <cellStyle name="40 % - Accent2 3 5 2 4 3 2" xfId="28431"/>
    <cellStyle name="40 % - Accent2 3 5 2 4 3 3" xfId="41411"/>
    <cellStyle name="40 % - Accent2 3 5 2 4 3 4" xfId="57640"/>
    <cellStyle name="40 % - Accent2 3 5 2 4 4" xfId="15451"/>
    <cellStyle name="40 % - Accent2 3 5 2 4 4 2" xfId="51150"/>
    <cellStyle name="40 % - Accent2 3 5 2 4 5" xfId="21941"/>
    <cellStyle name="40 % - Accent2 3 5 2 4 6" xfId="34921"/>
    <cellStyle name="40 % - Accent2 3 5 2 4 7" xfId="47904"/>
    <cellStyle name="40 % - Accent2 3 5 2 5" xfId="4048"/>
    <cellStyle name="40 % - Accent2 3 5 2 5 2" xfId="10580"/>
    <cellStyle name="40 % - Accent2 3 5 2 5 2 2" xfId="30053"/>
    <cellStyle name="40 % - Accent2 3 5 2 5 2 3" xfId="43033"/>
    <cellStyle name="40 % - Accent2 3 5 2 5 2 4" xfId="59262"/>
    <cellStyle name="40 % - Accent2 3 5 2 5 3" xfId="17073"/>
    <cellStyle name="40 % - Accent2 3 5 2 5 4" xfId="23563"/>
    <cellStyle name="40 % - Accent2 3 5 2 5 5" xfId="36543"/>
    <cellStyle name="40 % - Accent2 3 5 2 5 6" xfId="52772"/>
    <cellStyle name="40 % - Accent2 3 5 2 6" xfId="7335"/>
    <cellStyle name="40 % - Accent2 3 5 2 6 2" xfId="26808"/>
    <cellStyle name="40 % - Accent2 3 5 2 6 3" xfId="39788"/>
    <cellStyle name="40 % - Accent2 3 5 2 6 4" xfId="56017"/>
    <cellStyle name="40 % - Accent2 3 5 2 7" xfId="13828"/>
    <cellStyle name="40 % - Accent2 3 5 2 7 2" xfId="49527"/>
    <cellStyle name="40 % - Accent2 3 5 2 8" xfId="20318"/>
    <cellStyle name="40 % - Accent2 3 5 2 9" xfId="33298"/>
    <cellStyle name="40 % - Accent2 3 5 3" xfId="528"/>
    <cellStyle name="40 % - Accent2 3 5 3 2" xfId="1477"/>
    <cellStyle name="40 % - Accent2 3 5 3 2 2" xfId="3144"/>
    <cellStyle name="40 % - Accent2 3 5 3 2 2 2" xfId="6389"/>
    <cellStyle name="40 % - Accent2 3 5 3 2 2 2 2" xfId="12921"/>
    <cellStyle name="40 % - Accent2 3 5 3 2 2 2 2 2" xfId="32394"/>
    <cellStyle name="40 % - Accent2 3 5 3 2 2 2 2 3" xfId="45374"/>
    <cellStyle name="40 % - Accent2 3 5 3 2 2 2 2 4" xfId="61603"/>
    <cellStyle name="40 % - Accent2 3 5 3 2 2 2 3" xfId="19414"/>
    <cellStyle name="40 % - Accent2 3 5 3 2 2 2 4" xfId="25904"/>
    <cellStyle name="40 % - Accent2 3 5 3 2 2 2 5" xfId="38884"/>
    <cellStyle name="40 % - Accent2 3 5 3 2 2 2 6" xfId="55113"/>
    <cellStyle name="40 % - Accent2 3 5 3 2 2 3" xfId="9676"/>
    <cellStyle name="40 % - Accent2 3 5 3 2 2 3 2" xfId="29149"/>
    <cellStyle name="40 % - Accent2 3 5 3 2 2 3 3" xfId="42129"/>
    <cellStyle name="40 % - Accent2 3 5 3 2 2 3 4" xfId="58358"/>
    <cellStyle name="40 % - Accent2 3 5 3 2 2 4" xfId="16169"/>
    <cellStyle name="40 % - Accent2 3 5 3 2 2 4 2" xfId="51868"/>
    <cellStyle name="40 % - Accent2 3 5 3 2 2 5" xfId="22659"/>
    <cellStyle name="40 % - Accent2 3 5 3 2 2 6" xfId="35639"/>
    <cellStyle name="40 % - Accent2 3 5 3 2 2 7" xfId="48622"/>
    <cellStyle name="40 % - Accent2 3 5 3 2 3" xfId="4766"/>
    <cellStyle name="40 % - Accent2 3 5 3 2 3 2" xfId="11298"/>
    <cellStyle name="40 % - Accent2 3 5 3 2 3 2 2" xfId="30771"/>
    <cellStyle name="40 % - Accent2 3 5 3 2 3 2 3" xfId="43751"/>
    <cellStyle name="40 % - Accent2 3 5 3 2 3 2 4" xfId="59980"/>
    <cellStyle name="40 % - Accent2 3 5 3 2 3 3" xfId="17791"/>
    <cellStyle name="40 % - Accent2 3 5 3 2 3 4" xfId="24281"/>
    <cellStyle name="40 % - Accent2 3 5 3 2 3 5" xfId="37261"/>
    <cellStyle name="40 % - Accent2 3 5 3 2 3 6" xfId="53490"/>
    <cellStyle name="40 % - Accent2 3 5 3 2 4" xfId="8053"/>
    <cellStyle name="40 % - Accent2 3 5 3 2 4 2" xfId="27526"/>
    <cellStyle name="40 % - Accent2 3 5 3 2 4 3" xfId="40506"/>
    <cellStyle name="40 % - Accent2 3 5 3 2 4 4" xfId="56735"/>
    <cellStyle name="40 % - Accent2 3 5 3 2 5" xfId="14546"/>
    <cellStyle name="40 % - Accent2 3 5 3 2 5 2" xfId="50245"/>
    <cellStyle name="40 % - Accent2 3 5 3 2 6" xfId="21036"/>
    <cellStyle name="40 % - Accent2 3 5 3 2 7" xfId="34016"/>
    <cellStyle name="40 % - Accent2 3 5 3 2 8" xfId="46999"/>
    <cellStyle name="40 % - Accent2 3 5 3 3" xfId="2196"/>
    <cellStyle name="40 % - Accent2 3 5 3 3 2" xfId="5441"/>
    <cellStyle name="40 % - Accent2 3 5 3 3 2 2" xfId="11973"/>
    <cellStyle name="40 % - Accent2 3 5 3 3 2 2 2" xfId="31446"/>
    <cellStyle name="40 % - Accent2 3 5 3 3 2 2 3" xfId="44426"/>
    <cellStyle name="40 % - Accent2 3 5 3 3 2 2 4" xfId="60655"/>
    <cellStyle name="40 % - Accent2 3 5 3 3 2 3" xfId="18466"/>
    <cellStyle name="40 % - Accent2 3 5 3 3 2 4" xfId="24956"/>
    <cellStyle name="40 % - Accent2 3 5 3 3 2 5" xfId="37936"/>
    <cellStyle name="40 % - Accent2 3 5 3 3 2 6" xfId="54165"/>
    <cellStyle name="40 % - Accent2 3 5 3 3 3" xfId="8728"/>
    <cellStyle name="40 % - Accent2 3 5 3 3 3 2" xfId="28201"/>
    <cellStyle name="40 % - Accent2 3 5 3 3 3 3" xfId="41181"/>
    <cellStyle name="40 % - Accent2 3 5 3 3 3 4" xfId="57410"/>
    <cellStyle name="40 % - Accent2 3 5 3 3 4" xfId="15221"/>
    <cellStyle name="40 % - Accent2 3 5 3 3 4 2" xfId="50920"/>
    <cellStyle name="40 % - Accent2 3 5 3 3 5" xfId="21711"/>
    <cellStyle name="40 % - Accent2 3 5 3 3 6" xfId="34691"/>
    <cellStyle name="40 % - Accent2 3 5 3 3 7" xfId="47674"/>
    <cellStyle name="40 % - Accent2 3 5 3 4" xfId="3818"/>
    <cellStyle name="40 % - Accent2 3 5 3 4 2" xfId="10350"/>
    <cellStyle name="40 % - Accent2 3 5 3 4 2 2" xfId="29823"/>
    <cellStyle name="40 % - Accent2 3 5 3 4 2 3" xfId="42803"/>
    <cellStyle name="40 % - Accent2 3 5 3 4 2 4" xfId="59032"/>
    <cellStyle name="40 % - Accent2 3 5 3 4 3" xfId="16843"/>
    <cellStyle name="40 % - Accent2 3 5 3 4 4" xfId="23333"/>
    <cellStyle name="40 % - Accent2 3 5 3 4 5" xfId="36313"/>
    <cellStyle name="40 % - Accent2 3 5 3 4 6" xfId="52542"/>
    <cellStyle name="40 % - Accent2 3 5 3 5" xfId="7105"/>
    <cellStyle name="40 % - Accent2 3 5 3 5 2" xfId="26578"/>
    <cellStyle name="40 % - Accent2 3 5 3 5 3" xfId="39558"/>
    <cellStyle name="40 % - Accent2 3 5 3 5 4" xfId="55787"/>
    <cellStyle name="40 % - Accent2 3 5 3 6" xfId="13598"/>
    <cellStyle name="40 % - Accent2 3 5 3 6 2" xfId="49297"/>
    <cellStyle name="40 % - Accent2 3 5 3 7" xfId="20088"/>
    <cellStyle name="40 % - Accent2 3 5 3 8" xfId="33068"/>
    <cellStyle name="40 % - Accent2 3 5 3 9" xfId="46051"/>
    <cellStyle name="40 % - Accent2 3 5 4" xfId="1014"/>
    <cellStyle name="40 % - Accent2 3 5 4 2" xfId="2681"/>
    <cellStyle name="40 % - Accent2 3 5 4 2 2" xfId="5926"/>
    <cellStyle name="40 % - Accent2 3 5 4 2 2 2" xfId="12458"/>
    <cellStyle name="40 % - Accent2 3 5 4 2 2 2 2" xfId="31931"/>
    <cellStyle name="40 % - Accent2 3 5 4 2 2 2 3" xfId="44911"/>
    <cellStyle name="40 % - Accent2 3 5 4 2 2 2 4" xfId="61140"/>
    <cellStyle name="40 % - Accent2 3 5 4 2 2 3" xfId="18951"/>
    <cellStyle name="40 % - Accent2 3 5 4 2 2 4" xfId="25441"/>
    <cellStyle name="40 % - Accent2 3 5 4 2 2 5" xfId="38421"/>
    <cellStyle name="40 % - Accent2 3 5 4 2 2 6" xfId="54650"/>
    <cellStyle name="40 % - Accent2 3 5 4 2 3" xfId="9213"/>
    <cellStyle name="40 % - Accent2 3 5 4 2 3 2" xfId="28686"/>
    <cellStyle name="40 % - Accent2 3 5 4 2 3 3" xfId="41666"/>
    <cellStyle name="40 % - Accent2 3 5 4 2 3 4" xfId="57895"/>
    <cellStyle name="40 % - Accent2 3 5 4 2 4" xfId="15706"/>
    <cellStyle name="40 % - Accent2 3 5 4 2 4 2" xfId="51405"/>
    <cellStyle name="40 % - Accent2 3 5 4 2 5" xfId="22196"/>
    <cellStyle name="40 % - Accent2 3 5 4 2 6" xfId="35176"/>
    <cellStyle name="40 % - Accent2 3 5 4 2 7" xfId="48159"/>
    <cellStyle name="40 % - Accent2 3 5 4 3" xfId="4303"/>
    <cellStyle name="40 % - Accent2 3 5 4 3 2" xfId="10835"/>
    <cellStyle name="40 % - Accent2 3 5 4 3 2 2" xfId="30308"/>
    <cellStyle name="40 % - Accent2 3 5 4 3 2 3" xfId="43288"/>
    <cellStyle name="40 % - Accent2 3 5 4 3 2 4" xfId="59517"/>
    <cellStyle name="40 % - Accent2 3 5 4 3 3" xfId="17328"/>
    <cellStyle name="40 % - Accent2 3 5 4 3 4" xfId="23818"/>
    <cellStyle name="40 % - Accent2 3 5 4 3 5" xfId="36798"/>
    <cellStyle name="40 % - Accent2 3 5 4 3 6" xfId="53027"/>
    <cellStyle name="40 % - Accent2 3 5 4 4" xfId="7590"/>
    <cellStyle name="40 % - Accent2 3 5 4 4 2" xfId="27063"/>
    <cellStyle name="40 % - Accent2 3 5 4 4 3" xfId="40043"/>
    <cellStyle name="40 % - Accent2 3 5 4 4 4" xfId="56272"/>
    <cellStyle name="40 % - Accent2 3 5 4 5" xfId="14083"/>
    <cellStyle name="40 % - Accent2 3 5 4 5 2" xfId="49782"/>
    <cellStyle name="40 % - Accent2 3 5 4 6" xfId="20573"/>
    <cellStyle name="40 % - Accent2 3 5 4 7" xfId="33553"/>
    <cellStyle name="40 % - Accent2 3 5 4 8" xfId="46536"/>
    <cellStyle name="40 % - Accent2 3 5 5" xfId="1967"/>
    <cellStyle name="40 % - Accent2 3 5 5 2" xfId="5212"/>
    <cellStyle name="40 % - Accent2 3 5 5 2 2" xfId="11744"/>
    <cellStyle name="40 % - Accent2 3 5 5 2 2 2" xfId="31217"/>
    <cellStyle name="40 % - Accent2 3 5 5 2 2 3" xfId="44197"/>
    <cellStyle name="40 % - Accent2 3 5 5 2 2 4" xfId="60426"/>
    <cellStyle name="40 % - Accent2 3 5 5 2 3" xfId="18237"/>
    <cellStyle name="40 % - Accent2 3 5 5 2 4" xfId="24727"/>
    <cellStyle name="40 % - Accent2 3 5 5 2 5" xfId="37707"/>
    <cellStyle name="40 % - Accent2 3 5 5 2 6" xfId="53936"/>
    <cellStyle name="40 % - Accent2 3 5 5 3" xfId="8499"/>
    <cellStyle name="40 % - Accent2 3 5 5 3 2" xfId="27972"/>
    <cellStyle name="40 % - Accent2 3 5 5 3 3" xfId="40952"/>
    <cellStyle name="40 % - Accent2 3 5 5 3 4" xfId="57181"/>
    <cellStyle name="40 % - Accent2 3 5 5 4" xfId="14992"/>
    <cellStyle name="40 % - Accent2 3 5 5 4 2" xfId="50691"/>
    <cellStyle name="40 % - Accent2 3 5 5 5" xfId="21482"/>
    <cellStyle name="40 % - Accent2 3 5 5 6" xfId="34462"/>
    <cellStyle name="40 % - Accent2 3 5 5 7" xfId="47445"/>
    <cellStyle name="40 % - Accent2 3 5 6" xfId="3588"/>
    <cellStyle name="40 % - Accent2 3 5 6 2" xfId="10120"/>
    <cellStyle name="40 % - Accent2 3 5 6 2 2" xfId="29593"/>
    <cellStyle name="40 % - Accent2 3 5 6 2 3" xfId="42573"/>
    <cellStyle name="40 % - Accent2 3 5 6 2 4" xfId="58802"/>
    <cellStyle name="40 % - Accent2 3 5 6 3" xfId="16613"/>
    <cellStyle name="40 % - Accent2 3 5 6 4" xfId="23103"/>
    <cellStyle name="40 % - Accent2 3 5 6 5" xfId="36083"/>
    <cellStyle name="40 % - Accent2 3 5 6 6" xfId="52312"/>
    <cellStyle name="40 % - Accent2 3 5 7" xfId="6875"/>
    <cellStyle name="40 % - Accent2 3 5 7 2" xfId="26348"/>
    <cellStyle name="40 % - Accent2 3 5 7 3" xfId="39328"/>
    <cellStyle name="40 % - Accent2 3 5 7 4" xfId="55557"/>
    <cellStyle name="40 % - Accent2 3 5 8" xfId="13368"/>
    <cellStyle name="40 % - Accent2 3 5 8 2" xfId="49067"/>
    <cellStyle name="40 % - Accent2 3 5 9" xfId="19858"/>
    <cellStyle name="40 % - Accent2 3 6" xfId="626"/>
    <cellStyle name="40 % - Accent2 3 6 10" xfId="46149"/>
    <cellStyle name="40 % - Accent2 3 6 2" xfId="1345"/>
    <cellStyle name="40 % - Accent2 3 6 2 2" xfId="3012"/>
    <cellStyle name="40 % - Accent2 3 6 2 2 2" xfId="6257"/>
    <cellStyle name="40 % - Accent2 3 6 2 2 2 2" xfId="12789"/>
    <cellStyle name="40 % - Accent2 3 6 2 2 2 2 2" xfId="32262"/>
    <cellStyle name="40 % - Accent2 3 6 2 2 2 2 3" xfId="45242"/>
    <cellStyle name="40 % - Accent2 3 6 2 2 2 2 4" xfId="61471"/>
    <cellStyle name="40 % - Accent2 3 6 2 2 2 3" xfId="19282"/>
    <cellStyle name="40 % - Accent2 3 6 2 2 2 4" xfId="25772"/>
    <cellStyle name="40 % - Accent2 3 6 2 2 2 5" xfId="38752"/>
    <cellStyle name="40 % - Accent2 3 6 2 2 2 6" xfId="54981"/>
    <cellStyle name="40 % - Accent2 3 6 2 2 3" xfId="9544"/>
    <cellStyle name="40 % - Accent2 3 6 2 2 3 2" xfId="29017"/>
    <cellStyle name="40 % - Accent2 3 6 2 2 3 3" xfId="41997"/>
    <cellStyle name="40 % - Accent2 3 6 2 2 3 4" xfId="58226"/>
    <cellStyle name="40 % - Accent2 3 6 2 2 4" xfId="16037"/>
    <cellStyle name="40 % - Accent2 3 6 2 2 4 2" xfId="51736"/>
    <cellStyle name="40 % - Accent2 3 6 2 2 5" xfId="22527"/>
    <cellStyle name="40 % - Accent2 3 6 2 2 6" xfId="35507"/>
    <cellStyle name="40 % - Accent2 3 6 2 2 7" xfId="48490"/>
    <cellStyle name="40 % - Accent2 3 6 2 3" xfId="4634"/>
    <cellStyle name="40 % - Accent2 3 6 2 3 2" xfId="11166"/>
    <cellStyle name="40 % - Accent2 3 6 2 3 2 2" xfId="30639"/>
    <cellStyle name="40 % - Accent2 3 6 2 3 2 3" xfId="43619"/>
    <cellStyle name="40 % - Accent2 3 6 2 3 2 4" xfId="59848"/>
    <cellStyle name="40 % - Accent2 3 6 2 3 3" xfId="17659"/>
    <cellStyle name="40 % - Accent2 3 6 2 3 4" xfId="24149"/>
    <cellStyle name="40 % - Accent2 3 6 2 3 5" xfId="37129"/>
    <cellStyle name="40 % - Accent2 3 6 2 3 6" xfId="53358"/>
    <cellStyle name="40 % - Accent2 3 6 2 4" xfId="7921"/>
    <cellStyle name="40 % - Accent2 3 6 2 4 2" xfId="27394"/>
    <cellStyle name="40 % - Accent2 3 6 2 4 3" xfId="40374"/>
    <cellStyle name="40 % - Accent2 3 6 2 4 4" xfId="56603"/>
    <cellStyle name="40 % - Accent2 3 6 2 5" xfId="14414"/>
    <cellStyle name="40 % - Accent2 3 6 2 5 2" xfId="50113"/>
    <cellStyle name="40 % - Accent2 3 6 2 6" xfId="20904"/>
    <cellStyle name="40 % - Accent2 3 6 2 7" xfId="33884"/>
    <cellStyle name="40 % - Accent2 3 6 2 8" xfId="46867"/>
    <cellStyle name="40 % - Accent2 3 6 3" xfId="881"/>
    <cellStyle name="40 % - Accent2 3 6 3 2" xfId="2549"/>
    <cellStyle name="40 % - Accent2 3 6 3 2 2" xfId="5794"/>
    <cellStyle name="40 % - Accent2 3 6 3 2 2 2" xfId="12326"/>
    <cellStyle name="40 % - Accent2 3 6 3 2 2 2 2" xfId="31799"/>
    <cellStyle name="40 % - Accent2 3 6 3 2 2 2 3" xfId="44779"/>
    <cellStyle name="40 % - Accent2 3 6 3 2 2 2 4" xfId="61008"/>
    <cellStyle name="40 % - Accent2 3 6 3 2 2 3" xfId="18819"/>
    <cellStyle name="40 % - Accent2 3 6 3 2 2 4" xfId="25309"/>
    <cellStyle name="40 % - Accent2 3 6 3 2 2 5" xfId="38289"/>
    <cellStyle name="40 % - Accent2 3 6 3 2 2 6" xfId="54518"/>
    <cellStyle name="40 % - Accent2 3 6 3 2 3" xfId="9081"/>
    <cellStyle name="40 % - Accent2 3 6 3 2 3 2" xfId="28554"/>
    <cellStyle name="40 % - Accent2 3 6 3 2 3 3" xfId="41534"/>
    <cellStyle name="40 % - Accent2 3 6 3 2 3 4" xfId="57763"/>
    <cellStyle name="40 % - Accent2 3 6 3 2 4" xfId="15574"/>
    <cellStyle name="40 % - Accent2 3 6 3 2 4 2" xfId="51273"/>
    <cellStyle name="40 % - Accent2 3 6 3 2 5" xfId="22064"/>
    <cellStyle name="40 % - Accent2 3 6 3 2 6" xfId="35044"/>
    <cellStyle name="40 % - Accent2 3 6 3 2 7" xfId="48027"/>
    <cellStyle name="40 % - Accent2 3 6 3 3" xfId="4171"/>
    <cellStyle name="40 % - Accent2 3 6 3 3 2" xfId="10703"/>
    <cellStyle name="40 % - Accent2 3 6 3 3 2 2" xfId="30176"/>
    <cellStyle name="40 % - Accent2 3 6 3 3 2 3" xfId="43156"/>
    <cellStyle name="40 % - Accent2 3 6 3 3 2 4" xfId="59385"/>
    <cellStyle name="40 % - Accent2 3 6 3 3 3" xfId="17196"/>
    <cellStyle name="40 % - Accent2 3 6 3 3 4" xfId="23686"/>
    <cellStyle name="40 % - Accent2 3 6 3 3 5" xfId="36666"/>
    <cellStyle name="40 % - Accent2 3 6 3 3 6" xfId="52895"/>
    <cellStyle name="40 % - Accent2 3 6 3 4" xfId="7458"/>
    <cellStyle name="40 % - Accent2 3 6 3 4 2" xfId="26931"/>
    <cellStyle name="40 % - Accent2 3 6 3 4 3" xfId="39911"/>
    <cellStyle name="40 % - Accent2 3 6 3 4 4" xfId="56140"/>
    <cellStyle name="40 % - Accent2 3 6 3 5" xfId="13951"/>
    <cellStyle name="40 % - Accent2 3 6 3 5 2" xfId="49650"/>
    <cellStyle name="40 % - Accent2 3 6 3 6" xfId="20441"/>
    <cellStyle name="40 % - Accent2 3 6 3 7" xfId="33421"/>
    <cellStyle name="40 % - Accent2 3 6 3 8" xfId="46404"/>
    <cellStyle name="40 % - Accent2 3 6 4" xfId="2294"/>
    <cellStyle name="40 % - Accent2 3 6 4 2" xfId="5539"/>
    <cellStyle name="40 % - Accent2 3 6 4 2 2" xfId="12071"/>
    <cellStyle name="40 % - Accent2 3 6 4 2 2 2" xfId="31544"/>
    <cellStyle name="40 % - Accent2 3 6 4 2 2 3" xfId="44524"/>
    <cellStyle name="40 % - Accent2 3 6 4 2 2 4" xfId="60753"/>
    <cellStyle name="40 % - Accent2 3 6 4 2 3" xfId="18564"/>
    <cellStyle name="40 % - Accent2 3 6 4 2 4" xfId="25054"/>
    <cellStyle name="40 % - Accent2 3 6 4 2 5" xfId="38034"/>
    <cellStyle name="40 % - Accent2 3 6 4 2 6" xfId="54263"/>
    <cellStyle name="40 % - Accent2 3 6 4 3" xfId="8826"/>
    <cellStyle name="40 % - Accent2 3 6 4 3 2" xfId="28299"/>
    <cellStyle name="40 % - Accent2 3 6 4 3 3" xfId="41279"/>
    <cellStyle name="40 % - Accent2 3 6 4 3 4" xfId="57508"/>
    <cellStyle name="40 % - Accent2 3 6 4 4" xfId="15319"/>
    <cellStyle name="40 % - Accent2 3 6 4 4 2" xfId="51018"/>
    <cellStyle name="40 % - Accent2 3 6 4 5" xfId="21809"/>
    <cellStyle name="40 % - Accent2 3 6 4 6" xfId="34789"/>
    <cellStyle name="40 % - Accent2 3 6 4 7" xfId="47772"/>
    <cellStyle name="40 % - Accent2 3 6 5" xfId="3916"/>
    <cellStyle name="40 % - Accent2 3 6 5 2" xfId="10448"/>
    <cellStyle name="40 % - Accent2 3 6 5 2 2" xfId="29921"/>
    <cellStyle name="40 % - Accent2 3 6 5 2 3" xfId="42901"/>
    <cellStyle name="40 % - Accent2 3 6 5 2 4" xfId="59130"/>
    <cellStyle name="40 % - Accent2 3 6 5 3" xfId="16941"/>
    <cellStyle name="40 % - Accent2 3 6 5 4" xfId="23431"/>
    <cellStyle name="40 % - Accent2 3 6 5 5" xfId="36411"/>
    <cellStyle name="40 % - Accent2 3 6 5 6" xfId="52640"/>
    <cellStyle name="40 % - Accent2 3 6 6" xfId="7203"/>
    <cellStyle name="40 % - Accent2 3 6 6 2" xfId="26676"/>
    <cellStyle name="40 % - Accent2 3 6 6 3" xfId="39656"/>
    <cellStyle name="40 % - Accent2 3 6 6 4" xfId="55885"/>
    <cellStyle name="40 % - Accent2 3 6 7" xfId="13696"/>
    <cellStyle name="40 % - Accent2 3 6 7 2" xfId="49395"/>
    <cellStyle name="40 % - Accent2 3 6 8" xfId="20186"/>
    <cellStyle name="40 % - Accent2 3 6 9" xfId="33166"/>
    <cellStyle name="40 % - Accent2 3 7" xfId="396"/>
    <cellStyle name="40 % - Accent2 3 7 10" xfId="45919"/>
    <cellStyle name="40 % - Accent2 3 7 2" xfId="1565"/>
    <cellStyle name="40 % - Accent2 3 7 2 2" xfId="3232"/>
    <cellStyle name="40 % - Accent2 3 7 2 2 2" xfId="6477"/>
    <cellStyle name="40 % - Accent2 3 7 2 2 2 2" xfId="13009"/>
    <cellStyle name="40 % - Accent2 3 7 2 2 2 2 2" xfId="32482"/>
    <cellStyle name="40 % - Accent2 3 7 2 2 2 2 3" xfId="45462"/>
    <cellStyle name="40 % - Accent2 3 7 2 2 2 2 4" xfId="61691"/>
    <cellStyle name="40 % - Accent2 3 7 2 2 2 3" xfId="19502"/>
    <cellStyle name="40 % - Accent2 3 7 2 2 2 4" xfId="25992"/>
    <cellStyle name="40 % - Accent2 3 7 2 2 2 5" xfId="38972"/>
    <cellStyle name="40 % - Accent2 3 7 2 2 2 6" xfId="55201"/>
    <cellStyle name="40 % - Accent2 3 7 2 2 3" xfId="9764"/>
    <cellStyle name="40 % - Accent2 3 7 2 2 3 2" xfId="29237"/>
    <cellStyle name="40 % - Accent2 3 7 2 2 3 3" xfId="42217"/>
    <cellStyle name="40 % - Accent2 3 7 2 2 3 4" xfId="58446"/>
    <cellStyle name="40 % - Accent2 3 7 2 2 4" xfId="16257"/>
    <cellStyle name="40 % - Accent2 3 7 2 2 4 2" xfId="51956"/>
    <cellStyle name="40 % - Accent2 3 7 2 2 5" xfId="22747"/>
    <cellStyle name="40 % - Accent2 3 7 2 2 6" xfId="35727"/>
    <cellStyle name="40 % - Accent2 3 7 2 2 7" xfId="48710"/>
    <cellStyle name="40 % - Accent2 3 7 2 3" xfId="4854"/>
    <cellStyle name="40 % - Accent2 3 7 2 3 2" xfId="11386"/>
    <cellStyle name="40 % - Accent2 3 7 2 3 2 2" xfId="30859"/>
    <cellStyle name="40 % - Accent2 3 7 2 3 2 3" xfId="43839"/>
    <cellStyle name="40 % - Accent2 3 7 2 3 2 4" xfId="60068"/>
    <cellStyle name="40 % - Accent2 3 7 2 3 3" xfId="17879"/>
    <cellStyle name="40 % - Accent2 3 7 2 3 4" xfId="24369"/>
    <cellStyle name="40 % - Accent2 3 7 2 3 5" xfId="37349"/>
    <cellStyle name="40 % - Accent2 3 7 2 3 6" xfId="53578"/>
    <cellStyle name="40 % - Accent2 3 7 2 4" xfId="8141"/>
    <cellStyle name="40 % - Accent2 3 7 2 4 2" xfId="27614"/>
    <cellStyle name="40 % - Accent2 3 7 2 4 3" xfId="40594"/>
    <cellStyle name="40 % - Accent2 3 7 2 4 4" xfId="56823"/>
    <cellStyle name="40 % - Accent2 3 7 2 5" xfId="14634"/>
    <cellStyle name="40 % - Accent2 3 7 2 5 2" xfId="50333"/>
    <cellStyle name="40 % - Accent2 3 7 2 6" xfId="21124"/>
    <cellStyle name="40 % - Accent2 3 7 2 7" xfId="34104"/>
    <cellStyle name="40 % - Accent2 3 7 2 8" xfId="47087"/>
    <cellStyle name="40 % - Accent2 3 7 3" xfId="1102"/>
    <cellStyle name="40 % - Accent2 3 7 3 2" xfId="2769"/>
    <cellStyle name="40 % - Accent2 3 7 3 2 2" xfId="6014"/>
    <cellStyle name="40 % - Accent2 3 7 3 2 2 2" xfId="12546"/>
    <cellStyle name="40 % - Accent2 3 7 3 2 2 2 2" xfId="32019"/>
    <cellStyle name="40 % - Accent2 3 7 3 2 2 2 3" xfId="44999"/>
    <cellStyle name="40 % - Accent2 3 7 3 2 2 2 4" xfId="61228"/>
    <cellStyle name="40 % - Accent2 3 7 3 2 2 3" xfId="19039"/>
    <cellStyle name="40 % - Accent2 3 7 3 2 2 4" xfId="25529"/>
    <cellStyle name="40 % - Accent2 3 7 3 2 2 5" xfId="38509"/>
    <cellStyle name="40 % - Accent2 3 7 3 2 2 6" xfId="54738"/>
    <cellStyle name="40 % - Accent2 3 7 3 2 3" xfId="9301"/>
    <cellStyle name="40 % - Accent2 3 7 3 2 3 2" xfId="28774"/>
    <cellStyle name="40 % - Accent2 3 7 3 2 3 3" xfId="41754"/>
    <cellStyle name="40 % - Accent2 3 7 3 2 3 4" xfId="57983"/>
    <cellStyle name="40 % - Accent2 3 7 3 2 4" xfId="15794"/>
    <cellStyle name="40 % - Accent2 3 7 3 2 4 2" xfId="51493"/>
    <cellStyle name="40 % - Accent2 3 7 3 2 5" xfId="22284"/>
    <cellStyle name="40 % - Accent2 3 7 3 2 6" xfId="35264"/>
    <cellStyle name="40 % - Accent2 3 7 3 2 7" xfId="48247"/>
    <cellStyle name="40 % - Accent2 3 7 3 3" xfId="4391"/>
    <cellStyle name="40 % - Accent2 3 7 3 3 2" xfId="10923"/>
    <cellStyle name="40 % - Accent2 3 7 3 3 2 2" xfId="30396"/>
    <cellStyle name="40 % - Accent2 3 7 3 3 2 3" xfId="43376"/>
    <cellStyle name="40 % - Accent2 3 7 3 3 2 4" xfId="59605"/>
    <cellStyle name="40 % - Accent2 3 7 3 3 3" xfId="17416"/>
    <cellStyle name="40 % - Accent2 3 7 3 3 4" xfId="23906"/>
    <cellStyle name="40 % - Accent2 3 7 3 3 5" xfId="36886"/>
    <cellStyle name="40 % - Accent2 3 7 3 3 6" xfId="53115"/>
    <cellStyle name="40 % - Accent2 3 7 3 4" xfId="7678"/>
    <cellStyle name="40 % - Accent2 3 7 3 4 2" xfId="27151"/>
    <cellStyle name="40 % - Accent2 3 7 3 4 3" xfId="40131"/>
    <cellStyle name="40 % - Accent2 3 7 3 4 4" xfId="56360"/>
    <cellStyle name="40 % - Accent2 3 7 3 5" xfId="14171"/>
    <cellStyle name="40 % - Accent2 3 7 3 5 2" xfId="49870"/>
    <cellStyle name="40 % - Accent2 3 7 3 6" xfId="20661"/>
    <cellStyle name="40 % - Accent2 3 7 3 7" xfId="33641"/>
    <cellStyle name="40 % - Accent2 3 7 3 8" xfId="46624"/>
    <cellStyle name="40 % - Accent2 3 7 4" xfId="2064"/>
    <cellStyle name="40 % - Accent2 3 7 4 2" xfId="5309"/>
    <cellStyle name="40 % - Accent2 3 7 4 2 2" xfId="11841"/>
    <cellStyle name="40 % - Accent2 3 7 4 2 2 2" xfId="31314"/>
    <cellStyle name="40 % - Accent2 3 7 4 2 2 3" xfId="44294"/>
    <cellStyle name="40 % - Accent2 3 7 4 2 2 4" xfId="60523"/>
    <cellStyle name="40 % - Accent2 3 7 4 2 3" xfId="18334"/>
    <cellStyle name="40 % - Accent2 3 7 4 2 4" xfId="24824"/>
    <cellStyle name="40 % - Accent2 3 7 4 2 5" xfId="37804"/>
    <cellStyle name="40 % - Accent2 3 7 4 2 6" xfId="54033"/>
    <cellStyle name="40 % - Accent2 3 7 4 3" xfId="8596"/>
    <cellStyle name="40 % - Accent2 3 7 4 3 2" xfId="28069"/>
    <cellStyle name="40 % - Accent2 3 7 4 3 3" xfId="41049"/>
    <cellStyle name="40 % - Accent2 3 7 4 3 4" xfId="57278"/>
    <cellStyle name="40 % - Accent2 3 7 4 4" xfId="15089"/>
    <cellStyle name="40 % - Accent2 3 7 4 4 2" xfId="50788"/>
    <cellStyle name="40 % - Accent2 3 7 4 5" xfId="21579"/>
    <cellStyle name="40 % - Accent2 3 7 4 6" xfId="34559"/>
    <cellStyle name="40 % - Accent2 3 7 4 7" xfId="47542"/>
    <cellStyle name="40 % - Accent2 3 7 5" xfId="3686"/>
    <cellStyle name="40 % - Accent2 3 7 5 2" xfId="10218"/>
    <cellStyle name="40 % - Accent2 3 7 5 2 2" xfId="29691"/>
    <cellStyle name="40 % - Accent2 3 7 5 2 3" xfId="42671"/>
    <cellStyle name="40 % - Accent2 3 7 5 2 4" xfId="58900"/>
    <cellStyle name="40 % - Accent2 3 7 5 3" xfId="16711"/>
    <cellStyle name="40 % - Accent2 3 7 5 4" xfId="23201"/>
    <cellStyle name="40 % - Accent2 3 7 5 5" xfId="36181"/>
    <cellStyle name="40 % - Accent2 3 7 5 6" xfId="52410"/>
    <cellStyle name="40 % - Accent2 3 7 6" xfId="6973"/>
    <cellStyle name="40 % - Accent2 3 7 6 2" xfId="26446"/>
    <cellStyle name="40 % - Accent2 3 7 6 3" xfId="39426"/>
    <cellStyle name="40 % - Accent2 3 7 6 4" xfId="55655"/>
    <cellStyle name="40 % - Accent2 3 7 7" xfId="13466"/>
    <cellStyle name="40 % - Accent2 3 7 7 2" xfId="49165"/>
    <cellStyle name="40 % - Accent2 3 7 8" xfId="19956"/>
    <cellStyle name="40 % - Accent2 3 7 9" xfId="32936"/>
    <cellStyle name="40 % - Accent2 3 8" xfId="1322"/>
    <cellStyle name="40 % - Accent2 3 8 2" xfId="2989"/>
    <cellStyle name="40 % - Accent2 3 8 2 2" xfId="6234"/>
    <cellStyle name="40 % - Accent2 3 8 2 2 2" xfId="12766"/>
    <cellStyle name="40 % - Accent2 3 8 2 2 2 2" xfId="32239"/>
    <cellStyle name="40 % - Accent2 3 8 2 2 2 3" xfId="45219"/>
    <cellStyle name="40 % - Accent2 3 8 2 2 2 4" xfId="61448"/>
    <cellStyle name="40 % - Accent2 3 8 2 2 3" xfId="19259"/>
    <cellStyle name="40 % - Accent2 3 8 2 2 4" xfId="25749"/>
    <cellStyle name="40 % - Accent2 3 8 2 2 5" xfId="38729"/>
    <cellStyle name="40 % - Accent2 3 8 2 2 6" xfId="54958"/>
    <cellStyle name="40 % - Accent2 3 8 2 3" xfId="9521"/>
    <cellStyle name="40 % - Accent2 3 8 2 3 2" xfId="28994"/>
    <cellStyle name="40 % - Accent2 3 8 2 3 3" xfId="41974"/>
    <cellStyle name="40 % - Accent2 3 8 2 3 4" xfId="58203"/>
    <cellStyle name="40 % - Accent2 3 8 2 4" xfId="16014"/>
    <cellStyle name="40 % - Accent2 3 8 2 4 2" xfId="51713"/>
    <cellStyle name="40 % - Accent2 3 8 2 5" xfId="22504"/>
    <cellStyle name="40 % - Accent2 3 8 2 6" xfId="35484"/>
    <cellStyle name="40 % - Accent2 3 8 2 7" xfId="48467"/>
    <cellStyle name="40 % - Accent2 3 8 3" xfId="4611"/>
    <cellStyle name="40 % - Accent2 3 8 3 2" xfId="11143"/>
    <cellStyle name="40 % - Accent2 3 8 3 2 2" xfId="30616"/>
    <cellStyle name="40 % - Accent2 3 8 3 2 3" xfId="43596"/>
    <cellStyle name="40 % - Accent2 3 8 3 2 4" xfId="59825"/>
    <cellStyle name="40 % - Accent2 3 8 3 3" xfId="17636"/>
    <cellStyle name="40 % - Accent2 3 8 3 4" xfId="24126"/>
    <cellStyle name="40 % - Accent2 3 8 3 5" xfId="37106"/>
    <cellStyle name="40 % - Accent2 3 8 3 6" xfId="53335"/>
    <cellStyle name="40 % - Accent2 3 8 4" xfId="7898"/>
    <cellStyle name="40 % - Accent2 3 8 4 2" xfId="27371"/>
    <cellStyle name="40 % - Accent2 3 8 4 3" xfId="40351"/>
    <cellStyle name="40 % - Accent2 3 8 4 4" xfId="56580"/>
    <cellStyle name="40 % - Accent2 3 8 5" xfId="14391"/>
    <cellStyle name="40 % - Accent2 3 8 5 2" xfId="50090"/>
    <cellStyle name="40 % - Accent2 3 8 6" xfId="20881"/>
    <cellStyle name="40 % - Accent2 3 8 7" xfId="33861"/>
    <cellStyle name="40 % - Accent2 3 8 8" xfId="46844"/>
    <cellStyle name="40 % - Accent2 3 9" xfId="858"/>
    <cellStyle name="40 % - Accent2 3 9 2" xfId="2526"/>
    <cellStyle name="40 % - Accent2 3 9 2 2" xfId="5771"/>
    <cellStyle name="40 % - Accent2 3 9 2 2 2" xfId="12303"/>
    <cellStyle name="40 % - Accent2 3 9 2 2 2 2" xfId="31776"/>
    <cellStyle name="40 % - Accent2 3 9 2 2 2 3" xfId="44756"/>
    <cellStyle name="40 % - Accent2 3 9 2 2 2 4" xfId="60985"/>
    <cellStyle name="40 % - Accent2 3 9 2 2 3" xfId="18796"/>
    <cellStyle name="40 % - Accent2 3 9 2 2 4" xfId="25286"/>
    <cellStyle name="40 % - Accent2 3 9 2 2 5" xfId="38266"/>
    <cellStyle name="40 % - Accent2 3 9 2 2 6" xfId="54495"/>
    <cellStyle name="40 % - Accent2 3 9 2 3" xfId="9058"/>
    <cellStyle name="40 % - Accent2 3 9 2 3 2" xfId="28531"/>
    <cellStyle name="40 % - Accent2 3 9 2 3 3" xfId="41511"/>
    <cellStyle name="40 % - Accent2 3 9 2 3 4" xfId="57740"/>
    <cellStyle name="40 % - Accent2 3 9 2 4" xfId="15551"/>
    <cellStyle name="40 % - Accent2 3 9 2 4 2" xfId="51250"/>
    <cellStyle name="40 % - Accent2 3 9 2 5" xfId="22041"/>
    <cellStyle name="40 % - Accent2 3 9 2 6" xfId="35021"/>
    <cellStyle name="40 % - Accent2 3 9 2 7" xfId="48004"/>
    <cellStyle name="40 % - Accent2 3 9 3" xfId="4148"/>
    <cellStyle name="40 % - Accent2 3 9 3 2" xfId="10680"/>
    <cellStyle name="40 % - Accent2 3 9 3 2 2" xfId="30153"/>
    <cellStyle name="40 % - Accent2 3 9 3 2 3" xfId="43133"/>
    <cellStyle name="40 % - Accent2 3 9 3 2 4" xfId="59362"/>
    <cellStyle name="40 % - Accent2 3 9 3 3" xfId="17173"/>
    <cellStyle name="40 % - Accent2 3 9 3 4" xfId="23663"/>
    <cellStyle name="40 % - Accent2 3 9 3 5" xfId="36643"/>
    <cellStyle name="40 % - Accent2 3 9 3 6" xfId="52872"/>
    <cellStyle name="40 % - Accent2 3 9 4" xfId="7435"/>
    <cellStyle name="40 % - Accent2 3 9 4 2" xfId="26908"/>
    <cellStyle name="40 % - Accent2 3 9 4 3" xfId="39888"/>
    <cellStyle name="40 % - Accent2 3 9 4 4" xfId="56117"/>
    <cellStyle name="40 % - Accent2 3 9 5" xfId="13928"/>
    <cellStyle name="40 % - Accent2 3 9 5 2" xfId="49627"/>
    <cellStyle name="40 % - Accent2 3 9 6" xfId="20418"/>
    <cellStyle name="40 % - Accent2 3 9 7" xfId="33398"/>
    <cellStyle name="40 % - Accent2 3 9 8" xfId="46381"/>
    <cellStyle name="40 % - Accent2 4" xfId="1792"/>
    <cellStyle name="40 % - Accent2 5" xfId="6701"/>
    <cellStyle name="40 % - Accent2 6" xfId="61914"/>
    <cellStyle name="40 % - Accent2 7" xfId="61932"/>
    <cellStyle name="40 % - Accent2 8" xfId="61944"/>
    <cellStyle name="40 % - Accent2 9" xfId="48"/>
    <cellStyle name="40 % - Accent3 2" xfId="92"/>
    <cellStyle name="40 % - Accent3 3" xfId="155"/>
    <cellStyle name="40 % - Accent3 3 10" xfId="1836"/>
    <cellStyle name="40 % - Accent3 3 10 2" xfId="5082"/>
    <cellStyle name="40 % - Accent3 3 10 2 2" xfId="11614"/>
    <cellStyle name="40 % - Accent3 3 10 2 2 2" xfId="31087"/>
    <cellStyle name="40 % - Accent3 3 10 2 2 3" xfId="44067"/>
    <cellStyle name="40 % - Accent3 3 10 2 2 4" xfId="60296"/>
    <cellStyle name="40 % - Accent3 3 10 2 3" xfId="18107"/>
    <cellStyle name="40 % - Accent3 3 10 2 4" xfId="24597"/>
    <cellStyle name="40 % - Accent3 3 10 2 5" xfId="37577"/>
    <cellStyle name="40 % - Accent3 3 10 2 6" xfId="53806"/>
    <cellStyle name="40 % - Accent3 3 10 3" xfId="8369"/>
    <cellStyle name="40 % - Accent3 3 10 3 2" xfId="27842"/>
    <cellStyle name="40 % - Accent3 3 10 3 3" xfId="40822"/>
    <cellStyle name="40 % - Accent3 3 10 3 4" xfId="57051"/>
    <cellStyle name="40 % - Accent3 3 10 4" xfId="14862"/>
    <cellStyle name="40 % - Accent3 3 10 4 2" xfId="50561"/>
    <cellStyle name="40 % - Accent3 3 10 5" xfId="21352"/>
    <cellStyle name="40 % - Accent3 3 10 6" xfId="34332"/>
    <cellStyle name="40 % - Accent3 3 10 7" xfId="47315"/>
    <cellStyle name="40 % - Accent3 3 11" xfId="3458"/>
    <cellStyle name="40 % - Accent3 3 11 2" xfId="9990"/>
    <cellStyle name="40 % - Accent3 3 11 2 2" xfId="29463"/>
    <cellStyle name="40 % - Accent3 3 11 2 3" xfId="42443"/>
    <cellStyle name="40 % - Accent3 3 11 2 4" xfId="58672"/>
    <cellStyle name="40 % - Accent3 3 11 3" xfId="16483"/>
    <cellStyle name="40 % - Accent3 3 11 4" xfId="22973"/>
    <cellStyle name="40 % - Accent3 3 11 5" xfId="35953"/>
    <cellStyle name="40 % - Accent3 3 11 6" xfId="52182"/>
    <cellStyle name="40 % - Accent3 3 12" xfId="6745"/>
    <cellStyle name="40 % - Accent3 3 12 2" xfId="26218"/>
    <cellStyle name="40 % - Accent3 3 12 3" xfId="39198"/>
    <cellStyle name="40 % - Accent3 3 12 4" xfId="55427"/>
    <cellStyle name="40 % - Accent3 3 13" xfId="13238"/>
    <cellStyle name="40 % - Accent3 3 13 2" xfId="48937"/>
    <cellStyle name="40 % - Accent3 3 14" xfId="19728"/>
    <cellStyle name="40 % - Accent3 3 15" xfId="32708"/>
    <cellStyle name="40 % - Accent3 3 16" xfId="45691"/>
    <cellStyle name="40 % - Accent3 3 2" xfId="185"/>
    <cellStyle name="40 % - Accent3 3 2 10" xfId="6767"/>
    <cellStyle name="40 % - Accent3 3 2 10 2" xfId="26240"/>
    <cellStyle name="40 % - Accent3 3 2 10 3" xfId="39220"/>
    <cellStyle name="40 % - Accent3 3 2 10 4" xfId="55449"/>
    <cellStyle name="40 % - Accent3 3 2 11" xfId="13260"/>
    <cellStyle name="40 % - Accent3 3 2 11 2" xfId="48959"/>
    <cellStyle name="40 % - Accent3 3 2 12" xfId="19750"/>
    <cellStyle name="40 % - Accent3 3 2 13" xfId="32730"/>
    <cellStyle name="40 % - Accent3 3 2 14" xfId="45713"/>
    <cellStyle name="40 % - Accent3 3 2 2" xfId="274"/>
    <cellStyle name="40 % - Accent3 3 2 2 10" xfId="19838"/>
    <cellStyle name="40 % - Accent3 3 2 2 11" xfId="32818"/>
    <cellStyle name="40 % - Accent3 3 2 2 12" xfId="45801"/>
    <cellStyle name="40 % - Accent3 3 2 2 2" xfId="362"/>
    <cellStyle name="40 % - Accent3 3 2 2 2 10" xfId="32906"/>
    <cellStyle name="40 % - Accent3 3 2 2 2 11" xfId="45889"/>
    <cellStyle name="40 % - Accent3 3 2 2 2 2" xfId="826"/>
    <cellStyle name="40 % - Accent3 3 2 2 2 2 10" xfId="46349"/>
    <cellStyle name="40 % - Accent3 3 2 2 2 2 2" xfId="1765"/>
    <cellStyle name="40 % - Accent3 3 2 2 2 2 2 2" xfId="3432"/>
    <cellStyle name="40 % - Accent3 3 2 2 2 2 2 2 2" xfId="6677"/>
    <cellStyle name="40 % - Accent3 3 2 2 2 2 2 2 2 2" xfId="13209"/>
    <cellStyle name="40 % - Accent3 3 2 2 2 2 2 2 2 2 2" xfId="32682"/>
    <cellStyle name="40 % - Accent3 3 2 2 2 2 2 2 2 2 3" xfId="45662"/>
    <cellStyle name="40 % - Accent3 3 2 2 2 2 2 2 2 2 4" xfId="61891"/>
    <cellStyle name="40 % - Accent3 3 2 2 2 2 2 2 2 3" xfId="19702"/>
    <cellStyle name="40 % - Accent3 3 2 2 2 2 2 2 2 4" xfId="26192"/>
    <cellStyle name="40 % - Accent3 3 2 2 2 2 2 2 2 5" xfId="39172"/>
    <cellStyle name="40 % - Accent3 3 2 2 2 2 2 2 2 6" xfId="55401"/>
    <cellStyle name="40 % - Accent3 3 2 2 2 2 2 2 3" xfId="9964"/>
    <cellStyle name="40 % - Accent3 3 2 2 2 2 2 2 3 2" xfId="29437"/>
    <cellStyle name="40 % - Accent3 3 2 2 2 2 2 2 3 3" xfId="42417"/>
    <cellStyle name="40 % - Accent3 3 2 2 2 2 2 2 3 4" xfId="58646"/>
    <cellStyle name="40 % - Accent3 3 2 2 2 2 2 2 4" xfId="16457"/>
    <cellStyle name="40 % - Accent3 3 2 2 2 2 2 2 4 2" xfId="52156"/>
    <cellStyle name="40 % - Accent3 3 2 2 2 2 2 2 5" xfId="22947"/>
    <cellStyle name="40 % - Accent3 3 2 2 2 2 2 2 6" xfId="35927"/>
    <cellStyle name="40 % - Accent3 3 2 2 2 2 2 2 7" xfId="48910"/>
    <cellStyle name="40 % - Accent3 3 2 2 2 2 2 3" xfId="5054"/>
    <cellStyle name="40 % - Accent3 3 2 2 2 2 2 3 2" xfId="11586"/>
    <cellStyle name="40 % - Accent3 3 2 2 2 2 2 3 2 2" xfId="31059"/>
    <cellStyle name="40 % - Accent3 3 2 2 2 2 2 3 2 3" xfId="44039"/>
    <cellStyle name="40 % - Accent3 3 2 2 2 2 2 3 2 4" xfId="60268"/>
    <cellStyle name="40 % - Accent3 3 2 2 2 2 2 3 3" xfId="18079"/>
    <cellStyle name="40 % - Accent3 3 2 2 2 2 2 3 4" xfId="24569"/>
    <cellStyle name="40 % - Accent3 3 2 2 2 2 2 3 5" xfId="37549"/>
    <cellStyle name="40 % - Accent3 3 2 2 2 2 2 3 6" xfId="53778"/>
    <cellStyle name="40 % - Accent3 3 2 2 2 2 2 4" xfId="8341"/>
    <cellStyle name="40 % - Accent3 3 2 2 2 2 2 4 2" xfId="27814"/>
    <cellStyle name="40 % - Accent3 3 2 2 2 2 2 4 3" xfId="40794"/>
    <cellStyle name="40 % - Accent3 3 2 2 2 2 2 4 4" xfId="57023"/>
    <cellStyle name="40 % - Accent3 3 2 2 2 2 2 5" xfId="14834"/>
    <cellStyle name="40 % - Accent3 3 2 2 2 2 2 5 2" xfId="50533"/>
    <cellStyle name="40 % - Accent3 3 2 2 2 2 2 6" xfId="21324"/>
    <cellStyle name="40 % - Accent3 3 2 2 2 2 2 7" xfId="34304"/>
    <cellStyle name="40 % - Accent3 3 2 2 2 2 2 8" xfId="47287"/>
    <cellStyle name="40 % - Accent3 3 2 2 2 2 3" xfId="1302"/>
    <cellStyle name="40 % - Accent3 3 2 2 2 2 3 2" xfId="2969"/>
    <cellStyle name="40 % - Accent3 3 2 2 2 2 3 2 2" xfId="6214"/>
    <cellStyle name="40 % - Accent3 3 2 2 2 2 3 2 2 2" xfId="12746"/>
    <cellStyle name="40 % - Accent3 3 2 2 2 2 3 2 2 2 2" xfId="32219"/>
    <cellStyle name="40 % - Accent3 3 2 2 2 2 3 2 2 2 3" xfId="45199"/>
    <cellStyle name="40 % - Accent3 3 2 2 2 2 3 2 2 2 4" xfId="61428"/>
    <cellStyle name="40 % - Accent3 3 2 2 2 2 3 2 2 3" xfId="19239"/>
    <cellStyle name="40 % - Accent3 3 2 2 2 2 3 2 2 4" xfId="25729"/>
    <cellStyle name="40 % - Accent3 3 2 2 2 2 3 2 2 5" xfId="38709"/>
    <cellStyle name="40 % - Accent3 3 2 2 2 2 3 2 2 6" xfId="54938"/>
    <cellStyle name="40 % - Accent3 3 2 2 2 2 3 2 3" xfId="9501"/>
    <cellStyle name="40 % - Accent3 3 2 2 2 2 3 2 3 2" xfId="28974"/>
    <cellStyle name="40 % - Accent3 3 2 2 2 2 3 2 3 3" xfId="41954"/>
    <cellStyle name="40 % - Accent3 3 2 2 2 2 3 2 3 4" xfId="58183"/>
    <cellStyle name="40 % - Accent3 3 2 2 2 2 3 2 4" xfId="15994"/>
    <cellStyle name="40 % - Accent3 3 2 2 2 2 3 2 4 2" xfId="51693"/>
    <cellStyle name="40 % - Accent3 3 2 2 2 2 3 2 5" xfId="22484"/>
    <cellStyle name="40 % - Accent3 3 2 2 2 2 3 2 6" xfId="35464"/>
    <cellStyle name="40 % - Accent3 3 2 2 2 2 3 2 7" xfId="48447"/>
    <cellStyle name="40 % - Accent3 3 2 2 2 2 3 3" xfId="4591"/>
    <cellStyle name="40 % - Accent3 3 2 2 2 2 3 3 2" xfId="11123"/>
    <cellStyle name="40 % - Accent3 3 2 2 2 2 3 3 2 2" xfId="30596"/>
    <cellStyle name="40 % - Accent3 3 2 2 2 2 3 3 2 3" xfId="43576"/>
    <cellStyle name="40 % - Accent3 3 2 2 2 2 3 3 2 4" xfId="59805"/>
    <cellStyle name="40 % - Accent3 3 2 2 2 2 3 3 3" xfId="17616"/>
    <cellStyle name="40 % - Accent3 3 2 2 2 2 3 3 4" xfId="24106"/>
    <cellStyle name="40 % - Accent3 3 2 2 2 2 3 3 5" xfId="37086"/>
    <cellStyle name="40 % - Accent3 3 2 2 2 2 3 3 6" xfId="53315"/>
    <cellStyle name="40 % - Accent3 3 2 2 2 2 3 4" xfId="7878"/>
    <cellStyle name="40 % - Accent3 3 2 2 2 2 3 4 2" xfId="27351"/>
    <cellStyle name="40 % - Accent3 3 2 2 2 2 3 4 3" xfId="40331"/>
    <cellStyle name="40 % - Accent3 3 2 2 2 2 3 4 4" xfId="56560"/>
    <cellStyle name="40 % - Accent3 3 2 2 2 2 3 5" xfId="14371"/>
    <cellStyle name="40 % - Accent3 3 2 2 2 2 3 5 2" xfId="50070"/>
    <cellStyle name="40 % - Accent3 3 2 2 2 2 3 6" xfId="20861"/>
    <cellStyle name="40 % - Accent3 3 2 2 2 2 3 7" xfId="33841"/>
    <cellStyle name="40 % - Accent3 3 2 2 2 2 3 8" xfId="46824"/>
    <cellStyle name="40 % - Accent3 3 2 2 2 2 4" xfId="2494"/>
    <cellStyle name="40 % - Accent3 3 2 2 2 2 4 2" xfId="5739"/>
    <cellStyle name="40 % - Accent3 3 2 2 2 2 4 2 2" xfId="12271"/>
    <cellStyle name="40 % - Accent3 3 2 2 2 2 4 2 2 2" xfId="31744"/>
    <cellStyle name="40 % - Accent3 3 2 2 2 2 4 2 2 3" xfId="44724"/>
    <cellStyle name="40 % - Accent3 3 2 2 2 2 4 2 2 4" xfId="60953"/>
    <cellStyle name="40 % - Accent3 3 2 2 2 2 4 2 3" xfId="18764"/>
    <cellStyle name="40 % - Accent3 3 2 2 2 2 4 2 4" xfId="25254"/>
    <cellStyle name="40 % - Accent3 3 2 2 2 2 4 2 5" xfId="38234"/>
    <cellStyle name="40 % - Accent3 3 2 2 2 2 4 2 6" xfId="54463"/>
    <cellStyle name="40 % - Accent3 3 2 2 2 2 4 3" xfId="9026"/>
    <cellStyle name="40 % - Accent3 3 2 2 2 2 4 3 2" xfId="28499"/>
    <cellStyle name="40 % - Accent3 3 2 2 2 2 4 3 3" xfId="41479"/>
    <cellStyle name="40 % - Accent3 3 2 2 2 2 4 3 4" xfId="57708"/>
    <cellStyle name="40 % - Accent3 3 2 2 2 2 4 4" xfId="15519"/>
    <cellStyle name="40 % - Accent3 3 2 2 2 2 4 4 2" xfId="51218"/>
    <cellStyle name="40 % - Accent3 3 2 2 2 2 4 5" xfId="22009"/>
    <cellStyle name="40 % - Accent3 3 2 2 2 2 4 6" xfId="34989"/>
    <cellStyle name="40 % - Accent3 3 2 2 2 2 4 7" xfId="47972"/>
    <cellStyle name="40 % - Accent3 3 2 2 2 2 5" xfId="4116"/>
    <cellStyle name="40 % - Accent3 3 2 2 2 2 5 2" xfId="10648"/>
    <cellStyle name="40 % - Accent3 3 2 2 2 2 5 2 2" xfId="30121"/>
    <cellStyle name="40 % - Accent3 3 2 2 2 2 5 2 3" xfId="43101"/>
    <cellStyle name="40 % - Accent3 3 2 2 2 2 5 2 4" xfId="59330"/>
    <cellStyle name="40 % - Accent3 3 2 2 2 2 5 3" xfId="17141"/>
    <cellStyle name="40 % - Accent3 3 2 2 2 2 5 4" xfId="23631"/>
    <cellStyle name="40 % - Accent3 3 2 2 2 2 5 5" xfId="36611"/>
    <cellStyle name="40 % - Accent3 3 2 2 2 2 5 6" xfId="52840"/>
    <cellStyle name="40 % - Accent3 3 2 2 2 2 6" xfId="7403"/>
    <cellStyle name="40 % - Accent3 3 2 2 2 2 6 2" xfId="26876"/>
    <cellStyle name="40 % - Accent3 3 2 2 2 2 6 3" xfId="39856"/>
    <cellStyle name="40 % - Accent3 3 2 2 2 2 6 4" xfId="56085"/>
    <cellStyle name="40 % - Accent3 3 2 2 2 2 7" xfId="13896"/>
    <cellStyle name="40 % - Accent3 3 2 2 2 2 7 2" xfId="49595"/>
    <cellStyle name="40 % - Accent3 3 2 2 2 2 8" xfId="20386"/>
    <cellStyle name="40 % - Accent3 3 2 2 2 2 9" xfId="33366"/>
    <cellStyle name="40 % - Accent3 3 2 2 2 3" xfId="596"/>
    <cellStyle name="40 % - Accent3 3 2 2 2 3 2" xfId="1545"/>
    <cellStyle name="40 % - Accent3 3 2 2 2 3 2 2" xfId="3212"/>
    <cellStyle name="40 % - Accent3 3 2 2 2 3 2 2 2" xfId="6457"/>
    <cellStyle name="40 % - Accent3 3 2 2 2 3 2 2 2 2" xfId="12989"/>
    <cellStyle name="40 % - Accent3 3 2 2 2 3 2 2 2 2 2" xfId="32462"/>
    <cellStyle name="40 % - Accent3 3 2 2 2 3 2 2 2 2 3" xfId="45442"/>
    <cellStyle name="40 % - Accent3 3 2 2 2 3 2 2 2 2 4" xfId="61671"/>
    <cellStyle name="40 % - Accent3 3 2 2 2 3 2 2 2 3" xfId="19482"/>
    <cellStyle name="40 % - Accent3 3 2 2 2 3 2 2 2 4" xfId="25972"/>
    <cellStyle name="40 % - Accent3 3 2 2 2 3 2 2 2 5" xfId="38952"/>
    <cellStyle name="40 % - Accent3 3 2 2 2 3 2 2 2 6" xfId="55181"/>
    <cellStyle name="40 % - Accent3 3 2 2 2 3 2 2 3" xfId="9744"/>
    <cellStyle name="40 % - Accent3 3 2 2 2 3 2 2 3 2" xfId="29217"/>
    <cellStyle name="40 % - Accent3 3 2 2 2 3 2 2 3 3" xfId="42197"/>
    <cellStyle name="40 % - Accent3 3 2 2 2 3 2 2 3 4" xfId="58426"/>
    <cellStyle name="40 % - Accent3 3 2 2 2 3 2 2 4" xfId="16237"/>
    <cellStyle name="40 % - Accent3 3 2 2 2 3 2 2 4 2" xfId="51936"/>
    <cellStyle name="40 % - Accent3 3 2 2 2 3 2 2 5" xfId="22727"/>
    <cellStyle name="40 % - Accent3 3 2 2 2 3 2 2 6" xfId="35707"/>
    <cellStyle name="40 % - Accent3 3 2 2 2 3 2 2 7" xfId="48690"/>
    <cellStyle name="40 % - Accent3 3 2 2 2 3 2 3" xfId="4834"/>
    <cellStyle name="40 % - Accent3 3 2 2 2 3 2 3 2" xfId="11366"/>
    <cellStyle name="40 % - Accent3 3 2 2 2 3 2 3 2 2" xfId="30839"/>
    <cellStyle name="40 % - Accent3 3 2 2 2 3 2 3 2 3" xfId="43819"/>
    <cellStyle name="40 % - Accent3 3 2 2 2 3 2 3 2 4" xfId="60048"/>
    <cellStyle name="40 % - Accent3 3 2 2 2 3 2 3 3" xfId="17859"/>
    <cellStyle name="40 % - Accent3 3 2 2 2 3 2 3 4" xfId="24349"/>
    <cellStyle name="40 % - Accent3 3 2 2 2 3 2 3 5" xfId="37329"/>
    <cellStyle name="40 % - Accent3 3 2 2 2 3 2 3 6" xfId="53558"/>
    <cellStyle name="40 % - Accent3 3 2 2 2 3 2 4" xfId="8121"/>
    <cellStyle name="40 % - Accent3 3 2 2 2 3 2 4 2" xfId="27594"/>
    <cellStyle name="40 % - Accent3 3 2 2 2 3 2 4 3" xfId="40574"/>
    <cellStyle name="40 % - Accent3 3 2 2 2 3 2 4 4" xfId="56803"/>
    <cellStyle name="40 % - Accent3 3 2 2 2 3 2 5" xfId="14614"/>
    <cellStyle name="40 % - Accent3 3 2 2 2 3 2 5 2" xfId="50313"/>
    <cellStyle name="40 % - Accent3 3 2 2 2 3 2 6" xfId="21104"/>
    <cellStyle name="40 % - Accent3 3 2 2 2 3 2 7" xfId="34084"/>
    <cellStyle name="40 % - Accent3 3 2 2 2 3 2 8" xfId="47067"/>
    <cellStyle name="40 % - Accent3 3 2 2 2 3 3" xfId="2264"/>
    <cellStyle name="40 % - Accent3 3 2 2 2 3 3 2" xfId="5509"/>
    <cellStyle name="40 % - Accent3 3 2 2 2 3 3 2 2" xfId="12041"/>
    <cellStyle name="40 % - Accent3 3 2 2 2 3 3 2 2 2" xfId="31514"/>
    <cellStyle name="40 % - Accent3 3 2 2 2 3 3 2 2 3" xfId="44494"/>
    <cellStyle name="40 % - Accent3 3 2 2 2 3 3 2 2 4" xfId="60723"/>
    <cellStyle name="40 % - Accent3 3 2 2 2 3 3 2 3" xfId="18534"/>
    <cellStyle name="40 % - Accent3 3 2 2 2 3 3 2 4" xfId="25024"/>
    <cellStyle name="40 % - Accent3 3 2 2 2 3 3 2 5" xfId="38004"/>
    <cellStyle name="40 % - Accent3 3 2 2 2 3 3 2 6" xfId="54233"/>
    <cellStyle name="40 % - Accent3 3 2 2 2 3 3 3" xfId="8796"/>
    <cellStyle name="40 % - Accent3 3 2 2 2 3 3 3 2" xfId="28269"/>
    <cellStyle name="40 % - Accent3 3 2 2 2 3 3 3 3" xfId="41249"/>
    <cellStyle name="40 % - Accent3 3 2 2 2 3 3 3 4" xfId="57478"/>
    <cellStyle name="40 % - Accent3 3 2 2 2 3 3 4" xfId="15289"/>
    <cellStyle name="40 % - Accent3 3 2 2 2 3 3 4 2" xfId="50988"/>
    <cellStyle name="40 % - Accent3 3 2 2 2 3 3 5" xfId="21779"/>
    <cellStyle name="40 % - Accent3 3 2 2 2 3 3 6" xfId="34759"/>
    <cellStyle name="40 % - Accent3 3 2 2 2 3 3 7" xfId="47742"/>
    <cellStyle name="40 % - Accent3 3 2 2 2 3 4" xfId="3886"/>
    <cellStyle name="40 % - Accent3 3 2 2 2 3 4 2" xfId="10418"/>
    <cellStyle name="40 % - Accent3 3 2 2 2 3 4 2 2" xfId="29891"/>
    <cellStyle name="40 % - Accent3 3 2 2 2 3 4 2 3" xfId="42871"/>
    <cellStyle name="40 % - Accent3 3 2 2 2 3 4 2 4" xfId="59100"/>
    <cellStyle name="40 % - Accent3 3 2 2 2 3 4 3" xfId="16911"/>
    <cellStyle name="40 % - Accent3 3 2 2 2 3 4 4" xfId="23401"/>
    <cellStyle name="40 % - Accent3 3 2 2 2 3 4 5" xfId="36381"/>
    <cellStyle name="40 % - Accent3 3 2 2 2 3 4 6" xfId="52610"/>
    <cellStyle name="40 % - Accent3 3 2 2 2 3 5" xfId="7173"/>
    <cellStyle name="40 % - Accent3 3 2 2 2 3 5 2" xfId="26646"/>
    <cellStyle name="40 % - Accent3 3 2 2 2 3 5 3" xfId="39626"/>
    <cellStyle name="40 % - Accent3 3 2 2 2 3 5 4" xfId="55855"/>
    <cellStyle name="40 % - Accent3 3 2 2 2 3 6" xfId="13666"/>
    <cellStyle name="40 % - Accent3 3 2 2 2 3 6 2" xfId="49365"/>
    <cellStyle name="40 % - Accent3 3 2 2 2 3 7" xfId="20156"/>
    <cellStyle name="40 % - Accent3 3 2 2 2 3 8" xfId="33136"/>
    <cellStyle name="40 % - Accent3 3 2 2 2 3 9" xfId="46119"/>
    <cellStyle name="40 % - Accent3 3 2 2 2 4" xfId="1082"/>
    <cellStyle name="40 % - Accent3 3 2 2 2 4 2" xfId="2749"/>
    <cellStyle name="40 % - Accent3 3 2 2 2 4 2 2" xfId="5994"/>
    <cellStyle name="40 % - Accent3 3 2 2 2 4 2 2 2" xfId="12526"/>
    <cellStyle name="40 % - Accent3 3 2 2 2 4 2 2 2 2" xfId="31999"/>
    <cellStyle name="40 % - Accent3 3 2 2 2 4 2 2 2 3" xfId="44979"/>
    <cellStyle name="40 % - Accent3 3 2 2 2 4 2 2 2 4" xfId="61208"/>
    <cellStyle name="40 % - Accent3 3 2 2 2 4 2 2 3" xfId="19019"/>
    <cellStyle name="40 % - Accent3 3 2 2 2 4 2 2 4" xfId="25509"/>
    <cellStyle name="40 % - Accent3 3 2 2 2 4 2 2 5" xfId="38489"/>
    <cellStyle name="40 % - Accent3 3 2 2 2 4 2 2 6" xfId="54718"/>
    <cellStyle name="40 % - Accent3 3 2 2 2 4 2 3" xfId="9281"/>
    <cellStyle name="40 % - Accent3 3 2 2 2 4 2 3 2" xfId="28754"/>
    <cellStyle name="40 % - Accent3 3 2 2 2 4 2 3 3" xfId="41734"/>
    <cellStyle name="40 % - Accent3 3 2 2 2 4 2 3 4" xfId="57963"/>
    <cellStyle name="40 % - Accent3 3 2 2 2 4 2 4" xfId="15774"/>
    <cellStyle name="40 % - Accent3 3 2 2 2 4 2 4 2" xfId="51473"/>
    <cellStyle name="40 % - Accent3 3 2 2 2 4 2 5" xfId="22264"/>
    <cellStyle name="40 % - Accent3 3 2 2 2 4 2 6" xfId="35244"/>
    <cellStyle name="40 % - Accent3 3 2 2 2 4 2 7" xfId="48227"/>
    <cellStyle name="40 % - Accent3 3 2 2 2 4 3" xfId="4371"/>
    <cellStyle name="40 % - Accent3 3 2 2 2 4 3 2" xfId="10903"/>
    <cellStyle name="40 % - Accent3 3 2 2 2 4 3 2 2" xfId="30376"/>
    <cellStyle name="40 % - Accent3 3 2 2 2 4 3 2 3" xfId="43356"/>
    <cellStyle name="40 % - Accent3 3 2 2 2 4 3 2 4" xfId="59585"/>
    <cellStyle name="40 % - Accent3 3 2 2 2 4 3 3" xfId="17396"/>
    <cellStyle name="40 % - Accent3 3 2 2 2 4 3 4" xfId="23886"/>
    <cellStyle name="40 % - Accent3 3 2 2 2 4 3 5" xfId="36866"/>
    <cellStyle name="40 % - Accent3 3 2 2 2 4 3 6" xfId="53095"/>
    <cellStyle name="40 % - Accent3 3 2 2 2 4 4" xfId="7658"/>
    <cellStyle name="40 % - Accent3 3 2 2 2 4 4 2" xfId="27131"/>
    <cellStyle name="40 % - Accent3 3 2 2 2 4 4 3" xfId="40111"/>
    <cellStyle name="40 % - Accent3 3 2 2 2 4 4 4" xfId="56340"/>
    <cellStyle name="40 % - Accent3 3 2 2 2 4 5" xfId="14151"/>
    <cellStyle name="40 % - Accent3 3 2 2 2 4 5 2" xfId="49850"/>
    <cellStyle name="40 % - Accent3 3 2 2 2 4 6" xfId="20641"/>
    <cellStyle name="40 % - Accent3 3 2 2 2 4 7" xfId="33621"/>
    <cellStyle name="40 % - Accent3 3 2 2 2 4 8" xfId="46604"/>
    <cellStyle name="40 % - Accent3 3 2 2 2 5" xfId="2035"/>
    <cellStyle name="40 % - Accent3 3 2 2 2 5 2" xfId="5280"/>
    <cellStyle name="40 % - Accent3 3 2 2 2 5 2 2" xfId="11812"/>
    <cellStyle name="40 % - Accent3 3 2 2 2 5 2 2 2" xfId="31285"/>
    <cellStyle name="40 % - Accent3 3 2 2 2 5 2 2 3" xfId="44265"/>
    <cellStyle name="40 % - Accent3 3 2 2 2 5 2 2 4" xfId="60494"/>
    <cellStyle name="40 % - Accent3 3 2 2 2 5 2 3" xfId="18305"/>
    <cellStyle name="40 % - Accent3 3 2 2 2 5 2 4" xfId="24795"/>
    <cellStyle name="40 % - Accent3 3 2 2 2 5 2 5" xfId="37775"/>
    <cellStyle name="40 % - Accent3 3 2 2 2 5 2 6" xfId="54004"/>
    <cellStyle name="40 % - Accent3 3 2 2 2 5 3" xfId="8567"/>
    <cellStyle name="40 % - Accent3 3 2 2 2 5 3 2" xfId="28040"/>
    <cellStyle name="40 % - Accent3 3 2 2 2 5 3 3" xfId="41020"/>
    <cellStyle name="40 % - Accent3 3 2 2 2 5 3 4" xfId="57249"/>
    <cellStyle name="40 % - Accent3 3 2 2 2 5 4" xfId="15060"/>
    <cellStyle name="40 % - Accent3 3 2 2 2 5 4 2" xfId="50759"/>
    <cellStyle name="40 % - Accent3 3 2 2 2 5 5" xfId="21550"/>
    <cellStyle name="40 % - Accent3 3 2 2 2 5 6" xfId="34530"/>
    <cellStyle name="40 % - Accent3 3 2 2 2 5 7" xfId="47513"/>
    <cellStyle name="40 % - Accent3 3 2 2 2 6" xfId="3656"/>
    <cellStyle name="40 % - Accent3 3 2 2 2 6 2" xfId="10188"/>
    <cellStyle name="40 % - Accent3 3 2 2 2 6 2 2" xfId="29661"/>
    <cellStyle name="40 % - Accent3 3 2 2 2 6 2 3" xfId="42641"/>
    <cellStyle name="40 % - Accent3 3 2 2 2 6 2 4" xfId="58870"/>
    <cellStyle name="40 % - Accent3 3 2 2 2 6 3" xfId="16681"/>
    <cellStyle name="40 % - Accent3 3 2 2 2 6 4" xfId="23171"/>
    <cellStyle name="40 % - Accent3 3 2 2 2 6 5" xfId="36151"/>
    <cellStyle name="40 % - Accent3 3 2 2 2 6 6" xfId="52380"/>
    <cellStyle name="40 % - Accent3 3 2 2 2 7" xfId="6943"/>
    <cellStyle name="40 % - Accent3 3 2 2 2 7 2" xfId="26416"/>
    <cellStyle name="40 % - Accent3 3 2 2 2 7 3" xfId="39396"/>
    <cellStyle name="40 % - Accent3 3 2 2 2 7 4" xfId="55625"/>
    <cellStyle name="40 % - Accent3 3 2 2 2 8" xfId="13436"/>
    <cellStyle name="40 % - Accent3 3 2 2 2 8 2" xfId="49135"/>
    <cellStyle name="40 % - Accent3 3 2 2 2 9" xfId="19926"/>
    <cellStyle name="40 % - Accent3 3 2 2 3" xfId="738"/>
    <cellStyle name="40 % - Accent3 3 2 2 3 10" xfId="46261"/>
    <cellStyle name="40 % - Accent3 3 2 2 3 2" xfId="1677"/>
    <cellStyle name="40 % - Accent3 3 2 2 3 2 2" xfId="3344"/>
    <cellStyle name="40 % - Accent3 3 2 2 3 2 2 2" xfId="6589"/>
    <cellStyle name="40 % - Accent3 3 2 2 3 2 2 2 2" xfId="13121"/>
    <cellStyle name="40 % - Accent3 3 2 2 3 2 2 2 2 2" xfId="32594"/>
    <cellStyle name="40 % - Accent3 3 2 2 3 2 2 2 2 3" xfId="45574"/>
    <cellStyle name="40 % - Accent3 3 2 2 3 2 2 2 2 4" xfId="61803"/>
    <cellStyle name="40 % - Accent3 3 2 2 3 2 2 2 3" xfId="19614"/>
    <cellStyle name="40 % - Accent3 3 2 2 3 2 2 2 4" xfId="26104"/>
    <cellStyle name="40 % - Accent3 3 2 2 3 2 2 2 5" xfId="39084"/>
    <cellStyle name="40 % - Accent3 3 2 2 3 2 2 2 6" xfId="55313"/>
    <cellStyle name="40 % - Accent3 3 2 2 3 2 2 3" xfId="9876"/>
    <cellStyle name="40 % - Accent3 3 2 2 3 2 2 3 2" xfId="29349"/>
    <cellStyle name="40 % - Accent3 3 2 2 3 2 2 3 3" xfId="42329"/>
    <cellStyle name="40 % - Accent3 3 2 2 3 2 2 3 4" xfId="58558"/>
    <cellStyle name="40 % - Accent3 3 2 2 3 2 2 4" xfId="16369"/>
    <cellStyle name="40 % - Accent3 3 2 2 3 2 2 4 2" xfId="52068"/>
    <cellStyle name="40 % - Accent3 3 2 2 3 2 2 5" xfId="22859"/>
    <cellStyle name="40 % - Accent3 3 2 2 3 2 2 6" xfId="35839"/>
    <cellStyle name="40 % - Accent3 3 2 2 3 2 2 7" xfId="48822"/>
    <cellStyle name="40 % - Accent3 3 2 2 3 2 3" xfId="4966"/>
    <cellStyle name="40 % - Accent3 3 2 2 3 2 3 2" xfId="11498"/>
    <cellStyle name="40 % - Accent3 3 2 2 3 2 3 2 2" xfId="30971"/>
    <cellStyle name="40 % - Accent3 3 2 2 3 2 3 2 3" xfId="43951"/>
    <cellStyle name="40 % - Accent3 3 2 2 3 2 3 2 4" xfId="60180"/>
    <cellStyle name="40 % - Accent3 3 2 2 3 2 3 3" xfId="17991"/>
    <cellStyle name="40 % - Accent3 3 2 2 3 2 3 4" xfId="24481"/>
    <cellStyle name="40 % - Accent3 3 2 2 3 2 3 5" xfId="37461"/>
    <cellStyle name="40 % - Accent3 3 2 2 3 2 3 6" xfId="53690"/>
    <cellStyle name="40 % - Accent3 3 2 2 3 2 4" xfId="8253"/>
    <cellStyle name="40 % - Accent3 3 2 2 3 2 4 2" xfId="27726"/>
    <cellStyle name="40 % - Accent3 3 2 2 3 2 4 3" xfId="40706"/>
    <cellStyle name="40 % - Accent3 3 2 2 3 2 4 4" xfId="56935"/>
    <cellStyle name="40 % - Accent3 3 2 2 3 2 5" xfId="14746"/>
    <cellStyle name="40 % - Accent3 3 2 2 3 2 5 2" xfId="50445"/>
    <cellStyle name="40 % - Accent3 3 2 2 3 2 6" xfId="21236"/>
    <cellStyle name="40 % - Accent3 3 2 2 3 2 7" xfId="34216"/>
    <cellStyle name="40 % - Accent3 3 2 2 3 2 8" xfId="47199"/>
    <cellStyle name="40 % - Accent3 3 2 2 3 3" xfId="1214"/>
    <cellStyle name="40 % - Accent3 3 2 2 3 3 2" xfId="2881"/>
    <cellStyle name="40 % - Accent3 3 2 2 3 3 2 2" xfId="6126"/>
    <cellStyle name="40 % - Accent3 3 2 2 3 3 2 2 2" xfId="12658"/>
    <cellStyle name="40 % - Accent3 3 2 2 3 3 2 2 2 2" xfId="32131"/>
    <cellStyle name="40 % - Accent3 3 2 2 3 3 2 2 2 3" xfId="45111"/>
    <cellStyle name="40 % - Accent3 3 2 2 3 3 2 2 2 4" xfId="61340"/>
    <cellStyle name="40 % - Accent3 3 2 2 3 3 2 2 3" xfId="19151"/>
    <cellStyle name="40 % - Accent3 3 2 2 3 3 2 2 4" xfId="25641"/>
    <cellStyle name="40 % - Accent3 3 2 2 3 3 2 2 5" xfId="38621"/>
    <cellStyle name="40 % - Accent3 3 2 2 3 3 2 2 6" xfId="54850"/>
    <cellStyle name="40 % - Accent3 3 2 2 3 3 2 3" xfId="9413"/>
    <cellStyle name="40 % - Accent3 3 2 2 3 3 2 3 2" xfId="28886"/>
    <cellStyle name="40 % - Accent3 3 2 2 3 3 2 3 3" xfId="41866"/>
    <cellStyle name="40 % - Accent3 3 2 2 3 3 2 3 4" xfId="58095"/>
    <cellStyle name="40 % - Accent3 3 2 2 3 3 2 4" xfId="15906"/>
    <cellStyle name="40 % - Accent3 3 2 2 3 3 2 4 2" xfId="51605"/>
    <cellStyle name="40 % - Accent3 3 2 2 3 3 2 5" xfId="22396"/>
    <cellStyle name="40 % - Accent3 3 2 2 3 3 2 6" xfId="35376"/>
    <cellStyle name="40 % - Accent3 3 2 2 3 3 2 7" xfId="48359"/>
    <cellStyle name="40 % - Accent3 3 2 2 3 3 3" xfId="4503"/>
    <cellStyle name="40 % - Accent3 3 2 2 3 3 3 2" xfId="11035"/>
    <cellStyle name="40 % - Accent3 3 2 2 3 3 3 2 2" xfId="30508"/>
    <cellStyle name="40 % - Accent3 3 2 2 3 3 3 2 3" xfId="43488"/>
    <cellStyle name="40 % - Accent3 3 2 2 3 3 3 2 4" xfId="59717"/>
    <cellStyle name="40 % - Accent3 3 2 2 3 3 3 3" xfId="17528"/>
    <cellStyle name="40 % - Accent3 3 2 2 3 3 3 4" xfId="24018"/>
    <cellStyle name="40 % - Accent3 3 2 2 3 3 3 5" xfId="36998"/>
    <cellStyle name="40 % - Accent3 3 2 2 3 3 3 6" xfId="53227"/>
    <cellStyle name="40 % - Accent3 3 2 2 3 3 4" xfId="7790"/>
    <cellStyle name="40 % - Accent3 3 2 2 3 3 4 2" xfId="27263"/>
    <cellStyle name="40 % - Accent3 3 2 2 3 3 4 3" xfId="40243"/>
    <cellStyle name="40 % - Accent3 3 2 2 3 3 4 4" xfId="56472"/>
    <cellStyle name="40 % - Accent3 3 2 2 3 3 5" xfId="14283"/>
    <cellStyle name="40 % - Accent3 3 2 2 3 3 5 2" xfId="49982"/>
    <cellStyle name="40 % - Accent3 3 2 2 3 3 6" xfId="20773"/>
    <cellStyle name="40 % - Accent3 3 2 2 3 3 7" xfId="33753"/>
    <cellStyle name="40 % - Accent3 3 2 2 3 3 8" xfId="46736"/>
    <cellStyle name="40 % - Accent3 3 2 2 3 4" xfId="2406"/>
    <cellStyle name="40 % - Accent3 3 2 2 3 4 2" xfId="5651"/>
    <cellStyle name="40 % - Accent3 3 2 2 3 4 2 2" xfId="12183"/>
    <cellStyle name="40 % - Accent3 3 2 2 3 4 2 2 2" xfId="31656"/>
    <cellStyle name="40 % - Accent3 3 2 2 3 4 2 2 3" xfId="44636"/>
    <cellStyle name="40 % - Accent3 3 2 2 3 4 2 2 4" xfId="60865"/>
    <cellStyle name="40 % - Accent3 3 2 2 3 4 2 3" xfId="18676"/>
    <cellStyle name="40 % - Accent3 3 2 2 3 4 2 4" xfId="25166"/>
    <cellStyle name="40 % - Accent3 3 2 2 3 4 2 5" xfId="38146"/>
    <cellStyle name="40 % - Accent3 3 2 2 3 4 2 6" xfId="54375"/>
    <cellStyle name="40 % - Accent3 3 2 2 3 4 3" xfId="8938"/>
    <cellStyle name="40 % - Accent3 3 2 2 3 4 3 2" xfId="28411"/>
    <cellStyle name="40 % - Accent3 3 2 2 3 4 3 3" xfId="41391"/>
    <cellStyle name="40 % - Accent3 3 2 2 3 4 3 4" xfId="57620"/>
    <cellStyle name="40 % - Accent3 3 2 2 3 4 4" xfId="15431"/>
    <cellStyle name="40 % - Accent3 3 2 2 3 4 4 2" xfId="51130"/>
    <cellStyle name="40 % - Accent3 3 2 2 3 4 5" xfId="21921"/>
    <cellStyle name="40 % - Accent3 3 2 2 3 4 6" xfId="34901"/>
    <cellStyle name="40 % - Accent3 3 2 2 3 4 7" xfId="47884"/>
    <cellStyle name="40 % - Accent3 3 2 2 3 5" xfId="4028"/>
    <cellStyle name="40 % - Accent3 3 2 2 3 5 2" xfId="10560"/>
    <cellStyle name="40 % - Accent3 3 2 2 3 5 2 2" xfId="30033"/>
    <cellStyle name="40 % - Accent3 3 2 2 3 5 2 3" xfId="43013"/>
    <cellStyle name="40 % - Accent3 3 2 2 3 5 2 4" xfId="59242"/>
    <cellStyle name="40 % - Accent3 3 2 2 3 5 3" xfId="17053"/>
    <cellStyle name="40 % - Accent3 3 2 2 3 5 4" xfId="23543"/>
    <cellStyle name="40 % - Accent3 3 2 2 3 5 5" xfId="36523"/>
    <cellStyle name="40 % - Accent3 3 2 2 3 5 6" xfId="52752"/>
    <cellStyle name="40 % - Accent3 3 2 2 3 6" xfId="7315"/>
    <cellStyle name="40 % - Accent3 3 2 2 3 6 2" xfId="26788"/>
    <cellStyle name="40 % - Accent3 3 2 2 3 6 3" xfId="39768"/>
    <cellStyle name="40 % - Accent3 3 2 2 3 6 4" xfId="55997"/>
    <cellStyle name="40 % - Accent3 3 2 2 3 7" xfId="13808"/>
    <cellStyle name="40 % - Accent3 3 2 2 3 7 2" xfId="49507"/>
    <cellStyle name="40 % - Accent3 3 2 2 3 8" xfId="20298"/>
    <cellStyle name="40 % - Accent3 3 2 2 3 9" xfId="33278"/>
    <cellStyle name="40 % - Accent3 3 2 2 4" xfId="508"/>
    <cellStyle name="40 % - Accent3 3 2 2 4 2" xfId="1457"/>
    <cellStyle name="40 % - Accent3 3 2 2 4 2 2" xfId="3124"/>
    <cellStyle name="40 % - Accent3 3 2 2 4 2 2 2" xfId="6369"/>
    <cellStyle name="40 % - Accent3 3 2 2 4 2 2 2 2" xfId="12901"/>
    <cellStyle name="40 % - Accent3 3 2 2 4 2 2 2 2 2" xfId="32374"/>
    <cellStyle name="40 % - Accent3 3 2 2 4 2 2 2 2 3" xfId="45354"/>
    <cellStyle name="40 % - Accent3 3 2 2 4 2 2 2 2 4" xfId="61583"/>
    <cellStyle name="40 % - Accent3 3 2 2 4 2 2 2 3" xfId="19394"/>
    <cellStyle name="40 % - Accent3 3 2 2 4 2 2 2 4" xfId="25884"/>
    <cellStyle name="40 % - Accent3 3 2 2 4 2 2 2 5" xfId="38864"/>
    <cellStyle name="40 % - Accent3 3 2 2 4 2 2 2 6" xfId="55093"/>
    <cellStyle name="40 % - Accent3 3 2 2 4 2 2 3" xfId="9656"/>
    <cellStyle name="40 % - Accent3 3 2 2 4 2 2 3 2" xfId="29129"/>
    <cellStyle name="40 % - Accent3 3 2 2 4 2 2 3 3" xfId="42109"/>
    <cellStyle name="40 % - Accent3 3 2 2 4 2 2 3 4" xfId="58338"/>
    <cellStyle name="40 % - Accent3 3 2 2 4 2 2 4" xfId="16149"/>
    <cellStyle name="40 % - Accent3 3 2 2 4 2 2 4 2" xfId="51848"/>
    <cellStyle name="40 % - Accent3 3 2 2 4 2 2 5" xfId="22639"/>
    <cellStyle name="40 % - Accent3 3 2 2 4 2 2 6" xfId="35619"/>
    <cellStyle name="40 % - Accent3 3 2 2 4 2 2 7" xfId="48602"/>
    <cellStyle name="40 % - Accent3 3 2 2 4 2 3" xfId="4746"/>
    <cellStyle name="40 % - Accent3 3 2 2 4 2 3 2" xfId="11278"/>
    <cellStyle name="40 % - Accent3 3 2 2 4 2 3 2 2" xfId="30751"/>
    <cellStyle name="40 % - Accent3 3 2 2 4 2 3 2 3" xfId="43731"/>
    <cellStyle name="40 % - Accent3 3 2 2 4 2 3 2 4" xfId="59960"/>
    <cellStyle name="40 % - Accent3 3 2 2 4 2 3 3" xfId="17771"/>
    <cellStyle name="40 % - Accent3 3 2 2 4 2 3 4" xfId="24261"/>
    <cellStyle name="40 % - Accent3 3 2 2 4 2 3 5" xfId="37241"/>
    <cellStyle name="40 % - Accent3 3 2 2 4 2 3 6" xfId="53470"/>
    <cellStyle name="40 % - Accent3 3 2 2 4 2 4" xfId="8033"/>
    <cellStyle name="40 % - Accent3 3 2 2 4 2 4 2" xfId="27506"/>
    <cellStyle name="40 % - Accent3 3 2 2 4 2 4 3" xfId="40486"/>
    <cellStyle name="40 % - Accent3 3 2 2 4 2 4 4" xfId="56715"/>
    <cellStyle name="40 % - Accent3 3 2 2 4 2 5" xfId="14526"/>
    <cellStyle name="40 % - Accent3 3 2 2 4 2 5 2" xfId="50225"/>
    <cellStyle name="40 % - Accent3 3 2 2 4 2 6" xfId="21016"/>
    <cellStyle name="40 % - Accent3 3 2 2 4 2 7" xfId="33996"/>
    <cellStyle name="40 % - Accent3 3 2 2 4 2 8" xfId="46979"/>
    <cellStyle name="40 % - Accent3 3 2 2 4 3" xfId="2176"/>
    <cellStyle name="40 % - Accent3 3 2 2 4 3 2" xfId="5421"/>
    <cellStyle name="40 % - Accent3 3 2 2 4 3 2 2" xfId="11953"/>
    <cellStyle name="40 % - Accent3 3 2 2 4 3 2 2 2" xfId="31426"/>
    <cellStyle name="40 % - Accent3 3 2 2 4 3 2 2 3" xfId="44406"/>
    <cellStyle name="40 % - Accent3 3 2 2 4 3 2 2 4" xfId="60635"/>
    <cellStyle name="40 % - Accent3 3 2 2 4 3 2 3" xfId="18446"/>
    <cellStyle name="40 % - Accent3 3 2 2 4 3 2 4" xfId="24936"/>
    <cellStyle name="40 % - Accent3 3 2 2 4 3 2 5" xfId="37916"/>
    <cellStyle name="40 % - Accent3 3 2 2 4 3 2 6" xfId="54145"/>
    <cellStyle name="40 % - Accent3 3 2 2 4 3 3" xfId="8708"/>
    <cellStyle name="40 % - Accent3 3 2 2 4 3 3 2" xfId="28181"/>
    <cellStyle name="40 % - Accent3 3 2 2 4 3 3 3" xfId="41161"/>
    <cellStyle name="40 % - Accent3 3 2 2 4 3 3 4" xfId="57390"/>
    <cellStyle name="40 % - Accent3 3 2 2 4 3 4" xfId="15201"/>
    <cellStyle name="40 % - Accent3 3 2 2 4 3 4 2" xfId="50900"/>
    <cellStyle name="40 % - Accent3 3 2 2 4 3 5" xfId="21691"/>
    <cellStyle name="40 % - Accent3 3 2 2 4 3 6" xfId="34671"/>
    <cellStyle name="40 % - Accent3 3 2 2 4 3 7" xfId="47654"/>
    <cellStyle name="40 % - Accent3 3 2 2 4 4" xfId="3798"/>
    <cellStyle name="40 % - Accent3 3 2 2 4 4 2" xfId="10330"/>
    <cellStyle name="40 % - Accent3 3 2 2 4 4 2 2" xfId="29803"/>
    <cellStyle name="40 % - Accent3 3 2 2 4 4 2 3" xfId="42783"/>
    <cellStyle name="40 % - Accent3 3 2 2 4 4 2 4" xfId="59012"/>
    <cellStyle name="40 % - Accent3 3 2 2 4 4 3" xfId="16823"/>
    <cellStyle name="40 % - Accent3 3 2 2 4 4 4" xfId="23313"/>
    <cellStyle name="40 % - Accent3 3 2 2 4 4 5" xfId="36293"/>
    <cellStyle name="40 % - Accent3 3 2 2 4 4 6" xfId="52522"/>
    <cellStyle name="40 % - Accent3 3 2 2 4 5" xfId="7085"/>
    <cellStyle name="40 % - Accent3 3 2 2 4 5 2" xfId="26558"/>
    <cellStyle name="40 % - Accent3 3 2 2 4 5 3" xfId="39538"/>
    <cellStyle name="40 % - Accent3 3 2 2 4 5 4" xfId="55767"/>
    <cellStyle name="40 % - Accent3 3 2 2 4 6" xfId="13578"/>
    <cellStyle name="40 % - Accent3 3 2 2 4 6 2" xfId="49277"/>
    <cellStyle name="40 % - Accent3 3 2 2 4 7" xfId="20068"/>
    <cellStyle name="40 % - Accent3 3 2 2 4 8" xfId="33048"/>
    <cellStyle name="40 % - Accent3 3 2 2 4 9" xfId="46031"/>
    <cellStyle name="40 % - Accent3 3 2 2 5" xfId="994"/>
    <cellStyle name="40 % - Accent3 3 2 2 5 2" xfId="2661"/>
    <cellStyle name="40 % - Accent3 3 2 2 5 2 2" xfId="5906"/>
    <cellStyle name="40 % - Accent3 3 2 2 5 2 2 2" xfId="12438"/>
    <cellStyle name="40 % - Accent3 3 2 2 5 2 2 2 2" xfId="31911"/>
    <cellStyle name="40 % - Accent3 3 2 2 5 2 2 2 3" xfId="44891"/>
    <cellStyle name="40 % - Accent3 3 2 2 5 2 2 2 4" xfId="61120"/>
    <cellStyle name="40 % - Accent3 3 2 2 5 2 2 3" xfId="18931"/>
    <cellStyle name="40 % - Accent3 3 2 2 5 2 2 4" xfId="25421"/>
    <cellStyle name="40 % - Accent3 3 2 2 5 2 2 5" xfId="38401"/>
    <cellStyle name="40 % - Accent3 3 2 2 5 2 2 6" xfId="54630"/>
    <cellStyle name="40 % - Accent3 3 2 2 5 2 3" xfId="9193"/>
    <cellStyle name="40 % - Accent3 3 2 2 5 2 3 2" xfId="28666"/>
    <cellStyle name="40 % - Accent3 3 2 2 5 2 3 3" xfId="41646"/>
    <cellStyle name="40 % - Accent3 3 2 2 5 2 3 4" xfId="57875"/>
    <cellStyle name="40 % - Accent3 3 2 2 5 2 4" xfId="15686"/>
    <cellStyle name="40 % - Accent3 3 2 2 5 2 4 2" xfId="51385"/>
    <cellStyle name="40 % - Accent3 3 2 2 5 2 5" xfId="22176"/>
    <cellStyle name="40 % - Accent3 3 2 2 5 2 6" xfId="35156"/>
    <cellStyle name="40 % - Accent3 3 2 2 5 2 7" xfId="48139"/>
    <cellStyle name="40 % - Accent3 3 2 2 5 3" xfId="4283"/>
    <cellStyle name="40 % - Accent3 3 2 2 5 3 2" xfId="10815"/>
    <cellStyle name="40 % - Accent3 3 2 2 5 3 2 2" xfId="30288"/>
    <cellStyle name="40 % - Accent3 3 2 2 5 3 2 3" xfId="43268"/>
    <cellStyle name="40 % - Accent3 3 2 2 5 3 2 4" xfId="59497"/>
    <cellStyle name="40 % - Accent3 3 2 2 5 3 3" xfId="17308"/>
    <cellStyle name="40 % - Accent3 3 2 2 5 3 4" xfId="23798"/>
    <cellStyle name="40 % - Accent3 3 2 2 5 3 5" xfId="36778"/>
    <cellStyle name="40 % - Accent3 3 2 2 5 3 6" xfId="53007"/>
    <cellStyle name="40 % - Accent3 3 2 2 5 4" xfId="7570"/>
    <cellStyle name="40 % - Accent3 3 2 2 5 4 2" xfId="27043"/>
    <cellStyle name="40 % - Accent3 3 2 2 5 4 3" xfId="40023"/>
    <cellStyle name="40 % - Accent3 3 2 2 5 4 4" xfId="56252"/>
    <cellStyle name="40 % - Accent3 3 2 2 5 5" xfId="14063"/>
    <cellStyle name="40 % - Accent3 3 2 2 5 5 2" xfId="49762"/>
    <cellStyle name="40 % - Accent3 3 2 2 5 6" xfId="20553"/>
    <cellStyle name="40 % - Accent3 3 2 2 5 7" xfId="33533"/>
    <cellStyle name="40 % - Accent3 3 2 2 5 8" xfId="46516"/>
    <cellStyle name="40 % - Accent3 3 2 2 6" xfId="1947"/>
    <cellStyle name="40 % - Accent3 3 2 2 6 2" xfId="5192"/>
    <cellStyle name="40 % - Accent3 3 2 2 6 2 2" xfId="11724"/>
    <cellStyle name="40 % - Accent3 3 2 2 6 2 2 2" xfId="31197"/>
    <cellStyle name="40 % - Accent3 3 2 2 6 2 2 3" xfId="44177"/>
    <cellStyle name="40 % - Accent3 3 2 2 6 2 2 4" xfId="60406"/>
    <cellStyle name="40 % - Accent3 3 2 2 6 2 3" xfId="18217"/>
    <cellStyle name="40 % - Accent3 3 2 2 6 2 4" xfId="24707"/>
    <cellStyle name="40 % - Accent3 3 2 2 6 2 5" xfId="37687"/>
    <cellStyle name="40 % - Accent3 3 2 2 6 2 6" xfId="53916"/>
    <cellStyle name="40 % - Accent3 3 2 2 6 3" xfId="8479"/>
    <cellStyle name="40 % - Accent3 3 2 2 6 3 2" xfId="27952"/>
    <cellStyle name="40 % - Accent3 3 2 2 6 3 3" xfId="40932"/>
    <cellStyle name="40 % - Accent3 3 2 2 6 3 4" xfId="57161"/>
    <cellStyle name="40 % - Accent3 3 2 2 6 4" xfId="14972"/>
    <cellStyle name="40 % - Accent3 3 2 2 6 4 2" xfId="50671"/>
    <cellStyle name="40 % - Accent3 3 2 2 6 5" xfId="21462"/>
    <cellStyle name="40 % - Accent3 3 2 2 6 6" xfId="34442"/>
    <cellStyle name="40 % - Accent3 3 2 2 6 7" xfId="47425"/>
    <cellStyle name="40 % - Accent3 3 2 2 7" xfId="3568"/>
    <cellStyle name="40 % - Accent3 3 2 2 7 2" xfId="10100"/>
    <cellStyle name="40 % - Accent3 3 2 2 7 2 2" xfId="29573"/>
    <cellStyle name="40 % - Accent3 3 2 2 7 2 3" xfId="42553"/>
    <cellStyle name="40 % - Accent3 3 2 2 7 2 4" xfId="58782"/>
    <cellStyle name="40 % - Accent3 3 2 2 7 3" xfId="16593"/>
    <cellStyle name="40 % - Accent3 3 2 2 7 4" xfId="23083"/>
    <cellStyle name="40 % - Accent3 3 2 2 7 5" xfId="36063"/>
    <cellStyle name="40 % - Accent3 3 2 2 7 6" xfId="52292"/>
    <cellStyle name="40 % - Accent3 3 2 2 8" xfId="6855"/>
    <cellStyle name="40 % - Accent3 3 2 2 8 2" xfId="26328"/>
    <cellStyle name="40 % - Accent3 3 2 2 8 3" xfId="39308"/>
    <cellStyle name="40 % - Accent3 3 2 2 8 4" xfId="55537"/>
    <cellStyle name="40 % - Accent3 3 2 2 9" xfId="13348"/>
    <cellStyle name="40 % - Accent3 3 2 2 9 2" xfId="49047"/>
    <cellStyle name="40 % - Accent3 3 2 3" xfId="230"/>
    <cellStyle name="40 % - Accent3 3 2 3 10" xfId="32774"/>
    <cellStyle name="40 % - Accent3 3 2 3 11" xfId="45757"/>
    <cellStyle name="40 % - Accent3 3 2 3 2" xfId="694"/>
    <cellStyle name="40 % - Accent3 3 2 3 2 10" xfId="46217"/>
    <cellStyle name="40 % - Accent3 3 2 3 2 2" xfId="1633"/>
    <cellStyle name="40 % - Accent3 3 2 3 2 2 2" xfId="3300"/>
    <cellStyle name="40 % - Accent3 3 2 3 2 2 2 2" xfId="6545"/>
    <cellStyle name="40 % - Accent3 3 2 3 2 2 2 2 2" xfId="13077"/>
    <cellStyle name="40 % - Accent3 3 2 3 2 2 2 2 2 2" xfId="32550"/>
    <cellStyle name="40 % - Accent3 3 2 3 2 2 2 2 2 3" xfId="45530"/>
    <cellStyle name="40 % - Accent3 3 2 3 2 2 2 2 2 4" xfId="61759"/>
    <cellStyle name="40 % - Accent3 3 2 3 2 2 2 2 3" xfId="19570"/>
    <cellStyle name="40 % - Accent3 3 2 3 2 2 2 2 4" xfId="26060"/>
    <cellStyle name="40 % - Accent3 3 2 3 2 2 2 2 5" xfId="39040"/>
    <cellStyle name="40 % - Accent3 3 2 3 2 2 2 2 6" xfId="55269"/>
    <cellStyle name="40 % - Accent3 3 2 3 2 2 2 3" xfId="9832"/>
    <cellStyle name="40 % - Accent3 3 2 3 2 2 2 3 2" xfId="29305"/>
    <cellStyle name="40 % - Accent3 3 2 3 2 2 2 3 3" xfId="42285"/>
    <cellStyle name="40 % - Accent3 3 2 3 2 2 2 3 4" xfId="58514"/>
    <cellStyle name="40 % - Accent3 3 2 3 2 2 2 4" xfId="16325"/>
    <cellStyle name="40 % - Accent3 3 2 3 2 2 2 4 2" xfId="52024"/>
    <cellStyle name="40 % - Accent3 3 2 3 2 2 2 5" xfId="22815"/>
    <cellStyle name="40 % - Accent3 3 2 3 2 2 2 6" xfId="35795"/>
    <cellStyle name="40 % - Accent3 3 2 3 2 2 2 7" xfId="48778"/>
    <cellStyle name="40 % - Accent3 3 2 3 2 2 3" xfId="4922"/>
    <cellStyle name="40 % - Accent3 3 2 3 2 2 3 2" xfId="11454"/>
    <cellStyle name="40 % - Accent3 3 2 3 2 2 3 2 2" xfId="30927"/>
    <cellStyle name="40 % - Accent3 3 2 3 2 2 3 2 3" xfId="43907"/>
    <cellStyle name="40 % - Accent3 3 2 3 2 2 3 2 4" xfId="60136"/>
    <cellStyle name="40 % - Accent3 3 2 3 2 2 3 3" xfId="17947"/>
    <cellStyle name="40 % - Accent3 3 2 3 2 2 3 4" xfId="24437"/>
    <cellStyle name="40 % - Accent3 3 2 3 2 2 3 5" xfId="37417"/>
    <cellStyle name="40 % - Accent3 3 2 3 2 2 3 6" xfId="53646"/>
    <cellStyle name="40 % - Accent3 3 2 3 2 2 4" xfId="8209"/>
    <cellStyle name="40 % - Accent3 3 2 3 2 2 4 2" xfId="27682"/>
    <cellStyle name="40 % - Accent3 3 2 3 2 2 4 3" xfId="40662"/>
    <cellStyle name="40 % - Accent3 3 2 3 2 2 4 4" xfId="56891"/>
    <cellStyle name="40 % - Accent3 3 2 3 2 2 5" xfId="14702"/>
    <cellStyle name="40 % - Accent3 3 2 3 2 2 5 2" xfId="50401"/>
    <cellStyle name="40 % - Accent3 3 2 3 2 2 6" xfId="21192"/>
    <cellStyle name="40 % - Accent3 3 2 3 2 2 7" xfId="34172"/>
    <cellStyle name="40 % - Accent3 3 2 3 2 2 8" xfId="47155"/>
    <cellStyle name="40 % - Accent3 3 2 3 2 3" xfId="1170"/>
    <cellStyle name="40 % - Accent3 3 2 3 2 3 2" xfId="2837"/>
    <cellStyle name="40 % - Accent3 3 2 3 2 3 2 2" xfId="6082"/>
    <cellStyle name="40 % - Accent3 3 2 3 2 3 2 2 2" xfId="12614"/>
    <cellStyle name="40 % - Accent3 3 2 3 2 3 2 2 2 2" xfId="32087"/>
    <cellStyle name="40 % - Accent3 3 2 3 2 3 2 2 2 3" xfId="45067"/>
    <cellStyle name="40 % - Accent3 3 2 3 2 3 2 2 2 4" xfId="61296"/>
    <cellStyle name="40 % - Accent3 3 2 3 2 3 2 2 3" xfId="19107"/>
    <cellStyle name="40 % - Accent3 3 2 3 2 3 2 2 4" xfId="25597"/>
    <cellStyle name="40 % - Accent3 3 2 3 2 3 2 2 5" xfId="38577"/>
    <cellStyle name="40 % - Accent3 3 2 3 2 3 2 2 6" xfId="54806"/>
    <cellStyle name="40 % - Accent3 3 2 3 2 3 2 3" xfId="9369"/>
    <cellStyle name="40 % - Accent3 3 2 3 2 3 2 3 2" xfId="28842"/>
    <cellStyle name="40 % - Accent3 3 2 3 2 3 2 3 3" xfId="41822"/>
    <cellStyle name="40 % - Accent3 3 2 3 2 3 2 3 4" xfId="58051"/>
    <cellStyle name="40 % - Accent3 3 2 3 2 3 2 4" xfId="15862"/>
    <cellStyle name="40 % - Accent3 3 2 3 2 3 2 4 2" xfId="51561"/>
    <cellStyle name="40 % - Accent3 3 2 3 2 3 2 5" xfId="22352"/>
    <cellStyle name="40 % - Accent3 3 2 3 2 3 2 6" xfId="35332"/>
    <cellStyle name="40 % - Accent3 3 2 3 2 3 2 7" xfId="48315"/>
    <cellStyle name="40 % - Accent3 3 2 3 2 3 3" xfId="4459"/>
    <cellStyle name="40 % - Accent3 3 2 3 2 3 3 2" xfId="10991"/>
    <cellStyle name="40 % - Accent3 3 2 3 2 3 3 2 2" xfId="30464"/>
    <cellStyle name="40 % - Accent3 3 2 3 2 3 3 2 3" xfId="43444"/>
    <cellStyle name="40 % - Accent3 3 2 3 2 3 3 2 4" xfId="59673"/>
    <cellStyle name="40 % - Accent3 3 2 3 2 3 3 3" xfId="17484"/>
    <cellStyle name="40 % - Accent3 3 2 3 2 3 3 4" xfId="23974"/>
    <cellStyle name="40 % - Accent3 3 2 3 2 3 3 5" xfId="36954"/>
    <cellStyle name="40 % - Accent3 3 2 3 2 3 3 6" xfId="53183"/>
    <cellStyle name="40 % - Accent3 3 2 3 2 3 4" xfId="7746"/>
    <cellStyle name="40 % - Accent3 3 2 3 2 3 4 2" xfId="27219"/>
    <cellStyle name="40 % - Accent3 3 2 3 2 3 4 3" xfId="40199"/>
    <cellStyle name="40 % - Accent3 3 2 3 2 3 4 4" xfId="56428"/>
    <cellStyle name="40 % - Accent3 3 2 3 2 3 5" xfId="14239"/>
    <cellStyle name="40 % - Accent3 3 2 3 2 3 5 2" xfId="49938"/>
    <cellStyle name="40 % - Accent3 3 2 3 2 3 6" xfId="20729"/>
    <cellStyle name="40 % - Accent3 3 2 3 2 3 7" xfId="33709"/>
    <cellStyle name="40 % - Accent3 3 2 3 2 3 8" xfId="46692"/>
    <cellStyle name="40 % - Accent3 3 2 3 2 4" xfId="2362"/>
    <cellStyle name="40 % - Accent3 3 2 3 2 4 2" xfId="5607"/>
    <cellStyle name="40 % - Accent3 3 2 3 2 4 2 2" xfId="12139"/>
    <cellStyle name="40 % - Accent3 3 2 3 2 4 2 2 2" xfId="31612"/>
    <cellStyle name="40 % - Accent3 3 2 3 2 4 2 2 3" xfId="44592"/>
    <cellStyle name="40 % - Accent3 3 2 3 2 4 2 2 4" xfId="60821"/>
    <cellStyle name="40 % - Accent3 3 2 3 2 4 2 3" xfId="18632"/>
    <cellStyle name="40 % - Accent3 3 2 3 2 4 2 4" xfId="25122"/>
    <cellStyle name="40 % - Accent3 3 2 3 2 4 2 5" xfId="38102"/>
    <cellStyle name="40 % - Accent3 3 2 3 2 4 2 6" xfId="54331"/>
    <cellStyle name="40 % - Accent3 3 2 3 2 4 3" xfId="8894"/>
    <cellStyle name="40 % - Accent3 3 2 3 2 4 3 2" xfId="28367"/>
    <cellStyle name="40 % - Accent3 3 2 3 2 4 3 3" xfId="41347"/>
    <cellStyle name="40 % - Accent3 3 2 3 2 4 3 4" xfId="57576"/>
    <cellStyle name="40 % - Accent3 3 2 3 2 4 4" xfId="15387"/>
    <cellStyle name="40 % - Accent3 3 2 3 2 4 4 2" xfId="51086"/>
    <cellStyle name="40 % - Accent3 3 2 3 2 4 5" xfId="21877"/>
    <cellStyle name="40 % - Accent3 3 2 3 2 4 6" xfId="34857"/>
    <cellStyle name="40 % - Accent3 3 2 3 2 4 7" xfId="47840"/>
    <cellStyle name="40 % - Accent3 3 2 3 2 5" xfId="3984"/>
    <cellStyle name="40 % - Accent3 3 2 3 2 5 2" xfId="10516"/>
    <cellStyle name="40 % - Accent3 3 2 3 2 5 2 2" xfId="29989"/>
    <cellStyle name="40 % - Accent3 3 2 3 2 5 2 3" xfId="42969"/>
    <cellStyle name="40 % - Accent3 3 2 3 2 5 2 4" xfId="59198"/>
    <cellStyle name="40 % - Accent3 3 2 3 2 5 3" xfId="17009"/>
    <cellStyle name="40 % - Accent3 3 2 3 2 5 4" xfId="23499"/>
    <cellStyle name="40 % - Accent3 3 2 3 2 5 5" xfId="36479"/>
    <cellStyle name="40 % - Accent3 3 2 3 2 5 6" xfId="52708"/>
    <cellStyle name="40 % - Accent3 3 2 3 2 6" xfId="7271"/>
    <cellStyle name="40 % - Accent3 3 2 3 2 6 2" xfId="26744"/>
    <cellStyle name="40 % - Accent3 3 2 3 2 6 3" xfId="39724"/>
    <cellStyle name="40 % - Accent3 3 2 3 2 6 4" xfId="55953"/>
    <cellStyle name="40 % - Accent3 3 2 3 2 7" xfId="13764"/>
    <cellStyle name="40 % - Accent3 3 2 3 2 7 2" xfId="49463"/>
    <cellStyle name="40 % - Accent3 3 2 3 2 8" xfId="20254"/>
    <cellStyle name="40 % - Accent3 3 2 3 2 9" xfId="33234"/>
    <cellStyle name="40 % - Accent3 3 2 3 3" xfId="464"/>
    <cellStyle name="40 % - Accent3 3 2 3 3 2" xfId="1413"/>
    <cellStyle name="40 % - Accent3 3 2 3 3 2 2" xfId="3080"/>
    <cellStyle name="40 % - Accent3 3 2 3 3 2 2 2" xfId="6325"/>
    <cellStyle name="40 % - Accent3 3 2 3 3 2 2 2 2" xfId="12857"/>
    <cellStyle name="40 % - Accent3 3 2 3 3 2 2 2 2 2" xfId="32330"/>
    <cellStyle name="40 % - Accent3 3 2 3 3 2 2 2 2 3" xfId="45310"/>
    <cellStyle name="40 % - Accent3 3 2 3 3 2 2 2 2 4" xfId="61539"/>
    <cellStyle name="40 % - Accent3 3 2 3 3 2 2 2 3" xfId="19350"/>
    <cellStyle name="40 % - Accent3 3 2 3 3 2 2 2 4" xfId="25840"/>
    <cellStyle name="40 % - Accent3 3 2 3 3 2 2 2 5" xfId="38820"/>
    <cellStyle name="40 % - Accent3 3 2 3 3 2 2 2 6" xfId="55049"/>
    <cellStyle name="40 % - Accent3 3 2 3 3 2 2 3" xfId="9612"/>
    <cellStyle name="40 % - Accent3 3 2 3 3 2 2 3 2" xfId="29085"/>
    <cellStyle name="40 % - Accent3 3 2 3 3 2 2 3 3" xfId="42065"/>
    <cellStyle name="40 % - Accent3 3 2 3 3 2 2 3 4" xfId="58294"/>
    <cellStyle name="40 % - Accent3 3 2 3 3 2 2 4" xfId="16105"/>
    <cellStyle name="40 % - Accent3 3 2 3 3 2 2 4 2" xfId="51804"/>
    <cellStyle name="40 % - Accent3 3 2 3 3 2 2 5" xfId="22595"/>
    <cellStyle name="40 % - Accent3 3 2 3 3 2 2 6" xfId="35575"/>
    <cellStyle name="40 % - Accent3 3 2 3 3 2 2 7" xfId="48558"/>
    <cellStyle name="40 % - Accent3 3 2 3 3 2 3" xfId="4702"/>
    <cellStyle name="40 % - Accent3 3 2 3 3 2 3 2" xfId="11234"/>
    <cellStyle name="40 % - Accent3 3 2 3 3 2 3 2 2" xfId="30707"/>
    <cellStyle name="40 % - Accent3 3 2 3 3 2 3 2 3" xfId="43687"/>
    <cellStyle name="40 % - Accent3 3 2 3 3 2 3 2 4" xfId="59916"/>
    <cellStyle name="40 % - Accent3 3 2 3 3 2 3 3" xfId="17727"/>
    <cellStyle name="40 % - Accent3 3 2 3 3 2 3 4" xfId="24217"/>
    <cellStyle name="40 % - Accent3 3 2 3 3 2 3 5" xfId="37197"/>
    <cellStyle name="40 % - Accent3 3 2 3 3 2 3 6" xfId="53426"/>
    <cellStyle name="40 % - Accent3 3 2 3 3 2 4" xfId="7989"/>
    <cellStyle name="40 % - Accent3 3 2 3 3 2 4 2" xfId="27462"/>
    <cellStyle name="40 % - Accent3 3 2 3 3 2 4 3" xfId="40442"/>
    <cellStyle name="40 % - Accent3 3 2 3 3 2 4 4" xfId="56671"/>
    <cellStyle name="40 % - Accent3 3 2 3 3 2 5" xfId="14482"/>
    <cellStyle name="40 % - Accent3 3 2 3 3 2 5 2" xfId="50181"/>
    <cellStyle name="40 % - Accent3 3 2 3 3 2 6" xfId="20972"/>
    <cellStyle name="40 % - Accent3 3 2 3 3 2 7" xfId="33952"/>
    <cellStyle name="40 % - Accent3 3 2 3 3 2 8" xfId="46935"/>
    <cellStyle name="40 % - Accent3 3 2 3 3 3" xfId="2132"/>
    <cellStyle name="40 % - Accent3 3 2 3 3 3 2" xfId="5377"/>
    <cellStyle name="40 % - Accent3 3 2 3 3 3 2 2" xfId="11909"/>
    <cellStyle name="40 % - Accent3 3 2 3 3 3 2 2 2" xfId="31382"/>
    <cellStyle name="40 % - Accent3 3 2 3 3 3 2 2 3" xfId="44362"/>
    <cellStyle name="40 % - Accent3 3 2 3 3 3 2 2 4" xfId="60591"/>
    <cellStyle name="40 % - Accent3 3 2 3 3 3 2 3" xfId="18402"/>
    <cellStyle name="40 % - Accent3 3 2 3 3 3 2 4" xfId="24892"/>
    <cellStyle name="40 % - Accent3 3 2 3 3 3 2 5" xfId="37872"/>
    <cellStyle name="40 % - Accent3 3 2 3 3 3 2 6" xfId="54101"/>
    <cellStyle name="40 % - Accent3 3 2 3 3 3 3" xfId="8664"/>
    <cellStyle name="40 % - Accent3 3 2 3 3 3 3 2" xfId="28137"/>
    <cellStyle name="40 % - Accent3 3 2 3 3 3 3 3" xfId="41117"/>
    <cellStyle name="40 % - Accent3 3 2 3 3 3 3 4" xfId="57346"/>
    <cellStyle name="40 % - Accent3 3 2 3 3 3 4" xfId="15157"/>
    <cellStyle name="40 % - Accent3 3 2 3 3 3 4 2" xfId="50856"/>
    <cellStyle name="40 % - Accent3 3 2 3 3 3 5" xfId="21647"/>
    <cellStyle name="40 % - Accent3 3 2 3 3 3 6" xfId="34627"/>
    <cellStyle name="40 % - Accent3 3 2 3 3 3 7" xfId="47610"/>
    <cellStyle name="40 % - Accent3 3 2 3 3 4" xfId="3754"/>
    <cellStyle name="40 % - Accent3 3 2 3 3 4 2" xfId="10286"/>
    <cellStyle name="40 % - Accent3 3 2 3 3 4 2 2" xfId="29759"/>
    <cellStyle name="40 % - Accent3 3 2 3 3 4 2 3" xfId="42739"/>
    <cellStyle name="40 % - Accent3 3 2 3 3 4 2 4" xfId="58968"/>
    <cellStyle name="40 % - Accent3 3 2 3 3 4 3" xfId="16779"/>
    <cellStyle name="40 % - Accent3 3 2 3 3 4 4" xfId="23269"/>
    <cellStyle name="40 % - Accent3 3 2 3 3 4 5" xfId="36249"/>
    <cellStyle name="40 % - Accent3 3 2 3 3 4 6" xfId="52478"/>
    <cellStyle name="40 % - Accent3 3 2 3 3 5" xfId="7041"/>
    <cellStyle name="40 % - Accent3 3 2 3 3 5 2" xfId="26514"/>
    <cellStyle name="40 % - Accent3 3 2 3 3 5 3" xfId="39494"/>
    <cellStyle name="40 % - Accent3 3 2 3 3 5 4" xfId="55723"/>
    <cellStyle name="40 % - Accent3 3 2 3 3 6" xfId="13534"/>
    <cellStyle name="40 % - Accent3 3 2 3 3 6 2" xfId="49233"/>
    <cellStyle name="40 % - Accent3 3 2 3 3 7" xfId="20024"/>
    <cellStyle name="40 % - Accent3 3 2 3 3 8" xfId="33004"/>
    <cellStyle name="40 % - Accent3 3 2 3 3 9" xfId="45987"/>
    <cellStyle name="40 % - Accent3 3 2 3 4" xfId="950"/>
    <cellStyle name="40 % - Accent3 3 2 3 4 2" xfId="2617"/>
    <cellStyle name="40 % - Accent3 3 2 3 4 2 2" xfId="5862"/>
    <cellStyle name="40 % - Accent3 3 2 3 4 2 2 2" xfId="12394"/>
    <cellStyle name="40 % - Accent3 3 2 3 4 2 2 2 2" xfId="31867"/>
    <cellStyle name="40 % - Accent3 3 2 3 4 2 2 2 3" xfId="44847"/>
    <cellStyle name="40 % - Accent3 3 2 3 4 2 2 2 4" xfId="61076"/>
    <cellStyle name="40 % - Accent3 3 2 3 4 2 2 3" xfId="18887"/>
    <cellStyle name="40 % - Accent3 3 2 3 4 2 2 4" xfId="25377"/>
    <cellStyle name="40 % - Accent3 3 2 3 4 2 2 5" xfId="38357"/>
    <cellStyle name="40 % - Accent3 3 2 3 4 2 2 6" xfId="54586"/>
    <cellStyle name="40 % - Accent3 3 2 3 4 2 3" xfId="9149"/>
    <cellStyle name="40 % - Accent3 3 2 3 4 2 3 2" xfId="28622"/>
    <cellStyle name="40 % - Accent3 3 2 3 4 2 3 3" xfId="41602"/>
    <cellStyle name="40 % - Accent3 3 2 3 4 2 3 4" xfId="57831"/>
    <cellStyle name="40 % - Accent3 3 2 3 4 2 4" xfId="15642"/>
    <cellStyle name="40 % - Accent3 3 2 3 4 2 4 2" xfId="51341"/>
    <cellStyle name="40 % - Accent3 3 2 3 4 2 5" xfId="22132"/>
    <cellStyle name="40 % - Accent3 3 2 3 4 2 6" xfId="35112"/>
    <cellStyle name="40 % - Accent3 3 2 3 4 2 7" xfId="48095"/>
    <cellStyle name="40 % - Accent3 3 2 3 4 3" xfId="4239"/>
    <cellStyle name="40 % - Accent3 3 2 3 4 3 2" xfId="10771"/>
    <cellStyle name="40 % - Accent3 3 2 3 4 3 2 2" xfId="30244"/>
    <cellStyle name="40 % - Accent3 3 2 3 4 3 2 3" xfId="43224"/>
    <cellStyle name="40 % - Accent3 3 2 3 4 3 2 4" xfId="59453"/>
    <cellStyle name="40 % - Accent3 3 2 3 4 3 3" xfId="17264"/>
    <cellStyle name="40 % - Accent3 3 2 3 4 3 4" xfId="23754"/>
    <cellStyle name="40 % - Accent3 3 2 3 4 3 5" xfId="36734"/>
    <cellStyle name="40 % - Accent3 3 2 3 4 3 6" xfId="52963"/>
    <cellStyle name="40 % - Accent3 3 2 3 4 4" xfId="7526"/>
    <cellStyle name="40 % - Accent3 3 2 3 4 4 2" xfId="26999"/>
    <cellStyle name="40 % - Accent3 3 2 3 4 4 3" xfId="39979"/>
    <cellStyle name="40 % - Accent3 3 2 3 4 4 4" xfId="56208"/>
    <cellStyle name="40 % - Accent3 3 2 3 4 5" xfId="14019"/>
    <cellStyle name="40 % - Accent3 3 2 3 4 5 2" xfId="49718"/>
    <cellStyle name="40 % - Accent3 3 2 3 4 6" xfId="20509"/>
    <cellStyle name="40 % - Accent3 3 2 3 4 7" xfId="33489"/>
    <cellStyle name="40 % - Accent3 3 2 3 4 8" xfId="46472"/>
    <cellStyle name="40 % - Accent3 3 2 3 5" xfId="1903"/>
    <cellStyle name="40 % - Accent3 3 2 3 5 2" xfId="5148"/>
    <cellStyle name="40 % - Accent3 3 2 3 5 2 2" xfId="11680"/>
    <cellStyle name="40 % - Accent3 3 2 3 5 2 2 2" xfId="31153"/>
    <cellStyle name="40 % - Accent3 3 2 3 5 2 2 3" xfId="44133"/>
    <cellStyle name="40 % - Accent3 3 2 3 5 2 2 4" xfId="60362"/>
    <cellStyle name="40 % - Accent3 3 2 3 5 2 3" xfId="18173"/>
    <cellStyle name="40 % - Accent3 3 2 3 5 2 4" xfId="24663"/>
    <cellStyle name="40 % - Accent3 3 2 3 5 2 5" xfId="37643"/>
    <cellStyle name="40 % - Accent3 3 2 3 5 2 6" xfId="53872"/>
    <cellStyle name="40 % - Accent3 3 2 3 5 3" xfId="8435"/>
    <cellStyle name="40 % - Accent3 3 2 3 5 3 2" xfId="27908"/>
    <cellStyle name="40 % - Accent3 3 2 3 5 3 3" xfId="40888"/>
    <cellStyle name="40 % - Accent3 3 2 3 5 3 4" xfId="57117"/>
    <cellStyle name="40 % - Accent3 3 2 3 5 4" xfId="14928"/>
    <cellStyle name="40 % - Accent3 3 2 3 5 4 2" xfId="50627"/>
    <cellStyle name="40 % - Accent3 3 2 3 5 5" xfId="21418"/>
    <cellStyle name="40 % - Accent3 3 2 3 5 6" xfId="34398"/>
    <cellStyle name="40 % - Accent3 3 2 3 5 7" xfId="47381"/>
    <cellStyle name="40 % - Accent3 3 2 3 6" xfId="3524"/>
    <cellStyle name="40 % - Accent3 3 2 3 6 2" xfId="10056"/>
    <cellStyle name="40 % - Accent3 3 2 3 6 2 2" xfId="29529"/>
    <cellStyle name="40 % - Accent3 3 2 3 6 2 3" xfId="42509"/>
    <cellStyle name="40 % - Accent3 3 2 3 6 2 4" xfId="58738"/>
    <cellStyle name="40 % - Accent3 3 2 3 6 3" xfId="16549"/>
    <cellStyle name="40 % - Accent3 3 2 3 6 4" xfId="23039"/>
    <cellStyle name="40 % - Accent3 3 2 3 6 5" xfId="36019"/>
    <cellStyle name="40 % - Accent3 3 2 3 6 6" xfId="52248"/>
    <cellStyle name="40 % - Accent3 3 2 3 7" xfId="6811"/>
    <cellStyle name="40 % - Accent3 3 2 3 7 2" xfId="26284"/>
    <cellStyle name="40 % - Accent3 3 2 3 7 3" xfId="39264"/>
    <cellStyle name="40 % - Accent3 3 2 3 7 4" xfId="55493"/>
    <cellStyle name="40 % - Accent3 3 2 3 8" xfId="13304"/>
    <cellStyle name="40 % - Accent3 3 2 3 8 2" xfId="49003"/>
    <cellStyle name="40 % - Accent3 3 2 3 9" xfId="19794"/>
    <cellStyle name="40 % - Accent3 3 2 4" xfId="318"/>
    <cellStyle name="40 % - Accent3 3 2 4 10" xfId="32862"/>
    <cellStyle name="40 % - Accent3 3 2 4 11" xfId="45845"/>
    <cellStyle name="40 % - Accent3 3 2 4 2" xfId="782"/>
    <cellStyle name="40 % - Accent3 3 2 4 2 10" xfId="46305"/>
    <cellStyle name="40 % - Accent3 3 2 4 2 2" xfId="1721"/>
    <cellStyle name="40 % - Accent3 3 2 4 2 2 2" xfId="3388"/>
    <cellStyle name="40 % - Accent3 3 2 4 2 2 2 2" xfId="6633"/>
    <cellStyle name="40 % - Accent3 3 2 4 2 2 2 2 2" xfId="13165"/>
    <cellStyle name="40 % - Accent3 3 2 4 2 2 2 2 2 2" xfId="32638"/>
    <cellStyle name="40 % - Accent3 3 2 4 2 2 2 2 2 3" xfId="45618"/>
    <cellStyle name="40 % - Accent3 3 2 4 2 2 2 2 2 4" xfId="61847"/>
    <cellStyle name="40 % - Accent3 3 2 4 2 2 2 2 3" xfId="19658"/>
    <cellStyle name="40 % - Accent3 3 2 4 2 2 2 2 4" xfId="26148"/>
    <cellStyle name="40 % - Accent3 3 2 4 2 2 2 2 5" xfId="39128"/>
    <cellStyle name="40 % - Accent3 3 2 4 2 2 2 2 6" xfId="55357"/>
    <cellStyle name="40 % - Accent3 3 2 4 2 2 2 3" xfId="9920"/>
    <cellStyle name="40 % - Accent3 3 2 4 2 2 2 3 2" xfId="29393"/>
    <cellStyle name="40 % - Accent3 3 2 4 2 2 2 3 3" xfId="42373"/>
    <cellStyle name="40 % - Accent3 3 2 4 2 2 2 3 4" xfId="58602"/>
    <cellStyle name="40 % - Accent3 3 2 4 2 2 2 4" xfId="16413"/>
    <cellStyle name="40 % - Accent3 3 2 4 2 2 2 4 2" xfId="52112"/>
    <cellStyle name="40 % - Accent3 3 2 4 2 2 2 5" xfId="22903"/>
    <cellStyle name="40 % - Accent3 3 2 4 2 2 2 6" xfId="35883"/>
    <cellStyle name="40 % - Accent3 3 2 4 2 2 2 7" xfId="48866"/>
    <cellStyle name="40 % - Accent3 3 2 4 2 2 3" xfId="5010"/>
    <cellStyle name="40 % - Accent3 3 2 4 2 2 3 2" xfId="11542"/>
    <cellStyle name="40 % - Accent3 3 2 4 2 2 3 2 2" xfId="31015"/>
    <cellStyle name="40 % - Accent3 3 2 4 2 2 3 2 3" xfId="43995"/>
    <cellStyle name="40 % - Accent3 3 2 4 2 2 3 2 4" xfId="60224"/>
    <cellStyle name="40 % - Accent3 3 2 4 2 2 3 3" xfId="18035"/>
    <cellStyle name="40 % - Accent3 3 2 4 2 2 3 4" xfId="24525"/>
    <cellStyle name="40 % - Accent3 3 2 4 2 2 3 5" xfId="37505"/>
    <cellStyle name="40 % - Accent3 3 2 4 2 2 3 6" xfId="53734"/>
    <cellStyle name="40 % - Accent3 3 2 4 2 2 4" xfId="8297"/>
    <cellStyle name="40 % - Accent3 3 2 4 2 2 4 2" xfId="27770"/>
    <cellStyle name="40 % - Accent3 3 2 4 2 2 4 3" xfId="40750"/>
    <cellStyle name="40 % - Accent3 3 2 4 2 2 4 4" xfId="56979"/>
    <cellStyle name="40 % - Accent3 3 2 4 2 2 5" xfId="14790"/>
    <cellStyle name="40 % - Accent3 3 2 4 2 2 5 2" xfId="50489"/>
    <cellStyle name="40 % - Accent3 3 2 4 2 2 6" xfId="21280"/>
    <cellStyle name="40 % - Accent3 3 2 4 2 2 7" xfId="34260"/>
    <cellStyle name="40 % - Accent3 3 2 4 2 2 8" xfId="47243"/>
    <cellStyle name="40 % - Accent3 3 2 4 2 3" xfId="1258"/>
    <cellStyle name="40 % - Accent3 3 2 4 2 3 2" xfId="2925"/>
    <cellStyle name="40 % - Accent3 3 2 4 2 3 2 2" xfId="6170"/>
    <cellStyle name="40 % - Accent3 3 2 4 2 3 2 2 2" xfId="12702"/>
    <cellStyle name="40 % - Accent3 3 2 4 2 3 2 2 2 2" xfId="32175"/>
    <cellStyle name="40 % - Accent3 3 2 4 2 3 2 2 2 3" xfId="45155"/>
    <cellStyle name="40 % - Accent3 3 2 4 2 3 2 2 2 4" xfId="61384"/>
    <cellStyle name="40 % - Accent3 3 2 4 2 3 2 2 3" xfId="19195"/>
    <cellStyle name="40 % - Accent3 3 2 4 2 3 2 2 4" xfId="25685"/>
    <cellStyle name="40 % - Accent3 3 2 4 2 3 2 2 5" xfId="38665"/>
    <cellStyle name="40 % - Accent3 3 2 4 2 3 2 2 6" xfId="54894"/>
    <cellStyle name="40 % - Accent3 3 2 4 2 3 2 3" xfId="9457"/>
    <cellStyle name="40 % - Accent3 3 2 4 2 3 2 3 2" xfId="28930"/>
    <cellStyle name="40 % - Accent3 3 2 4 2 3 2 3 3" xfId="41910"/>
    <cellStyle name="40 % - Accent3 3 2 4 2 3 2 3 4" xfId="58139"/>
    <cellStyle name="40 % - Accent3 3 2 4 2 3 2 4" xfId="15950"/>
    <cellStyle name="40 % - Accent3 3 2 4 2 3 2 4 2" xfId="51649"/>
    <cellStyle name="40 % - Accent3 3 2 4 2 3 2 5" xfId="22440"/>
    <cellStyle name="40 % - Accent3 3 2 4 2 3 2 6" xfId="35420"/>
    <cellStyle name="40 % - Accent3 3 2 4 2 3 2 7" xfId="48403"/>
    <cellStyle name="40 % - Accent3 3 2 4 2 3 3" xfId="4547"/>
    <cellStyle name="40 % - Accent3 3 2 4 2 3 3 2" xfId="11079"/>
    <cellStyle name="40 % - Accent3 3 2 4 2 3 3 2 2" xfId="30552"/>
    <cellStyle name="40 % - Accent3 3 2 4 2 3 3 2 3" xfId="43532"/>
    <cellStyle name="40 % - Accent3 3 2 4 2 3 3 2 4" xfId="59761"/>
    <cellStyle name="40 % - Accent3 3 2 4 2 3 3 3" xfId="17572"/>
    <cellStyle name="40 % - Accent3 3 2 4 2 3 3 4" xfId="24062"/>
    <cellStyle name="40 % - Accent3 3 2 4 2 3 3 5" xfId="37042"/>
    <cellStyle name="40 % - Accent3 3 2 4 2 3 3 6" xfId="53271"/>
    <cellStyle name="40 % - Accent3 3 2 4 2 3 4" xfId="7834"/>
    <cellStyle name="40 % - Accent3 3 2 4 2 3 4 2" xfId="27307"/>
    <cellStyle name="40 % - Accent3 3 2 4 2 3 4 3" xfId="40287"/>
    <cellStyle name="40 % - Accent3 3 2 4 2 3 4 4" xfId="56516"/>
    <cellStyle name="40 % - Accent3 3 2 4 2 3 5" xfId="14327"/>
    <cellStyle name="40 % - Accent3 3 2 4 2 3 5 2" xfId="50026"/>
    <cellStyle name="40 % - Accent3 3 2 4 2 3 6" xfId="20817"/>
    <cellStyle name="40 % - Accent3 3 2 4 2 3 7" xfId="33797"/>
    <cellStyle name="40 % - Accent3 3 2 4 2 3 8" xfId="46780"/>
    <cellStyle name="40 % - Accent3 3 2 4 2 4" xfId="2450"/>
    <cellStyle name="40 % - Accent3 3 2 4 2 4 2" xfId="5695"/>
    <cellStyle name="40 % - Accent3 3 2 4 2 4 2 2" xfId="12227"/>
    <cellStyle name="40 % - Accent3 3 2 4 2 4 2 2 2" xfId="31700"/>
    <cellStyle name="40 % - Accent3 3 2 4 2 4 2 2 3" xfId="44680"/>
    <cellStyle name="40 % - Accent3 3 2 4 2 4 2 2 4" xfId="60909"/>
    <cellStyle name="40 % - Accent3 3 2 4 2 4 2 3" xfId="18720"/>
    <cellStyle name="40 % - Accent3 3 2 4 2 4 2 4" xfId="25210"/>
    <cellStyle name="40 % - Accent3 3 2 4 2 4 2 5" xfId="38190"/>
    <cellStyle name="40 % - Accent3 3 2 4 2 4 2 6" xfId="54419"/>
    <cellStyle name="40 % - Accent3 3 2 4 2 4 3" xfId="8982"/>
    <cellStyle name="40 % - Accent3 3 2 4 2 4 3 2" xfId="28455"/>
    <cellStyle name="40 % - Accent3 3 2 4 2 4 3 3" xfId="41435"/>
    <cellStyle name="40 % - Accent3 3 2 4 2 4 3 4" xfId="57664"/>
    <cellStyle name="40 % - Accent3 3 2 4 2 4 4" xfId="15475"/>
    <cellStyle name="40 % - Accent3 3 2 4 2 4 4 2" xfId="51174"/>
    <cellStyle name="40 % - Accent3 3 2 4 2 4 5" xfId="21965"/>
    <cellStyle name="40 % - Accent3 3 2 4 2 4 6" xfId="34945"/>
    <cellStyle name="40 % - Accent3 3 2 4 2 4 7" xfId="47928"/>
    <cellStyle name="40 % - Accent3 3 2 4 2 5" xfId="4072"/>
    <cellStyle name="40 % - Accent3 3 2 4 2 5 2" xfId="10604"/>
    <cellStyle name="40 % - Accent3 3 2 4 2 5 2 2" xfId="30077"/>
    <cellStyle name="40 % - Accent3 3 2 4 2 5 2 3" xfId="43057"/>
    <cellStyle name="40 % - Accent3 3 2 4 2 5 2 4" xfId="59286"/>
    <cellStyle name="40 % - Accent3 3 2 4 2 5 3" xfId="17097"/>
    <cellStyle name="40 % - Accent3 3 2 4 2 5 4" xfId="23587"/>
    <cellStyle name="40 % - Accent3 3 2 4 2 5 5" xfId="36567"/>
    <cellStyle name="40 % - Accent3 3 2 4 2 5 6" xfId="52796"/>
    <cellStyle name="40 % - Accent3 3 2 4 2 6" xfId="7359"/>
    <cellStyle name="40 % - Accent3 3 2 4 2 6 2" xfId="26832"/>
    <cellStyle name="40 % - Accent3 3 2 4 2 6 3" xfId="39812"/>
    <cellStyle name="40 % - Accent3 3 2 4 2 6 4" xfId="56041"/>
    <cellStyle name="40 % - Accent3 3 2 4 2 7" xfId="13852"/>
    <cellStyle name="40 % - Accent3 3 2 4 2 7 2" xfId="49551"/>
    <cellStyle name="40 % - Accent3 3 2 4 2 8" xfId="20342"/>
    <cellStyle name="40 % - Accent3 3 2 4 2 9" xfId="33322"/>
    <cellStyle name="40 % - Accent3 3 2 4 3" xfId="552"/>
    <cellStyle name="40 % - Accent3 3 2 4 3 2" xfId="1501"/>
    <cellStyle name="40 % - Accent3 3 2 4 3 2 2" xfId="3168"/>
    <cellStyle name="40 % - Accent3 3 2 4 3 2 2 2" xfId="6413"/>
    <cellStyle name="40 % - Accent3 3 2 4 3 2 2 2 2" xfId="12945"/>
    <cellStyle name="40 % - Accent3 3 2 4 3 2 2 2 2 2" xfId="32418"/>
    <cellStyle name="40 % - Accent3 3 2 4 3 2 2 2 2 3" xfId="45398"/>
    <cellStyle name="40 % - Accent3 3 2 4 3 2 2 2 2 4" xfId="61627"/>
    <cellStyle name="40 % - Accent3 3 2 4 3 2 2 2 3" xfId="19438"/>
    <cellStyle name="40 % - Accent3 3 2 4 3 2 2 2 4" xfId="25928"/>
    <cellStyle name="40 % - Accent3 3 2 4 3 2 2 2 5" xfId="38908"/>
    <cellStyle name="40 % - Accent3 3 2 4 3 2 2 2 6" xfId="55137"/>
    <cellStyle name="40 % - Accent3 3 2 4 3 2 2 3" xfId="9700"/>
    <cellStyle name="40 % - Accent3 3 2 4 3 2 2 3 2" xfId="29173"/>
    <cellStyle name="40 % - Accent3 3 2 4 3 2 2 3 3" xfId="42153"/>
    <cellStyle name="40 % - Accent3 3 2 4 3 2 2 3 4" xfId="58382"/>
    <cellStyle name="40 % - Accent3 3 2 4 3 2 2 4" xfId="16193"/>
    <cellStyle name="40 % - Accent3 3 2 4 3 2 2 4 2" xfId="51892"/>
    <cellStyle name="40 % - Accent3 3 2 4 3 2 2 5" xfId="22683"/>
    <cellStyle name="40 % - Accent3 3 2 4 3 2 2 6" xfId="35663"/>
    <cellStyle name="40 % - Accent3 3 2 4 3 2 2 7" xfId="48646"/>
    <cellStyle name="40 % - Accent3 3 2 4 3 2 3" xfId="4790"/>
    <cellStyle name="40 % - Accent3 3 2 4 3 2 3 2" xfId="11322"/>
    <cellStyle name="40 % - Accent3 3 2 4 3 2 3 2 2" xfId="30795"/>
    <cellStyle name="40 % - Accent3 3 2 4 3 2 3 2 3" xfId="43775"/>
    <cellStyle name="40 % - Accent3 3 2 4 3 2 3 2 4" xfId="60004"/>
    <cellStyle name="40 % - Accent3 3 2 4 3 2 3 3" xfId="17815"/>
    <cellStyle name="40 % - Accent3 3 2 4 3 2 3 4" xfId="24305"/>
    <cellStyle name="40 % - Accent3 3 2 4 3 2 3 5" xfId="37285"/>
    <cellStyle name="40 % - Accent3 3 2 4 3 2 3 6" xfId="53514"/>
    <cellStyle name="40 % - Accent3 3 2 4 3 2 4" xfId="8077"/>
    <cellStyle name="40 % - Accent3 3 2 4 3 2 4 2" xfId="27550"/>
    <cellStyle name="40 % - Accent3 3 2 4 3 2 4 3" xfId="40530"/>
    <cellStyle name="40 % - Accent3 3 2 4 3 2 4 4" xfId="56759"/>
    <cellStyle name="40 % - Accent3 3 2 4 3 2 5" xfId="14570"/>
    <cellStyle name="40 % - Accent3 3 2 4 3 2 5 2" xfId="50269"/>
    <cellStyle name="40 % - Accent3 3 2 4 3 2 6" xfId="21060"/>
    <cellStyle name="40 % - Accent3 3 2 4 3 2 7" xfId="34040"/>
    <cellStyle name="40 % - Accent3 3 2 4 3 2 8" xfId="47023"/>
    <cellStyle name="40 % - Accent3 3 2 4 3 3" xfId="2220"/>
    <cellStyle name="40 % - Accent3 3 2 4 3 3 2" xfId="5465"/>
    <cellStyle name="40 % - Accent3 3 2 4 3 3 2 2" xfId="11997"/>
    <cellStyle name="40 % - Accent3 3 2 4 3 3 2 2 2" xfId="31470"/>
    <cellStyle name="40 % - Accent3 3 2 4 3 3 2 2 3" xfId="44450"/>
    <cellStyle name="40 % - Accent3 3 2 4 3 3 2 2 4" xfId="60679"/>
    <cellStyle name="40 % - Accent3 3 2 4 3 3 2 3" xfId="18490"/>
    <cellStyle name="40 % - Accent3 3 2 4 3 3 2 4" xfId="24980"/>
    <cellStyle name="40 % - Accent3 3 2 4 3 3 2 5" xfId="37960"/>
    <cellStyle name="40 % - Accent3 3 2 4 3 3 2 6" xfId="54189"/>
    <cellStyle name="40 % - Accent3 3 2 4 3 3 3" xfId="8752"/>
    <cellStyle name="40 % - Accent3 3 2 4 3 3 3 2" xfId="28225"/>
    <cellStyle name="40 % - Accent3 3 2 4 3 3 3 3" xfId="41205"/>
    <cellStyle name="40 % - Accent3 3 2 4 3 3 3 4" xfId="57434"/>
    <cellStyle name="40 % - Accent3 3 2 4 3 3 4" xfId="15245"/>
    <cellStyle name="40 % - Accent3 3 2 4 3 3 4 2" xfId="50944"/>
    <cellStyle name="40 % - Accent3 3 2 4 3 3 5" xfId="21735"/>
    <cellStyle name="40 % - Accent3 3 2 4 3 3 6" xfId="34715"/>
    <cellStyle name="40 % - Accent3 3 2 4 3 3 7" xfId="47698"/>
    <cellStyle name="40 % - Accent3 3 2 4 3 4" xfId="3842"/>
    <cellStyle name="40 % - Accent3 3 2 4 3 4 2" xfId="10374"/>
    <cellStyle name="40 % - Accent3 3 2 4 3 4 2 2" xfId="29847"/>
    <cellStyle name="40 % - Accent3 3 2 4 3 4 2 3" xfId="42827"/>
    <cellStyle name="40 % - Accent3 3 2 4 3 4 2 4" xfId="59056"/>
    <cellStyle name="40 % - Accent3 3 2 4 3 4 3" xfId="16867"/>
    <cellStyle name="40 % - Accent3 3 2 4 3 4 4" xfId="23357"/>
    <cellStyle name="40 % - Accent3 3 2 4 3 4 5" xfId="36337"/>
    <cellStyle name="40 % - Accent3 3 2 4 3 4 6" xfId="52566"/>
    <cellStyle name="40 % - Accent3 3 2 4 3 5" xfId="7129"/>
    <cellStyle name="40 % - Accent3 3 2 4 3 5 2" xfId="26602"/>
    <cellStyle name="40 % - Accent3 3 2 4 3 5 3" xfId="39582"/>
    <cellStyle name="40 % - Accent3 3 2 4 3 5 4" xfId="55811"/>
    <cellStyle name="40 % - Accent3 3 2 4 3 6" xfId="13622"/>
    <cellStyle name="40 % - Accent3 3 2 4 3 6 2" xfId="49321"/>
    <cellStyle name="40 % - Accent3 3 2 4 3 7" xfId="20112"/>
    <cellStyle name="40 % - Accent3 3 2 4 3 8" xfId="33092"/>
    <cellStyle name="40 % - Accent3 3 2 4 3 9" xfId="46075"/>
    <cellStyle name="40 % - Accent3 3 2 4 4" xfId="1038"/>
    <cellStyle name="40 % - Accent3 3 2 4 4 2" xfId="2705"/>
    <cellStyle name="40 % - Accent3 3 2 4 4 2 2" xfId="5950"/>
    <cellStyle name="40 % - Accent3 3 2 4 4 2 2 2" xfId="12482"/>
    <cellStyle name="40 % - Accent3 3 2 4 4 2 2 2 2" xfId="31955"/>
    <cellStyle name="40 % - Accent3 3 2 4 4 2 2 2 3" xfId="44935"/>
    <cellStyle name="40 % - Accent3 3 2 4 4 2 2 2 4" xfId="61164"/>
    <cellStyle name="40 % - Accent3 3 2 4 4 2 2 3" xfId="18975"/>
    <cellStyle name="40 % - Accent3 3 2 4 4 2 2 4" xfId="25465"/>
    <cellStyle name="40 % - Accent3 3 2 4 4 2 2 5" xfId="38445"/>
    <cellStyle name="40 % - Accent3 3 2 4 4 2 2 6" xfId="54674"/>
    <cellStyle name="40 % - Accent3 3 2 4 4 2 3" xfId="9237"/>
    <cellStyle name="40 % - Accent3 3 2 4 4 2 3 2" xfId="28710"/>
    <cellStyle name="40 % - Accent3 3 2 4 4 2 3 3" xfId="41690"/>
    <cellStyle name="40 % - Accent3 3 2 4 4 2 3 4" xfId="57919"/>
    <cellStyle name="40 % - Accent3 3 2 4 4 2 4" xfId="15730"/>
    <cellStyle name="40 % - Accent3 3 2 4 4 2 4 2" xfId="51429"/>
    <cellStyle name="40 % - Accent3 3 2 4 4 2 5" xfId="22220"/>
    <cellStyle name="40 % - Accent3 3 2 4 4 2 6" xfId="35200"/>
    <cellStyle name="40 % - Accent3 3 2 4 4 2 7" xfId="48183"/>
    <cellStyle name="40 % - Accent3 3 2 4 4 3" xfId="4327"/>
    <cellStyle name="40 % - Accent3 3 2 4 4 3 2" xfId="10859"/>
    <cellStyle name="40 % - Accent3 3 2 4 4 3 2 2" xfId="30332"/>
    <cellStyle name="40 % - Accent3 3 2 4 4 3 2 3" xfId="43312"/>
    <cellStyle name="40 % - Accent3 3 2 4 4 3 2 4" xfId="59541"/>
    <cellStyle name="40 % - Accent3 3 2 4 4 3 3" xfId="17352"/>
    <cellStyle name="40 % - Accent3 3 2 4 4 3 4" xfId="23842"/>
    <cellStyle name="40 % - Accent3 3 2 4 4 3 5" xfId="36822"/>
    <cellStyle name="40 % - Accent3 3 2 4 4 3 6" xfId="53051"/>
    <cellStyle name="40 % - Accent3 3 2 4 4 4" xfId="7614"/>
    <cellStyle name="40 % - Accent3 3 2 4 4 4 2" xfId="27087"/>
    <cellStyle name="40 % - Accent3 3 2 4 4 4 3" xfId="40067"/>
    <cellStyle name="40 % - Accent3 3 2 4 4 4 4" xfId="56296"/>
    <cellStyle name="40 % - Accent3 3 2 4 4 5" xfId="14107"/>
    <cellStyle name="40 % - Accent3 3 2 4 4 5 2" xfId="49806"/>
    <cellStyle name="40 % - Accent3 3 2 4 4 6" xfId="20597"/>
    <cellStyle name="40 % - Accent3 3 2 4 4 7" xfId="33577"/>
    <cellStyle name="40 % - Accent3 3 2 4 4 8" xfId="46560"/>
    <cellStyle name="40 % - Accent3 3 2 4 5" xfId="1991"/>
    <cellStyle name="40 % - Accent3 3 2 4 5 2" xfId="5236"/>
    <cellStyle name="40 % - Accent3 3 2 4 5 2 2" xfId="11768"/>
    <cellStyle name="40 % - Accent3 3 2 4 5 2 2 2" xfId="31241"/>
    <cellStyle name="40 % - Accent3 3 2 4 5 2 2 3" xfId="44221"/>
    <cellStyle name="40 % - Accent3 3 2 4 5 2 2 4" xfId="60450"/>
    <cellStyle name="40 % - Accent3 3 2 4 5 2 3" xfId="18261"/>
    <cellStyle name="40 % - Accent3 3 2 4 5 2 4" xfId="24751"/>
    <cellStyle name="40 % - Accent3 3 2 4 5 2 5" xfId="37731"/>
    <cellStyle name="40 % - Accent3 3 2 4 5 2 6" xfId="53960"/>
    <cellStyle name="40 % - Accent3 3 2 4 5 3" xfId="8523"/>
    <cellStyle name="40 % - Accent3 3 2 4 5 3 2" xfId="27996"/>
    <cellStyle name="40 % - Accent3 3 2 4 5 3 3" xfId="40976"/>
    <cellStyle name="40 % - Accent3 3 2 4 5 3 4" xfId="57205"/>
    <cellStyle name="40 % - Accent3 3 2 4 5 4" xfId="15016"/>
    <cellStyle name="40 % - Accent3 3 2 4 5 4 2" xfId="50715"/>
    <cellStyle name="40 % - Accent3 3 2 4 5 5" xfId="21506"/>
    <cellStyle name="40 % - Accent3 3 2 4 5 6" xfId="34486"/>
    <cellStyle name="40 % - Accent3 3 2 4 5 7" xfId="47469"/>
    <cellStyle name="40 % - Accent3 3 2 4 6" xfId="3612"/>
    <cellStyle name="40 % - Accent3 3 2 4 6 2" xfId="10144"/>
    <cellStyle name="40 % - Accent3 3 2 4 6 2 2" xfId="29617"/>
    <cellStyle name="40 % - Accent3 3 2 4 6 2 3" xfId="42597"/>
    <cellStyle name="40 % - Accent3 3 2 4 6 2 4" xfId="58826"/>
    <cellStyle name="40 % - Accent3 3 2 4 6 3" xfId="16637"/>
    <cellStyle name="40 % - Accent3 3 2 4 6 4" xfId="23127"/>
    <cellStyle name="40 % - Accent3 3 2 4 6 5" xfId="36107"/>
    <cellStyle name="40 % - Accent3 3 2 4 6 6" xfId="52336"/>
    <cellStyle name="40 % - Accent3 3 2 4 7" xfId="6899"/>
    <cellStyle name="40 % - Accent3 3 2 4 7 2" xfId="26372"/>
    <cellStyle name="40 % - Accent3 3 2 4 7 3" xfId="39352"/>
    <cellStyle name="40 % - Accent3 3 2 4 7 4" xfId="55581"/>
    <cellStyle name="40 % - Accent3 3 2 4 8" xfId="13392"/>
    <cellStyle name="40 % - Accent3 3 2 4 8 2" xfId="49091"/>
    <cellStyle name="40 % - Accent3 3 2 4 9" xfId="19882"/>
    <cellStyle name="40 % - Accent3 3 2 5" xfId="650"/>
    <cellStyle name="40 % - Accent3 3 2 5 10" xfId="46173"/>
    <cellStyle name="40 % - Accent3 3 2 5 2" xfId="1589"/>
    <cellStyle name="40 % - Accent3 3 2 5 2 2" xfId="3256"/>
    <cellStyle name="40 % - Accent3 3 2 5 2 2 2" xfId="6501"/>
    <cellStyle name="40 % - Accent3 3 2 5 2 2 2 2" xfId="13033"/>
    <cellStyle name="40 % - Accent3 3 2 5 2 2 2 2 2" xfId="32506"/>
    <cellStyle name="40 % - Accent3 3 2 5 2 2 2 2 3" xfId="45486"/>
    <cellStyle name="40 % - Accent3 3 2 5 2 2 2 2 4" xfId="61715"/>
    <cellStyle name="40 % - Accent3 3 2 5 2 2 2 3" xfId="19526"/>
    <cellStyle name="40 % - Accent3 3 2 5 2 2 2 4" xfId="26016"/>
    <cellStyle name="40 % - Accent3 3 2 5 2 2 2 5" xfId="38996"/>
    <cellStyle name="40 % - Accent3 3 2 5 2 2 2 6" xfId="55225"/>
    <cellStyle name="40 % - Accent3 3 2 5 2 2 3" xfId="9788"/>
    <cellStyle name="40 % - Accent3 3 2 5 2 2 3 2" xfId="29261"/>
    <cellStyle name="40 % - Accent3 3 2 5 2 2 3 3" xfId="42241"/>
    <cellStyle name="40 % - Accent3 3 2 5 2 2 3 4" xfId="58470"/>
    <cellStyle name="40 % - Accent3 3 2 5 2 2 4" xfId="16281"/>
    <cellStyle name="40 % - Accent3 3 2 5 2 2 4 2" xfId="51980"/>
    <cellStyle name="40 % - Accent3 3 2 5 2 2 5" xfId="22771"/>
    <cellStyle name="40 % - Accent3 3 2 5 2 2 6" xfId="35751"/>
    <cellStyle name="40 % - Accent3 3 2 5 2 2 7" xfId="48734"/>
    <cellStyle name="40 % - Accent3 3 2 5 2 3" xfId="4878"/>
    <cellStyle name="40 % - Accent3 3 2 5 2 3 2" xfId="11410"/>
    <cellStyle name="40 % - Accent3 3 2 5 2 3 2 2" xfId="30883"/>
    <cellStyle name="40 % - Accent3 3 2 5 2 3 2 3" xfId="43863"/>
    <cellStyle name="40 % - Accent3 3 2 5 2 3 2 4" xfId="60092"/>
    <cellStyle name="40 % - Accent3 3 2 5 2 3 3" xfId="17903"/>
    <cellStyle name="40 % - Accent3 3 2 5 2 3 4" xfId="24393"/>
    <cellStyle name="40 % - Accent3 3 2 5 2 3 5" xfId="37373"/>
    <cellStyle name="40 % - Accent3 3 2 5 2 3 6" xfId="53602"/>
    <cellStyle name="40 % - Accent3 3 2 5 2 4" xfId="8165"/>
    <cellStyle name="40 % - Accent3 3 2 5 2 4 2" xfId="27638"/>
    <cellStyle name="40 % - Accent3 3 2 5 2 4 3" xfId="40618"/>
    <cellStyle name="40 % - Accent3 3 2 5 2 4 4" xfId="56847"/>
    <cellStyle name="40 % - Accent3 3 2 5 2 5" xfId="14658"/>
    <cellStyle name="40 % - Accent3 3 2 5 2 5 2" xfId="50357"/>
    <cellStyle name="40 % - Accent3 3 2 5 2 6" xfId="21148"/>
    <cellStyle name="40 % - Accent3 3 2 5 2 7" xfId="34128"/>
    <cellStyle name="40 % - Accent3 3 2 5 2 8" xfId="47111"/>
    <cellStyle name="40 % - Accent3 3 2 5 3" xfId="1126"/>
    <cellStyle name="40 % - Accent3 3 2 5 3 2" xfId="2793"/>
    <cellStyle name="40 % - Accent3 3 2 5 3 2 2" xfId="6038"/>
    <cellStyle name="40 % - Accent3 3 2 5 3 2 2 2" xfId="12570"/>
    <cellStyle name="40 % - Accent3 3 2 5 3 2 2 2 2" xfId="32043"/>
    <cellStyle name="40 % - Accent3 3 2 5 3 2 2 2 3" xfId="45023"/>
    <cellStyle name="40 % - Accent3 3 2 5 3 2 2 2 4" xfId="61252"/>
    <cellStyle name="40 % - Accent3 3 2 5 3 2 2 3" xfId="19063"/>
    <cellStyle name="40 % - Accent3 3 2 5 3 2 2 4" xfId="25553"/>
    <cellStyle name="40 % - Accent3 3 2 5 3 2 2 5" xfId="38533"/>
    <cellStyle name="40 % - Accent3 3 2 5 3 2 2 6" xfId="54762"/>
    <cellStyle name="40 % - Accent3 3 2 5 3 2 3" xfId="9325"/>
    <cellStyle name="40 % - Accent3 3 2 5 3 2 3 2" xfId="28798"/>
    <cellStyle name="40 % - Accent3 3 2 5 3 2 3 3" xfId="41778"/>
    <cellStyle name="40 % - Accent3 3 2 5 3 2 3 4" xfId="58007"/>
    <cellStyle name="40 % - Accent3 3 2 5 3 2 4" xfId="15818"/>
    <cellStyle name="40 % - Accent3 3 2 5 3 2 4 2" xfId="51517"/>
    <cellStyle name="40 % - Accent3 3 2 5 3 2 5" xfId="22308"/>
    <cellStyle name="40 % - Accent3 3 2 5 3 2 6" xfId="35288"/>
    <cellStyle name="40 % - Accent3 3 2 5 3 2 7" xfId="48271"/>
    <cellStyle name="40 % - Accent3 3 2 5 3 3" xfId="4415"/>
    <cellStyle name="40 % - Accent3 3 2 5 3 3 2" xfId="10947"/>
    <cellStyle name="40 % - Accent3 3 2 5 3 3 2 2" xfId="30420"/>
    <cellStyle name="40 % - Accent3 3 2 5 3 3 2 3" xfId="43400"/>
    <cellStyle name="40 % - Accent3 3 2 5 3 3 2 4" xfId="59629"/>
    <cellStyle name="40 % - Accent3 3 2 5 3 3 3" xfId="17440"/>
    <cellStyle name="40 % - Accent3 3 2 5 3 3 4" xfId="23930"/>
    <cellStyle name="40 % - Accent3 3 2 5 3 3 5" xfId="36910"/>
    <cellStyle name="40 % - Accent3 3 2 5 3 3 6" xfId="53139"/>
    <cellStyle name="40 % - Accent3 3 2 5 3 4" xfId="7702"/>
    <cellStyle name="40 % - Accent3 3 2 5 3 4 2" xfId="27175"/>
    <cellStyle name="40 % - Accent3 3 2 5 3 4 3" xfId="40155"/>
    <cellStyle name="40 % - Accent3 3 2 5 3 4 4" xfId="56384"/>
    <cellStyle name="40 % - Accent3 3 2 5 3 5" xfId="14195"/>
    <cellStyle name="40 % - Accent3 3 2 5 3 5 2" xfId="49894"/>
    <cellStyle name="40 % - Accent3 3 2 5 3 6" xfId="20685"/>
    <cellStyle name="40 % - Accent3 3 2 5 3 7" xfId="33665"/>
    <cellStyle name="40 % - Accent3 3 2 5 3 8" xfId="46648"/>
    <cellStyle name="40 % - Accent3 3 2 5 4" xfId="2318"/>
    <cellStyle name="40 % - Accent3 3 2 5 4 2" xfId="5563"/>
    <cellStyle name="40 % - Accent3 3 2 5 4 2 2" xfId="12095"/>
    <cellStyle name="40 % - Accent3 3 2 5 4 2 2 2" xfId="31568"/>
    <cellStyle name="40 % - Accent3 3 2 5 4 2 2 3" xfId="44548"/>
    <cellStyle name="40 % - Accent3 3 2 5 4 2 2 4" xfId="60777"/>
    <cellStyle name="40 % - Accent3 3 2 5 4 2 3" xfId="18588"/>
    <cellStyle name="40 % - Accent3 3 2 5 4 2 4" xfId="25078"/>
    <cellStyle name="40 % - Accent3 3 2 5 4 2 5" xfId="38058"/>
    <cellStyle name="40 % - Accent3 3 2 5 4 2 6" xfId="54287"/>
    <cellStyle name="40 % - Accent3 3 2 5 4 3" xfId="8850"/>
    <cellStyle name="40 % - Accent3 3 2 5 4 3 2" xfId="28323"/>
    <cellStyle name="40 % - Accent3 3 2 5 4 3 3" xfId="41303"/>
    <cellStyle name="40 % - Accent3 3 2 5 4 3 4" xfId="57532"/>
    <cellStyle name="40 % - Accent3 3 2 5 4 4" xfId="15343"/>
    <cellStyle name="40 % - Accent3 3 2 5 4 4 2" xfId="51042"/>
    <cellStyle name="40 % - Accent3 3 2 5 4 5" xfId="21833"/>
    <cellStyle name="40 % - Accent3 3 2 5 4 6" xfId="34813"/>
    <cellStyle name="40 % - Accent3 3 2 5 4 7" xfId="47796"/>
    <cellStyle name="40 % - Accent3 3 2 5 5" xfId="3940"/>
    <cellStyle name="40 % - Accent3 3 2 5 5 2" xfId="10472"/>
    <cellStyle name="40 % - Accent3 3 2 5 5 2 2" xfId="29945"/>
    <cellStyle name="40 % - Accent3 3 2 5 5 2 3" xfId="42925"/>
    <cellStyle name="40 % - Accent3 3 2 5 5 2 4" xfId="59154"/>
    <cellStyle name="40 % - Accent3 3 2 5 5 3" xfId="16965"/>
    <cellStyle name="40 % - Accent3 3 2 5 5 4" xfId="23455"/>
    <cellStyle name="40 % - Accent3 3 2 5 5 5" xfId="36435"/>
    <cellStyle name="40 % - Accent3 3 2 5 5 6" xfId="52664"/>
    <cellStyle name="40 % - Accent3 3 2 5 6" xfId="7227"/>
    <cellStyle name="40 % - Accent3 3 2 5 6 2" xfId="26700"/>
    <cellStyle name="40 % - Accent3 3 2 5 6 3" xfId="39680"/>
    <cellStyle name="40 % - Accent3 3 2 5 6 4" xfId="55909"/>
    <cellStyle name="40 % - Accent3 3 2 5 7" xfId="13720"/>
    <cellStyle name="40 % - Accent3 3 2 5 7 2" xfId="49419"/>
    <cellStyle name="40 % - Accent3 3 2 5 8" xfId="20210"/>
    <cellStyle name="40 % - Accent3 3 2 5 9" xfId="33190"/>
    <cellStyle name="40 % - Accent3 3 2 6" xfId="420"/>
    <cellStyle name="40 % - Accent3 3 2 6 2" xfId="1369"/>
    <cellStyle name="40 % - Accent3 3 2 6 2 2" xfId="3036"/>
    <cellStyle name="40 % - Accent3 3 2 6 2 2 2" xfId="6281"/>
    <cellStyle name="40 % - Accent3 3 2 6 2 2 2 2" xfId="12813"/>
    <cellStyle name="40 % - Accent3 3 2 6 2 2 2 2 2" xfId="32286"/>
    <cellStyle name="40 % - Accent3 3 2 6 2 2 2 2 3" xfId="45266"/>
    <cellStyle name="40 % - Accent3 3 2 6 2 2 2 2 4" xfId="61495"/>
    <cellStyle name="40 % - Accent3 3 2 6 2 2 2 3" xfId="19306"/>
    <cellStyle name="40 % - Accent3 3 2 6 2 2 2 4" xfId="25796"/>
    <cellStyle name="40 % - Accent3 3 2 6 2 2 2 5" xfId="38776"/>
    <cellStyle name="40 % - Accent3 3 2 6 2 2 2 6" xfId="55005"/>
    <cellStyle name="40 % - Accent3 3 2 6 2 2 3" xfId="9568"/>
    <cellStyle name="40 % - Accent3 3 2 6 2 2 3 2" xfId="29041"/>
    <cellStyle name="40 % - Accent3 3 2 6 2 2 3 3" xfId="42021"/>
    <cellStyle name="40 % - Accent3 3 2 6 2 2 3 4" xfId="58250"/>
    <cellStyle name="40 % - Accent3 3 2 6 2 2 4" xfId="16061"/>
    <cellStyle name="40 % - Accent3 3 2 6 2 2 4 2" xfId="51760"/>
    <cellStyle name="40 % - Accent3 3 2 6 2 2 5" xfId="22551"/>
    <cellStyle name="40 % - Accent3 3 2 6 2 2 6" xfId="35531"/>
    <cellStyle name="40 % - Accent3 3 2 6 2 2 7" xfId="48514"/>
    <cellStyle name="40 % - Accent3 3 2 6 2 3" xfId="4658"/>
    <cellStyle name="40 % - Accent3 3 2 6 2 3 2" xfId="11190"/>
    <cellStyle name="40 % - Accent3 3 2 6 2 3 2 2" xfId="30663"/>
    <cellStyle name="40 % - Accent3 3 2 6 2 3 2 3" xfId="43643"/>
    <cellStyle name="40 % - Accent3 3 2 6 2 3 2 4" xfId="59872"/>
    <cellStyle name="40 % - Accent3 3 2 6 2 3 3" xfId="17683"/>
    <cellStyle name="40 % - Accent3 3 2 6 2 3 4" xfId="24173"/>
    <cellStyle name="40 % - Accent3 3 2 6 2 3 5" xfId="37153"/>
    <cellStyle name="40 % - Accent3 3 2 6 2 3 6" xfId="53382"/>
    <cellStyle name="40 % - Accent3 3 2 6 2 4" xfId="7945"/>
    <cellStyle name="40 % - Accent3 3 2 6 2 4 2" xfId="27418"/>
    <cellStyle name="40 % - Accent3 3 2 6 2 4 3" xfId="40398"/>
    <cellStyle name="40 % - Accent3 3 2 6 2 4 4" xfId="56627"/>
    <cellStyle name="40 % - Accent3 3 2 6 2 5" xfId="14438"/>
    <cellStyle name="40 % - Accent3 3 2 6 2 5 2" xfId="50137"/>
    <cellStyle name="40 % - Accent3 3 2 6 2 6" xfId="20928"/>
    <cellStyle name="40 % - Accent3 3 2 6 2 7" xfId="33908"/>
    <cellStyle name="40 % - Accent3 3 2 6 2 8" xfId="46891"/>
    <cellStyle name="40 % - Accent3 3 2 6 3" xfId="2088"/>
    <cellStyle name="40 % - Accent3 3 2 6 3 2" xfId="5333"/>
    <cellStyle name="40 % - Accent3 3 2 6 3 2 2" xfId="11865"/>
    <cellStyle name="40 % - Accent3 3 2 6 3 2 2 2" xfId="31338"/>
    <cellStyle name="40 % - Accent3 3 2 6 3 2 2 3" xfId="44318"/>
    <cellStyle name="40 % - Accent3 3 2 6 3 2 2 4" xfId="60547"/>
    <cellStyle name="40 % - Accent3 3 2 6 3 2 3" xfId="18358"/>
    <cellStyle name="40 % - Accent3 3 2 6 3 2 4" xfId="24848"/>
    <cellStyle name="40 % - Accent3 3 2 6 3 2 5" xfId="37828"/>
    <cellStyle name="40 % - Accent3 3 2 6 3 2 6" xfId="54057"/>
    <cellStyle name="40 % - Accent3 3 2 6 3 3" xfId="8620"/>
    <cellStyle name="40 % - Accent3 3 2 6 3 3 2" xfId="28093"/>
    <cellStyle name="40 % - Accent3 3 2 6 3 3 3" xfId="41073"/>
    <cellStyle name="40 % - Accent3 3 2 6 3 3 4" xfId="57302"/>
    <cellStyle name="40 % - Accent3 3 2 6 3 4" xfId="15113"/>
    <cellStyle name="40 % - Accent3 3 2 6 3 4 2" xfId="50812"/>
    <cellStyle name="40 % - Accent3 3 2 6 3 5" xfId="21603"/>
    <cellStyle name="40 % - Accent3 3 2 6 3 6" xfId="34583"/>
    <cellStyle name="40 % - Accent3 3 2 6 3 7" xfId="47566"/>
    <cellStyle name="40 % - Accent3 3 2 6 4" xfId="3710"/>
    <cellStyle name="40 % - Accent3 3 2 6 4 2" xfId="10242"/>
    <cellStyle name="40 % - Accent3 3 2 6 4 2 2" xfId="29715"/>
    <cellStyle name="40 % - Accent3 3 2 6 4 2 3" xfId="42695"/>
    <cellStyle name="40 % - Accent3 3 2 6 4 2 4" xfId="58924"/>
    <cellStyle name="40 % - Accent3 3 2 6 4 3" xfId="16735"/>
    <cellStyle name="40 % - Accent3 3 2 6 4 4" xfId="23225"/>
    <cellStyle name="40 % - Accent3 3 2 6 4 5" xfId="36205"/>
    <cellStyle name="40 % - Accent3 3 2 6 4 6" xfId="52434"/>
    <cellStyle name="40 % - Accent3 3 2 6 5" xfId="6997"/>
    <cellStyle name="40 % - Accent3 3 2 6 5 2" xfId="26470"/>
    <cellStyle name="40 % - Accent3 3 2 6 5 3" xfId="39450"/>
    <cellStyle name="40 % - Accent3 3 2 6 5 4" xfId="55679"/>
    <cellStyle name="40 % - Accent3 3 2 6 6" xfId="13490"/>
    <cellStyle name="40 % - Accent3 3 2 6 6 2" xfId="49189"/>
    <cellStyle name="40 % - Accent3 3 2 6 7" xfId="19980"/>
    <cellStyle name="40 % - Accent3 3 2 6 8" xfId="32960"/>
    <cellStyle name="40 % - Accent3 3 2 6 9" xfId="45943"/>
    <cellStyle name="40 % - Accent3 3 2 7" xfId="906"/>
    <cellStyle name="40 % - Accent3 3 2 7 2" xfId="2573"/>
    <cellStyle name="40 % - Accent3 3 2 7 2 2" xfId="5818"/>
    <cellStyle name="40 % - Accent3 3 2 7 2 2 2" xfId="12350"/>
    <cellStyle name="40 % - Accent3 3 2 7 2 2 2 2" xfId="31823"/>
    <cellStyle name="40 % - Accent3 3 2 7 2 2 2 3" xfId="44803"/>
    <cellStyle name="40 % - Accent3 3 2 7 2 2 2 4" xfId="61032"/>
    <cellStyle name="40 % - Accent3 3 2 7 2 2 3" xfId="18843"/>
    <cellStyle name="40 % - Accent3 3 2 7 2 2 4" xfId="25333"/>
    <cellStyle name="40 % - Accent3 3 2 7 2 2 5" xfId="38313"/>
    <cellStyle name="40 % - Accent3 3 2 7 2 2 6" xfId="54542"/>
    <cellStyle name="40 % - Accent3 3 2 7 2 3" xfId="9105"/>
    <cellStyle name="40 % - Accent3 3 2 7 2 3 2" xfId="28578"/>
    <cellStyle name="40 % - Accent3 3 2 7 2 3 3" xfId="41558"/>
    <cellStyle name="40 % - Accent3 3 2 7 2 3 4" xfId="57787"/>
    <cellStyle name="40 % - Accent3 3 2 7 2 4" xfId="15598"/>
    <cellStyle name="40 % - Accent3 3 2 7 2 4 2" xfId="51297"/>
    <cellStyle name="40 % - Accent3 3 2 7 2 5" xfId="22088"/>
    <cellStyle name="40 % - Accent3 3 2 7 2 6" xfId="35068"/>
    <cellStyle name="40 % - Accent3 3 2 7 2 7" xfId="48051"/>
    <cellStyle name="40 % - Accent3 3 2 7 3" xfId="4195"/>
    <cellStyle name="40 % - Accent3 3 2 7 3 2" xfId="10727"/>
    <cellStyle name="40 % - Accent3 3 2 7 3 2 2" xfId="30200"/>
    <cellStyle name="40 % - Accent3 3 2 7 3 2 3" xfId="43180"/>
    <cellStyle name="40 % - Accent3 3 2 7 3 2 4" xfId="59409"/>
    <cellStyle name="40 % - Accent3 3 2 7 3 3" xfId="17220"/>
    <cellStyle name="40 % - Accent3 3 2 7 3 4" xfId="23710"/>
    <cellStyle name="40 % - Accent3 3 2 7 3 5" xfId="36690"/>
    <cellStyle name="40 % - Accent3 3 2 7 3 6" xfId="52919"/>
    <cellStyle name="40 % - Accent3 3 2 7 4" xfId="7482"/>
    <cellStyle name="40 % - Accent3 3 2 7 4 2" xfId="26955"/>
    <cellStyle name="40 % - Accent3 3 2 7 4 3" xfId="39935"/>
    <cellStyle name="40 % - Accent3 3 2 7 4 4" xfId="56164"/>
    <cellStyle name="40 % - Accent3 3 2 7 5" xfId="13975"/>
    <cellStyle name="40 % - Accent3 3 2 7 5 2" xfId="49674"/>
    <cellStyle name="40 % - Accent3 3 2 7 6" xfId="20465"/>
    <cellStyle name="40 % - Accent3 3 2 7 7" xfId="33445"/>
    <cellStyle name="40 % - Accent3 3 2 7 8" xfId="46428"/>
    <cellStyle name="40 % - Accent3 3 2 8" xfId="1859"/>
    <cellStyle name="40 % - Accent3 3 2 8 2" xfId="5104"/>
    <cellStyle name="40 % - Accent3 3 2 8 2 2" xfId="11636"/>
    <cellStyle name="40 % - Accent3 3 2 8 2 2 2" xfId="31109"/>
    <cellStyle name="40 % - Accent3 3 2 8 2 2 3" xfId="44089"/>
    <cellStyle name="40 % - Accent3 3 2 8 2 2 4" xfId="60318"/>
    <cellStyle name="40 % - Accent3 3 2 8 2 3" xfId="18129"/>
    <cellStyle name="40 % - Accent3 3 2 8 2 4" xfId="24619"/>
    <cellStyle name="40 % - Accent3 3 2 8 2 5" xfId="37599"/>
    <cellStyle name="40 % - Accent3 3 2 8 2 6" xfId="53828"/>
    <cellStyle name="40 % - Accent3 3 2 8 3" xfId="8391"/>
    <cellStyle name="40 % - Accent3 3 2 8 3 2" xfId="27864"/>
    <cellStyle name="40 % - Accent3 3 2 8 3 3" xfId="40844"/>
    <cellStyle name="40 % - Accent3 3 2 8 3 4" xfId="57073"/>
    <cellStyle name="40 % - Accent3 3 2 8 4" xfId="14884"/>
    <cellStyle name="40 % - Accent3 3 2 8 4 2" xfId="50583"/>
    <cellStyle name="40 % - Accent3 3 2 8 5" xfId="21374"/>
    <cellStyle name="40 % - Accent3 3 2 8 6" xfId="34354"/>
    <cellStyle name="40 % - Accent3 3 2 8 7" xfId="47337"/>
    <cellStyle name="40 % - Accent3 3 2 9" xfId="3480"/>
    <cellStyle name="40 % - Accent3 3 2 9 2" xfId="10012"/>
    <cellStyle name="40 % - Accent3 3 2 9 2 2" xfId="29485"/>
    <cellStyle name="40 % - Accent3 3 2 9 2 3" xfId="42465"/>
    <cellStyle name="40 % - Accent3 3 2 9 2 4" xfId="58694"/>
    <cellStyle name="40 % - Accent3 3 2 9 3" xfId="16505"/>
    <cellStyle name="40 % - Accent3 3 2 9 4" xfId="22995"/>
    <cellStyle name="40 % - Accent3 3 2 9 5" xfId="35975"/>
    <cellStyle name="40 % - Accent3 3 2 9 6" xfId="52204"/>
    <cellStyle name="40 % - Accent3 3 3" xfId="252"/>
    <cellStyle name="40 % - Accent3 3 3 10" xfId="19816"/>
    <cellStyle name="40 % - Accent3 3 3 11" xfId="32796"/>
    <cellStyle name="40 % - Accent3 3 3 12" xfId="45779"/>
    <cellStyle name="40 % - Accent3 3 3 2" xfId="340"/>
    <cellStyle name="40 % - Accent3 3 3 2 10" xfId="32884"/>
    <cellStyle name="40 % - Accent3 3 3 2 11" xfId="45867"/>
    <cellStyle name="40 % - Accent3 3 3 2 2" xfId="804"/>
    <cellStyle name="40 % - Accent3 3 3 2 2 10" xfId="46327"/>
    <cellStyle name="40 % - Accent3 3 3 2 2 2" xfId="1743"/>
    <cellStyle name="40 % - Accent3 3 3 2 2 2 2" xfId="3410"/>
    <cellStyle name="40 % - Accent3 3 3 2 2 2 2 2" xfId="6655"/>
    <cellStyle name="40 % - Accent3 3 3 2 2 2 2 2 2" xfId="13187"/>
    <cellStyle name="40 % - Accent3 3 3 2 2 2 2 2 2 2" xfId="32660"/>
    <cellStyle name="40 % - Accent3 3 3 2 2 2 2 2 2 3" xfId="45640"/>
    <cellStyle name="40 % - Accent3 3 3 2 2 2 2 2 2 4" xfId="61869"/>
    <cellStyle name="40 % - Accent3 3 3 2 2 2 2 2 3" xfId="19680"/>
    <cellStyle name="40 % - Accent3 3 3 2 2 2 2 2 4" xfId="26170"/>
    <cellStyle name="40 % - Accent3 3 3 2 2 2 2 2 5" xfId="39150"/>
    <cellStyle name="40 % - Accent3 3 3 2 2 2 2 2 6" xfId="55379"/>
    <cellStyle name="40 % - Accent3 3 3 2 2 2 2 3" xfId="9942"/>
    <cellStyle name="40 % - Accent3 3 3 2 2 2 2 3 2" xfId="29415"/>
    <cellStyle name="40 % - Accent3 3 3 2 2 2 2 3 3" xfId="42395"/>
    <cellStyle name="40 % - Accent3 3 3 2 2 2 2 3 4" xfId="58624"/>
    <cellStyle name="40 % - Accent3 3 3 2 2 2 2 4" xfId="16435"/>
    <cellStyle name="40 % - Accent3 3 3 2 2 2 2 4 2" xfId="52134"/>
    <cellStyle name="40 % - Accent3 3 3 2 2 2 2 5" xfId="22925"/>
    <cellStyle name="40 % - Accent3 3 3 2 2 2 2 6" xfId="35905"/>
    <cellStyle name="40 % - Accent3 3 3 2 2 2 2 7" xfId="48888"/>
    <cellStyle name="40 % - Accent3 3 3 2 2 2 3" xfId="5032"/>
    <cellStyle name="40 % - Accent3 3 3 2 2 2 3 2" xfId="11564"/>
    <cellStyle name="40 % - Accent3 3 3 2 2 2 3 2 2" xfId="31037"/>
    <cellStyle name="40 % - Accent3 3 3 2 2 2 3 2 3" xfId="44017"/>
    <cellStyle name="40 % - Accent3 3 3 2 2 2 3 2 4" xfId="60246"/>
    <cellStyle name="40 % - Accent3 3 3 2 2 2 3 3" xfId="18057"/>
    <cellStyle name="40 % - Accent3 3 3 2 2 2 3 4" xfId="24547"/>
    <cellStyle name="40 % - Accent3 3 3 2 2 2 3 5" xfId="37527"/>
    <cellStyle name="40 % - Accent3 3 3 2 2 2 3 6" xfId="53756"/>
    <cellStyle name="40 % - Accent3 3 3 2 2 2 4" xfId="8319"/>
    <cellStyle name="40 % - Accent3 3 3 2 2 2 4 2" xfId="27792"/>
    <cellStyle name="40 % - Accent3 3 3 2 2 2 4 3" xfId="40772"/>
    <cellStyle name="40 % - Accent3 3 3 2 2 2 4 4" xfId="57001"/>
    <cellStyle name="40 % - Accent3 3 3 2 2 2 5" xfId="14812"/>
    <cellStyle name="40 % - Accent3 3 3 2 2 2 5 2" xfId="50511"/>
    <cellStyle name="40 % - Accent3 3 3 2 2 2 6" xfId="21302"/>
    <cellStyle name="40 % - Accent3 3 3 2 2 2 7" xfId="34282"/>
    <cellStyle name="40 % - Accent3 3 3 2 2 2 8" xfId="47265"/>
    <cellStyle name="40 % - Accent3 3 3 2 2 3" xfId="1280"/>
    <cellStyle name="40 % - Accent3 3 3 2 2 3 2" xfId="2947"/>
    <cellStyle name="40 % - Accent3 3 3 2 2 3 2 2" xfId="6192"/>
    <cellStyle name="40 % - Accent3 3 3 2 2 3 2 2 2" xfId="12724"/>
    <cellStyle name="40 % - Accent3 3 3 2 2 3 2 2 2 2" xfId="32197"/>
    <cellStyle name="40 % - Accent3 3 3 2 2 3 2 2 2 3" xfId="45177"/>
    <cellStyle name="40 % - Accent3 3 3 2 2 3 2 2 2 4" xfId="61406"/>
    <cellStyle name="40 % - Accent3 3 3 2 2 3 2 2 3" xfId="19217"/>
    <cellStyle name="40 % - Accent3 3 3 2 2 3 2 2 4" xfId="25707"/>
    <cellStyle name="40 % - Accent3 3 3 2 2 3 2 2 5" xfId="38687"/>
    <cellStyle name="40 % - Accent3 3 3 2 2 3 2 2 6" xfId="54916"/>
    <cellStyle name="40 % - Accent3 3 3 2 2 3 2 3" xfId="9479"/>
    <cellStyle name="40 % - Accent3 3 3 2 2 3 2 3 2" xfId="28952"/>
    <cellStyle name="40 % - Accent3 3 3 2 2 3 2 3 3" xfId="41932"/>
    <cellStyle name="40 % - Accent3 3 3 2 2 3 2 3 4" xfId="58161"/>
    <cellStyle name="40 % - Accent3 3 3 2 2 3 2 4" xfId="15972"/>
    <cellStyle name="40 % - Accent3 3 3 2 2 3 2 4 2" xfId="51671"/>
    <cellStyle name="40 % - Accent3 3 3 2 2 3 2 5" xfId="22462"/>
    <cellStyle name="40 % - Accent3 3 3 2 2 3 2 6" xfId="35442"/>
    <cellStyle name="40 % - Accent3 3 3 2 2 3 2 7" xfId="48425"/>
    <cellStyle name="40 % - Accent3 3 3 2 2 3 3" xfId="4569"/>
    <cellStyle name="40 % - Accent3 3 3 2 2 3 3 2" xfId="11101"/>
    <cellStyle name="40 % - Accent3 3 3 2 2 3 3 2 2" xfId="30574"/>
    <cellStyle name="40 % - Accent3 3 3 2 2 3 3 2 3" xfId="43554"/>
    <cellStyle name="40 % - Accent3 3 3 2 2 3 3 2 4" xfId="59783"/>
    <cellStyle name="40 % - Accent3 3 3 2 2 3 3 3" xfId="17594"/>
    <cellStyle name="40 % - Accent3 3 3 2 2 3 3 4" xfId="24084"/>
    <cellStyle name="40 % - Accent3 3 3 2 2 3 3 5" xfId="37064"/>
    <cellStyle name="40 % - Accent3 3 3 2 2 3 3 6" xfId="53293"/>
    <cellStyle name="40 % - Accent3 3 3 2 2 3 4" xfId="7856"/>
    <cellStyle name="40 % - Accent3 3 3 2 2 3 4 2" xfId="27329"/>
    <cellStyle name="40 % - Accent3 3 3 2 2 3 4 3" xfId="40309"/>
    <cellStyle name="40 % - Accent3 3 3 2 2 3 4 4" xfId="56538"/>
    <cellStyle name="40 % - Accent3 3 3 2 2 3 5" xfId="14349"/>
    <cellStyle name="40 % - Accent3 3 3 2 2 3 5 2" xfId="50048"/>
    <cellStyle name="40 % - Accent3 3 3 2 2 3 6" xfId="20839"/>
    <cellStyle name="40 % - Accent3 3 3 2 2 3 7" xfId="33819"/>
    <cellStyle name="40 % - Accent3 3 3 2 2 3 8" xfId="46802"/>
    <cellStyle name="40 % - Accent3 3 3 2 2 4" xfId="2472"/>
    <cellStyle name="40 % - Accent3 3 3 2 2 4 2" xfId="5717"/>
    <cellStyle name="40 % - Accent3 3 3 2 2 4 2 2" xfId="12249"/>
    <cellStyle name="40 % - Accent3 3 3 2 2 4 2 2 2" xfId="31722"/>
    <cellStyle name="40 % - Accent3 3 3 2 2 4 2 2 3" xfId="44702"/>
    <cellStyle name="40 % - Accent3 3 3 2 2 4 2 2 4" xfId="60931"/>
    <cellStyle name="40 % - Accent3 3 3 2 2 4 2 3" xfId="18742"/>
    <cellStyle name="40 % - Accent3 3 3 2 2 4 2 4" xfId="25232"/>
    <cellStyle name="40 % - Accent3 3 3 2 2 4 2 5" xfId="38212"/>
    <cellStyle name="40 % - Accent3 3 3 2 2 4 2 6" xfId="54441"/>
    <cellStyle name="40 % - Accent3 3 3 2 2 4 3" xfId="9004"/>
    <cellStyle name="40 % - Accent3 3 3 2 2 4 3 2" xfId="28477"/>
    <cellStyle name="40 % - Accent3 3 3 2 2 4 3 3" xfId="41457"/>
    <cellStyle name="40 % - Accent3 3 3 2 2 4 3 4" xfId="57686"/>
    <cellStyle name="40 % - Accent3 3 3 2 2 4 4" xfId="15497"/>
    <cellStyle name="40 % - Accent3 3 3 2 2 4 4 2" xfId="51196"/>
    <cellStyle name="40 % - Accent3 3 3 2 2 4 5" xfId="21987"/>
    <cellStyle name="40 % - Accent3 3 3 2 2 4 6" xfId="34967"/>
    <cellStyle name="40 % - Accent3 3 3 2 2 4 7" xfId="47950"/>
    <cellStyle name="40 % - Accent3 3 3 2 2 5" xfId="4094"/>
    <cellStyle name="40 % - Accent3 3 3 2 2 5 2" xfId="10626"/>
    <cellStyle name="40 % - Accent3 3 3 2 2 5 2 2" xfId="30099"/>
    <cellStyle name="40 % - Accent3 3 3 2 2 5 2 3" xfId="43079"/>
    <cellStyle name="40 % - Accent3 3 3 2 2 5 2 4" xfId="59308"/>
    <cellStyle name="40 % - Accent3 3 3 2 2 5 3" xfId="17119"/>
    <cellStyle name="40 % - Accent3 3 3 2 2 5 4" xfId="23609"/>
    <cellStyle name="40 % - Accent3 3 3 2 2 5 5" xfId="36589"/>
    <cellStyle name="40 % - Accent3 3 3 2 2 5 6" xfId="52818"/>
    <cellStyle name="40 % - Accent3 3 3 2 2 6" xfId="7381"/>
    <cellStyle name="40 % - Accent3 3 3 2 2 6 2" xfId="26854"/>
    <cellStyle name="40 % - Accent3 3 3 2 2 6 3" xfId="39834"/>
    <cellStyle name="40 % - Accent3 3 3 2 2 6 4" xfId="56063"/>
    <cellStyle name="40 % - Accent3 3 3 2 2 7" xfId="13874"/>
    <cellStyle name="40 % - Accent3 3 3 2 2 7 2" xfId="49573"/>
    <cellStyle name="40 % - Accent3 3 3 2 2 8" xfId="20364"/>
    <cellStyle name="40 % - Accent3 3 3 2 2 9" xfId="33344"/>
    <cellStyle name="40 % - Accent3 3 3 2 3" xfId="574"/>
    <cellStyle name="40 % - Accent3 3 3 2 3 2" xfId="1523"/>
    <cellStyle name="40 % - Accent3 3 3 2 3 2 2" xfId="3190"/>
    <cellStyle name="40 % - Accent3 3 3 2 3 2 2 2" xfId="6435"/>
    <cellStyle name="40 % - Accent3 3 3 2 3 2 2 2 2" xfId="12967"/>
    <cellStyle name="40 % - Accent3 3 3 2 3 2 2 2 2 2" xfId="32440"/>
    <cellStyle name="40 % - Accent3 3 3 2 3 2 2 2 2 3" xfId="45420"/>
    <cellStyle name="40 % - Accent3 3 3 2 3 2 2 2 2 4" xfId="61649"/>
    <cellStyle name="40 % - Accent3 3 3 2 3 2 2 2 3" xfId="19460"/>
    <cellStyle name="40 % - Accent3 3 3 2 3 2 2 2 4" xfId="25950"/>
    <cellStyle name="40 % - Accent3 3 3 2 3 2 2 2 5" xfId="38930"/>
    <cellStyle name="40 % - Accent3 3 3 2 3 2 2 2 6" xfId="55159"/>
    <cellStyle name="40 % - Accent3 3 3 2 3 2 2 3" xfId="9722"/>
    <cellStyle name="40 % - Accent3 3 3 2 3 2 2 3 2" xfId="29195"/>
    <cellStyle name="40 % - Accent3 3 3 2 3 2 2 3 3" xfId="42175"/>
    <cellStyle name="40 % - Accent3 3 3 2 3 2 2 3 4" xfId="58404"/>
    <cellStyle name="40 % - Accent3 3 3 2 3 2 2 4" xfId="16215"/>
    <cellStyle name="40 % - Accent3 3 3 2 3 2 2 4 2" xfId="51914"/>
    <cellStyle name="40 % - Accent3 3 3 2 3 2 2 5" xfId="22705"/>
    <cellStyle name="40 % - Accent3 3 3 2 3 2 2 6" xfId="35685"/>
    <cellStyle name="40 % - Accent3 3 3 2 3 2 2 7" xfId="48668"/>
    <cellStyle name="40 % - Accent3 3 3 2 3 2 3" xfId="4812"/>
    <cellStyle name="40 % - Accent3 3 3 2 3 2 3 2" xfId="11344"/>
    <cellStyle name="40 % - Accent3 3 3 2 3 2 3 2 2" xfId="30817"/>
    <cellStyle name="40 % - Accent3 3 3 2 3 2 3 2 3" xfId="43797"/>
    <cellStyle name="40 % - Accent3 3 3 2 3 2 3 2 4" xfId="60026"/>
    <cellStyle name="40 % - Accent3 3 3 2 3 2 3 3" xfId="17837"/>
    <cellStyle name="40 % - Accent3 3 3 2 3 2 3 4" xfId="24327"/>
    <cellStyle name="40 % - Accent3 3 3 2 3 2 3 5" xfId="37307"/>
    <cellStyle name="40 % - Accent3 3 3 2 3 2 3 6" xfId="53536"/>
    <cellStyle name="40 % - Accent3 3 3 2 3 2 4" xfId="8099"/>
    <cellStyle name="40 % - Accent3 3 3 2 3 2 4 2" xfId="27572"/>
    <cellStyle name="40 % - Accent3 3 3 2 3 2 4 3" xfId="40552"/>
    <cellStyle name="40 % - Accent3 3 3 2 3 2 4 4" xfId="56781"/>
    <cellStyle name="40 % - Accent3 3 3 2 3 2 5" xfId="14592"/>
    <cellStyle name="40 % - Accent3 3 3 2 3 2 5 2" xfId="50291"/>
    <cellStyle name="40 % - Accent3 3 3 2 3 2 6" xfId="21082"/>
    <cellStyle name="40 % - Accent3 3 3 2 3 2 7" xfId="34062"/>
    <cellStyle name="40 % - Accent3 3 3 2 3 2 8" xfId="47045"/>
    <cellStyle name="40 % - Accent3 3 3 2 3 3" xfId="2242"/>
    <cellStyle name="40 % - Accent3 3 3 2 3 3 2" xfId="5487"/>
    <cellStyle name="40 % - Accent3 3 3 2 3 3 2 2" xfId="12019"/>
    <cellStyle name="40 % - Accent3 3 3 2 3 3 2 2 2" xfId="31492"/>
    <cellStyle name="40 % - Accent3 3 3 2 3 3 2 2 3" xfId="44472"/>
    <cellStyle name="40 % - Accent3 3 3 2 3 3 2 2 4" xfId="60701"/>
    <cellStyle name="40 % - Accent3 3 3 2 3 3 2 3" xfId="18512"/>
    <cellStyle name="40 % - Accent3 3 3 2 3 3 2 4" xfId="25002"/>
    <cellStyle name="40 % - Accent3 3 3 2 3 3 2 5" xfId="37982"/>
    <cellStyle name="40 % - Accent3 3 3 2 3 3 2 6" xfId="54211"/>
    <cellStyle name="40 % - Accent3 3 3 2 3 3 3" xfId="8774"/>
    <cellStyle name="40 % - Accent3 3 3 2 3 3 3 2" xfId="28247"/>
    <cellStyle name="40 % - Accent3 3 3 2 3 3 3 3" xfId="41227"/>
    <cellStyle name="40 % - Accent3 3 3 2 3 3 3 4" xfId="57456"/>
    <cellStyle name="40 % - Accent3 3 3 2 3 3 4" xfId="15267"/>
    <cellStyle name="40 % - Accent3 3 3 2 3 3 4 2" xfId="50966"/>
    <cellStyle name="40 % - Accent3 3 3 2 3 3 5" xfId="21757"/>
    <cellStyle name="40 % - Accent3 3 3 2 3 3 6" xfId="34737"/>
    <cellStyle name="40 % - Accent3 3 3 2 3 3 7" xfId="47720"/>
    <cellStyle name="40 % - Accent3 3 3 2 3 4" xfId="3864"/>
    <cellStyle name="40 % - Accent3 3 3 2 3 4 2" xfId="10396"/>
    <cellStyle name="40 % - Accent3 3 3 2 3 4 2 2" xfId="29869"/>
    <cellStyle name="40 % - Accent3 3 3 2 3 4 2 3" xfId="42849"/>
    <cellStyle name="40 % - Accent3 3 3 2 3 4 2 4" xfId="59078"/>
    <cellStyle name="40 % - Accent3 3 3 2 3 4 3" xfId="16889"/>
    <cellStyle name="40 % - Accent3 3 3 2 3 4 4" xfId="23379"/>
    <cellStyle name="40 % - Accent3 3 3 2 3 4 5" xfId="36359"/>
    <cellStyle name="40 % - Accent3 3 3 2 3 4 6" xfId="52588"/>
    <cellStyle name="40 % - Accent3 3 3 2 3 5" xfId="7151"/>
    <cellStyle name="40 % - Accent3 3 3 2 3 5 2" xfId="26624"/>
    <cellStyle name="40 % - Accent3 3 3 2 3 5 3" xfId="39604"/>
    <cellStyle name="40 % - Accent3 3 3 2 3 5 4" xfId="55833"/>
    <cellStyle name="40 % - Accent3 3 3 2 3 6" xfId="13644"/>
    <cellStyle name="40 % - Accent3 3 3 2 3 6 2" xfId="49343"/>
    <cellStyle name="40 % - Accent3 3 3 2 3 7" xfId="20134"/>
    <cellStyle name="40 % - Accent3 3 3 2 3 8" xfId="33114"/>
    <cellStyle name="40 % - Accent3 3 3 2 3 9" xfId="46097"/>
    <cellStyle name="40 % - Accent3 3 3 2 4" xfId="1060"/>
    <cellStyle name="40 % - Accent3 3 3 2 4 2" xfId="2727"/>
    <cellStyle name="40 % - Accent3 3 3 2 4 2 2" xfId="5972"/>
    <cellStyle name="40 % - Accent3 3 3 2 4 2 2 2" xfId="12504"/>
    <cellStyle name="40 % - Accent3 3 3 2 4 2 2 2 2" xfId="31977"/>
    <cellStyle name="40 % - Accent3 3 3 2 4 2 2 2 3" xfId="44957"/>
    <cellStyle name="40 % - Accent3 3 3 2 4 2 2 2 4" xfId="61186"/>
    <cellStyle name="40 % - Accent3 3 3 2 4 2 2 3" xfId="18997"/>
    <cellStyle name="40 % - Accent3 3 3 2 4 2 2 4" xfId="25487"/>
    <cellStyle name="40 % - Accent3 3 3 2 4 2 2 5" xfId="38467"/>
    <cellStyle name="40 % - Accent3 3 3 2 4 2 2 6" xfId="54696"/>
    <cellStyle name="40 % - Accent3 3 3 2 4 2 3" xfId="9259"/>
    <cellStyle name="40 % - Accent3 3 3 2 4 2 3 2" xfId="28732"/>
    <cellStyle name="40 % - Accent3 3 3 2 4 2 3 3" xfId="41712"/>
    <cellStyle name="40 % - Accent3 3 3 2 4 2 3 4" xfId="57941"/>
    <cellStyle name="40 % - Accent3 3 3 2 4 2 4" xfId="15752"/>
    <cellStyle name="40 % - Accent3 3 3 2 4 2 4 2" xfId="51451"/>
    <cellStyle name="40 % - Accent3 3 3 2 4 2 5" xfId="22242"/>
    <cellStyle name="40 % - Accent3 3 3 2 4 2 6" xfId="35222"/>
    <cellStyle name="40 % - Accent3 3 3 2 4 2 7" xfId="48205"/>
    <cellStyle name="40 % - Accent3 3 3 2 4 3" xfId="4349"/>
    <cellStyle name="40 % - Accent3 3 3 2 4 3 2" xfId="10881"/>
    <cellStyle name="40 % - Accent3 3 3 2 4 3 2 2" xfId="30354"/>
    <cellStyle name="40 % - Accent3 3 3 2 4 3 2 3" xfId="43334"/>
    <cellStyle name="40 % - Accent3 3 3 2 4 3 2 4" xfId="59563"/>
    <cellStyle name="40 % - Accent3 3 3 2 4 3 3" xfId="17374"/>
    <cellStyle name="40 % - Accent3 3 3 2 4 3 4" xfId="23864"/>
    <cellStyle name="40 % - Accent3 3 3 2 4 3 5" xfId="36844"/>
    <cellStyle name="40 % - Accent3 3 3 2 4 3 6" xfId="53073"/>
    <cellStyle name="40 % - Accent3 3 3 2 4 4" xfId="7636"/>
    <cellStyle name="40 % - Accent3 3 3 2 4 4 2" xfId="27109"/>
    <cellStyle name="40 % - Accent3 3 3 2 4 4 3" xfId="40089"/>
    <cellStyle name="40 % - Accent3 3 3 2 4 4 4" xfId="56318"/>
    <cellStyle name="40 % - Accent3 3 3 2 4 5" xfId="14129"/>
    <cellStyle name="40 % - Accent3 3 3 2 4 5 2" xfId="49828"/>
    <cellStyle name="40 % - Accent3 3 3 2 4 6" xfId="20619"/>
    <cellStyle name="40 % - Accent3 3 3 2 4 7" xfId="33599"/>
    <cellStyle name="40 % - Accent3 3 3 2 4 8" xfId="46582"/>
    <cellStyle name="40 % - Accent3 3 3 2 5" xfId="2013"/>
    <cellStyle name="40 % - Accent3 3 3 2 5 2" xfId="5258"/>
    <cellStyle name="40 % - Accent3 3 3 2 5 2 2" xfId="11790"/>
    <cellStyle name="40 % - Accent3 3 3 2 5 2 2 2" xfId="31263"/>
    <cellStyle name="40 % - Accent3 3 3 2 5 2 2 3" xfId="44243"/>
    <cellStyle name="40 % - Accent3 3 3 2 5 2 2 4" xfId="60472"/>
    <cellStyle name="40 % - Accent3 3 3 2 5 2 3" xfId="18283"/>
    <cellStyle name="40 % - Accent3 3 3 2 5 2 4" xfId="24773"/>
    <cellStyle name="40 % - Accent3 3 3 2 5 2 5" xfId="37753"/>
    <cellStyle name="40 % - Accent3 3 3 2 5 2 6" xfId="53982"/>
    <cellStyle name="40 % - Accent3 3 3 2 5 3" xfId="8545"/>
    <cellStyle name="40 % - Accent3 3 3 2 5 3 2" xfId="28018"/>
    <cellStyle name="40 % - Accent3 3 3 2 5 3 3" xfId="40998"/>
    <cellStyle name="40 % - Accent3 3 3 2 5 3 4" xfId="57227"/>
    <cellStyle name="40 % - Accent3 3 3 2 5 4" xfId="15038"/>
    <cellStyle name="40 % - Accent3 3 3 2 5 4 2" xfId="50737"/>
    <cellStyle name="40 % - Accent3 3 3 2 5 5" xfId="21528"/>
    <cellStyle name="40 % - Accent3 3 3 2 5 6" xfId="34508"/>
    <cellStyle name="40 % - Accent3 3 3 2 5 7" xfId="47491"/>
    <cellStyle name="40 % - Accent3 3 3 2 6" xfId="3634"/>
    <cellStyle name="40 % - Accent3 3 3 2 6 2" xfId="10166"/>
    <cellStyle name="40 % - Accent3 3 3 2 6 2 2" xfId="29639"/>
    <cellStyle name="40 % - Accent3 3 3 2 6 2 3" xfId="42619"/>
    <cellStyle name="40 % - Accent3 3 3 2 6 2 4" xfId="58848"/>
    <cellStyle name="40 % - Accent3 3 3 2 6 3" xfId="16659"/>
    <cellStyle name="40 % - Accent3 3 3 2 6 4" xfId="23149"/>
    <cellStyle name="40 % - Accent3 3 3 2 6 5" xfId="36129"/>
    <cellStyle name="40 % - Accent3 3 3 2 6 6" xfId="52358"/>
    <cellStyle name="40 % - Accent3 3 3 2 7" xfId="6921"/>
    <cellStyle name="40 % - Accent3 3 3 2 7 2" xfId="26394"/>
    <cellStyle name="40 % - Accent3 3 3 2 7 3" xfId="39374"/>
    <cellStyle name="40 % - Accent3 3 3 2 7 4" xfId="55603"/>
    <cellStyle name="40 % - Accent3 3 3 2 8" xfId="13414"/>
    <cellStyle name="40 % - Accent3 3 3 2 8 2" xfId="49113"/>
    <cellStyle name="40 % - Accent3 3 3 2 9" xfId="19904"/>
    <cellStyle name="40 % - Accent3 3 3 3" xfId="716"/>
    <cellStyle name="40 % - Accent3 3 3 3 10" xfId="46239"/>
    <cellStyle name="40 % - Accent3 3 3 3 2" xfId="1655"/>
    <cellStyle name="40 % - Accent3 3 3 3 2 2" xfId="3322"/>
    <cellStyle name="40 % - Accent3 3 3 3 2 2 2" xfId="6567"/>
    <cellStyle name="40 % - Accent3 3 3 3 2 2 2 2" xfId="13099"/>
    <cellStyle name="40 % - Accent3 3 3 3 2 2 2 2 2" xfId="32572"/>
    <cellStyle name="40 % - Accent3 3 3 3 2 2 2 2 3" xfId="45552"/>
    <cellStyle name="40 % - Accent3 3 3 3 2 2 2 2 4" xfId="61781"/>
    <cellStyle name="40 % - Accent3 3 3 3 2 2 2 3" xfId="19592"/>
    <cellStyle name="40 % - Accent3 3 3 3 2 2 2 4" xfId="26082"/>
    <cellStyle name="40 % - Accent3 3 3 3 2 2 2 5" xfId="39062"/>
    <cellStyle name="40 % - Accent3 3 3 3 2 2 2 6" xfId="55291"/>
    <cellStyle name="40 % - Accent3 3 3 3 2 2 3" xfId="9854"/>
    <cellStyle name="40 % - Accent3 3 3 3 2 2 3 2" xfId="29327"/>
    <cellStyle name="40 % - Accent3 3 3 3 2 2 3 3" xfId="42307"/>
    <cellStyle name="40 % - Accent3 3 3 3 2 2 3 4" xfId="58536"/>
    <cellStyle name="40 % - Accent3 3 3 3 2 2 4" xfId="16347"/>
    <cellStyle name="40 % - Accent3 3 3 3 2 2 4 2" xfId="52046"/>
    <cellStyle name="40 % - Accent3 3 3 3 2 2 5" xfId="22837"/>
    <cellStyle name="40 % - Accent3 3 3 3 2 2 6" xfId="35817"/>
    <cellStyle name="40 % - Accent3 3 3 3 2 2 7" xfId="48800"/>
    <cellStyle name="40 % - Accent3 3 3 3 2 3" xfId="4944"/>
    <cellStyle name="40 % - Accent3 3 3 3 2 3 2" xfId="11476"/>
    <cellStyle name="40 % - Accent3 3 3 3 2 3 2 2" xfId="30949"/>
    <cellStyle name="40 % - Accent3 3 3 3 2 3 2 3" xfId="43929"/>
    <cellStyle name="40 % - Accent3 3 3 3 2 3 2 4" xfId="60158"/>
    <cellStyle name="40 % - Accent3 3 3 3 2 3 3" xfId="17969"/>
    <cellStyle name="40 % - Accent3 3 3 3 2 3 4" xfId="24459"/>
    <cellStyle name="40 % - Accent3 3 3 3 2 3 5" xfId="37439"/>
    <cellStyle name="40 % - Accent3 3 3 3 2 3 6" xfId="53668"/>
    <cellStyle name="40 % - Accent3 3 3 3 2 4" xfId="8231"/>
    <cellStyle name="40 % - Accent3 3 3 3 2 4 2" xfId="27704"/>
    <cellStyle name="40 % - Accent3 3 3 3 2 4 3" xfId="40684"/>
    <cellStyle name="40 % - Accent3 3 3 3 2 4 4" xfId="56913"/>
    <cellStyle name="40 % - Accent3 3 3 3 2 5" xfId="14724"/>
    <cellStyle name="40 % - Accent3 3 3 3 2 5 2" xfId="50423"/>
    <cellStyle name="40 % - Accent3 3 3 3 2 6" xfId="21214"/>
    <cellStyle name="40 % - Accent3 3 3 3 2 7" xfId="34194"/>
    <cellStyle name="40 % - Accent3 3 3 3 2 8" xfId="47177"/>
    <cellStyle name="40 % - Accent3 3 3 3 3" xfId="1192"/>
    <cellStyle name="40 % - Accent3 3 3 3 3 2" xfId="2859"/>
    <cellStyle name="40 % - Accent3 3 3 3 3 2 2" xfId="6104"/>
    <cellStyle name="40 % - Accent3 3 3 3 3 2 2 2" xfId="12636"/>
    <cellStyle name="40 % - Accent3 3 3 3 3 2 2 2 2" xfId="32109"/>
    <cellStyle name="40 % - Accent3 3 3 3 3 2 2 2 3" xfId="45089"/>
    <cellStyle name="40 % - Accent3 3 3 3 3 2 2 2 4" xfId="61318"/>
    <cellStyle name="40 % - Accent3 3 3 3 3 2 2 3" xfId="19129"/>
    <cellStyle name="40 % - Accent3 3 3 3 3 2 2 4" xfId="25619"/>
    <cellStyle name="40 % - Accent3 3 3 3 3 2 2 5" xfId="38599"/>
    <cellStyle name="40 % - Accent3 3 3 3 3 2 2 6" xfId="54828"/>
    <cellStyle name="40 % - Accent3 3 3 3 3 2 3" xfId="9391"/>
    <cellStyle name="40 % - Accent3 3 3 3 3 2 3 2" xfId="28864"/>
    <cellStyle name="40 % - Accent3 3 3 3 3 2 3 3" xfId="41844"/>
    <cellStyle name="40 % - Accent3 3 3 3 3 2 3 4" xfId="58073"/>
    <cellStyle name="40 % - Accent3 3 3 3 3 2 4" xfId="15884"/>
    <cellStyle name="40 % - Accent3 3 3 3 3 2 4 2" xfId="51583"/>
    <cellStyle name="40 % - Accent3 3 3 3 3 2 5" xfId="22374"/>
    <cellStyle name="40 % - Accent3 3 3 3 3 2 6" xfId="35354"/>
    <cellStyle name="40 % - Accent3 3 3 3 3 2 7" xfId="48337"/>
    <cellStyle name="40 % - Accent3 3 3 3 3 3" xfId="4481"/>
    <cellStyle name="40 % - Accent3 3 3 3 3 3 2" xfId="11013"/>
    <cellStyle name="40 % - Accent3 3 3 3 3 3 2 2" xfId="30486"/>
    <cellStyle name="40 % - Accent3 3 3 3 3 3 2 3" xfId="43466"/>
    <cellStyle name="40 % - Accent3 3 3 3 3 3 2 4" xfId="59695"/>
    <cellStyle name="40 % - Accent3 3 3 3 3 3 3" xfId="17506"/>
    <cellStyle name="40 % - Accent3 3 3 3 3 3 4" xfId="23996"/>
    <cellStyle name="40 % - Accent3 3 3 3 3 3 5" xfId="36976"/>
    <cellStyle name="40 % - Accent3 3 3 3 3 3 6" xfId="53205"/>
    <cellStyle name="40 % - Accent3 3 3 3 3 4" xfId="7768"/>
    <cellStyle name="40 % - Accent3 3 3 3 3 4 2" xfId="27241"/>
    <cellStyle name="40 % - Accent3 3 3 3 3 4 3" xfId="40221"/>
    <cellStyle name="40 % - Accent3 3 3 3 3 4 4" xfId="56450"/>
    <cellStyle name="40 % - Accent3 3 3 3 3 5" xfId="14261"/>
    <cellStyle name="40 % - Accent3 3 3 3 3 5 2" xfId="49960"/>
    <cellStyle name="40 % - Accent3 3 3 3 3 6" xfId="20751"/>
    <cellStyle name="40 % - Accent3 3 3 3 3 7" xfId="33731"/>
    <cellStyle name="40 % - Accent3 3 3 3 3 8" xfId="46714"/>
    <cellStyle name="40 % - Accent3 3 3 3 4" xfId="2384"/>
    <cellStyle name="40 % - Accent3 3 3 3 4 2" xfId="5629"/>
    <cellStyle name="40 % - Accent3 3 3 3 4 2 2" xfId="12161"/>
    <cellStyle name="40 % - Accent3 3 3 3 4 2 2 2" xfId="31634"/>
    <cellStyle name="40 % - Accent3 3 3 3 4 2 2 3" xfId="44614"/>
    <cellStyle name="40 % - Accent3 3 3 3 4 2 2 4" xfId="60843"/>
    <cellStyle name="40 % - Accent3 3 3 3 4 2 3" xfId="18654"/>
    <cellStyle name="40 % - Accent3 3 3 3 4 2 4" xfId="25144"/>
    <cellStyle name="40 % - Accent3 3 3 3 4 2 5" xfId="38124"/>
    <cellStyle name="40 % - Accent3 3 3 3 4 2 6" xfId="54353"/>
    <cellStyle name="40 % - Accent3 3 3 3 4 3" xfId="8916"/>
    <cellStyle name="40 % - Accent3 3 3 3 4 3 2" xfId="28389"/>
    <cellStyle name="40 % - Accent3 3 3 3 4 3 3" xfId="41369"/>
    <cellStyle name="40 % - Accent3 3 3 3 4 3 4" xfId="57598"/>
    <cellStyle name="40 % - Accent3 3 3 3 4 4" xfId="15409"/>
    <cellStyle name="40 % - Accent3 3 3 3 4 4 2" xfId="51108"/>
    <cellStyle name="40 % - Accent3 3 3 3 4 5" xfId="21899"/>
    <cellStyle name="40 % - Accent3 3 3 3 4 6" xfId="34879"/>
    <cellStyle name="40 % - Accent3 3 3 3 4 7" xfId="47862"/>
    <cellStyle name="40 % - Accent3 3 3 3 5" xfId="4006"/>
    <cellStyle name="40 % - Accent3 3 3 3 5 2" xfId="10538"/>
    <cellStyle name="40 % - Accent3 3 3 3 5 2 2" xfId="30011"/>
    <cellStyle name="40 % - Accent3 3 3 3 5 2 3" xfId="42991"/>
    <cellStyle name="40 % - Accent3 3 3 3 5 2 4" xfId="59220"/>
    <cellStyle name="40 % - Accent3 3 3 3 5 3" xfId="17031"/>
    <cellStyle name="40 % - Accent3 3 3 3 5 4" xfId="23521"/>
    <cellStyle name="40 % - Accent3 3 3 3 5 5" xfId="36501"/>
    <cellStyle name="40 % - Accent3 3 3 3 5 6" xfId="52730"/>
    <cellStyle name="40 % - Accent3 3 3 3 6" xfId="7293"/>
    <cellStyle name="40 % - Accent3 3 3 3 6 2" xfId="26766"/>
    <cellStyle name="40 % - Accent3 3 3 3 6 3" xfId="39746"/>
    <cellStyle name="40 % - Accent3 3 3 3 6 4" xfId="55975"/>
    <cellStyle name="40 % - Accent3 3 3 3 7" xfId="13786"/>
    <cellStyle name="40 % - Accent3 3 3 3 7 2" xfId="49485"/>
    <cellStyle name="40 % - Accent3 3 3 3 8" xfId="20276"/>
    <cellStyle name="40 % - Accent3 3 3 3 9" xfId="33256"/>
    <cellStyle name="40 % - Accent3 3 3 4" xfId="486"/>
    <cellStyle name="40 % - Accent3 3 3 4 2" xfId="1435"/>
    <cellStyle name="40 % - Accent3 3 3 4 2 2" xfId="3102"/>
    <cellStyle name="40 % - Accent3 3 3 4 2 2 2" xfId="6347"/>
    <cellStyle name="40 % - Accent3 3 3 4 2 2 2 2" xfId="12879"/>
    <cellStyle name="40 % - Accent3 3 3 4 2 2 2 2 2" xfId="32352"/>
    <cellStyle name="40 % - Accent3 3 3 4 2 2 2 2 3" xfId="45332"/>
    <cellStyle name="40 % - Accent3 3 3 4 2 2 2 2 4" xfId="61561"/>
    <cellStyle name="40 % - Accent3 3 3 4 2 2 2 3" xfId="19372"/>
    <cellStyle name="40 % - Accent3 3 3 4 2 2 2 4" xfId="25862"/>
    <cellStyle name="40 % - Accent3 3 3 4 2 2 2 5" xfId="38842"/>
    <cellStyle name="40 % - Accent3 3 3 4 2 2 2 6" xfId="55071"/>
    <cellStyle name="40 % - Accent3 3 3 4 2 2 3" xfId="9634"/>
    <cellStyle name="40 % - Accent3 3 3 4 2 2 3 2" xfId="29107"/>
    <cellStyle name="40 % - Accent3 3 3 4 2 2 3 3" xfId="42087"/>
    <cellStyle name="40 % - Accent3 3 3 4 2 2 3 4" xfId="58316"/>
    <cellStyle name="40 % - Accent3 3 3 4 2 2 4" xfId="16127"/>
    <cellStyle name="40 % - Accent3 3 3 4 2 2 4 2" xfId="51826"/>
    <cellStyle name="40 % - Accent3 3 3 4 2 2 5" xfId="22617"/>
    <cellStyle name="40 % - Accent3 3 3 4 2 2 6" xfId="35597"/>
    <cellStyle name="40 % - Accent3 3 3 4 2 2 7" xfId="48580"/>
    <cellStyle name="40 % - Accent3 3 3 4 2 3" xfId="4724"/>
    <cellStyle name="40 % - Accent3 3 3 4 2 3 2" xfId="11256"/>
    <cellStyle name="40 % - Accent3 3 3 4 2 3 2 2" xfId="30729"/>
    <cellStyle name="40 % - Accent3 3 3 4 2 3 2 3" xfId="43709"/>
    <cellStyle name="40 % - Accent3 3 3 4 2 3 2 4" xfId="59938"/>
    <cellStyle name="40 % - Accent3 3 3 4 2 3 3" xfId="17749"/>
    <cellStyle name="40 % - Accent3 3 3 4 2 3 4" xfId="24239"/>
    <cellStyle name="40 % - Accent3 3 3 4 2 3 5" xfId="37219"/>
    <cellStyle name="40 % - Accent3 3 3 4 2 3 6" xfId="53448"/>
    <cellStyle name="40 % - Accent3 3 3 4 2 4" xfId="8011"/>
    <cellStyle name="40 % - Accent3 3 3 4 2 4 2" xfId="27484"/>
    <cellStyle name="40 % - Accent3 3 3 4 2 4 3" xfId="40464"/>
    <cellStyle name="40 % - Accent3 3 3 4 2 4 4" xfId="56693"/>
    <cellStyle name="40 % - Accent3 3 3 4 2 5" xfId="14504"/>
    <cellStyle name="40 % - Accent3 3 3 4 2 5 2" xfId="50203"/>
    <cellStyle name="40 % - Accent3 3 3 4 2 6" xfId="20994"/>
    <cellStyle name="40 % - Accent3 3 3 4 2 7" xfId="33974"/>
    <cellStyle name="40 % - Accent3 3 3 4 2 8" xfId="46957"/>
    <cellStyle name="40 % - Accent3 3 3 4 3" xfId="2154"/>
    <cellStyle name="40 % - Accent3 3 3 4 3 2" xfId="5399"/>
    <cellStyle name="40 % - Accent3 3 3 4 3 2 2" xfId="11931"/>
    <cellStyle name="40 % - Accent3 3 3 4 3 2 2 2" xfId="31404"/>
    <cellStyle name="40 % - Accent3 3 3 4 3 2 2 3" xfId="44384"/>
    <cellStyle name="40 % - Accent3 3 3 4 3 2 2 4" xfId="60613"/>
    <cellStyle name="40 % - Accent3 3 3 4 3 2 3" xfId="18424"/>
    <cellStyle name="40 % - Accent3 3 3 4 3 2 4" xfId="24914"/>
    <cellStyle name="40 % - Accent3 3 3 4 3 2 5" xfId="37894"/>
    <cellStyle name="40 % - Accent3 3 3 4 3 2 6" xfId="54123"/>
    <cellStyle name="40 % - Accent3 3 3 4 3 3" xfId="8686"/>
    <cellStyle name="40 % - Accent3 3 3 4 3 3 2" xfId="28159"/>
    <cellStyle name="40 % - Accent3 3 3 4 3 3 3" xfId="41139"/>
    <cellStyle name="40 % - Accent3 3 3 4 3 3 4" xfId="57368"/>
    <cellStyle name="40 % - Accent3 3 3 4 3 4" xfId="15179"/>
    <cellStyle name="40 % - Accent3 3 3 4 3 4 2" xfId="50878"/>
    <cellStyle name="40 % - Accent3 3 3 4 3 5" xfId="21669"/>
    <cellStyle name="40 % - Accent3 3 3 4 3 6" xfId="34649"/>
    <cellStyle name="40 % - Accent3 3 3 4 3 7" xfId="47632"/>
    <cellStyle name="40 % - Accent3 3 3 4 4" xfId="3776"/>
    <cellStyle name="40 % - Accent3 3 3 4 4 2" xfId="10308"/>
    <cellStyle name="40 % - Accent3 3 3 4 4 2 2" xfId="29781"/>
    <cellStyle name="40 % - Accent3 3 3 4 4 2 3" xfId="42761"/>
    <cellStyle name="40 % - Accent3 3 3 4 4 2 4" xfId="58990"/>
    <cellStyle name="40 % - Accent3 3 3 4 4 3" xfId="16801"/>
    <cellStyle name="40 % - Accent3 3 3 4 4 4" xfId="23291"/>
    <cellStyle name="40 % - Accent3 3 3 4 4 5" xfId="36271"/>
    <cellStyle name="40 % - Accent3 3 3 4 4 6" xfId="52500"/>
    <cellStyle name="40 % - Accent3 3 3 4 5" xfId="7063"/>
    <cellStyle name="40 % - Accent3 3 3 4 5 2" xfId="26536"/>
    <cellStyle name="40 % - Accent3 3 3 4 5 3" xfId="39516"/>
    <cellStyle name="40 % - Accent3 3 3 4 5 4" xfId="55745"/>
    <cellStyle name="40 % - Accent3 3 3 4 6" xfId="13556"/>
    <cellStyle name="40 % - Accent3 3 3 4 6 2" xfId="49255"/>
    <cellStyle name="40 % - Accent3 3 3 4 7" xfId="20046"/>
    <cellStyle name="40 % - Accent3 3 3 4 8" xfId="33026"/>
    <cellStyle name="40 % - Accent3 3 3 4 9" xfId="46009"/>
    <cellStyle name="40 % - Accent3 3 3 5" xfId="972"/>
    <cellStyle name="40 % - Accent3 3 3 5 2" xfId="2639"/>
    <cellStyle name="40 % - Accent3 3 3 5 2 2" xfId="5884"/>
    <cellStyle name="40 % - Accent3 3 3 5 2 2 2" xfId="12416"/>
    <cellStyle name="40 % - Accent3 3 3 5 2 2 2 2" xfId="31889"/>
    <cellStyle name="40 % - Accent3 3 3 5 2 2 2 3" xfId="44869"/>
    <cellStyle name="40 % - Accent3 3 3 5 2 2 2 4" xfId="61098"/>
    <cellStyle name="40 % - Accent3 3 3 5 2 2 3" xfId="18909"/>
    <cellStyle name="40 % - Accent3 3 3 5 2 2 4" xfId="25399"/>
    <cellStyle name="40 % - Accent3 3 3 5 2 2 5" xfId="38379"/>
    <cellStyle name="40 % - Accent3 3 3 5 2 2 6" xfId="54608"/>
    <cellStyle name="40 % - Accent3 3 3 5 2 3" xfId="9171"/>
    <cellStyle name="40 % - Accent3 3 3 5 2 3 2" xfId="28644"/>
    <cellStyle name="40 % - Accent3 3 3 5 2 3 3" xfId="41624"/>
    <cellStyle name="40 % - Accent3 3 3 5 2 3 4" xfId="57853"/>
    <cellStyle name="40 % - Accent3 3 3 5 2 4" xfId="15664"/>
    <cellStyle name="40 % - Accent3 3 3 5 2 4 2" xfId="51363"/>
    <cellStyle name="40 % - Accent3 3 3 5 2 5" xfId="22154"/>
    <cellStyle name="40 % - Accent3 3 3 5 2 6" xfId="35134"/>
    <cellStyle name="40 % - Accent3 3 3 5 2 7" xfId="48117"/>
    <cellStyle name="40 % - Accent3 3 3 5 3" xfId="4261"/>
    <cellStyle name="40 % - Accent3 3 3 5 3 2" xfId="10793"/>
    <cellStyle name="40 % - Accent3 3 3 5 3 2 2" xfId="30266"/>
    <cellStyle name="40 % - Accent3 3 3 5 3 2 3" xfId="43246"/>
    <cellStyle name="40 % - Accent3 3 3 5 3 2 4" xfId="59475"/>
    <cellStyle name="40 % - Accent3 3 3 5 3 3" xfId="17286"/>
    <cellStyle name="40 % - Accent3 3 3 5 3 4" xfId="23776"/>
    <cellStyle name="40 % - Accent3 3 3 5 3 5" xfId="36756"/>
    <cellStyle name="40 % - Accent3 3 3 5 3 6" xfId="52985"/>
    <cellStyle name="40 % - Accent3 3 3 5 4" xfId="7548"/>
    <cellStyle name="40 % - Accent3 3 3 5 4 2" xfId="27021"/>
    <cellStyle name="40 % - Accent3 3 3 5 4 3" xfId="40001"/>
    <cellStyle name="40 % - Accent3 3 3 5 4 4" xfId="56230"/>
    <cellStyle name="40 % - Accent3 3 3 5 5" xfId="14041"/>
    <cellStyle name="40 % - Accent3 3 3 5 5 2" xfId="49740"/>
    <cellStyle name="40 % - Accent3 3 3 5 6" xfId="20531"/>
    <cellStyle name="40 % - Accent3 3 3 5 7" xfId="33511"/>
    <cellStyle name="40 % - Accent3 3 3 5 8" xfId="46494"/>
    <cellStyle name="40 % - Accent3 3 3 6" xfId="1925"/>
    <cellStyle name="40 % - Accent3 3 3 6 2" xfId="5170"/>
    <cellStyle name="40 % - Accent3 3 3 6 2 2" xfId="11702"/>
    <cellStyle name="40 % - Accent3 3 3 6 2 2 2" xfId="31175"/>
    <cellStyle name="40 % - Accent3 3 3 6 2 2 3" xfId="44155"/>
    <cellStyle name="40 % - Accent3 3 3 6 2 2 4" xfId="60384"/>
    <cellStyle name="40 % - Accent3 3 3 6 2 3" xfId="18195"/>
    <cellStyle name="40 % - Accent3 3 3 6 2 4" xfId="24685"/>
    <cellStyle name="40 % - Accent3 3 3 6 2 5" xfId="37665"/>
    <cellStyle name="40 % - Accent3 3 3 6 2 6" xfId="53894"/>
    <cellStyle name="40 % - Accent3 3 3 6 3" xfId="8457"/>
    <cellStyle name="40 % - Accent3 3 3 6 3 2" xfId="27930"/>
    <cellStyle name="40 % - Accent3 3 3 6 3 3" xfId="40910"/>
    <cellStyle name="40 % - Accent3 3 3 6 3 4" xfId="57139"/>
    <cellStyle name="40 % - Accent3 3 3 6 4" xfId="14950"/>
    <cellStyle name="40 % - Accent3 3 3 6 4 2" xfId="50649"/>
    <cellStyle name="40 % - Accent3 3 3 6 5" xfId="21440"/>
    <cellStyle name="40 % - Accent3 3 3 6 6" xfId="34420"/>
    <cellStyle name="40 % - Accent3 3 3 6 7" xfId="47403"/>
    <cellStyle name="40 % - Accent3 3 3 7" xfId="3546"/>
    <cellStyle name="40 % - Accent3 3 3 7 2" xfId="10078"/>
    <cellStyle name="40 % - Accent3 3 3 7 2 2" xfId="29551"/>
    <cellStyle name="40 % - Accent3 3 3 7 2 3" xfId="42531"/>
    <cellStyle name="40 % - Accent3 3 3 7 2 4" xfId="58760"/>
    <cellStyle name="40 % - Accent3 3 3 7 3" xfId="16571"/>
    <cellStyle name="40 % - Accent3 3 3 7 4" xfId="23061"/>
    <cellStyle name="40 % - Accent3 3 3 7 5" xfId="36041"/>
    <cellStyle name="40 % - Accent3 3 3 7 6" xfId="52270"/>
    <cellStyle name="40 % - Accent3 3 3 8" xfId="6833"/>
    <cellStyle name="40 % - Accent3 3 3 8 2" xfId="26306"/>
    <cellStyle name="40 % - Accent3 3 3 8 3" xfId="39286"/>
    <cellStyle name="40 % - Accent3 3 3 8 4" xfId="55515"/>
    <cellStyle name="40 % - Accent3 3 3 9" xfId="13326"/>
    <cellStyle name="40 % - Accent3 3 3 9 2" xfId="49025"/>
    <cellStyle name="40 % - Accent3 3 4" xfId="208"/>
    <cellStyle name="40 % - Accent3 3 4 10" xfId="32752"/>
    <cellStyle name="40 % - Accent3 3 4 11" xfId="45735"/>
    <cellStyle name="40 % - Accent3 3 4 2" xfId="672"/>
    <cellStyle name="40 % - Accent3 3 4 2 10" xfId="46195"/>
    <cellStyle name="40 % - Accent3 3 4 2 2" xfId="1611"/>
    <cellStyle name="40 % - Accent3 3 4 2 2 2" xfId="3278"/>
    <cellStyle name="40 % - Accent3 3 4 2 2 2 2" xfId="6523"/>
    <cellStyle name="40 % - Accent3 3 4 2 2 2 2 2" xfId="13055"/>
    <cellStyle name="40 % - Accent3 3 4 2 2 2 2 2 2" xfId="32528"/>
    <cellStyle name="40 % - Accent3 3 4 2 2 2 2 2 3" xfId="45508"/>
    <cellStyle name="40 % - Accent3 3 4 2 2 2 2 2 4" xfId="61737"/>
    <cellStyle name="40 % - Accent3 3 4 2 2 2 2 3" xfId="19548"/>
    <cellStyle name="40 % - Accent3 3 4 2 2 2 2 4" xfId="26038"/>
    <cellStyle name="40 % - Accent3 3 4 2 2 2 2 5" xfId="39018"/>
    <cellStyle name="40 % - Accent3 3 4 2 2 2 2 6" xfId="55247"/>
    <cellStyle name="40 % - Accent3 3 4 2 2 2 3" xfId="9810"/>
    <cellStyle name="40 % - Accent3 3 4 2 2 2 3 2" xfId="29283"/>
    <cellStyle name="40 % - Accent3 3 4 2 2 2 3 3" xfId="42263"/>
    <cellStyle name="40 % - Accent3 3 4 2 2 2 3 4" xfId="58492"/>
    <cellStyle name="40 % - Accent3 3 4 2 2 2 4" xfId="16303"/>
    <cellStyle name="40 % - Accent3 3 4 2 2 2 4 2" xfId="52002"/>
    <cellStyle name="40 % - Accent3 3 4 2 2 2 5" xfId="22793"/>
    <cellStyle name="40 % - Accent3 3 4 2 2 2 6" xfId="35773"/>
    <cellStyle name="40 % - Accent3 3 4 2 2 2 7" xfId="48756"/>
    <cellStyle name="40 % - Accent3 3 4 2 2 3" xfId="4900"/>
    <cellStyle name="40 % - Accent3 3 4 2 2 3 2" xfId="11432"/>
    <cellStyle name="40 % - Accent3 3 4 2 2 3 2 2" xfId="30905"/>
    <cellStyle name="40 % - Accent3 3 4 2 2 3 2 3" xfId="43885"/>
    <cellStyle name="40 % - Accent3 3 4 2 2 3 2 4" xfId="60114"/>
    <cellStyle name="40 % - Accent3 3 4 2 2 3 3" xfId="17925"/>
    <cellStyle name="40 % - Accent3 3 4 2 2 3 4" xfId="24415"/>
    <cellStyle name="40 % - Accent3 3 4 2 2 3 5" xfId="37395"/>
    <cellStyle name="40 % - Accent3 3 4 2 2 3 6" xfId="53624"/>
    <cellStyle name="40 % - Accent3 3 4 2 2 4" xfId="8187"/>
    <cellStyle name="40 % - Accent3 3 4 2 2 4 2" xfId="27660"/>
    <cellStyle name="40 % - Accent3 3 4 2 2 4 3" xfId="40640"/>
    <cellStyle name="40 % - Accent3 3 4 2 2 4 4" xfId="56869"/>
    <cellStyle name="40 % - Accent3 3 4 2 2 5" xfId="14680"/>
    <cellStyle name="40 % - Accent3 3 4 2 2 5 2" xfId="50379"/>
    <cellStyle name="40 % - Accent3 3 4 2 2 6" xfId="21170"/>
    <cellStyle name="40 % - Accent3 3 4 2 2 7" xfId="34150"/>
    <cellStyle name="40 % - Accent3 3 4 2 2 8" xfId="47133"/>
    <cellStyle name="40 % - Accent3 3 4 2 3" xfId="1148"/>
    <cellStyle name="40 % - Accent3 3 4 2 3 2" xfId="2815"/>
    <cellStyle name="40 % - Accent3 3 4 2 3 2 2" xfId="6060"/>
    <cellStyle name="40 % - Accent3 3 4 2 3 2 2 2" xfId="12592"/>
    <cellStyle name="40 % - Accent3 3 4 2 3 2 2 2 2" xfId="32065"/>
    <cellStyle name="40 % - Accent3 3 4 2 3 2 2 2 3" xfId="45045"/>
    <cellStyle name="40 % - Accent3 3 4 2 3 2 2 2 4" xfId="61274"/>
    <cellStyle name="40 % - Accent3 3 4 2 3 2 2 3" xfId="19085"/>
    <cellStyle name="40 % - Accent3 3 4 2 3 2 2 4" xfId="25575"/>
    <cellStyle name="40 % - Accent3 3 4 2 3 2 2 5" xfId="38555"/>
    <cellStyle name="40 % - Accent3 3 4 2 3 2 2 6" xfId="54784"/>
    <cellStyle name="40 % - Accent3 3 4 2 3 2 3" xfId="9347"/>
    <cellStyle name="40 % - Accent3 3 4 2 3 2 3 2" xfId="28820"/>
    <cellStyle name="40 % - Accent3 3 4 2 3 2 3 3" xfId="41800"/>
    <cellStyle name="40 % - Accent3 3 4 2 3 2 3 4" xfId="58029"/>
    <cellStyle name="40 % - Accent3 3 4 2 3 2 4" xfId="15840"/>
    <cellStyle name="40 % - Accent3 3 4 2 3 2 4 2" xfId="51539"/>
    <cellStyle name="40 % - Accent3 3 4 2 3 2 5" xfId="22330"/>
    <cellStyle name="40 % - Accent3 3 4 2 3 2 6" xfId="35310"/>
    <cellStyle name="40 % - Accent3 3 4 2 3 2 7" xfId="48293"/>
    <cellStyle name="40 % - Accent3 3 4 2 3 3" xfId="4437"/>
    <cellStyle name="40 % - Accent3 3 4 2 3 3 2" xfId="10969"/>
    <cellStyle name="40 % - Accent3 3 4 2 3 3 2 2" xfId="30442"/>
    <cellStyle name="40 % - Accent3 3 4 2 3 3 2 3" xfId="43422"/>
    <cellStyle name="40 % - Accent3 3 4 2 3 3 2 4" xfId="59651"/>
    <cellStyle name="40 % - Accent3 3 4 2 3 3 3" xfId="17462"/>
    <cellStyle name="40 % - Accent3 3 4 2 3 3 4" xfId="23952"/>
    <cellStyle name="40 % - Accent3 3 4 2 3 3 5" xfId="36932"/>
    <cellStyle name="40 % - Accent3 3 4 2 3 3 6" xfId="53161"/>
    <cellStyle name="40 % - Accent3 3 4 2 3 4" xfId="7724"/>
    <cellStyle name="40 % - Accent3 3 4 2 3 4 2" xfId="27197"/>
    <cellStyle name="40 % - Accent3 3 4 2 3 4 3" xfId="40177"/>
    <cellStyle name="40 % - Accent3 3 4 2 3 4 4" xfId="56406"/>
    <cellStyle name="40 % - Accent3 3 4 2 3 5" xfId="14217"/>
    <cellStyle name="40 % - Accent3 3 4 2 3 5 2" xfId="49916"/>
    <cellStyle name="40 % - Accent3 3 4 2 3 6" xfId="20707"/>
    <cellStyle name="40 % - Accent3 3 4 2 3 7" xfId="33687"/>
    <cellStyle name="40 % - Accent3 3 4 2 3 8" xfId="46670"/>
    <cellStyle name="40 % - Accent3 3 4 2 4" xfId="2340"/>
    <cellStyle name="40 % - Accent3 3 4 2 4 2" xfId="5585"/>
    <cellStyle name="40 % - Accent3 3 4 2 4 2 2" xfId="12117"/>
    <cellStyle name="40 % - Accent3 3 4 2 4 2 2 2" xfId="31590"/>
    <cellStyle name="40 % - Accent3 3 4 2 4 2 2 3" xfId="44570"/>
    <cellStyle name="40 % - Accent3 3 4 2 4 2 2 4" xfId="60799"/>
    <cellStyle name="40 % - Accent3 3 4 2 4 2 3" xfId="18610"/>
    <cellStyle name="40 % - Accent3 3 4 2 4 2 4" xfId="25100"/>
    <cellStyle name="40 % - Accent3 3 4 2 4 2 5" xfId="38080"/>
    <cellStyle name="40 % - Accent3 3 4 2 4 2 6" xfId="54309"/>
    <cellStyle name="40 % - Accent3 3 4 2 4 3" xfId="8872"/>
    <cellStyle name="40 % - Accent3 3 4 2 4 3 2" xfId="28345"/>
    <cellStyle name="40 % - Accent3 3 4 2 4 3 3" xfId="41325"/>
    <cellStyle name="40 % - Accent3 3 4 2 4 3 4" xfId="57554"/>
    <cellStyle name="40 % - Accent3 3 4 2 4 4" xfId="15365"/>
    <cellStyle name="40 % - Accent3 3 4 2 4 4 2" xfId="51064"/>
    <cellStyle name="40 % - Accent3 3 4 2 4 5" xfId="21855"/>
    <cellStyle name="40 % - Accent3 3 4 2 4 6" xfId="34835"/>
    <cellStyle name="40 % - Accent3 3 4 2 4 7" xfId="47818"/>
    <cellStyle name="40 % - Accent3 3 4 2 5" xfId="3962"/>
    <cellStyle name="40 % - Accent3 3 4 2 5 2" xfId="10494"/>
    <cellStyle name="40 % - Accent3 3 4 2 5 2 2" xfId="29967"/>
    <cellStyle name="40 % - Accent3 3 4 2 5 2 3" xfId="42947"/>
    <cellStyle name="40 % - Accent3 3 4 2 5 2 4" xfId="59176"/>
    <cellStyle name="40 % - Accent3 3 4 2 5 3" xfId="16987"/>
    <cellStyle name="40 % - Accent3 3 4 2 5 4" xfId="23477"/>
    <cellStyle name="40 % - Accent3 3 4 2 5 5" xfId="36457"/>
    <cellStyle name="40 % - Accent3 3 4 2 5 6" xfId="52686"/>
    <cellStyle name="40 % - Accent3 3 4 2 6" xfId="7249"/>
    <cellStyle name="40 % - Accent3 3 4 2 6 2" xfId="26722"/>
    <cellStyle name="40 % - Accent3 3 4 2 6 3" xfId="39702"/>
    <cellStyle name="40 % - Accent3 3 4 2 6 4" xfId="55931"/>
    <cellStyle name="40 % - Accent3 3 4 2 7" xfId="13742"/>
    <cellStyle name="40 % - Accent3 3 4 2 7 2" xfId="49441"/>
    <cellStyle name="40 % - Accent3 3 4 2 8" xfId="20232"/>
    <cellStyle name="40 % - Accent3 3 4 2 9" xfId="33212"/>
    <cellStyle name="40 % - Accent3 3 4 3" xfId="442"/>
    <cellStyle name="40 % - Accent3 3 4 3 2" xfId="1391"/>
    <cellStyle name="40 % - Accent3 3 4 3 2 2" xfId="3058"/>
    <cellStyle name="40 % - Accent3 3 4 3 2 2 2" xfId="6303"/>
    <cellStyle name="40 % - Accent3 3 4 3 2 2 2 2" xfId="12835"/>
    <cellStyle name="40 % - Accent3 3 4 3 2 2 2 2 2" xfId="32308"/>
    <cellStyle name="40 % - Accent3 3 4 3 2 2 2 2 3" xfId="45288"/>
    <cellStyle name="40 % - Accent3 3 4 3 2 2 2 2 4" xfId="61517"/>
    <cellStyle name="40 % - Accent3 3 4 3 2 2 2 3" xfId="19328"/>
    <cellStyle name="40 % - Accent3 3 4 3 2 2 2 4" xfId="25818"/>
    <cellStyle name="40 % - Accent3 3 4 3 2 2 2 5" xfId="38798"/>
    <cellStyle name="40 % - Accent3 3 4 3 2 2 2 6" xfId="55027"/>
    <cellStyle name="40 % - Accent3 3 4 3 2 2 3" xfId="9590"/>
    <cellStyle name="40 % - Accent3 3 4 3 2 2 3 2" xfId="29063"/>
    <cellStyle name="40 % - Accent3 3 4 3 2 2 3 3" xfId="42043"/>
    <cellStyle name="40 % - Accent3 3 4 3 2 2 3 4" xfId="58272"/>
    <cellStyle name="40 % - Accent3 3 4 3 2 2 4" xfId="16083"/>
    <cellStyle name="40 % - Accent3 3 4 3 2 2 4 2" xfId="51782"/>
    <cellStyle name="40 % - Accent3 3 4 3 2 2 5" xfId="22573"/>
    <cellStyle name="40 % - Accent3 3 4 3 2 2 6" xfId="35553"/>
    <cellStyle name="40 % - Accent3 3 4 3 2 2 7" xfId="48536"/>
    <cellStyle name="40 % - Accent3 3 4 3 2 3" xfId="4680"/>
    <cellStyle name="40 % - Accent3 3 4 3 2 3 2" xfId="11212"/>
    <cellStyle name="40 % - Accent3 3 4 3 2 3 2 2" xfId="30685"/>
    <cellStyle name="40 % - Accent3 3 4 3 2 3 2 3" xfId="43665"/>
    <cellStyle name="40 % - Accent3 3 4 3 2 3 2 4" xfId="59894"/>
    <cellStyle name="40 % - Accent3 3 4 3 2 3 3" xfId="17705"/>
    <cellStyle name="40 % - Accent3 3 4 3 2 3 4" xfId="24195"/>
    <cellStyle name="40 % - Accent3 3 4 3 2 3 5" xfId="37175"/>
    <cellStyle name="40 % - Accent3 3 4 3 2 3 6" xfId="53404"/>
    <cellStyle name="40 % - Accent3 3 4 3 2 4" xfId="7967"/>
    <cellStyle name="40 % - Accent3 3 4 3 2 4 2" xfId="27440"/>
    <cellStyle name="40 % - Accent3 3 4 3 2 4 3" xfId="40420"/>
    <cellStyle name="40 % - Accent3 3 4 3 2 4 4" xfId="56649"/>
    <cellStyle name="40 % - Accent3 3 4 3 2 5" xfId="14460"/>
    <cellStyle name="40 % - Accent3 3 4 3 2 5 2" xfId="50159"/>
    <cellStyle name="40 % - Accent3 3 4 3 2 6" xfId="20950"/>
    <cellStyle name="40 % - Accent3 3 4 3 2 7" xfId="33930"/>
    <cellStyle name="40 % - Accent3 3 4 3 2 8" xfId="46913"/>
    <cellStyle name="40 % - Accent3 3 4 3 3" xfId="2110"/>
    <cellStyle name="40 % - Accent3 3 4 3 3 2" xfId="5355"/>
    <cellStyle name="40 % - Accent3 3 4 3 3 2 2" xfId="11887"/>
    <cellStyle name="40 % - Accent3 3 4 3 3 2 2 2" xfId="31360"/>
    <cellStyle name="40 % - Accent3 3 4 3 3 2 2 3" xfId="44340"/>
    <cellStyle name="40 % - Accent3 3 4 3 3 2 2 4" xfId="60569"/>
    <cellStyle name="40 % - Accent3 3 4 3 3 2 3" xfId="18380"/>
    <cellStyle name="40 % - Accent3 3 4 3 3 2 4" xfId="24870"/>
    <cellStyle name="40 % - Accent3 3 4 3 3 2 5" xfId="37850"/>
    <cellStyle name="40 % - Accent3 3 4 3 3 2 6" xfId="54079"/>
    <cellStyle name="40 % - Accent3 3 4 3 3 3" xfId="8642"/>
    <cellStyle name="40 % - Accent3 3 4 3 3 3 2" xfId="28115"/>
    <cellStyle name="40 % - Accent3 3 4 3 3 3 3" xfId="41095"/>
    <cellStyle name="40 % - Accent3 3 4 3 3 3 4" xfId="57324"/>
    <cellStyle name="40 % - Accent3 3 4 3 3 4" xfId="15135"/>
    <cellStyle name="40 % - Accent3 3 4 3 3 4 2" xfId="50834"/>
    <cellStyle name="40 % - Accent3 3 4 3 3 5" xfId="21625"/>
    <cellStyle name="40 % - Accent3 3 4 3 3 6" xfId="34605"/>
    <cellStyle name="40 % - Accent3 3 4 3 3 7" xfId="47588"/>
    <cellStyle name="40 % - Accent3 3 4 3 4" xfId="3732"/>
    <cellStyle name="40 % - Accent3 3 4 3 4 2" xfId="10264"/>
    <cellStyle name="40 % - Accent3 3 4 3 4 2 2" xfId="29737"/>
    <cellStyle name="40 % - Accent3 3 4 3 4 2 3" xfId="42717"/>
    <cellStyle name="40 % - Accent3 3 4 3 4 2 4" xfId="58946"/>
    <cellStyle name="40 % - Accent3 3 4 3 4 3" xfId="16757"/>
    <cellStyle name="40 % - Accent3 3 4 3 4 4" xfId="23247"/>
    <cellStyle name="40 % - Accent3 3 4 3 4 5" xfId="36227"/>
    <cellStyle name="40 % - Accent3 3 4 3 4 6" xfId="52456"/>
    <cellStyle name="40 % - Accent3 3 4 3 5" xfId="7019"/>
    <cellStyle name="40 % - Accent3 3 4 3 5 2" xfId="26492"/>
    <cellStyle name="40 % - Accent3 3 4 3 5 3" xfId="39472"/>
    <cellStyle name="40 % - Accent3 3 4 3 5 4" xfId="55701"/>
    <cellStyle name="40 % - Accent3 3 4 3 6" xfId="13512"/>
    <cellStyle name="40 % - Accent3 3 4 3 6 2" xfId="49211"/>
    <cellStyle name="40 % - Accent3 3 4 3 7" xfId="20002"/>
    <cellStyle name="40 % - Accent3 3 4 3 8" xfId="32982"/>
    <cellStyle name="40 % - Accent3 3 4 3 9" xfId="45965"/>
    <cellStyle name="40 % - Accent3 3 4 4" xfId="928"/>
    <cellStyle name="40 % - Accent3 3 4 4 2" xfId="2595"/>
    <cellStyle name="40 % - Accent3 3 4 4 2 2" xfId="5840"/>
    <cellStyle name="40 % - Accent3 3 4 4 2 2 2" xfId="12372"/>
    <cellStyle name="40 % - Accent3 3 4 4 2 2 2 2" xfId="31845"/>
    <cellStyle name="40 % - Accent3 3 4 4 2 2 2 3" xfId="44825"/>
    <cellStyle name="40 % - Accent3 3 4 4 2 2 2 4" xfId="61054"/>
    <cellStyle name="40 % - Accent3 3 4 4 2 2 3" xfId="18865"/>
    <cellStyle name="40 % - Accent3 3 4 4 2 2 4" xfId="25355"/>
    <cellStyle name="40 % - Accent3 3 4 4 2 2 5" xfId="38335"/>
    <cellStyle name="40 % - Accent3 3 4 4 2 2 6" xfId="54564"/>
    <cellStyle name="40 % - Accent3 3 4 4 2 3" xfId="9127"/>
    <cellStyle name="40 % - Accent3 3 4 4 2 3 2" xfId="28600"/>
    <cellStyle name="40 % - Accent3 3 4 4 2 3 3" xfId="41580"/>
    <cellStyle name="40 % - Accent3 3 4 4 2 3 4" xfId="57809"/>
    <cellStyle name="40 % - Accent3 3 4 4 2 4" xfId="15620"/>
    <cellStyle name="40 % - Accent3 3 4 4 2 4 2" xfId="51319"/>
    <cellStyle name="40 % - Accent3 3 4 4 2 5" xfId="22110"/>
    <cellStyle name="40 % - Accent3 3 4 4 2 6" xfId="35090"/>
    <cellStyle name="40 % - Accent3 3 4 4 2 7" xfId="48073"/>
    <cellStyle name="40 % - Accent3 3 4 4 3" xfId="4217"/>
    <cellStyle name="40 % - Accent3 3 4 4 3 2" xfId="10749"/>
    <cellStyle name="40 % - Accent3 3 4 4 3 2 2" xfId="30222"/>
    <cellStyle name="40 % - Accent3 3 4 4 3 2 3" xfId="43202"/>
    <cellStyle name="40 % - Accent3 3 4 4 3 2 4" xfId="59431"/>
    <cellStyle name="40 % - Accent3 3 4 4 3 3" xfId="17242"/>
    <cellStyle name="40 % - Accent3 3 4 4 3 4" xfId="23732"/>
    <cellStyle name="40 % - Accent3 3 4 4 3 5" xfId="36712"/>
    <cellStyle name="40 % - Accent3 3 4 4 3 6" xfId="52941"/>
    <cellStyle name="40 % - Accent3 3 4 4 4" xfId="7504"/>
    <cellStyle name="40 % - Accent3 3 4 4 4 2" xfId="26977"/>
    <cellStyle name="40 % - Accent3 3 4 4 4 3" xfId="39957"/>
    <cellStyle name="40 % - Accent3 3 4 4 4 4" xfId="56186"/>
    <cellStyle name="40 % - Accent3 3 4 4 5" xfId="13997"/>
    <cellStyle name="40 % - Accent3 3 4 4 5 2" xfId="49696"/>
    <cellStyle name="40 % - Accent3 3 4 4 6" xfId="20487"/>
    <cellStyle name="40 % - Accent3 3 4 4 7" xfId="33467"/>
    <cellStyle name="40 % - Accent3 3 4 4 8" xfId="46450"/>
    <cellStyle name="40 % - Accent3 3 4 5" xfId="1881"/>
    <cellStyle name="40 % - Accent3 3 4 5 2" xfId="5126"/>
    <cellStyle name="40 % - Accent3 3 4 5 2 2" xfId="11658"/>
    <cellStyle name="40 % - Accent3 3 4 5 2 2 2" xfId="31131"/>
    <cellStyle name="40 % - Accent3 3 4 5 2 2 3" xfId="44111"/>
    <cellStyle name="40 % - Accent3 3 4 5 2 2 4" xfId="60340"/>
    <cellStyle name="40 % - Accent3 3 4 5 2 3" xfId="18151"/>
    <cellStyle name="40 % - Accent3 3 4 5 2 4" xfId="24641"/>
    <cellStyle name="40 % - Accent3 3 4 5 2 5" xfId="37621"/>
    <cellStyle name="40 % - Accent3 3 4 5 2 6" xfId="53850"/>
    <cellStyle name="40 % - Accent3 3 4 5 3" xfId="8413"/>
    <cellStyle name="40 % - Accent3 3 4 5 3 2" xfId="27886"/>
    <cellStyle name="40 % - Accent3 3 4 5 3 3" xfId="40866"/>
    <cellStyle name="40 % - Accent3 3 4 5 3 4" xfId="57095"/>
    <cellStyle name="40 % - Accent3 3 4 5 4" xfId="14906"/>
    <cellStyle name="40 % - Accent3 3 4 5 4 2" xfId="50605"/>
    <cellStyle name="40 % - Accent3 3 4 5 5" xfId="21396"/>
    <cellStyle name="40 % - Accent3 3 4 5 6" xfId="34376"/>
    <cellStyle name="40 % - Accent3 3 4 5 7" xfId="47359"/>
    <cellStyle name="40 % - Accent3 3 4 6" xfId="3502"/>
    <cellStyle name="40 % - Accent3 3 4 6 2" xfId="10034"/>
    <cellStyle name="40 % - Accent3 3 4 6 2 2" xfId="29507"/>
    <cellStyle name="40 % - Accent3 3 4 6 2 3" xfId="42487"/>
    <cellStyle name="40 % - Accent3 3 4 6 2 4" xfId="58716"/>
    <cellStyle name="40 % - Accent3 3 4 6 3" xfId="16527"/>
    <cellStyle name="40 % - Accent3 3 4 6 4" xfId="23017"/>
    <cellStyle name="40 % - Accent3 3 4 6 5" xfId="35997"/>
    <cellStyle name="40 % - Accent3 3 4 6 6" xfId="52226"/>
    <cellStyle name="40 % - Accent3 3 4 7" xfId="6789"/>
    <cellStyle name="40 % - Accent3 3 4 7 2" xfId="26262"/>
    <cellStyle name="40 % - Accent3 3 4 7 3" xfId="39242"/>
    <cellStyle name="40 % - Accent3 3 4 7 4" xfId="55471"/>
    <cellStyle name="40 % - Accent3 3 4 8" xfId="13282"/>
    <cellStyle name="40 % - Accent3 3 4 8 2" xfId="48981"/>
    <cellStyle name="40 % - Accent3 3 4 9" xfId="19772"/>
    <cellStyle name="40 % - Accent3 3 5" xfId="296"/>
    <cellStyle name="40 % - Accent3 3 5 10" xfId="32840"/>
    <cellStyle name="40 % - Accent3 3 5 11" xfId="45823"/>
    <cellStyle name="40 % - Accent3 3 5 2" xfId="760"/>
    <cellStyle name="40 % - Accent3 3 5 2 10" xfId="46283"/>
    <cellStyle name="40 % - Accent3 3 5 2 2" xfId="1699"/>
    <cellStyle name="40 % - Accent3 3 5 2 2 2" xfId="3366"/>
    <cellStyle name="40 % - Accent3 3 5 2 2 2 2" xfId="6611"/>
    <cellStyle name="40 % - Accent3 3 5 2 2 2 2 2" xfId="13143"/>
    <cellStyle name="40 % - Accent3 3 5 2 2 2 2 2 2" xfId="32616"/>
    <cellStyle name="40 % - Accent3 3 5 2 2 2 2 2 3" xfId="45596"/>
    <cellStyle name="40 % - Accent3 3 5 2 2 2 2 2 4" xfId="61825"/>
    <cellStyle name="40 % - Accent3 3 5 2 2 2 2 3" xfId="19636"/>
    <cellStyle name="40 % - Accent3 3 5 2 2 2 2 4" xfId="26126"/>
    <cellStyle name="40 % - Accent3 3 5 2 2 2 2 5" xfId="39106"/>
    <cellStyle name="40 % - Accent3 3 5 2 2 2 2 6" xfId="55335"/>
    <cellStyle name="40 % - Accent3 3 5 2 2 2 3" xfId="9898"/>
    <cellStyle name="40 % - Accent3 3 5 2 2 2 3 2" xfId="29371"/>
    <cellStyle name="40 % - Accent3 3 5 2 2 2 3 3" xfId="42351"/>
    <cellStyle name="40 % - Accent3 3 5 2 2 2 3 4" xfId="58580"/>
    <cellStyle name="40 % - Accent3 3 5 2 2 2 4" xfId="16391"/>
    <cellStyle name="40 % - Accent3 3 5 2 2 2 4 2" xfId="52090"/>
    <cellStyle name="40 % - Accent3 3 5 2 2 2 5" xfId="22881"/>
    <cellStyle name="40 % - Accent3 3 5 2 2 2 6" xfId="35861"/>
    <cellStyle name="40 % - Accent3 3 5 2 2 2 7" xfId="48844"/>
    <cellStyle name="40 % - Accent3 3 5 2 2 3" xfId="4988"/>
    <cellStyle name="40 % - Accent3 3 5 2 2 3 2" xfId="11520"/>
    <cellStyle name="40 % - Accent3 3 5 2 2 3 2 2" xfId="30993"/>
    <cellStyle name="40 % - Accent3 3 5 2 2 3 2 3" xfId="43973"/>
    <cellStyle name="40 % - Accent3 3 5 2 2 3 2 4" xfId="60202"/>
    <cellStyle name="40 % - Accent3 3 5 2 2 3 3" xfId="18013"/>
    <cellStyle name="40 % - Accent3 3 5 2 2 3 4" xfId="24503"/>
    <cellStyle name="40 % - Accent3 3 5 2 2 3 5" xfId="37483"/>
    <cellStyle name="40 % - Accent3 3 5 2 2 3 6" xfId="53712"/>
    <cellStyle name="40 % - Accent3 3 5 2 2 4" xfId="8275"/>
    <cellStyle name="40 % - Accent3 3 5 2 2 4 2" xfId="27748"/>
    <cellStyle name="40 % - Accent3 3 5 2 2 4 3" xfId="40728"/>
    <cellStyle name="40 % - Accent3 3 5 2 2 4 4" xfId="56957"/>
    <cellStyle name="40 % - Accent3 3 5 2 2 5" xfId="14768"/>
    <cellStyle name="40 % - Accent3 3 5 2 2 5 2" xfId="50467"/>
    <cellStyle name="40 % - Accent3 3 5 2 2 6" xfId="21258"/>
    <cellStyle name="40 % - Accent3 3 5 2 2 7" xfId="34238"/>
    <cellStyle name="40 % - Accent3 3 5 2 2 8" xfId="47221"/>
    <cellStyle name="40 % - Accent3 3 5 2 3" xfId="1236"/>
    <cellStyle name="40 % - Accent3 3 5 2 3 2" xfId="2903"/>
    <cellStyle name="40 % - Accent3 3 5 2 3 2 2" xfId="6148"/>
    <cellStyle name="40 % - Accent3 3 5 2 3 2 2 2" xfId="12680"/>
    <cellStyle name="40 % - Accent3 3 5 2 3 2 2 2 2" xfId="32153"/>
    <cellStyle name="40 % - Accent3 3 5 2 3 2 2 2 3" xfId="45133"/>
    <cellStyle name="40 % - Accent3 3 5 2 3 2 2 2 4" xfId="61362"/>
    <cellStyle name="40 % - Accent3 3 5 2 3 2 2 3" xfId="19173"/>
    <cellStyle name="40 % - Accent3 3 5 2 3 2 2 4" xfId="25663"/>
    <cellStyle name="40 % - Accent3 3 5 2 3 2 2 5" xfId="38643"/>
    <cellStyle name="40 % - Accent3 3 5 2 3 2 2 6" xfId="54872"/>
    <cellStyle name="40 % - Accent3 3 5 2 3 2 3" xfId="9435"/>
    <cellStyle name="40 % - Accent3 3 5 2 3 2 3 2" xfId="28908"/>
    <cellStyle name="40 % - Accent3 3 5 2 3 2 3 3" xfId="41888"/>
    <cellStyle name="40 % - Accent3 3 5 2 3 2 3 4" xfId="58117"/>
    <cellStyle name="40 % - Accent3 3 5 2 3 2 4" xfId="15928"/>
    <cellStyle name="40 % - Accent3 3 5 2 3 2 4 2" xfId="51627"/>
    <cellStyle name="40 % - Accent3 3 5 2 3 2 5" xfId="22418"/>
    <cellStyle name="40 % - Accent3 3 5 2 3 2 6" xfId="35398"/>
    <cellStyle name="40 % - Accent3 3 5 2 3 2 7" xfId="48381"/>
    <cellStyle name="40 % - Accent3 3 5 2 3 3" xfId="4525"/>
    <cellStyle name="40 % - Accent3 3 5 2 3 3 2" xfId="11057"/>
    <cellStyle name="40 % - Accent3 3 5 2 3 3 2 2" xfId="30530"/>
    <cellStyle name="40 % - Accent3 3 5 2 3 3 2 3" xfId="43510"/>
    <cellStyle name="40 % - Accent3 3 5 2 3 3 2 4" xfId="59739"/>
    <cellStyle name="40 % - Accent3 3 5 2 3 3 3" xfId="17550"/>
    <cellStyle name="40 % - Accent3 3 5 2 3 3 4" xfId="24040"/>
    <cellStyle name="40 % - Accent3 3 5 2 3 3 5" xfId="37020"/>
    <cellStyle name="40 % - Accent3 3 5 2 3 3 6" xfId="53249"/>
    <cellStyle name="40 % - Accent3 3 5 2 3 4" xfId="7812"/>
    <cellStyle name="40 % - Accent3 3 5 2 3 4 2" xfId="27285"/>
    <cellStyle name="40 % - Accent3 3 5 2 3 4 3" xfId="40265"/>
    <cellStyle name="40 % - Accent3 3 5 2 3 4 4" xfId="56494"/>
    <cellStyle name="40 % - Accent3 3 5 2 3 5" xfId="14305"/>
    <cellStyle name="40 % - Accent3 3 5 2 3 5 2" xfId="50004"/>
    <cellStyle name="40 % - Accent3 3 5 2 3 6" xfId="20795"/>
    <cellStyle name="40 % - Accent3 3 5 2 3 7" xfId="33775"/>
    <cellStyle name="40 % - Accent3 3 5 2 3 8" xfId="46758"/>
    <cellStyle name="40 % - Accent3 3 5 2 4" xfId="2428"/>
    <cellStyle name="40 % - Accent3 3 5 2 4 2" xfId="5673"/>
    <cellStyle name="40 % - Accent3 3 5 2 4 2 2" xfId="12205"/>
    <cellStyle name="40 % - Accent3 3 5 2 4 2 2 2" xfId="31678"/>
    <cellStyle name="40 % - Accent3 3 5 2 4 2 2 3" xfId="44658"/>
    <cellStyle name="40 % - Accent3 3 5 2 4 2 2 4" xfId="60887"/>
    <cellStyle name="40 % - Accent3 3 5 2 4 2 3" xfId="18698"/>
    <cellStyle name="40 % - Accent3 3 5 2 4 2 4" xfId="25188"/>
    <cellStyle name="40 % - Accent3 3 5 2 4 2 5" xfId="38168"/>
    <cellStyle name="40 % - Accent3 3 5 2 4 2 6" xfId="54397"/>
    <cellStyle name="40 % - Accent3 3 5 2 4 3" xfId="8960"/>
    <cellStyle name="40 % - Accent3 3 5 2 4 3 2" xfId="28433"/>
    <cellStyle name="40 % - Accent3 3 5 2 4 3 3" xfId="41413"/>
    <cellStyle name="40 % - Accent3 3 5 2 4 3 4" xfId="57642"/>
    <cellStyle name="40 % - Accent3 3 5 2 4 4" xfId="15453"/>
    <cellStyle name="40 % - Accent3 3 5 2 4 4 2" xfId="51152"/>
    <cellStyle name="40 % - Accent3 3 5 2 4 5" xfId="21943"/>
    <cellStyle name="40 % - Accent3 3 5 2 4 6" xfId="34923"/>
    <cellStyle name="40 % - Accent3 3 5 2 4 7" xfId="47906"/>
    <cellStyle name="40 % - Accent3 3 5 2 5" xfId="4050"/>
    <cellStyle name="40 % - Accent3 3 5 2 5 2" xfId="10582"/>
    <cellStyle name="40 % - Accent3 3 5 2 5 2 2" xfId="30055"/>
    <cellStyle name="40 % - Accent3 3 5 2 5 2 3" xfId="43035"/>
    <cellStyle name="40 % - Accent3 3 5 2 5 2 4" xfId="59264"/>
    <cellStyle name="40 % - Accent3 3 5 2 5 3" xfId="17075"/>
    <cellStyle name="40 % - Accent3 3 5 2 5 4" xfId="23565"/>
    <cellStyle name="40 % - Accent3 3 5 2 5 5" xfId="36545"/>
    <cellStyle name="40 % - Accent3 3 5 2 5 6" xfId="52774"/>
    <cellStyle name="40 % - Accent3 3 5 2 6" xfId="7337"/>
    <cellStyle name="40 % - Accent3 3 5 2 6 2" xfId="26810"/>
    <cellStyle name="40 % - Accent3 3 5 2 6 3" xfId="39790"/>
    <cellStyle name="40 % - Accent3 3 5 2 6 4" xfId="56019"/>
    <cellStyle name="40 % - Accent3 3 5 2 7" xfId="13830"/>
    <cellStyle name="40 % - Accent3 3 5 2 7 2" xfId="49529"/>
    <cellStyle name="40 % - Accent3 3 5 2 8" xfId="20320"/>
    <cellStyle name="40 % - Accent3 3 5 2 9" xfId="33300"/>
    <cellStyle name="40 % - Accent3 3 5 3" xfId="530"/>
    <cellStyle name="40 % - Accent3 3 5 3 2" xfId="1479"/>
    <cellStyle name="40 % - Accent3 3 5 3 2 2" xfId="3146"/>
    <cellStyle name="40 % - Accent3 3 5 3 2 2 2" xfId="6391"/>
    <cellStyle name="40 % - Accent3 3 5 3 2 2 2 2" xfId="12923"/>
    <cellStyle name="40 % - Accent3 3 5 3 2 2 2 2 2" xfId="32396"/>
    <cellStyle name="40 % - Accent3 3 5 3 2 2 2 2 3" xfId="45376"/>
    <cellStyle name="40 % - Accent3 3 5 3 2 2 2 2 4" xfId="61605"/>
    <cellStyle name="40 % - Accent3 3 5 3 2 2 2 3" xfId="19416"/>
    <cellStyle name="40 % - Accent3 3 5 3 2 2 2 4" xfId="25906"/>
    <cellStyle name="40 % - Accent3 3 5 3 2 2 2 5" xfId="38886"/>
    <cellStyle name="40 % - Accent3 3 5 3 2 2 2 6" xfId="55115"/>
    <cellStyle name="40 % - Accent3 3 5 3 2 2 3" xfId="9678"/>
    <cellStyle name="40 % - Accent3 3 5 3 2 2 3 2" xfId="29151"/>
    <cellStyle name="40 % - Accent3 3 5 3 2 2 3 3" xfId="42131"/>
    <cellStyle name="40 % - Accent3 3 5 3 2 2 3 4" xfId="58360"/>
    <cellStyle name="40 % - Accent3 3 5 3 2 2 4" xfId="16171"/>
    <cellStyle name="40 % - Accent3 3 5 3 2 2 4 2" xfId="51870"/>
    <cellStyle name="40 % - Accent3 3 5 3 2 2 5" xfId="22661"/>
    <cellStyle name="40 % - Accent3 3 5 3 2 2 6" xfId="35641"/>
    <cellStyle name="40 % - Accent3 3 5 3 2 2 7" xfId="48624"/>
    <cellStyle name="40 % - Accent3 3 5 3 2 3" xfId="4768"/>
    <cellStyle name="40 % - Accent3 3 5 3 2 3 2" xfId="11300"/>
    <cellStyle name="40 % - Accent3 3 5 3 2 3 2 2" xfId="30773"/>
    <cellStyle name="40 % - Accent3 3 5 3 2 3 2 3" xfId="43753"/>
    <cellStyle name="40 % - Accent3 3 5 3 2 3 2 4" xfId="59982"/>
    <cellStyle name="40 % - Accent3 3 5 3 2 3 3" xfId="17793"/>
    <cellStyle name="40 % - Accent3 3 5 3 2 3 4" xfId="24283"/>
    <cellStyle name="40 % - Accent3 3 5 3 2 3 5" xfId="37263"/>
    <cellStyle name="40 % - Accent3 3 5 3 2 3 6" xfId="53492"/>
    <cellStyle name="40 % - Accent3 3 5 3 2 4" xfId="8055"/>
    <cellStyle name="40 % - Accent3 3 5 3 2 4 2" xfId="27528"/>
    <cellStyle name="40 % - Accent3 3 5 3 2 4 3" xfId="40508"/>
    <cellStyle name="40 % - Accent3 3 5 3 2 4 4" xfId="56737"/>
    <cellStyle name="40 % - Accent3 3 5 3 2 5" xfId="14548"/>
    <cellStyle name="40 % - Accent3 3 5 3 2 5 2" xfId="50247"/>
    <cellStyle name="40 % - Accent3 3 5 3 2 6" xfId="21038"/>
    <cellStyle name="40 % - Accent3 3 5 3 2 7" xfId="34018"/>
    <cellStyle name="40 % - Accent3 3 5 3 2 8" xfId="47001"/>
    <cellStyle name="40 % - Accent3 3 5 3 3" xfId="2198"/>
    <cellStyle name="40 % - Accent3 3 5 3 3 2" xfId="5443"/>
    <cellStyle name="40 % - Accent3 3 5 3 3 2 2" xfId="11975"/>
    <cellStyle name="40 % - Accent3 3 5 3 3 2 2 2" xfId="31448"/>
    <cellStyle name="40 % - Accent3 3 5 3 3 2 2 3" xfId="44428"/>
    <cellStyle name="40 % - Accent3 3 5 3 3 2 2 4" xfId="60657"/>
    <cellStyle name="40 % - Accent3 3 5 3 3 2 3" xfId="18468"/>
    <cellStyle name="40 % - Accent3 3 5 3 3 2 4" xfId="24958"/>
    <cellStyle name="40 % - Accent3 3 5 3 3 2 5" xfId="37938"/>
    <cellStyle name="40 % - Accent3 3 5 3 3 2 6" xfId="54167"/>
    <cellStyle name="40 % - Accent3 3 5 3 3 3" xfId="8730"/>
    <cellStyle name="40 % - Accent3 3 5 3 3 3 2" xfId="28203"/>
    <cellStyle name="40 % - Accent3 3 5 3 3 3 3" xfId="41183"/>
    <cellStyle name="40 % - Accent3 3 5 3 3 3 4" xfId="57412"/>
    <cellStyle name="40 % - Accent3 3 5 3 3 4" xfId="15223"/>
    <cellStyle name="40 % - Accent3 3 5 3 3 4 2" xfId="50922"/>
    <cellStyle name="40 % - Accent3 3 5 3 3 5" xfId="21713"/>
    <cellStyle name="40 % - Accent3 3 5 3 3 6" xfId="34693"/>
    <cellStyle name="40 % - Accent3 3 5 3 3 7" xfId="47676"/>
    <cellStyle name="40 % - Accent3 3 5 3 4" xfId="3820"/>
    <cellStyle name="40 % - Accent3 3 5 3 4 2" xfId="10352"/>
    <cellStyle name="40 % - Accent3 3 5 3 4 2 2" xfId="29825"/>
    <cellStyle name="40 % - Accent3 3 5 3 4 2 3" xfId="42805"/>
    <cellStyle name="40 % - Accent3 3 5 3 4 2 4" xfId="59034"/>
    <cellStyle name="40 % - Accent3 3 5 3 4 3" xfId="16845"/>
    <cellStyle name="40 % - Accent3 3 5 3 4 4" xfId="23335"/>
    <cellStyle name="40 % - Accent3 3 5 3 4 5" xfId="36315"/>
    <cellStyle name="40 % - Accent3 3 5 3 4 6" xfId="52544"/>
    <cellStyle name="40 % - Accent3 3 5 3 5" xfId="7107"/>
    <cellStyle name="40 % - Accent3 3 5 3 5 2" xfId="26580"/>
    <cellStyle name="40 % - Accent3 3 5 3 5 3" xfId="39560"/>
    <cellStyle name="40 % - Accent3 3 5 3 5 4" xfId="55789"/>
    <cellStyle name="40 % - Accent3 3 5 3 6" xfId="13600"/>
    <cellStyle name="40 % - Accent3 3 5 3 6 2" xfId="49299"/>
    <cellStyle name="40 % - Accent3 3 5 3 7" xfId="20090"/>
    <cellStyle name="40 % - Accent3 3 5 3 8" xfId="33070"/>
    <cellStyle name="40 % - Accent3 3 5 3 9" xfId="46053"/>
    <cellStyle name="40 % - Accent3 3 5 4" xfId="1016"/>
    <cellStyle name="40 % - Accent3 3 5 4 2" xfId="2683"/>
    <cellStyle name="40 % - Accent3 3 5 4 2 2" xfId="5928"/>
    <cellStyle name="40 % - Accent3 3 5 4 2 2 2" xfId="12460"/>
    <cellStyle name="40 % - Accent3 3 5 4 2 2 2 2" xfId="31933"/>
    <cellStyle name="40 % - Accent3 3 5 4 2 2 2 3" xfId="44913"/>
    <cellStyle name="40 % - Accent3 3 5 4 2 2 2 4" xfId="61142"/>
    <cellStyle name="40 % - Accent3 3 5 4 2 2 3" xfId="18953"/>
    <cellStyle name="40 % - Accent3 3 5 4 2 2 4" xfId="25443"/>
    <cellStyle name="40 % - Accent3 3 5 4 2 2 5" xfId="38423"/>
    <cellStyle name="40 % - Accent3 3 5 4 2 2 6" xfId="54652"/>
    <cellStyle name="40 % - Accent3 3 5 4 2 3" xfId="9215"/>
    <cellStyle name="40 % - Accent3 3 5 4 2 3 2" xfId="28688"/>
    <cellStyle name="40 % - Accent3 3 5 4 2 3 3" xfId="41668"/>
    <cellStyle name="40 % - Accent3 3 5 4 2 3 4" xfId="57897"/>
    <cellStyle name="40 % - Accent3 3 5 4 2 4" xfId="15708"/>
    <cellStyle name="40 % - Accent3 3 5 4 2 4 2" xfId="51407"/>
    <cellStyle name="40 % - Accent3 3 5 4 2 5" xfId="22198"/>
    <cellStyle name="40 % - Accent3 3 5 4 2 6" xfId="35178"/>
    <cellStyle name="40 % - Accent3 3 5 4 2 7" xfId="48161"/>
    <cellStyle name="40 % - Accent3 3 5 4 3" xfId="4305"/>
    <cellStyle name="40 % - Accent3 3 5 4 3 2" xfId="10837"/>
    <cellStyle name="40 % - Accent3 3 5 4 3 2 2" xfId="30310"/>
    <cellStyle name="40 % - Accent3 3 5 4 3 2 3" xfId="43290"/>
    <cellStyle name="40 % - Accent3 3 5 4 3 2 4" xfId="59519"/>
    <cellStyle name="40 % - Accent3 3 5 4 3 3" xfId="17330"/>
    <cellStyle name="40 % - Accent3 3 5 4 3 4" xfId="23820"/>
    <cellStyle name="40 % - Accent3 3 5 4 3 5" xfId="36800"/>
    <cellStyle name="40 % - Accent3 3 5 4 3 6" xfId="53029"/>
    <cellStyle name="40 % - Accent3 3 5 4 4" xfId="7592"/>
    <cellStyle name="40 % - Accent3 3 5 4 4 2" xfId="27065"/>
    <cellStyle name="40 % - Accent3 3 5 4 4 3" xfId="40045"/>
    <cellStyle name="40 % - Accent3 3 5 4 4 4" xfId="56274"/>
    <cellStyle name="40 % - Accent3 3 5 4 5" xfId="14085"/>
    <cellStyle name="40 % - Accent3 3 5 4 5 2" xfId="49784"/>
    <cellStyle name="40 % - Accent3 3 5 4 6" xfId="20575"/>
    <cellStyle name="40 % - Accent3 3 5 4 7" xfId="33555"/>
    <cellStyle name="40 % - Accent3 3 5 4 8" xfId="46538"/>
    <cellStyle name="40 % - Accent3 3 5 5" xfId="1969"/>
    <cellStyle name="40 % - Accent3 3 5 5 2" xfId="5214"/>
    <cellStyle name="40 % - Accent3 3 5 5 2 2" xfId="11746"/>
    <cellStyle name="40 % - Accent3 3 5 5 2 2 2" xfId="31219"/>
    <cellStyle name="40 % - Accent3 3 5 5 2 2 3" xfId="44199"/>
    <cellStyle name="40 % - Accent3 3 5 5 2 2 4" xfId="60428"/>
    <cellStyle name="40 % - Accent3 3 5 5 2 3" xfId="18239"/>
    <cellStyle name="40 % - Accent3 3 5 5 2 4" xfId="24729"/>
    <cellStyle name="40 % - Accent3 3 5 5 2 5" xfId="37709"/>
    <cellStyle name="40 % - Accent3 3 5 5 2 6" xfId="53938"/>
    <cellStyle name="40 % - Accent3 3 5 5 3" xfId="8501"/>
    <cellStyle name="40 % - Accent3 3 5 5 3 2" xfId="27974"/>
    <cellStyle name="40 % - Accent3 3 5 5 3 3" xfId="40954"/>
    <cellStyle name="40 % - Accent3 3 5 5 3 4" xfId="57183"/>
    <cellStyle name="40 % - Accent3 3 5 5 4" xfId="14994"/>
    <cellStyle name="40 % - Accent3 3 5 5 4 2" xfId="50693"/>
    <cellStyle name="40 % - Accent3 3 5 5 5" xfId="21484"/>
    <cellStyle name="40 % - Accent3 3 5 5 6" xfId="34464"/>
    <cellStyle name="40 % - Accent3 3 5 5 7" xfId="47447"/>
    <cellStyle name="40 % - Accent3 3 5 6" xfId="3590"/>
    <cellStyle name="40 % - Accent3 3 5 6 2" xfId="10122"/>
    <cellStyle name="40 % - Accent3 3 5 6 2 2" xfId="29595"/>
    <cellStyle name="40 % - Accent3 3 5 6 2 3" xfId="42575"/>
    <cellStyle name="40 % - Accent3 3 5 6 2 4" xfId="58804"/>
    <cellStyle name="40 % - Accent3 3 5 6 3" xfId="16615"/>
    <cellStyle name="40 % - Accent3 3 5 6 4" xfId="23105"/>
    <cellStyle name="40 % - Accent3 3 5 6 5" xfId="36085"/>
    <cellStyle name="40 % - Accent3 3 5 6 6" xfId="52314"/>
    <cellStyle name="40 % - Accent3 3 5 7" xfId="6877"/>
    <cellStyle name="40 % - Accent3 3 5 7 2" xfId="26350"/>
    <cellStyle name="40 % - Accent3 3 5 7 3" xfId="39330"/>
    <cellStyle name="40 % - Accent3 3 5 7 4" xfId="55559"/>
    <cellStyle name="40 % - Accent3 3 5 8" xfId="13370"/>
    <cellStyle name="40 % - Accent3 3 5 8 2" xfId="49069"/>
    <cellStyle name="40 % - Accent3 3 5 9" xfId="19860"/>
    <cellStyle name="40 % - Accent3 3 6" xfId="628"/>
    <cellStyle name="40 % - Accent3 3 6 10" xfId="46151"/>
    <cellStyle name="40 % - Accent3 3 6 2" xfId="1347"/>
    <cellStyle name="40 % - Accent3 3 6 2 2" xfId="3014"/>
    <cellStyle name="40 % - Accent3 3 6 2 2 2" xfId="6259"/>
    <cellStyle name="40 % - Accent3 3 6 2 2 2 2" xfId="12791"/>
    <cellStyle name="40 % - Accent3 3 6 2 2 2 2 2" xfId="32264"/>
    <cellStyle name="40 % - Accent3 3 6 2 2 2 2 3" xfId="45244"/>
    <cellStyle name="40 % - Accent3 3 6 2 2 2 2 4" xfId="61473"/>
    <cellStyle name="40 % - Accent3 3 6 2 2 2 3" xfId="19284"/>
    <cellStyle name="40 % - Accent3 3 6 2 2 2 4" xfId="25774"/>
    <cellStyle name="40 % - Accent3 3 6 2 2 2 5" xfId="38754"/>
    <cellStyle name="40 % - Accent3 3 6 2 2 2 6" xfId="54983"/>
    <cellStyle name="40 % - Accent3 3 6 2 2 3" xfId="9546"/>
    <cellStyle name="40 % - Accent3 3 6 2 2 3 2" xfId="29019"/>
    <cellStyle name="40 % - Accent3 3 6 2 2 3 3" xfId="41999"/>
    <cellStyle name="40 % - Accent3 3 6 2 2 3 4" xfId="58228"/>
    <cellStyle name="40 % - Accent3 3 6 2 2 4" xfId="16039"/>
    <cellStyle name="40 % - Accent3 3 6 2 2 4 2" xfId="51738"/>
    <cellStyle name="40 % - Accent3 3 6 2 2 5" xfId="22529"/>
    <cellStyle name="40 % - Accent3 3 6 2 2 6" xfId="35509"/>
    <cellStyle name="40 % - Accent3 3 6 2 2 7" xfId="48492"/>
    <cellStyle name="40 % - Accent3 3 6 2 3" xfId="4636"/>
    <cellStyle name="40 % - Accent3 3 6 2 3 2" xfId="11168"/>
    <cellStyle name="40 % - Accent3 3 6 2 3 2 2" xfId="30641"/>
    <cellStyle name="40 % - Accent3 3 6 2 3 2 3" xfId="43621"/>
    <cellStyle name="40 % - Accent3 3 6 2 3 2 4" xfId="59850"/>
    <cellStyle name="40 % - Accent3 3 6 2 3 3" xfId="17661"/>
    <cellStyle name="40 % - Accent3 3 6 2 3 4" xfId="24151"/>
    <cellStyle name="40 % - Accent3 3 6 2 3 5" xfId="37131"/>
    <cellStyle name="40 % - Accent3 3 6 2 3 6" xfId="53360"/>
    <cellStyle name="40 % - Accent3 3 6 2 4" xfId="7923"/>
    <cellStyle name="40 % - Accent3 3 6 2 4 2" xfId="27396"/>
    <cellStyle name="40 % - Accent3 3 6 2 4 3" xfId="40376"/>
    <cellStyle name="40 % - Accent3 3 6 2 4 4" xfId="56605"/>
    <cellStyle name="40 % - Accent3 3 6 2 5" xfId="14416"/>
    <cellStyle name="40 % - Accent3 3 6 2 5 2" xfId="50115"/>
    <cellStyle name="40 % - Accent3 3 6 2 6" xfId="20906"/>
    <cellStyle name="40 % - Accent3 3 6 2 7" xfId="33886"/>
    <cellStyle name="40 % - Accent3 3 6 2 8" xfId="46869"/>
    <cellStyle name="40 % - Accent3 3 6 3" xfId="883"/>
    <cellStyle name="40 % - Accent3 3 6 3 2" xfId="2551"/>
    <cellStyle name="40 % - Accent3 3 6 3 2 2" xfId="5796"/>
    <cellStyle name="40 % - Accent3 3 6 3 2 2 2" xfId="12328"/>
    <cellStyle name="40 % - Accent3 3 6 3 2 2 2 2" xfId="31801"/>
    <cellStyle name="40 % - Accent3 3 6 3 2 2 2 3" xfId="44781"/>
    <cellStyle name="40 % - Accent3 3 6 3 2 2 2 4" xfId="61010"/>
    <cellStyle name="40 % - Accent3 3 6 3 2 2 3" xfId="18821"/>
    <cellStyle name="40 % - Accent3 3 6 3 2 2 4" xfId="25311"/>
    <cellStyle name="40 % - Accent3 3 6 3 2 2 5" xfId="38291"/>
    <cellStyle name="40 % - Accent3 3 6 3 2 2 6" xfId="54520"/>
    <cellStyle name="40 % - Accent3 3 6 3 2 3" xfId="9083"/>
    <cellStyle name="40 % - Accent3 3 6 3 2 3 2" xfId="28556"/>
    <cellStyle name="40 % - Accent3 3 6 3 2 3 3" xfId="41536"/>
    <cellStyle name="40 % - Accent3 3 6 3 2 3 4" xfId="57765"/>
    <cellStyle name="40 % - Accent3 3 6 3 2 4" xfId="15576"/>
    <cellStyle name="40 % - Accent3 3 6 3 2 4 2" xfId="51275"/>
    <cellStyle name="40 % - Accent3 3 6 3 2 5" xfId="22066"/>
    <cellStyle name="40 % - Accent3 3 6 3 2 6" xfId="35046"/>
    <cellStyle name="40 % - Accent3 3 6 3 2 7" xfId="48029"/>
    <cellStyle name="40 % - Accent3 3 6 3 3" xfId="4173"/>
    <cellStyle name="40 % - Accent3 3 6 3 3 2" xfId="10705"/>
    <cellStyle name="40 % - Accent3 3 6 3 3 2 2" xfId="30178"/>
    <cellStyle name="40 % - Accent3 3 6 3 3 2 3" xfId="43158"/>
    <cellStyle name="40 % - Accent3 3 6 3 3 2 4" xfId="59387"/>
    <cellStyle name="40 % - Accent3 3 6 3 3 3" xfId="17198"/>
    <cellStyle name="40 % - Accent3 3 6 3 3 4" xfId="23688"/>
    <cellStyle name="40 % - Accent3 3 6 3 3 5" xfId="36668"/>
    <cellStyle name="40 % - Accent3 3 6 3 3 6" xfId="52897"/>
    <cellStyle name="40 % - Accent3 3 6 3 4" xfId="7460"/>
    <cellStyle name="40 % - Accent3 3 6 3 4 2" xfId="26933"/>
    <cellStyle name="40 % - Accent3 3 6 3 4 3" xfId="39913"/>
    <cellStyle name="40 % - Accent3 3 6 3 4 4" xfId="56142"/>
    <cellStyle name="40 % - Accent3 3 6 3 5" xfId="13953"/>
    <cellStyle name="40 % - Accent3 3 6 3 5 2" xfId="49652"/>
    <cellStyle name="40 % - Accent3 3 6 3 6" xfId="20443"/>
    <cellStyle name="40 % - Accent3 3 6 3 7" xfId="33423"/>
    <cellStyle name="40 % - Accent3 3 6 3 8" xfId="46406"/>
    <cellStyle name="40 % - Accent3 3 6 4" xfId="2296"/>
    <cellStyle name="40 % - Accent3 3 6 4 2" xfId="5541"/>
    <cellStyle name="40 % - Accent3 3 6 4 2 2" xfId="12073"/>
    <cellStyle name="40 % - Accent3 3 6 4 2 2 2" xfId="31546"/>
    <cellStyle name="40 % - Accent3 3 6 4 2 2 3" xfId="44526"/>
    <cellStyle name="40 % - Accent3 3 6 4 2 2 4" xfId="60755"/>
    <cellStyle name="40 % - Accent3 3 6 4 2 3" xfId="18566"/>
    <cellStyle name="40 % - Accent3 3 6 4 2 4" xfId="25056"/>
    <cellStyle name="40 % - Accent3 3 6 4 2 5" xfId="38036"/>
    <cellStyle name="40 % - Accent3 3 6 4 2 6" xfId="54265"/>
    <cellStyle name="40 % - Accent3 3 6 4 3" xfId="8828"/>
    <cellStyle name="40 % - Accent3 3 6 4 3 2" xfId="28301"/>
    <cellStyle name="40 % - Accent3 3 6 4 3 3" xfId="41281"/>
    <cellStyle name="40 % - Accent3 3 6 4 3 4" xfId="57510"/>
    <cellStyle name="40 % - Accent3 3 6 4 4" xfId="15321"/>
    <cellStyle name="40 % - Accent3 3 6 4 4 2" xfId="51020"/>
    <cellStyle name="40 % - Accent3 3 6 4 5" xfId="21811"/>
    <cellStyle name="40 % - Accent3 3 6 4 6" xfId="34791"/>
    <cellStyle name="40 % - Accent3 3 6 4 7" xfId="47774"/>
    <cellStyle name="40 % - Accent3 3 6 5" xfId="3918"/>
    <cellStyle name="40 % - Accent3 3 6 5 2" xfId="10450"/>
    <cellStyle name="40 % - Accent3 3 6 5 2 2" xfId="29923"/>
    <cellStyle name="40 % - Accent3 3 6 5 2 3" xfId="42903"/>
    <cellStyle name="40 % - Accent3 3 6 5 2 4" xfId="59132"/>
    <cellStyle name="40 % - Accent3 3 6 5 3" xfId="16943"/>
    <cellStyle name="40 % - Accent3 3 6 5 4" xfId="23433"/>
    <cellStyle name="40 % - Accent3 3 6 5 5" xfId="36413"/>
    <cellStyle name="40 % - Accent3 3 6 5 6" xfId="52642"/>
    <cellStyle name="40 % - Accent3 3 6 6" xfId="7205"/>
    <cellStyle name="40 % - Accent3 3 6 6 2" xfId="26678"/>
    <cellStyle name="40 % - Accent3 3 6 6 3" xfId="39658"/>
    <cellStyle name="40 % - Accent3 3 6 6 4" xfId="55887"/>
    <cellStyle name="40 % - Accent3 3 6 7" xfId="13698"/>
    <cellStyle name="40 % - Accent3 3 6 7 2" xfId="49397"/>
    <cellStyle name="40 % - Accent3 3 6 8" xfId="20188"/>
    <cellStyle name="40 % - Accent3 3 6 9" xfId="33168"/>
    <cellStyle name="40 % - Accent3 3 7" xfId="398"/>
    <cellStyle name="40 % - Accent3 3 7 10" xfId="45921"/>
    <cellStyle name="40 % - Accent3 3 7 2" xfId="1567"/>
    <cellStyle name="40 % - Accent3 3 7 2 2" xfId="3234"/>
    <cellStyle name="40 % - Accent3 3 7 2 2 2" xfId="6479"/>
    <cellStyle name="40 % - Accent3 3 7 2 2 2 2" xfId="13011"/>
    <cellStyle name="40 % - Accent3 3 7 2 2 2 2 2" xfId="32484"/>
    <cellStyle name="40 % - Accent3 3 7 2 2 2 2 3" xfId="45464"/>
    <cellStyle name="40 % - Accent3 3 7 2 2 2 2 4" xfId="61693"/>
    <cellStyle name="40 % - Accent3 3 7 2 2 2 3" xfId="19504"/>
    <cellStyle name="40 % - Accent3 3 7 2 2 2 4" xfId="25994"/>
    <cellStyle name="40 % - Accent3 3 7 2 2 2 5" xfId="38974"/>
    <cellStyle name="40 % - Accent3 3 7 2 2 2 6" xfId="55203"/>
    <cellStyle name="40 % - Accent3 3 7 2 2 3" xfId="9766"/>
    <cellStyle name="40 % - Accent3 3 7 2 2 3 2" xfId="29239"/>
    <cellStyle name="40 % - Accent3 3 7 2 2 3 3" xfId="42219"/>
    <cellStyle name="40 % - Accent3 3 7 2 2 3 4" xfId="58448"/>
    <cellStyle name="40 % - Accent3 3 7 2 2 4" xfId="16259"/>
    <cellStyle name="40 % - Accent3 3 7 2 2 4 2" xfId="51958"/>
    <cellStyle name="40 % - Accent3 3 7 2 2 5" xfId="22749"/>
    <cellStyle name="40 % - Accent3 3 7 2 2 6" xfId="35729"/>
    <cellStyle name="40 % - Accent3 3 7 2 2 7" xfId="48712"/>
    <cellStyle name="40 % - Accent3 3 7 2 3" xfId="4856"/>
    <cellStyle name="40 % - Accent3 3 7 2 3 2" xfId="11388"/>
    <cellStyle name="40 % - Accent3 3 7 2 3 2 2" xfId="30861"/>
    <cellStyle name="40 % - Accent3 3 7 2 3 2 3" xfId="43841"/>
    <cellStyle name="40 % - Accent3 3 7 2 3 2 4" xfId="60070"/>
    <cellStyle name="40 % - Accent3 3 7 2 3 3" xfId="17881"/>
    <cellStyle name="40 % - Accent3 3 7 2 3 4" xfId="24371"/>
    <cellStyle name="40 % - Accent3 3 7 2 3 5" xfId="37351"/>
    <cellStyle name="40 % - Accent3 3 7 2 3 6" xfId="53580"/>
    <cellStyle name="40 % - Accent3 3 7 2 4" xfId="8143"/>
    <cellStyle name="40 % - Accent3 3 7 2 4 2" xfId="27616"/>
    <cellStyle name="40 % - Accent3 3 7 2 4 3" xfId="40596"/>
    <cellStyle name="40 % - Accent3 3 7 2 4 4" xfId="56825"/>
    <cellStyle name="40 % - Accent3 3 7 2 5" xfId="14636"/>
    <cellStyle name="40 % - Accent3 3 7 2 5 2" xfId="50335"/>
    <cellStyle name="40 % - Accent3 3 7 2 6" xfId="21126"/>
    <cellStyle name="40 % - Accent3 3 7 2 7" xfId="34106"/>
    <cellStyle name="40 % - Accent3 3 7 2 8" xfId="47089"/>
    <cellStyle name="40 % - Accent3 3 7 3" xfId="1104"/>
    <cellStyle name="40 % - Accent3 3 7 3 2" xfId="2771"/>
    <cellStyle name="40 % - Accent3 3 7 3 2 2" xfId="6016"/>
    <cellStyle name="40 % - Accent3 3 7 3 2 2 2" xfId="12548"/>
    <cellStyle name="40 % - Accent3 3 7 3 2 2 2 2" xfId="32021"/>
    <cellStyle name="40 % - Accent3 3 7 3 2 2 2 3" xfId="45001"/>
    <cellStyle name="40 % - Accent3 3 7 3 2 2 2 4" xfId="61230"/>
    <cellStyle name="40 % - Accent3 3 7 3 2 2 3" xfId="19041"/>
    <cellStyle name="40 % - Accent3 3 7 3 2 2 4" xfId="25531"/>
    <cellStyle name="40 % - Accent3 3 7 3 2 2 5" xfId="38511"/>
    <cellStyle name="40 % - Accent3 3 7 3 2 2 6" xfId="54740"/>
    <cellStyle name="40 % - Accent3 3 7 3 2 3" xfId="9303"/>
    <cellStyle name="40 % - Accent3 3 7 3 2 3 2" xfId="28776"/>
    <cellStyle name="40 % - Accent3 3 7 3 2 3 3" xfId="41756"/>
    <cellStyle name="40 % - Accent3 3 7 3 2 3 4" xfId="57985"/>
    <cellStyle name="40 % - Accent3 3 7 3 2 4" xfId="15796"/>
    <cellStyle name="40 % - Accent3 3 7 3 2 4 2" xfId="51495"/>
    <cellStyle name="40 % - Accent3 3 7 3 2 5" xfId="22286"/>
    <cellStyle name="40 % - Accent3 3 7 3 2 6" xfId="35266"/>
    <cellStyle name="40 % - Accent3 3 7 3 2 7" xfId="48249"/>
    <cellStyle name="40 % - Accent3 3 7 3 3" xfId="4393"/>
    <cellStyle name="40 % - Accent3 3 7 3 3 2" xfId="10925"/>
    <cellStyle name="40 % - Accent3 3 7 3 3 2 2" xfId="30398"/>
    <cellStyle name="40 % - Accent3 3 7 3 3 2 3" xfId="43378"/>
    <cellStyle name="40 % - Accent3 3 7 3 3 2 4" xfId="59607"/>
    <cellStyle name="40 % - Accent3 3 7 3 3 3" xfId="17418"/>
    <cellStyle name="40 % - Accent3 3 7 3 3 4" xfId="23908"/>
    <cellStyle name="40 % - Accent3 3 7 3 3 5" xfId="36888"/>
    <cellStyle name="40 % - Accent3 3 7 3 3 6" xfId="53117"/>
    <cellStyle name="40 % - Accent3 3 7 3 4" xfId="7680"/>
    <cellStyle name="40 % - Accent3 3 7 3 4 2" xfId="27153"/>
    <cellStyle name="40 % - Accent3 3 7 3 4 3" xfId="40133"/>
    <cellStyle name="40 % - Accent3 3 7 3 4 4" xfId="56362"/>
    <cellStyle name="40 % - Accent3 3 7 3 5" xfId="14173"/>
    <cellStyle name="40 % - Accent3 3 7 3 5 2" xfId="49872"/>
    <cellStyle name="40 % - Accent3 3 7 3 6" xfId="20663"/>
    <cellStyle name="40 % - Accent3 3 7 3 7" xfId="33643"/>
    <cellStyle name="40 % - Accent3 3 7 3 8" xfId="46626"/>
    <cellStyle name="40 % - Accent3 3 7 4" xfId="2066"/>
    <cellStyle name="40 % - Accent3 3 7 4 2" xfId="5311"/>
    <cellStyle name="40 % - Accent3 3 7 4 2 2" xfId="11843"/>
    <cellStyle name="40 % - Accent3 3 7 4 2 2 2" xfId="31316"/>
    <cellStyle name="40 % - Accent3 3 7 4 2 2 3" xfId="44296"/>
    <cellStyle name="40 % - Accent3 3 7 4 2 2 4" xfId="60525"/>
    <cellStyle name="40 % - Accent3 3 7 4 2 3" xfId="18336"/>
    <cellStyle name="40 % - Accent3 3 7 4 2 4" xfId="24826"/>
    <cellStyle name="40 % - Accent3 3 7 4 2 5" xfId="37806"/>
    <cellStyle name="40 % - Accent3 3 7 4 2 6" xfId="54035"/>
    <cellStyle name="40 % - Accent3 3 7 4 3" xfId="8598"/>
    <cellStyle name="40 % - Accent3 3 7 4 3 2" xfId="28071"/>
    <cellStyle name="40 % - Accent3 3 7 4 3 3" xfId="41051"/>
    <cellStyle name="40 % - Accent3 3 7 4 3 4" xfId="57280"/>
    <cellStyle name="40 % - Accent3 3 7 4 4" xfId="15091"/>
    <cellStyle name="40 % - Accent3 3 7 4 4 2" xfId="50790"/>
    <cellStyle name="40 % - Accent3 3 7 4 5" xfId="21581"/>
    <cellStyle name="40 % - Accent3 3 7 4 6" xfId="34561"/>
    <cellStyle name="40 % - Accent3 3 7 4 7" xfId="47544"/>
    <cellStyle name="40 % - Accent3 3 7 5" xfId="3688"/>
    <cellStyle name="40 % - Accent3 3 7 5 2" xfId="10220"/>
    <cellStyle name="40 % - Accent3 3 7 5 2 2" xfId="29693"/>
    <cellStyle name="40 % - Accent3 3 7 5 2 3" xfId="42673"/>
    <cellStyle name="40 % - Accent3 3 7 5 2 4" xfId="58902"/>
    <cellStyle name="40 % - Accent3 3 7 5 3" xfId="16713"/>
    <cellStyle name="40 % - Accent3 3 7 5 4" xfId="23203"/>
    <cellStyle name="40 % - Accent3 3 7 5 5" xfId="36183"/>
    <cellStyle name="40 % - Accent3 3 7 5 6" xfId="52412"/>
    <cellStyle name="40 % - Accent3 3 7 6" xfId="6975"/>
    <cellStyle name="40 % - Accent3 3 7 6 2" xfId="26448"/>
    <cellStyle name="40 % - Accent3 3 7 6 3" xfId="39428"/>
    <cellStyle name="40 % - Accent3 3 7 6 4" xfId="55657"/>
    <cellStyle name="40 % - Accent3 3 7 7" xfId="13468"/>
    <cellStyle name="40 % - Accent3 3 7 7 2" xfId="49167"/>
    <cellStyle name="40 % - Accent3 3 7 8" xfId="19958"/>
    <cellStyle name="40 % - Accent3 3 7 9" xfId="32938"/>
    <cellStyle name="40 % - Accent3 3 8" xfId="1324"/>
    <cellStyle name="40 % - Accent3 3 8 2" xfId="2991"/>
    <cellStyle name="40 % - Accent3 3 8 2 2" xfId="6236"/>
    <cellStyle name="40 % - Accent3 3 8 2 2 2" xfId="12768"/>
    <cellStyle name="40 % - Accent3 3 8 2 2 2 2" xfId="32241"/>
    <cellStyle name="40 % - Accent3 3 8 2 2 2 3" xfId="45221"/>
    <cellStyle name="40 % - Accent3 3 8 2 2 2 4" xfId="61450"/>
    <cellStyle name="40 % - Accent3 3 8 2 2 3" xfId="19261"/>
    <cellStyle name="40 % - Accent3 3 8 2 2 4" xfId="25751"/>
    <cellStyle name="40 % - Accent3 3 8 2 2 5" xfId="38731"/>
    <cellStyle name="40 % - Accent3 3 8 2 2 6" xfId="54960"/>
    <cellStyle name="40 % - Accent3 3 8 2 3" xfId="9523"/>
    <cellStyle name="40 % - Accent3 3 8 2 3 2" xfId="28996"/>
    <cellStyle name="40 % - Accent3 3 8 2 3 3" xfId="41976"/>
    <cellStyle name="40 % - Accent3 3 8 2 3 4" xfId="58205"/>
    <cellStyle name="40 % - Accent3 3 8 2 4" xfId="16016"/>
    <cellStyle name="40 % - Accent3 3 8 2 4 2" xfId="51715"/>
    <cellStyle name="40 % - Accent3 3 8 2 5" xfId="22506"/>
    <cellStyle name="40 % - Accent3 3 8 2 6" xfId="35486"/>
    <cellStyle name="40 % - Accent3 3 8 2 7" xfId="48469"/>
    <cellStyle name="40 % - Accent3 3 8 3" xfId="4613"/>
    <cellStyle name="40 % - Accent3 3 8 3 2" xfId="11145"/>
    <cellStyle name="40 % - Accent3 3 8 3 2 2" xfId="30618"/>
    <cellStyle name="40 % - Accent3 3 8 3 2 3" xfId="43598"/>
    <cellStyle name="40 % - Accent3 3 8 3 2 4" xfId="59827"/>
    <cellStyle name="40 % - Accent3 3 8 3 3" xfId="17638"/>
    <cellStyle name="40 % - Accent3 3 8 3 4" xfId="24128"/>
    <cellStyle name="40 % - Accent3 3 8 3 5" xfId="37108"/>
    <cellStyle name="40 % - Accent3 3 8 3 6" xfId="53337"/>
    <cellStyle name="40 % - Accent3 3 8 4" xfId="7900"/>
    <cellStyle name="40 % - Accent3 3 8 4 2" xfId="27373"/>
    <cellStyle name="40 % - Accent3 3 8 4 3" xfId="40353"/>
    <cellStyle name="40 % - Accent3 3 8 4 4" xfId="56582"/>
    <cellStyle name="40 % - Accent3 3 8 5" xfId="14393"/>
    <cellStyle name="40 % - Accent3 3 8 5 2" xfId="50092"/>
    <cellStyle name="40 % - Accent3 3 8 6" xfId="20883"/>
    <cellStyle name="40 % - Accent3 3 8 7" xfId="33863"/>
    <cellStyle name="40 % - Accent3 3 8 8" xfId="46846"/>
    <cellStyle name="40 % - Accent3 3 9" xfId="860"/>
    <cellStyle name="40 % - Accent3 3 9 2" xfId="2528"/>
    <cellStyle name="40 % - Accent3 3 9 2 2" xfId="5773"/>
    <cellStyle name="40 % - Accent3 3 9 2 2 2" xfId="12305"/>
    <cellStyle name="40 % - Accent3 3 9 2 2 2 2" xfId="31778"/>
    <cellStyle name="40 % - Accent3 3 9 2 2 2 3" xfId="44758"/>
    <cellStyle name="40 % - Accent3 3 9 2 2 2 4" xfId="60987"/>
    <cellStyle name="40 % - Accent3 3 9 2 2 3" xfId="18798"/>
    <cellStyle name="40 % - Accent3 3 9 2 2 4" xfId="25288"/>
    <cellStyle name="40 % - Accent3 3 9 2 2 5" xfId="38268"/>
    <cellStyle name="40 % - Accent3 3 9 2 2 6" xfId="54497"/>
    <cellStyle name="40 % - Accent3 3 9 2 3" xfId="9060"/>
    <cellStyle name="40 % - Accent3 3 9 2 3 2" xfId="28533"/>
    <cellStyle name="40 % - Accent3 3 9 2 3 3" xfId="41513"/>
    <cellStyle name="40 % - Accent3 3 9 2 3 4" xfId="57742"/>
    <cellStyle name="40 % - Accent3 3 9 2 4" xfId="15553"/>
    <cellStyle name="40 % - Accent3 3 9 2 4 2" xfId="51252"/>
    <cellStyle name="40 % - Accent3 3 9 2 5" xfId="22043"/>
    <cellStyle name="40 % - Accent3 3 9 2 6" xfId="35023"/>
    <cellStyle name="40 % - Accent3 3 9 2 7" xfId="48006"/>
    <cellStyle name="40 % - Accent3 3 9 3" xfId="4150"/>
    <cellStyle name="40 % - Accent3 3 9 3 2" xfId="10682"/>
    <cellStyle name="40 % - Accent3 3 9 3 2 2" xfId="30155"/>
    <cellStyle name="40 % - Accent3 3 9 3 2 3" xfId="43135"/>
    <cellStyle name="40 % - Accent3 3 9 3 2 4" xfId="59364"/>
    <cellStyle name="40 % - Accent3 3 9 3 3" xfId="17175"/>
    <cellStyle name="40 % - Accent3 3 9 3 4" xfId="23665"/>
    <cellStyle name="40 % - Accent3 3 9 3 5" xfId="36645"/>
    <cellStyle name="40 % - Accent3 3 9 3 6" xfId="52874"/>
    <cellStyle name="40 % - Accent3 3 9 4" xfId="7437"/>
    <cellStyle name="40 % - Accent3 3 9 4 2" xfId="26910"/>
    <cellStyle name="40 % - Accent3 3 9 4 3" xfId="39890"/>
    <cellStyle name="40 % - Accent3 3 9 4 4" xfId="56119"/>
    <cellStyle name="40 % - Accent3 3 9 5" xfId="13930"/>
    <cellStyle name="40 % - Accent3 3 9 5 2" xfId="49629"/>
    <cellStyle name="40 % - Accent3 3 9 6" xfId="20420"/>
    <cellStyle name="40 % - Accent3 3 9 7" xfId="33400"/>
    <cellStyle name="40 % - Accent3 3 9 8" xfId="46383"/>
    <cellStyle name="40 % - Accent3 4" xfId="1793"/>
    <cellStyle name="40 % - Accent3 5" xfId="6702"/>
    <cellStyle name="40 % - Accent3 6" xfId="61916"/>
    <cellStyle name="40 % - Accent3 7" xfId="61934"/>
    <cellStyle name="40 % - Accent3 8" xfId="61946"/>
    <cellStyle name="40 % - Accent3 9" xfId="49"/>
    <cellStyle name="40 % - Accent4 2" xfId="93"/>
    <cellStyle name="40 % - Accent4 3" xfId="159"/>
    <cellStyle name="40 % - Accent4 3 10" xfId="1838"/>
    <cellStyle name="40 % - Accent4 3 10 2" xfId="5084"/>
    <cellStyle name="40 % - Accent4 3 10 2 2" xfId="11616"/>
    <cellStyle name="40 % - Accent4 3 10 2 2 2" xfId="31089"/>
    <cellStyle name="40 % - Accent4 3 10 2 2 3" xfId="44069"/>
    <cellStyle name="40 % - Accent4 3 10 2 2 4" xfId="60298"/>
    <cellStyle name="40 % - Accent4 3 10 2 3" xfId="18109"/>
    <cellStyle name="40 % - Accent4 3 10 2 4" xfId="24599"/>
    <cellStyle name="40 % - Accent4 3 10 2 5" xfId="37579"/>
    <cellStyle name="40 % - Accent4 3 10 2 6" xfId="53808"/>
    <cellStyle name="40 % - Accent4 3 10 3" xfId="8371"/>
    <cellStyle name="40 % - Accent4 3 10 3 2" xfId="27844"/>
    <cellStyle name="40 % - Accent4 3 10 3 3" xfId="40824"/>
    <cellStyle name="40 % - Accent4 3 10 3 4" xfId="57053"/>
    <cellStyle name="40 % - Accent4 3 10 4" xfId="14864"/>
    <cellStyle name="40 % - Accent4 3 10 4 2" xfId="50563"/>
    <cellStyle name="40 % - Accent4 3 10 5" xfId="21354"/>
    <cellStyle name="40 % - Accent4 3 10 6" xfId="34334"/>
    <cellStyle name="40 % - Accent4 3 10 7" xfId="47317"/>
    <cellStyle name="40 % - Accent4 3 11" xfId="3460"/>
    <cellStyle name="40 % - Accent4 3 11 2" xfId="9992"/>
    <cellStyle name="40 % - Accent4 3 11 2 2" xfId="29465"/>
    <cellStyle name="40 % - Accent4 3 11 2 3" xfId="42445"/>
    <cellStyle name="40 % - Accent4 3 11 2 4" xfId="58674"/>
    <cellStyle name="40 % - Accent4 3 11 3" xfId="16485"/>
    <cellStyle name="40 % - Accent4 3 11 4" xfId="22975"/>
    <cellStyle name="40 % - Accent4 3 11 5" xfId="35955"/>
    <cellStyle name="40 % - Accent4 3 11 6" xfId="52184"/>
    <cellStyle name="40 % - Accent4 3 12" xfId="6747"/>
    <cellStyle name="40 % - Accent4 3 12 2" xfId="26220"/>
    <cellStyle name="40 % - Accent4 3 12 3" xfId="39200"/>
    <cellStyle name="40 % - Accent4 3 12 4" xfId="55429"/>
    <cellStyle name="40 % - Accent4 3 13" xfId="13240"/>
    <cellStyle name="40 % - Accent4 3 13 2" xfId="48939"/>
    <cellStyle name="40 % - Accent4 3 14" xfId="19730"/>
    <cellStyle name="40 % - Accent4 3 15" xfId="32710"/>
    <cellStyle name="40 % - Accent4 3 16" xfId="45693"/>
    <cellStyle name="40 % - Accent4 3 2" xfId="187"/>
    <cellStyle name="40 % - Accent4 3 2 10" xfId="6769"/>
    <cellStyle name="40 % - Accent4 3 2 10 2" xfId="26242"/>
    <cellStyle name="40 % - Accent4 3 2 10 3" xfId="39222"/>
    <cellStyle name="40 % - Accent4 3 2 10 4" xfId="55451"/>
    <cellStyle name="40 % - Accent4 3 2 11" xfId="13262"/>
    <cellStyle name="40 % - Accent4 3 2 11 2" xfId="48961"/>
    <cellStyle name="40 % - Accent4 3 2 12" xfId="19752"/>
    <cellStyle name="40 % - Accent4 3 2 13" xfId="32732"/>
    <cellStyle name="40 % - Accent4 3 2 14" xfId="45715"/>
    <cellStyle name="40 % - Accent4 3 2 2" xfId="276"/>
    <cellStyle name="40 % - Accent4 3 2 2 10" xfId="19840"/>
    <cellStyle name="40 % - Accent4 3 2 2 11" xfId="32820"/>
    <cellStyle name="40 % - Accent4 3 2 2 12" xfId="45803"/>
    <cellStyle name="40 % - Accent4 3 2 2 2" xfId="364"/>
    <cellStyle name="40 % - Accent4 3 2 2 2 10" xfId="32908"/>
    <cellStyle name="40 % - Accent4 3 2 2 2 11" xfId="45891"/>
    <cellStyle name="40 % - Accent4 3 2 2 2 2" xfId="828"/>
    <cellStyle name="40 % - Accent4 3 2 2 2 2 10" xfId="46351"/>
    <cellStyle name="40 % - Accent4 3 2 2 2 2 2" xfId="1767"/>
    <cellStyle name="40 % - Accent4 3 2 2 2 2 2 2" xfId="3434"/>
    <cellStyle name="40 % - Accent4 3 2 2 2 2 2 2 2" xfId="6679"/>
    <cellStyle name="40 % - Accent4 3 2 2 2 2 2 2 2 2" xfId="13211"/>
    <cellStyle name="40 % - Accent4 3 2 2 2 2 2 2 2 2 2" xfId="32684"/>
    <cellStyle name="40 % - Accent4 3 2 2 2 2 2 2 2 2 3" xfId="45664"/>
    <cellStyle name="40 % - Accent4 3 2 2 2 2 2 2 2 2 4" xfId="61893"/>
    <cellStyle name="40 % - Accent4 3 2 2 2 2 2 2 2 3" xfId="19704"/>
    <cellStyle name="40 % - Accent4 3 2 2 2 2 2 2 2 4" xfId="26194"/>
    <cellStyle name="40 % - Accent4 3 2 2 2 2 2 2 2 5" xfId="39174"/>
    <cellStyle name="40 % - Accent4 3 2 2 2 2 2 2 2 6" xfId="55403"/>
    <cellStyle name="40 % - Accent4 3 2 2 2 2 2 2 3" xfId="9966"/>
    <cellStyle name="40 % - Accent4 3 2 2 2 2 2 2 3 2" xfId="29439"/>
    <cellStyle name="40 % - Accent4 3 2 2 2 2 2 2 3 3" xfId="42419"/>
    <cellStyle name="40 % - Accent4 3 2 2 2 2 2 2 3 4" xfId="58648"/>
    <cellStyle name="40 % - Accent4 3 2 2 2 2 2 2 4" xfId="16459"/>
    <cellStyle name="40 % - Accent4 3 2 2 2 2 2 2 4 2" xfId="52158"/>
    <cellStyle name="40 % - Accent4 3 2 2 2 2 2 2 5" xfId="22949"/>
    <cellStyle name="40 % - Accent4 3 2 2 2 2 2 2 6" xfId="35929"/>
    <cellStyle name="40 % - Accent4 3 2 2 2 2 2 2 7" xfId="48912"/>
    <cellStyle name="40 % - Accent4 3 2 2 2 2 2 3" xfId="5056"/>
    <cellStyle name="40 % - Accent4 3 2 2 2 2 2 3 2" xfId="11588"/>
    <cellStyle name="40 % - Accent4 3 2 2 2 2 2 3 2 2" xfId="31061"/>
    <cellStyle name="40 % - Accent4 3 2 2 2 2 2 3 2 3" xfId="44041"/>
    <cellStyle name="40 % - Accent4 3 2 2 2 2 2 3 2 4" xfId="60270"/>
    <cellStyle name="40 % - Accent4 3 2 2 2 2 2 3 3" xfId="18081"/>
    <cellStyle name="40 % - Accent4 3 2 2 2 2 2 3 4" xfId="24571"/>
    <cellStyle name="40 % - Accent4 3 2 2 2 2 2 3 5" xfId="37551"/>
    <cellStyle name="40 % - Accent4 3 2 2 2 2 2 3 6" xfId="53780"/>
    <cellStyle name="40 % - Accent4 3 2 2 2 2 2 4" xfId="8343"/>
    <cellStyle name="40 % - Accent4 3 2 2 2 2 2 4 2" xfId="27816"/>
    <cellStyle name="40 % - Accent4 3 2 2 2 2 2 4 3" xfId="40796"/>
    <cellStyle name="40 % - Accent4 3 2 2 2 2 2 4 4" xfId="57025"/>
    <cellStyle name="40 % - Accent4 3 2 2 2 2 2 5" xfId="14836"/>
    <cellStyle name="40 % - Accent4 3 2 2 2 2 2 5 2" xfId="50535"/>
    <cellStyle name="40 % - Accent4 3 2 2 2 2 2 6" xfId="21326"/>
    <cellStyle name="40 % - Accent4 3 2 2 2 2 2 7" xfId="34306"/>
    <cellStyle name="40 % - Accent4 3 2 2 2 2 2 8" xfId="47289"/>
    <cellStyle name="40 % - Accent4 3 2 2 2 2 3" xfId="1304"/>
    <cellStyle name="40 % - Accent4 3 2 2 2 2 3 2" xfId="2971"/>
    <cellStyle name="40 % - Accent4 3 2 2 2 2 3 2 2" xfId="6216"/>
    <cellStyle name="40 % - Accent4 3 2 2 2 2 3 2 2 2" xfId="12748"/>
    <cellStyle name="40 % - Accent4 3 2 2 2 2 3 2 2 2 2" xfId="32221"/>
    <cellStyle name="40 % - Accent4 3 2 2 2 2 3 2 2 2 3" xfId="45201"/>
    <cellStyle name="40 % - Accent4 3 2 2 2 2 3 2 2 2 4" xfId="61430"/>
    <cellStyle name="40 % - Accent4 3 2 2 2 2 3 2 2 3" xfId="19241"/>
    <cellStyle name="40 % - Accent4 3 2 2 2 2 3 2 2 4" xfId="25731"/>
    <cellStyle name="40 % - Accent4 3 2 2 2 2 3 2 2 5" xfId="38711"/>
    <cellStyle name="40 % - Accent4 3 2 2 2 2 3 2 2 6" xfId="54940"/>
    <cellStyle name="40 % - Accent4 3 2 2 2 2 3 2 3" xfId="9503"/>
    <cellStyle name="40 % - Accent4 3 2 2 2 2 3 2 3 2" xfId="28976"/>
    <cellStyle name="40 % - Accent4 3 2 2 2 2 3 2 3 3" xfId="41956"/>
    <cellStyle name="40 % - Accent4 3 2 2 2 2 3 2 3 4" xfId="58185"/>
    <cellStyle name="40 % - Accent4 3 2 2 2 2 3 2 4" xfId="15996"/>
    <cellStyle name="40 % - Accent4 3 2 2 2 2 3 2 4 2" xfId="51695"/>
    <cellStyle name="40 % - Accent4 3 2 2 2 2 3 2 5" xfId="22486"/>
    <cellStyle name="40 % - Accent4 3 2 2 2 2 3 2 6" xfId="35466"/>
    <cellStyle name="40 % - Accent4 3 2 2 2 2 3 2 7" xfId="48449"/>
    <cellStyle name="40 % - Accent4 3 2 2 2 2 3 3" xfId="4593"/>
    <cellStyle name="40 % - Accent4 3 2 2 2 2 3 3 2" xfId="11125"/>
    <cellStyle name="40 % - Accent4 3 2 2 2 2 3 3 2 2" xfId="30598"/>
    <cellStyle name="40 % - Accent4 3 2 2 2 2 3 3 2 3" xfId="43578"/>
    <cellStyle name="40 % - Accent4 3 2 2 2 2 3 3 2 4" xfId="59807"/>
    <cellStyle name="40 % - Accent4 3 2 2 2 2 3 3 3" xfId="17618"/>
    <cellStyle name="40 % - Accent4 3 2 2 2 2 3 3 4" xfId="24108"/>
    <cellStyle name="40 % - Accent4 3 2 2 2 2 3 3 5" xfId="37088"/>
    <cellStyle name="40 % - Accent4 3 2 2 2 2 3 3 6" xfId="53317"/>
    <cellStyle name="40 % - Accent4 3 2 2 2 2 3 4" xfId="7880"/>
    <cellStyle name="40 % - Accent4 3 2 2 2 2 3 4 2" xfId="27353"/>
    <cellStyle name="40 % - Accent4 3 2 2 2 2 3 4 3" xfId="40333"/>
    <cellStyle name="40 % - Accent4 3 2 2 2 2 3 4 4" xfId="56562"/>
    <cellStyle name="40 % - Accent4 3 2 2 2 2 3 5" xfId="14373"/>
    <cellStyle name="40 % - Accent4 3 2 2 2 2 3 5 2" xfId="50072"/>
    <cellStyle name="40 % - Accent4 3 2 2 2 2 3 6" xfId="20863"/>
    <cellStyle name="40 % - Accent4 3 2 2 2 2 3 7" xfId="33843"/>
    <cellStyle name="40 % - Accent4 3 2 2 2 2 3 8" xfId="46826"/>
    <cellStyle name="40 % - Accent4 3 2 2 2 2 4" xfId="2496"/>
    <cellStyle name="40 % - Accent4 3 2 2 2 2 4 2" xfId="5741"/>
    <cellStyle name="40 % - Accent4 3 2 2 2 2 4 2 2" xfId="12273"/>
    <cellStyle name="40 % - Accent4 3 2 2 2 2 4 2 2 2" xfId="31746"/>
    <cellStyle name="40 % - Accent4 3 2 2 2 2 4 2 2 3" xfId="44726"/>
    <cellStyle name="40 % - Accent4 3 2 2 2 2 4 2 2 4" xfId="60955"/>
    <cellStyle name="40 % - Accent4 3 2 2 2 2 4 2 3" xfId="18766"/>
    <cellStyle name="40 % - Accent4 3 2 2 2 2 4 2 4" xfId="25256"/>
    <cellStyle name="40 % - Accent4 3 2 2 2 2 4 2 5" xfId="38236"/>
    <cellStyle name="40 % - Accent4 3 2 2 2 2 4 2 6" xfId="54465"/>
    <cellStyle name="40 % - Accent4 3 2 2 2 2 4 3" xfId="9028"/>
    <cellStyle name="40 % - Accent4 3 2 2 2 2 4 3 2" xfId="28501"/>
    <cellStyle name="40 % - Accent4 3 2 2 2 2 4 3 3" xfId="41481"/>
    <cellStyle name="40 % - Accent4 3 2 2 2 2 4 3 4" xfId="57710"/>
    <cellStyle name="40 % - Accent4 3 2 2 2 2 4 4" xfId="15521"/>
    <cellStyle name="40 % - Accent4 3 2 2 2 2 4 4 2" xfId="51220"/>
    <cellStyle name="40 % - Accent4 3 2 2 2 2 4 5" xfId="22011"/>
    <cellStyle name="40 % - Accent4 3 2 2 2 2 4 6" xfId="34991"/>
    <cellStyle name="40 % - Accent4 3 2 2 2 2 4 7" xfId="47974"/>
    <cellStyle name="40 % - Accent4 3 2 2 2 2 5" xfId="4118"/>
    <cellStyle name="40 % - Accent4 3 2 2 2 2 5 2" xfId="10650"/>
    <cellStyle name="40 % - Accent4 3 2 2 2 2 5 2 2" xfId="30123"/>
    <cellStyle name="40 % - Accent4 3 2 2 2 2 5 2 3" xfId="43103"/>
    <cellStyle name="40 % - Accent4 3 2 2 2 2 5 2 4" xfId="59332"/>
    <cellStyle name="40 % - Accent4 3 2 2 2 2 5 3" xfId="17143"/>
    <cellStyle name="40 % - Accent4 3 2 2 2 2 5 4" xfId="23633"/>
    <cellStyle name="40 % - Accent4 3 2 2 2 2 5 5" xfId="36613"/>
    <cellStyle name="40 % - Accent4 3 2 2 2 2 5 6" xfId="52842"/>
    <cellStyle name="40 % - Accent4 3 2 2 2 2 6" xfId="7405"/>
    <cellStyle name="40 % - Accent4 3 2 2 2 2 6 2" xfId="26878"/>
    <cellStyle name="40 % - Accent4 3 2 2 2 2 6 3" xfId="39858"/>
    <cellStyle name="40 % - Accent4 3 2 2 2 2 6 4" xfId="56087"/>
    <cellStyle name="40 % - Accent4 3 2 2 2 2 7" xfId="13898"/>
    <cellStyle name="40 % - Accent4 3 2 2 2 2 7 2" xfId="49597"/>
    <cellStyle name="40 % - Accent4 3 2 2 2 2 8" xfId="20388"/>
    <cellStyle name="40 % - Accent4 3 2 2 2 2 9" xfId="33368"/>
    <cellStyle name="40 % - Accent4 3 2 2 2 3" xfId="598"/>
    <cellStyle name="40 % - Accent4 3 2 2 2 3 2" xfId="1547"/>
    <cellStyle name="40 % - Accent4 3 2 2 2 3 2 2" xfId="3214"/>
    <cellStyle name="40 % - Accent4 3 2 2 2 3 2 2 2" xfId="6459"/>
    <cellStyle name="40 % - Accent4 3 2 2 2 3 2 2 2 2" xfId="12991"/>
    <cellStyle name="40 % - Accent4 3 2 2 2 3 2 2 2 2 2" xfId="32464"/>
    <cellStyle name="40 % - Accent4 3 2 2 2 3 2 2 2 2 3" xfId="45444"/>
    <cellStyle name="40 % - Accent4 3 2 2 2 3 2 2 2 2 4" xfId="61673"/>
    <cellStyle name="40 % - Accent4 3 2 2 2 3 2 2 2 3" xfId="19484"/>
    <cellStyle name="40 % - Accent4 3 2 2 2 3 2 2 2 4" xfId="25974"/>
    <cellStyle name="40 % - Accent4 3 2 2 2 3 2 2 2 5" xfId="38954"/>
    <cellStyle name="40 % - Accent4 3 2 2 2 3 2 2 2 6" xfId="55183"/>
    <cellStyle name="40 % - Accent4 3 2 2 2 3 2 2 3" xfId="9746"/>
    <cellStyle name="40 % - Accent4 3 2 2 2 3 2 2 3 2" xfId="29219"/>
    <cellStyle name="40 % - Accent4 3 2 2 2 3 2 2 3 3" xfId="42199"/>
    <cellStyle name="40 % - Accent4 3 2 2 2 3 2 2 3 4" xfId="58428"/>
    <cellStyle name="40 % - Accent4 3 2 2 2 3 2 2 4" xfId="16239"/>
    <cellStyle name="40 % - Accent4 3 2 2 2 3 2 2 4 2" xfId="51938"/>
    <cellStyle name="40 % - Accent4 3 2 2 2 3 2 2 5" xfId="22729"/>
    <cellStyle name="40 % - Accent4 3 2 2 2 3 2 2 6" xfId="35709"/>
    <cellStyle name="40 % - Accent4 3 2 2 2 3 2 2 7" xfId="48692"/>
    <cellStyle name="40 % - Accent4 3 2 2 2 3 2 3" xfId="4836"/>
    <cellStyle name="40 % - Accent4 3 2 2 2 3 2 3 2" xfId="11368"/>
    <cellStyle name="40 % - Accent4 3 2 2 2 3 2 3 2 2" xfId="30841"/>
    <cellStyle name="40 % - Accent4 3 2 2 2 3 2 3 2 3" xfId="43821"/>
    <cellStyle name="40 % - Accent4 3 2 2 2 3 2 3 2 4" xfId="60050"/>
    <cellStyle name="40 % - Accent4 3 2 2 2 3 2 3 3" xfId="17861"/>
    <cellStyle name="40 % - Accent4 3 2 2 2 3 2 3 4" xfId="24351"/>
    <cellStyle name="40 % - Accent4 3 2 2 2 3 2 3 5" xfId="37331"/>
    <cellStyle name="40 % - Accent4 3 2 2 2 3 2 3 6" xfId="53560"/>
    <cellStyle name="40 % - Accent4 3 2 2 2 3 2 4" xfId="8123"/>
    <cellStyle name="40 % - Accent4 3 2 2 2 3 2 4 2" xfId="27596"/>
    <cellStyle name="40 % - Accent4 3 2 2 2 3 2 4 3" xfId="40576"/>
    <cellStyle name="40 % - Accent4 3 2 2 2 3 2 4 4" xfId="56805"/>
    <cellStyle name="40 % - Accent4 3 2 2 2 3 2 5" xfId="14616"/>
    <cellStyle name="40 % - Accent4 3 2 2 2 3 2 5 2" xfId="50315"/>
    <cellStyle name="40 % - Accent4 3 2 2 2 3 2 6" xfId="21106"/>
    <cellStyle name="40 % - Accent4 3 2 2 2 3 2 7" xfId="34086"/>
    <cellStyle name="40 % - Accent4 3 2 2 2 3 2 8" xfId="47069"/>
    <cellStyle name="40 % - Accent4 3 2 2 2 3 3" xfId="2266"/>
    <cellStyle name="40 % - Accent4 3 2 2 2 3 3 2" xfId="5511"/>
    <cellStyle name="40 % - Accent4 3 2 2 2 3 3 2 2" xfId="12043"/>
    <cellStyle name="40 % - Accent4 3 2 2 2 3 3 2 2 2" xfId="31516"/>
    <cellStyle name="40 % - Accent4 3 2 2 2 3 3 2 2 3" xfId="44496"/>
    <cellStyle name="40 % - Accent4 3 2 2 2 3 3 2 2 4" xfId="60725"/>
    <cellStyle name="40 % - Accent4 3 2 2 2 3 3 2 3" xfId="18536"/>
    <cellStyle name="40 % - Accent4 3 2 2 2 3 3 2 4" xfId="25026"/>
    <cellStyle name="40 % - Accent4 3 2 2 2 3 3 2 5" xfId="38006"/>
    <cellStyle name="40 % - Accent4 3 2 2 2 3 3 2 6" xfId="54235"/>
    <cellStyle name="40 % - Accent4 3 2 2 2 3 3 3" xfId="8798"/>
    <cellStyle name="40 % - Accent4 3 2 2 2 3 3 3 2" xfId="28271"/>
    <cellStyle name="40 % - Accent4 3 2 2 2 3 3 3 3" xfId="41251"/>
    <cellStyle name="40 % - Accent4 3 2 2 2 3 3 3 4" xfId="57480"/>
    <cellStyle name="40 % - Accent4 3 2 2 2 3 3 4" xfId="15291"/>
    <cellStyle name="40 % - Accent4 3 2 2 2 3 3 4 2" xfId="50990"/>
    <cellStyle name="40 % - Accent4 3 2 2 2 3 3 5" xfId="21781"/>
    <cellStyle name="40 % - Accent4 3 2 2 2 3 3 6" xfId="34761"/>
    <cellStyle name="40 % - Accent4 3 2 2 2 3 3 7" xfId="47744"/>
    <cellStyle name="40 % - Accent4 3 2 2 2 3 4" xfId="3888"/>
    <cellStyle name="40 % - Accent4 3 2 2 2 3 4 2" xfId="10420"/>
    <cellStyle name="40 % - Accent4 3 2 2 2 3 4 2 2" xfId="29893"/>
    <cellStyle name="40 % - Accent4 3 2 2 2 3 4 2 3" xfId="42873"/>
    <cellStyle name="40 % - Accent4 3 2 2 2 3 4 2 4" xfId="59102"/>
    <cellStyle name="40 % - Accent4 3 2 2 2 3 4 3" xfId="16913"/>
    <cellStyle name="40 % - Accent4 3 2 2 2 3 4 4" xfId="23403"/>
    <cellStyle name="40 % - Accent4 3 2 2 2 3 4 5" xfId="36383"/>
    <cellStyle name="40 % - Accent4 3 2 2 2 3 4 6" xfId="52612"/>
    <cellStyle name="40 % - Accent4 3 2 2 2 3 5" xfId="7175"/>
    <cellStyle name="40 % - Accent4 3 2 2 2 3 5 2" xfId="26648"/>
    <cellStyle name="40 % - Accent4 3 2 2 2 3 5 3" xfId="39628"/>
    <cellStyle name="40 % - Accent4 3 2 2 2 3 5 4" xfId="55857"/>
    <cellStyle name="40 % - Accent4 3 2 2 2 3 6" xfId="13668"/>
    <cellStyle name="40 % - Accent4 3 2 2 2 3 6 2" xfId="49367"/>
    <cellStyle name="40 % - Accent4 3 2 2 2 3 7" xfId="20158"/>
    <cellStyle name="40 % - Accent4 3 2 2 2 3 8" xfId="33138"/>
    <cellStyle name="40 % - Accent4 3 2 2 2 3 9" xfId="46121"/>
    <cellStyle name="40 % - Accent4 3 2 2 2 4" xfId="1084"/>
    <cellStyle name="40 % - Accent4 3 2 2 2 4 2" xfId="2751"/>
    <cellStyle name="40 % - Accent4 3 2 2 2 4 2 2" xfId="5996"/>
    <cellStyle name="40 % - Accent4 3 2 2 2 4 2 2 2" xfId="12528"/>
    <cellStyle name="40 % - Accent4 3 2 2 2 4 2 2 2 2" xfId="32001"/>
    <cellStyle name="40 % - Accent4 3 2 2 2 4 2 2 2 3" xfId="44981"/>
    <cellStyle name="40 % - Accent4 3 2 2 2 4 2 2 2 4" xfId="61210"/>
    <cellStyle name="40 % - Accent4 3 2 2 2 4 2 2 3" xfId="19021"/>
    <cellStyle name="40 % - Accent4 3 2 2 2 4 2 2 4" xfId="25511"/>
    <cellStyle name="40 % - Accent4 3 2 2 2 4 2 2 5" xfId="38491"/>
    <cellStyle name="40 % - Accent4 3 2 2 2 4 2 2 6" xfId="54720"/>
    <cellStyle name="40 % - Accent4 3 2 2 2 4 2 3" xfId="9283"/>
    <cellStyle name="40 % - Accent4 3 2 2 2 4 2 3 2" xfId="28756"/>
    <cellStyle name="40 % - Accent4 3 2 2 2 4 2 3 3" xfId="41736"/>
    <cellStyle name="40 % - Accent4 3 2 2 2 4 2 3 4" xfId="57965"/>
    <cellStyle name="40 % - Accent4 3 2 2 2 4 2 4" xfId="15776"/>
    <cellStyle name="40 % - Accent4 3 2 2 2 4 2 4 2" xfId="51475"/>
    <cellStyle name="40 % - Accent4 3 2 2 2 4 2 5" xfId="22266"/>
    <cellStyle name="40 % - Accent4 3 2 2 2 4 2 6" xfId="35246"/>
    <cellStyle name="40 % - Accent4 3 2 2 2 4 2 7" xfId="48229"/>
    <cellStyle name="40 % - Accent4 3 2 2 2 4 3" xfId="4373"/>
    <cellStyle name="40 % - Accent4 3 2 2 2 4 3 2" xfId="10905"/>
    <cellStyle name="40 % - Accent4 3 2 2 2 4 3 2 2" xfId="30378"/>
    <cellStyle name="40 % - Accent4 3 2 2 2 4 3 2 3" xfId="43358"/>
    <cellStyle name="40 % - Accent4 3 2 2 2 4 3 2 4" xfId="59587"/>
    <cellStyle name="40 % - Accent4 3 2 2 2 4 3 3" xfId="17398"/>
    <cellStyle name="40 % - Accent4 3 2 2 2 4 3 4" xfId="23888"/>
    <cellStyle name="40 % - Accent4 3 2 2 2 4 3 5" xfId="36868"/>
    <cellStyle name="40 % - Accent4 3 2 2 2 4 3 6" xfId="53097"/>
    <cellStyle name="40 % - Accent4 3 2 2 2 4 4" xfId="7660"/>
    <cellStyle name="40 % - Accent4 3 2 2 2 4 4 2" xfId="27133"/>
    <cellStyle name="40 % - Accent4 3 2 2 2 4 4 3" xfId="40113"/>
    <cellStyle name="40 % - Accent4 3 2 2 2 4 4 4" xfId="56342"/>
    <cellStyle name="40 % - Accent4 3 2 2 2 4 5" xfId="14153"/>
    <cellStyle name="40 % - Accent4 3 2 2 2 4 5 2" xfId="49852"/>
    <cellStyle name="40 % - Accent4 3 2 2 2 4 6" xfId="20643"/>
    <cellStyle name="40 % - Accent4 3 2 2 2 4 7" xfId="33623"/>
    <cellStyle name="40 % - Accent4 3 2 2 2 4 8" xfId="46606"/>
    <cellStyle name="40 % - Accent4 3 2 2 2 5" xfId="2037"/>
    <cellStyle name="40 % - Accent4 3 2 2 2 5 2" xfId="5282"/>
    <cellStyle name="40 % - Accent4 3 2 2 2 5 2 2" xfId="11814"/>
    <cellStyle name="40 % - Accent4 3 2 2 2 5 2 2 2" xfId="31287"/>
    <cellStyle name="40 % - Accent4 3 2 2 2 5 2 2 3" xfId="44267"/>
    <cellStyle name="40 % - Accent4 3 2 2 2 5 2 2 4" xfId="60496"/>
    <cellStyle name="40 % - Accent4 3 2 2 2 5 2 3" xfId="18307"/>
    <cellStyle name="40 % - Accent4 3 2 2 2 5 2 4" xfId="24797"/>
    <cellStyle name="40 % - Accent4 3 2 2 2 5 2 5" xfId="37777"/>
    <cellStyle name="40 % - Accent4 3 2 2 2 5 2 6" xfId="54006"/>
    <cellStyle name="40 % - Accent4 3 2 2 2 5 3" xfId="8569"/>
    <cellStyle name="40 % - Accent4 3 2 2 2 5 3 2" xfId="28042"/>
    <cellStyle name="40 % - Accent4 3 2 2 2 5 3 3" xfId="41022"/>
    <cellStyle name="40 % - Accent4 3 2 2 2 5 3 4" xfId="57251"/>
    <cellStyle name="40 % - Accent4 3 2 2 2 5 4" xfId="15062"/>
    <cellStyle name="40 % - Accent4 3 2 2 2 5 4 2" xfId="50761"/>
    <cellStyle name="40 % - Accent4 3 2 2 2 5 5" xfId="21552"/>
    <cellStyle name="40 % - Accent4 3 2 2 2 5 6" xfId="34532"/>
    <cellStyle name="40 % - Accent4 3 2 2 2 5 7" xfId="47515"/>
    <cellStyle name="40 % - Accent4 3 2 2 2 6" xfId="3658"/>
    <cellStyle name="40 % - Accent4 3 2 2 2 6 2" xfId="10190"/>
    <cellStyle name="40 % - Accent4 3 2 2 2 6 2 2" xfId="29663"/>
    <cellStyle name="40 % - Accent4 3 2 2 2 6 2 3" xfId="42643"/>
    <cellStyle name="40 % - Accent4 3 2 2 2 6 2 4" xfId="58872"/>
    <cellStyle name="40 % - Accent4 3 2 2 2 6 3" xfId="16683"/>
    <cellStyle name="40 % - Accent4 3 2 2 2 6 4" xfId="23173"/>
    <cellStyle name="40 % - Accent4 3 2 2 2 6 5" xfId="36153"/>
    <cellStyle name="40 % - Accent4 3 2 2 2 6 6" xfId="52382"/>
    <cellStyle name="40 % - Accent4 3 2 2 2 7" xfId="6945"/>
    <cellStyle name="40 % - Accent4 3 2 2 2 7 2" xfId="26418"/>
    <cellStyle name="40 % - Accent4 3 2 2 2 7 3" xfId="39398"/>
    <cellStyle name="40 % - Accent4 3 2 2 2 7 4" xfId="55627"/>
    <cellStyle name="40 % - Accent4 3 2 2 2 8" xfId="13438"/>
    <cellStyle name="40 % - Accent4 3 2 2 2 8 2" xfId="49137"/>
    <cellStyle name="40 % - Accent4 3 2 2 2 9" xfId="19928"/>
    <cellStyle name="40 % - Accent4 3 2 2 3" xfId="740"/>
    <cellStyle name="40 % - Accent4 3 2 2 3 10" xfId="46263"/>
    <cellStyle name="40 % - Accent4 3 2 2 3 2" xfId="1679"/>
    <cellStyle name="40 % - Accent4 3 2 2 3 2 2" xfId="3346"/>
    <cellStyle name="40 % - Accent4 3 2 2 3 2 2 2" xfId="6591"/>
    <cellStyle name="40 % - Accent4 3 2 2 3 2 2 2 2" xfId="13123"/>
    <cellStyle name="40 % - Accent4 3 2 2 3 2 2 2 2 2" xfId="32596"/>
    <cellStyle name="40 % - Accent4 3 2 2 3 2 2 2 2 3" xfId="45576"/>
    <cellStyle name="40 % - Accent4 3 2 2 3 2 2 2 2 4" xfId="61805"/>
    <cellStyle name="40 % - Accent4 3 2 2 3 2 2 2 3" xfId="19616"/>
    <cellStyle name="40 % - Accent4 3 2 2 3 2 2 2 4" xfId="26106"/>
    <cellStyle name="40 % - Accent4 3 2 2 3 2 2 2 5" xfId="39086"/>
    <cellStyle name="40 % - Accent4 3 2 2 3 2 2 2 6" xfId="55315"/>
    <cellStyle name="40 % - Accent4 3 2 2 3 2 2 3" xfId="9878"/>
    <cellStyle name="40 % - Accent4 3 2 2 3 2 2 3 2" xfId="29351"/>
    <cellStyle name="40 % - Accent4 3 2 2 3 2 2 3 3" xfId="42331"/>
    <cellStyle name="40 % - Accent4 3 2 2 3 2 2 3 4" xfId="58560"/>
    <cellStyle name="40 % - Accent4 3 2 2 3 2 2 4" xfId="16371"/>
    <cellStyle name="40 % - Accent4 3 2 2 3 2 2 4 2" xfId="52070"/>
    <cellStyle name="40 % - Accent4 3 2 2 3 2 2 5" xfId="22861"/>
    <cellStyle name="40 % - Accent4 3 2 2 3 2 2 6" xfId="35841"/>
    <cellStyle name="40 % - Accent4 3 2 2 3 2 2 7" xfId="48824"/>
    <cellStyle name="40 % - Accent4 3 2 2 3 2 3" xfId="4968"/>
    <cellStyle name="40 % - Accent4 3 2 2 3 2 3 2" xfId="11500"/>
    <cellStyle name="40 % - Accent4 3 2 2 3 2 3 2 2" xfId="30973"/>
    <cellStyle name="40 % - Accent4 3 2 2 3 2 3 2 3" xfId="43953"/>
    <cellStyle name="40 % - Accent4 3 2 2 3 2 3 2 4" xfId="60182"/>
    <cellStyle name="40 % - Accent4 3 2 2 3 2 3 3" xfId="17993"/>
    <cellStyle name="40 % - Accent4 3 2 2 3 2 3 4" xfId="24483"/>
    <cellStyle name="40 % - Accent4 3 2 2 3 2 3 5" xfId="37463"/>
    <cellStyle name="40 % - Accent4 3 2 2 3 2 3 6" xfId="53692"/>
    <cellStyle name="40 % - Accent4 3 2 2 3 2 4" xfId="8255"/>
    <cellStyle name="40 % - Accent4 3 2 2 3 2 4 2" xfId="27728"/>
    <cellStyle name="40 % - Accent4 3 2 2 3 2 4 3" xfId="40708"/>
    <cellStyle name="40 % - Accent4 3 2 2 3 2 4 4" xfId="56937"/>
    <cellStyle name="40 % - Accent4 3 2 2 3 2 5" xfId="14748"/>
    <cellStyle name="40 % - Accent4 3 2 2 3 2 5 2" xfId="50447"/>
    <cellStyle name="40 % - Accent4 3 2 2 3 2 6" xfId="21238"/>
    <cellStyle name="40 % - Accent4 3 2 2 3 2 7" xfId="34218"/>
    <cellStyle name="40 % - Accent4 3 2 2 3 2 8" xfId="47201"/>
    <cellStyle name="40 % - Accent4 3 2 2 3 3" xfId="1216"/>
    <cellStyle name="40 % - Accent4 3 2 2 3 3 2" xfId="2883"/>
    <cellStyle name="40 % - Accent4 3 2 2 3 3 2 2" xfId="6128"/>
    <cellStyle name="40 % - Accent4 3 2 2 3 3 2 2 2" xfId="12660"/>
    <cellStyle name="40 % - Accent4 3 2 2 3 3 2 2 2 2" xfId="32133"/>
    <cellStyle name="40 % - Accent4 3 2 2 3 3 2 2 2 3" xfId="45113"/>
    <cellStyle name="40 % - Accent4 3 2 2 3 3 2 2 2 4" xfId="61342"/>
    <cellStyle name="40 % - Accent4 3 2 2 3 3 2 2 3" xfId="19153"/>
    <cellStyle name="40 % - Accent4 3 2 2 3 3 2 2 4" xfId="25643"/>
    <cellStyle name="40 % - Accent4 3 2 2 3 3 2 2 5" xfId="38623"/>
    <cellStyle name="40 % - Accent4 3 2 2 3 3 2 2 6" xfId="54852"/>
    <cellStyle name="40 % - Accent4 3 2 2 3 3 2 3" xfId="9415"/>
    <cellStyle name="40 % - Accent4 3 2 2 3 3 2 3 2" xfId="28888"/>
    <cellStyle name="40 % - Accent4 3 2 2 3 3 2 3 3" xfId="41868"/>
    <cellStyle name="40 % - Accent4 3 2 2 3 3 2 3 4" xfId="58097"/>
    <cellStyle name="40 % - Accent4 3 2 2 3 3 2 4" xfId="15908"/>
    <cellStyle name="40 % - Accent4 3 2 2 3 3 2 4 2" xfId="51607"/>
    <cellStyle name="40 % - Accent4 3 2 2 3 3 2 5" xfId="22398"/>
    <cellStyle name="40 % - Accent4 3 2 2 3 3 2 6" xfId="35378"/>
    <cellStyle name="40 % - Accent4 3 2 2 3 3 2 7" xfId="48361"/>
    <cellStyle name="40 % - Accent4 3 2 2 3 3 3" xfId="4505"/>
    <cellStyle name="40 % - Accent4 3 2 2 3 3 3 2" xfId="11037"/>
    <cellStyle name="40 % - Accent4 3 2 2 3 3 3 2 2" xfId="30510"/>
    <cellStyle name="40 % - Accent4 3 2 2 3 3 3 2 3" xfId="43490"/>
    <cellStyle name="40 % - Accent4 3 2 2 3 3 3 2 4" xfId="59719"/>
    <cellStyle name="40 % - Accent4 3 2 2 3 3 3 3" xfId="17530"/>
    <cellStyle name="40 % - Accent4 3 2 2 3 3 3 4" xfId="24020"/>
    <cellStyle name="40 % - Accent4 3 2 2 3 3 3 5" xfId="37000"/>
    <cellStyle name="40 % - Accent4 3 2 2 3 3 3 6" xfId="53229"/>
    <cellStyle name="40 % - Accent4 3 2 2 3 3 4" xfId="7792"/>
    <cellStyle name="40 % - Accent4 3 2 2 3 3 4 2" xfId="27265"/>
    <cellStyle name="40 % - Accent4 3 2 2 3 3 4 3" xfId="40245"/>
    <cellStyle name="40 % - Accent4 3 2 2 3 3 4 4" xfId="56474"/>
    <cellStyle name="40 % - Accent4 3 2 2 3 3 5" xfId="14285"/>
    <cellStyle name="40 % - Accent4 3 2 2 3 3 5 2" xfId="49984"/>
    <cellStyle name="40 % - Accent4 3 2 2 3 3 6" xfId="20775"/>
    <cellStyle name="40 % - Accent4 3 2 2 3 3 7" xfId="33755"/>
    <cellStyle name="40 % - Accent4 3 2 2 3 3 8" xfId="46738"/>
    <cellStyle name="40 % - Accent4 3 2 2 3 4" xfId="2408"/>
    <cellStyle name="40 % - Accent4 3 2 2 3 4 2" xfId="5653"/>
    <cellStyle name="40 % - Accent4 3 2 2 3 4 2 2" xfId="12185"/>
    <cellStyle name="40 % - Accent4 3 2 2 3 4 2 2 2" xfId="31658"/>
    <cellStyle name="40 % - Accent4 3 2 2 3 4 2 2 3" xfId="44638"/>
    <cellStyle name="40 % - Accent4 3 2 2 3 4 2 2 4" xfId="60867"/>
    <cellStyle name="40 % - Accent4 3 2 2 3 4 2 3" xfId="18678"/>
    <cellStyle name="40 % - Accent4 3 2 2 3 4 2 4" xfId="25168"/>
    <cellStyle name="40 % - Accent4 3 2 2 3 4 2 5" xfId="38148"/>
    <cellStyle name="40 % - Accent4 3 2 2 3 4 2 6" xfId="54377"/>
    <cellStyle name="40 % - Accent4 3 2 2 3 4 3" xfId="8940"/>
    <cellStyle name="40 % - Accent4 3 2 2 3 4 3 2" xfId="28413"/>
    <cellStyle name="40 % - Accent4 3 2 2 3 4 3 3" xfId="41393"/>
    <cellStyle name="40 % - Accent4 3 2 2 3 4 3 4" xfId="57622"/>
    <cellStyle name="40 % - Accent4 3 2 2 3 4 4" xfId="15433"/>
    <cellStyle name="40 % - Accent4 3 2 2 3 4 4 2" xfId="51132"/>
    <cellStyle name="40 % - Accent4 3 2 2 3 4 5" xfId="21923"/>
    <cellStyle name="40 % - Accent4 3 2 2 3 4 6" xfId="34903"/>
    <cellStyle name="40 % - Accent4 3 2 2 3 4 7" xfId="47886"/>
    <cellStyle name="40 % - Accent4 3 2 2 3 5" xfId="4030"/>
    <cellStyle name="40 % - Accent4 3 2 2 3 5 2" xfId="10562"/>
    <cellStyle name="40 % - Accent4 3 2 2 3 5 2 2" xfId="30035"/>
    <cellStyle name="40 % - Accent4 3 2 2 3 5 2 3" xfId="43015"/>
    <cellStyle name="40 % - Accent4 3 2 2 3 5 2 4" xfId="59244"/>
    <cellStyle name="40 % - Accent4 3 2 2 3 5 3" xfId="17055"/>
    <cellStyle name="40 % - Accent4 3 2 2 3 5 4" xfId="23545"/>
    <cellStyle name="40 % - Accent4 3 2 2 3 5 5" xfId="36525"/>
    <cellStyle name="40 % - Accent4 3 2 2 3 5 6" xfId="52754"/>
    <cellStyle name="40 % - Accent4 3 2 2 3 6" xfId="7317"/>
    <cellStyle name="40 % - Accent4 3 2 2 3 6 2" xfId="26790"/>
    <cellStyle name="40 % - Accent4 3 2 2 3 6 3" xfId="39770"/>
    <cellStyle name="40 % - Accent4 3 2 2 3 6 4" xfId="55999"/>
    <cellStyle name="40 % - Accent4 3 2 2 3 7" xfId="13810"/>
    <cellStyle name="40 % - Accent4 3 2 2 3 7 2" xfId="49509"/>
    <cellStyle name="40 % - Accent4 3 2 2 3 8" xfId="20300"/>
    <cellStyle name="40 % - Accent4 3 2 2 3 9" xfId="33280"/>
    <cellStyle name="40 % - Accent4 3 2 2 4" xfId="510"/>
    <cellStyle name="40 % - Accent4 3 2 2 4 2" xfId="1459"/>
    <cellStyle name="40 % - Accent4 3 2 2 4 2 2" xfId="3126"/>
    <cellStyle name="40 % - Accent4 3 2 2 4 2 2 2" xfId="6371"/>
    <cellStyle name="40 % - Accent4 3 2 2 4 2 2 2 2" xfId="12903"/>
    <cellStyle name="40 % - Accent4 3 2 2 4 2 2 2 2 2" xfId="32376"/>
    <cellStyle name="40 % - Accent4 3 2 2 4 2 2 2 2 3" xfId="45356"/>
    <cellStyle name="40 % - Accent4 3 2 2 4 2 2 2 2 4" xfId="61585"/>
    <cellStyle name="40 % - Accent4 3 2 2 4 2 2 2 3" xfId="19396"/>
    <cellStyle name="40 % - Accent4 3 2 2 4 2 2 2 4" xfId="25886"/>
    <cellStyle name="40 % - Accent4 3 2 2 4 2 2 2 5" xfId="38866"/>
    <cellStyle name="40 % - Accent4 3 2 2 4 2 2 2 6" xfId="55095"/>
    <cellStyle name="40 % - Accent4 3 2 2 4 2 2 3" xfId="9658"/>
    <cellStyle name="40 % - Accent4 3 2 2 4 2 2 3 2" xfId="29131"/>
    <cellStyle name="40 % - Accent4 3 2 2 4 2 2 3 3" xfId="42111"/>
    <cellStyle name="40 % - Accent4 3 2 2 4 2 2 3 4" xfId="58340"/>
    <cellStyle name="40 % - Accent4 3 2 2 4 2 2 4" xfId="16151"/>
    <cellStyle name="40 % - Accent4 3 2 2 4 2 2 4 2" xfId="51850"/>
    <cellStyle name="40 % - Accent4 3 2 2 4 2 2 5" xfId="22641"/>
    <cellStyle name="40 % - Accent4 3 2 2 4 2 2 6" xfId="35621"/>
    <cellStyle name="40 % - Accent4 3 2 2 4 2 2 7" xfId="48604"/>
    <cellStyle name="40 % - Accent4 3 2 2 4 2 3" xfId="4748"/>
    <cellStyle name="40 % - Accent4 3 2 2 4 2 3 2" xfId="11280"/>
    <cellStyle name="40 % - Accent4 3 2 2 4 2 3 2 2" xfId="30753"/>
    <cellStyle name="40 % - Accent4 3 2 2 4 2 3 2 3" xfId="43733"/>
    <cellStyle name="40 % - Accent4 3 2 2 4 2 3 2 4" xfId="59962"/>
    <cellStyle name="40 % - Accent4 3 2 2 4 2 3 3" xfId="17773"/>
    <cellStyle name="40 % - Accent4 3 2 2 4 2 3 4" xfId="24263"/>
    <cellStyle name="40 % - Accent4 3 2 2 4 2 3 5" xfId="37243"/>
    <cellStyle name="40 % - Accent4 3 2 2 4 2 3 6" xfId="53472"/>
    <cellStyle name="40 % - Accent4 3 2 2 4 2 4" xfId="8035"/>
    <cellStyle name="40 % - Accent4 3 2 2 4 2 4 2" xfId="27508"/>
    <cellStyle name="40 % - Accent4 3 2 2 4 2 4 3" xfId="40488"/>
    <cellStyle name="40 % - Accent4 3 2 2 4 2 4 4" xfId="56717"/>
    <cellStyle name="40 % - Accent4 3 2 2 4 2 5" xfId="14528"/>
    <cellStyle name="40 % - Accent4 3 2 2 4 2 5 2" xfId="50227"/>
    <cellStyle name="40 % - Accent4 3 2 2 4 2 6" xfId="21018"/>
    <cellStyle name="40 % - Accent4 3 2 2 4 2 7" xfId="33998"/>
    <cellStyle name="40 % - Accent4 3 2 2 4 2 8" xfId="46981"/>
    <cellStyle name="40 % - Accent4 3 2 2 4 3" xfId="2178"/>
    <cellStyle name="40 % - Accent4 3 2 2 4 3 2" xfId="5423"/>
    <cellStyle name="40 % - Accent4 3 2 2 4 3 2 2" xfId="11955"/>
    <cellStyle name="40 % - Accent4 3 2 2 4 3 2 2 2" xfId="31428"/>
    <cellStyle name="40 % - Accent4 3 2 2 4 3 2 2 3" xfId="44408"/>
    <cellStyle name="40 % - Accent4 3 2 2 4 3 2 2 4" xfId="60637"/>
    <cellStyle name="40 % - Accent4 3 2 2 4 3 2 3" xfId="18448"/>
    <cellStyle name="40 % - Accent4 3 2 2 4 3 2 4" xfId="24938"/>
    <cellStyle name="40 % - Accent4 3 2 2 4 3 2 5" xfId="37918"/>
    <cellStyle name="40 % - Accent4 3 2 2 4 3 2 6" xfId="54147"/>
    <cellStyle name="40 % - Accent4 3 2 2 4 3 3" xfId="8710"/>
    <cellStyle name="40 % - Accent4 3 2 2 4 3 3 2" xfId="28183"/>
    <cellStyle name="40 % - Accent4 3 2 2 4 3 3 3" xfId="41163"/>
    <cellStyle name="40 % - Accent4 3 2 2 4 3 3 4" xfId="57392"/>
    <cellStyle name="40 % - Accent4 3 2 2 4 3 4" xfId="15203"/>
    <cellStyle name="40 % - Accent4 3 2 2 4 3 4 2" xfId="50902"/>
    <cellStyle name="40 % - Accent4 3 2 2 4 3 5" xfId="21693"/>
    <cellStyle name="40 % - Accent4 3 2 2 4 3 6" xfId="34673"/>
    <cellStyle name="40 % - Accent4 3 2 2 4 3 7" xfId="47656"/>
    <cellStyle name="40 % - Accent4 3 2 2 4 4" xfId="3800"/>
    <cellStyle name="40 % - Accent4 3 2 2 4 4 2" xfId="10332"/>
    <cellStyle name="40 % - Accent4 3 2 2 4 4 2 2" xfId="29805"/>
    <cellStyle name="40 % - Accent4 3 2 2 4 4 2 3" xfId="42785"/>
    <cellStyle name="40 % - Accent4 3 2 2 4 4 2 4" xfId="59014"/>
    <cellStyle name="40 % - Accent4 3 2 2 4 4 3" xfId="16825"/>
    <cellStyle name="40 % - Accent4 3 2 2 4 4 4" xfId="23315"/>
    <cellStyle name="40 % - Accent4 3 2 2 4 4 5" xfId="36295"/>
    <cellStyle name="40 % - Accent4 3 2 2 4 4 6" xfId="52524"/>
    <cellStyle name="40 % - Accent4 3 2 2 4 5" xfId="7087"/>
    <cellStyle name="40 % - Accent4 3 2 2 4 5 2" xfId="26560"/>
    <cellStyle name="40 % - Accent4 3 2 2 4 5 3" xfId="39540"/>
    <cellStyle name="40 % - Accent4 3 2 2 4 5 4" xfId="55769"/>
    <cellStyle name="40 % - Accent4 3 2 2 4 6" xfId="13580"/>
    <cellStyle name="40 % - Accent4 3 2 2 4 6 2" xfId="49279"/>
    <cellStyle name="40 % - Accent4 3 2 2 4 7" xfId="20070"/>
    <cellStyle name="40 % - Accent4 3 2 2 4 8" xfId="33050"/>
    <cellStyle name="40 % - Accent4 3 2 2 4 9" xfId="46033"/>
    <cellStyle name="40 % - Accent4 3 2 2 5" xfId="996"/>
    <cellStyle name="40 % - Accent4 3 2 2 5 2" xfId="2663"/>
    <cellStyle name="40 % - Accent4 3 2 2 5 2 2" xfId="5908"/>
    <cellStyle name="40 % - Accent4 3 2 2 5 2 2 2" xfId="12440"/>
    <cellStyle name="40 % - Accent4 3 2 2 5 2 2 2 2" xfId="31913"/>
    <cellStyle name="40 % - Accent4 3 2 2 5 2 2 2 3" xfId="44893"/>
    <cellStyle name="40 % - Accent4 3 2 2 5 2 2 2 4" xfId="61122"/>
    <cellStyle name="40 % - Accent4 3 2 2 5 2 2 3" xfId="18933"/>
    <cellStyle name="40 % - Accent4 3 2 2 5 2 2 4" xfId="25423"/>
    <cellStyle name="40 % - Accent4 3 2 2 5 2 2 5" xfId="38403"/>
    <cellStyle name="40 % - Accent4 3 2 2 5 2 2 6" xfId="54632"/>
    <cellStyle name="40 % - Accent4 3 2 2 5 2 3" xfId="9195"/>
    <cellStyle name="40 % - Accent4 3 2 2 5 2 3 2" xfId="28668"/>
    <cellStyle name="40 % - Accent4 3 2 2 5 2 3 3" xfId="41648"/>
    <cellStyle name="40 % - Accent4 3 2 2 5 2 3 4" xfId="57877"/>
    <cellStyle name="40 % - Accent4 3 2 2 5 2 4" xfId="15688"/>
    <cellStyle name="40 % - Accent4 3 2 2 5 2 4 2" xfId="51387"/>
    <cellStyle name="40 % - Accent4 3 2 2 5 2 5" xfId="22178"/>
    <cellStyle name="40 % - Accent4 3 2 2 5 2 6" xfId="35158"/>
    <cellStyle name="40 % - Accent4 3 2 2 5 2 7" xfId="48141"/>
    <cellStyle name="40 % - Accent4 3 2 2 5 3" xfId="4285"/>
    <cellStyle name="40 % - Accent4 3 2 2 5 3 2" xfId="10817"/>
    <cellStyle name="40 % - Accent4 3 2 2 5 3 2 2" xfId="30290"/>
    <cellStyle name="40 % - Accent4 3 2 2 5 3 2 3" xfId="43270"/>
    <cellStyle name="40 % - Accent4 3 2 2 5 3 2 4" xfId="59499"/>
    <cellStyle name="40 % - Accent4 3 2 2 5 3 3" xfId="17310"/>
    <cellStyle name="40 % - Accent4 3 2 2 5 3 4" xfId="23800"/>
    <cellStyle name="40 % - Accent4 3 2 2 5 3 5" xfId="36780"/>
    <cellStyle name="40 % - Accent4 3 2 2 5 3 6" xfId="53009"/>
    <cellStyle name="40 % - Accent4 3 2 2 5 4" xfId="7572"/>
    <cellStyle name="40 % - Accent4 3 2 2 5 4 2" xfId="27045"/>
    <cellStyle name="40 % - Accent4 3 2 2 5 4 3" xfId="40025"/>
    <cellStyle name="40 % - Accent4 3 2 2 5 4 4" xfId="56254"/>
    <cellStyle name="40 % - Accent4 3 2 2 5 5" xfId="14065"/>
    <cellStyle name="40 % - Accent4 3 2 2 5 5 2" xfId="49764"/>
    <cellStyle name="40 % - Accent4 3 2 2 5 6" xfId="20555"/>
    <cellStyle name="40 % - Accent4 3 2 2 5 7" xfId="33535"/>
    <cellStyle name="40 % - Accent4 3 2 2 5 8" xfId="46518"/>
    <cellStyle name="40 % - Accent4 3 2 2 6" xfId="1949"/>
    <cellStyle name="40 % - Accent4 3 2 2 6 2" xfId="5194"/>
    <cellStyle name="40 % - Accent4 3 2 2 6 2 2" xfId="11726"/>
    <cellStyle name="40 % - Accent4 3 2 2 6 2 2 2" xfId="31199"/>
    <cellStyle name="40 % - Accent4 3 2 2 6 2 2 3" xfId="44179"/>
    <cellStyle name="40 % - Accent4 3 2 2 6 2 2 4" xfId="60408"/>
    <cellStyle name="40 % - Accent4 3 2 2 6 2 3" xfId="18219"/>
    <cellStyle name="40 % - Accent4 3 2 2 6 2 4" xfId="24709"/>
    <cellStyle name="40 % - Accent4 3 2 2 6 2 5" xfId="37689"/>
    <cellStyle name="40 % - Accent4 3 2 2 6 2 6" xfId="53918"/>
    <cellStyle name="40 % - Accent4 3 2 2 6 3" xfId="8481"/>
    <cellStyle name="40 % - Accent4 3 2 2 6 3 2" xfId="27954"/>
    <cellStyle name="40 % - Accent4 3 2 2 6 3 3" xfId="40934"/>
    <cellStyle name="40 % - Accent4 3 2 2 6 3 4" xfId="57163"/>
    <cellStyle name="40 % - Accent4 3 2 2 6 4" xfId="14974"/>
    <cellStyle name="40 % - Accent4 3 2 2 6 4 2" xfId="50673"/>
    <cellStyle name="40 % - Accent4 3 2 2 6 5" xfId="21464"/>
    <cellStyle name="40 % - Accent4 3 2 2 6 6" xfId="34444"/>
    <cellStyle name="40 % - Accent4 3 2 2 6 7" xfId="47427"/>
    <cellStyle name="40 % - Accent4 3 2 2 7" xfId="3570"/>
    <cellStyle name="40 % - Accent4 3 2 2 7 2" xfId="10102"/>
    <cellStyle name="40 % - Accent4 3 2 2 7 2 2" xfId="29575"/>
    <cellStyle name="40 % - Accent4 3 2 2 7 2 3" xfId="42555"/>
    <cellStyle name="40 % - Accent4 3 2 2 7 2 4" xfId="58784"/>
    <cellStyle name="40 % - Accent4 3 2 2 7 3" xfId="16595"/>
    <cellStyle name="40 % - Accent4 3 2 2 7 4" xfId="23085"/>
    <cellStyle name="40 % - Accent4 3 2 2 7 5" xfId="36065"/>
    <cellStyle name="40 % - Accent4 3 2 2 7 6" xfId="52294"/>
    <cellStyle name="40 % - Accent4 3 2 2 8" xfId="6857"/>
    <cellStyle name="40 % - Accent4 3 2 2 8 2" xfId="26330"/>
    <cellStyle name="40 % - Accent4 3 2 2 8 3" xfId="39310"/>
    <cellStyle name="40 % - Accent4 3 2 2 8 4" xfId="55539"/>
    <cellStyle name="40 % - Accent4 3 2 2 9" xfId="13350"/>
    <cellStyle name="40 % - Accent4 3 2 2 9 2" xfId="49049"/>
    <cellStyle name="40 % - Accent4 3 2 3" xfId="232"/>
    <cellStyle name="40 % - Accent4 3 2 3 10" xfId="32776"/>
    <cellStyle name="40 % - Accent4 3 2 3 11" xfId="45759"/>
    <cellStyle name="40 % - Accent4 3 2 3 2" xfId="696"/>
    <cellStyle name="40 % - Accent4 3 2 3 2 10" xfId="46219"/>
    <cellStyle name="40 % - Accent4 3 2 3 2 2" xfId="1635"/>
    <cellStyle name="40 % - Accent4 3 2 3 2 2 2" xfId="3302"/>
    <cellStyle name="40 % - Accent4 3 2 3 2 2 2 2" xfId="6547"/>
    <cellStyle name="40 % - Accent4 3 2 3 2 2 2 2 2" xfId="13079"/>
    <cellStyle name="40 % - Accent4 3 2 3 2 2 2 2 2 2" xfId="32552"/>
    <cellStyle name="40 % - Accent4 3 2 3 2 2 2 2 2 3" xfId="45532"/>
    <cellStyle name="40 % - Accent4 3 2 3 2 2 2 2 2 4" xfId="61761"/>
    <cellStyle name="40 % - Accent4 3 2 3 2 2 2 2 3" xfId="19572"/>
    <cellStyle name="40 % - Accent4 3 2 3 2 2 2 2 4" xfId="26062"/>
    <cellStyle name="40 % - Accent4 3 2 3 2 2 2 2 5" xfId="39042"/>
    <cellStyle name="40 % - Accent4 3 2 3 2 2 2 2 6" xfId="55271"/>
    <cellStyle name="40 % - Accent4 3 2 3 2 2 2 3" xfId="9834"/>
    <cellStyle name="40 % - Accent4 3 2 3 2 2 2 3 2" xfId="29307"/>
    <cellStyle name="40 % - Accent4 3 2 3 2 2 2 3 3" xfId="42287"/>
    <cellStyle name="40 % - Accent4 3 2 3 2 2 2 3 4" xfId="58516"/>
    <cellStyle name="40 % - Accent4 3 2 3 2 2 2 4" xfId="16327"/>
    <cellStyle name="40 % - Accent4 3 2 3 2 2 2 4 2" xfId="52026"/>
    <cellStyle name="40 % - Accent4 3 2 3 2 2 2 5" xfId="22817"/>
    <cellStyle name="40 % - Accent4 3 2 3 2 2 2 6" xfId="35797"/>
    <cellStyle name="40 % - Accent4 3 2 3 2 2 2 7" xfId="48780"/>
    <cellStyle name="40 % - Accent4 3 2 3 2 2 3" xfId="4924"/>
    <cellStyle name="40 % - Accent4 3 2 3 2 2 3 2" xfId="11456"/>
    <cellStyle name="40 % - Accent4 3 2 3 2 2 3 2 2" xfId="30929"/>
    <cellStyle name="40 % - Accent4 3 2 3 2 2 3 2 3" xfId="43909"/>
    <cellStyle name="40 % - Accent4 3 2 3 2 2 3 2 4" xfId="60138"/>
    <cellStyle name="40 % - Accent4 3 2 3 2 2 3 3" xfId="17949"/>
    <cellStyle name="40 % - Accent4 3 2 3 2 2 3 4" xfId="24439"/>
    <cellStyle name="40 % - Accent4 3 2 3 2 2 3 5" xfId="37419"/>
    <cellStyle name="40 % - Accent4 3 2 3 2 2 3 6" xfId="53648"/>
    <cellStyle name="40 % - Accent4 3 2 3 2 2 4" xfId="8211"/>
    <cellStyle name="40 % - Accent4 3 2 3 2 2 4 2" xfId="27684"/>
    <cellStyle name="40 % - Accent4 3 2 3 2 2 4 3" xfId="40664"/>
    <cellStyle name="40 % - Accent4 3 2 3 2 2 4 4" xfId="56893"/>
    <cellStyle name="40 % - Accent4 3 2 3 2 2 5" xfId="14704"/>
    <cellStyle name="40 % - Accent4 3 2 3 2 2 5 2" xfId="50403"/>
    <cellStyle name="40 % - Accent4 3 2 3 2 2 6" xfId="21194"/>
    <cellStyle name="40 % - Accent4 3 2 3 2 2 7" xfId="34174"/>
    <cellStyle name="40 % - Accent4 3 2 3 2 2 8" xfId="47157"/>
    <cellStyle name="40 % - Accent4 3 2 3 2 3" xfId="1172"/>
    <cellStyle name="40 % - Accent4 3 2 3 2 3 2" xfId="2839"/>
    <cellStyle name="40 % - Accent4 3 2 3 2 3 2 2" xfId="6084"/>
    <cellStyle name="40 % - Accent4 3 2 3 2 3 2 2 2" xfId="12616"/>
    <cellStyle name="40 % - Accent4 3 2 3 2 3 2 2 2 2" xfId="32089"/>
    <cellStyle name="40 % - Accent4 3 2 3 2 3 2 2 2 3" xfId="45069"/>
    <cellStyle name="40 % - Accent4 3 2 3 2 3 2 2 2 4" xfId="61298"/>
    <cellStyle name="40 % - Accent4 3 2 3 2 3 2 2 3" xfId="19109"/>
    <cellStyle name="40 % - Accent4 3 2 3 2 3 2 2 4" xfId="25599"/>
    <cellStyle name="40 % - Accent4 3 2 3 2 3 2 2 5" xfId="38579"/>
    <cellStyle name="40 % - Accent4 3 2 3 2 3 2 2 6" xfId="54808"/>
    <cellStyle name="40 % - Accent4 3 2 3 2 3 2 3" xfId="9371"/>
    <cellStyle name="40 % - Accent4 3 2 3 2 3 2 3 2" xfId="28844"/>
    <cellStyle name="40 % - Accent4 3 2 3 2 3 2 3 3" xfId="41824"/>
    <cellStyle name="40 % - Accent4 3 2 3 2 3 2 3 4" xfId="58053"/>
    <cellStyle name="40 % - Accent4 3 2 3 2 3 2 4" xfId="15864"/>
    <cellStyle name="40 % - Accent4 3 2 3 2 3 2 4 2" xfId="51563"/>
    <cellStyle name="40 % - Accent4 3 2 3 2 3 2 5" xfId="22354"/>
    <cellStyle name="40 % - Accent4 3 2 3 2 3 2 6" xfId="35334"/>
    <cellStyle name="40 % - Accent4 3 2 3 2 3 2 7" xfId="48317"/>
    <cellStyle name="40 % - Accent4 3 2 3 2 3 3" xfId="4461"/>
    <cellStyle name="40 % - Accent4 3 2 3 2 3 3 2" xfId="10993"/>
    <cellStyle name="40 % - Accent4 3 2 3 2 3 3 2 2" xfId="30466"/>
    <cellStyle name="40 % - Accent4 3 2 3 2 3 3 2 3" xfId="43446"/>
    <cellStyle name="40 % - Accent4 3 2 3 2 3 3 2 4" xfId="59675"/>
    <cellStyle name="40 % - Accent4 3 2 3 2 3 3 3" xfId="17486"/>
    <cellStyle name="40 % - Accent4 3 2 3 2 3 3 4" xfId="23976"/>
    <cellStyle name="40 % - Accent4 3 2 3 2 3 3 5" xfId="36956"/>
    <cellStyle name="40 % - Accent4 3 2 3 2 3 3 6" xfId="53185"/>
    <cellStyle name="40 % - Accent4 3 2 3 2 3 4" xfId="7748"/>
    <cellStyle name="40 % - Accent4 3 2 3 2 3 4 2" xfId="27221"/>
    <cellStyle name="40 % - Accent4 3 2 3 2 3 4 3" xfId="40201"/>
    <cellStyle name="40 % - Accent4 3 2 3 2 3 4 4" xfId="56430"/>
    <cellStyle name="40 % - Accent4 3 2 3 2 3 5" xfId="14241"/>
    <cellStyle name="40 % - Accent4 3 2 3 2 3 5 2" xfId="49940"/>
    <cellStyle name="40 % - Accent4 3 2 3 2 3 6" xfId="20731"/>
    <cellStyle name="40 % - Accent4 3 2 3 2 3 7" xfId="33711"/>
    <cellStyle name="40 % - Accent4 3 2 3 2 3 8" xfId="46694"/>
    <cellStyle name="40 % - Accent4 3 2 3 2 4" xfId="2364"/>
    <cellStyle name="40 % - Accent4 3 2 3 2 4 2" xfId="5609"/>
    <cellStyle name="40 % - Accent4 3 2 3 2 4 2 2" xfId="12141"/>
    <cellStyle name="40 % - Accent4 3 2 3 2 4 2 2 2" xfId="31614"/>
    <cellStyle name="40 % - Accent4 3 2 3 2 4 2 2 3" xfId="44594"/>
    <cellStyle name="40 % - Accent4 3 2 3 2 4 2 2 4" xfId="60823"/>
    <cellStyle name="40 % - Accent4 3 2 3 2 4 2 3" xfId="18634"/>
    <cellStyle name="40 % - Accent4 3 2 3 2 4 2 4" xfId="25124"/>
    <cellStyle name="40 % - Accent4 3 2 3 2 4 2 5" xfId="38104"/>
    <cellStyle name="40 % - Accent4 3 2 3 2 4 2 6" xfId="54333"/>
    <cellStyle name="40 % - Accent4 3 2 3 2 4 3" xfId="8896"/>
    <cellStyle name="40 % - Accent4 3 2 3 2 4 3 2" xfId="28369"/>
    <cellStyle name="40 % - Accent4 3 2 3 2 4 3 3" xfId="41349"/>
    <cellStyle name="40 % - Accent4 3 2 3 2 4 3 4" xfId="57578"/>
    <cellStyle name="40 % - Accent4 3 2 3 2 4 4" xfId="15389"/>
    <cellStyle name="40 % - Accent4 3 2 3 2 4 4 2" xfId="51088"/>
    <cellStyle name="40 % - Accent4 3 2 3 2 4 5" xfId="21879"/>
    <cellStyle name="40 % - Accent4 3 2 3 2 4 6" xfId="34859"/>
    <cellStyle name="40 % - Accent4 3 2 3 2 4 7" xfId="47842"/>
    <cellStyle name="40 % - Accent4 3 2 3 2 5" xfId="3986"/>
    <cellStyle name="40 % - Accent4 3 2 3 2 5 2" xfId="10518"/>
    <cellStyle name="40 % - Accent4 3 2 3 2 5 2 2" xfId="29991"/>
    <cellStyle name="40 % - Accent4 3 2 3 2 5 2 3" xfId="42971"/>
    <cellStyle name="40 % - Accent4 3 2 3 2 5 2 4" xfId="59200"/>
    <cellStyle name="40 % - Accent4 3 2 3 2 5 3" xfId="17011"/>
    <cellStyle name="40 % - Accent4 3 2 3 2 5 4" xfId="23501"/>
    <cellStyle name="40 % - Accent4 3 2 3 2 5 5" xfId="36481"/>
    <cellStyle name="40 % - Accent4 3 2 3 2 5 6" xfId="52710"/>
    <cellStyle name="40 % - Accent4 3 2 3 2 6" xfId="7273"/>
    <cellStyle name="40 % - Accent4 3 2 3 2 6 2" xfId="26746"/>
    <cellStyle name="40 % - Accent4 3 2 3 2 6 3" xfId="39726"/>
    <cellStyle name="40 % - Accent4 3 2 3 2 6 4" xfId="55955"/>
    <cellStyle name="40 % - Accent4 3 2 3 2 7" xfId="13766"/>
    <cellStyle name="40 % - Accent4 3 2 3 2 7 2" xfId="49465"/>
    <cellStyle name="40 % - Accent4 3 2 3 2 8" xfId="20256"/>
    <cellStyle name="40 % - Accent4 3 2 3 2 9" xfId="33236"/>
    <cellStyle name="40 % - Accent4 3 2 3 3" xfId="466"/>
    <cellStyle name="40 % - Accent4 3 2 3 3 2" xfId="1415"/>
    <cellStyle name="40 % - Accent4 3 2 3 3 2 2" xfId="3082"/>
    <cellStyle name="40 % - Accent4 3 2 3 3 2 2 2" xfId="6327"/>
    <cellStyle name="40 % - Accent4 3 2 3 3 2 2 2 2" xfId="12859"/>
    <cellStyle name="40 % - Accent4 3 2 3 3 2 2 2 2 2" xfId="32332"/>
    <cellStyle name="40 % - Accent4 3 2 3 3 2 2 2 2 3" xfId="45312"/>
    <cellStyle name="40 % - Accent4 3 2 3 3 2 2 2 2 4" xfId="61541"/>
    <cellStyle name="40 % - Accent4 3 2 3 3 2 2 2 3" xfId="19352"/>
    <cellStyle name="40 % - Accent4 3 2 3 3 2 2 2 4" xfId="25842"/>
    <cellStyle name="40 % - Accent4 3 2 3 3 2 2 2 5" xfId="38822"/>
    <cellStyle name="40 % - Accent4 3 2 3 3 2 2 2 6" xfId="55051"/>
    <cellStyle name="40 % - Accent4 3 2 3 3 2 2 3" xfId="9614"/>
    <cellStyle name="40 % - Accent4 3 2 3 3 2 2 3 2" xfId="29087"/>
    <cellStyle name="40 % - Accent4 3 2 3 3 2 2 3 3" xfId="42067"/>
    <cellStyle name="40 % - Accent4 3 2 3 3 2 2 3 4" xfId="58296"/>
    <cellStyle name="40 % - Accent4 3 2 3 3 2 2 4" xfId="16107"/>
    <cellStyle name="40 % - Accent4 3 2 3 3 2 2 4 2" xfId="51806"/>
    <cellStyle name="40 % - Accent4 3 2 3 3 2 2 5" xfId="22597"/>
    <cellStyle name="40 % - Accent4 3 2 3 3 2 2 6" xfId="35577"/>
    <cellStyle name="40 % - Accent4 3 2 3 3 2 2 7" xfId="48560"/>
    <cellStyle name="40 % - Accent4 3 2 3 3 2 3" xfId="4704"/>
    <cellStyle name="40 % - Accent4 3 2 3 3 2 3 2" xfId="11236"/>
    <cellStyle name="40 % - Accent4 3 2 3 3 2 3 2 2" xfId="30709"/>
    <cellStyle name="40 % - Accent4 3 2 3 3 2 3 2 3" xfId="43689"/>
    <cellStyle name="40 % - Accent4 3 2 3 3 2 3 2 4" xfId="59918"/>
    <cellStyle name="40 % - Accent4 3 2 3 3 2 3 3" xfId="17729"/>
    <cellStyle name="40 % - Accent4 3 2 3 3 2 3 4" xfId="24219"/>
    <cellStyle name="40 % - Accent4 3 2 3 3 2 3 5" xfId="37199"/>
    <cellStyle name="40 % - Accent4 3 2 3 3 2 3 6" xfId="53428"/>
    <cellStyle name="40 % - Accent4 3 2 3 3 2 4" xfId="7991"/>
    <cellStyle name="40 % - Accent4 3 2 3 3 2 4 2" xfId="27464"/>
    <cellStyle name="40 % - Accent4 3 2 3 3 2 4 3" xfId="40444"/>
    <cellStyle name="40 % - Accent4 3 2 3 3 2 4 4" xfId="56673"/>
    <cellStyle name="40 % - Accent4 3 2 3 3 2 5" xfId="14484"/>
    <cellStyle name="40 % - Accent4 3 2 3 3 2 5 2" xfId="50183"/>
    <cellStyle name="40 % - Accent4 3 2 3 3 2 6" xfId="20974"/>
    <cellStyle name="40 % - Accent4 3 2 3 3 2 7" xfId="33954"/>
    <cellStyle name="40 % - Accent4 3 2 3 3 2 8" xfId="46937"/>
    <cellStyle name="40 % - Accent4 3 2 3 3 3" xfId="2134"/>
    <cellStyle name="40 % - Accent4 3 2 3 3 3 2" xfId="5379"/>
    <cellStyle name="40 % - Accent4 3 2 3 3 3 2 2" xfId="11911"/>
    <cellStyle name="40 % - Accent4 3 2 3 3 3 2 2 2" xfId="31384"/>
    <cellStyle name="40 % - Accent4 3 2 3 3 3 2 2 3" xfId="44364"/>
    <cellStyle name="40 % - Accent4 3 2 3 3 3 2 2 4" xfId="60593"/>
    <cellStyle name="40 % - Accent4 3 2 3 3 3 2 3" xfId="18404"/>
    <cellStyle name="40 % - Accent4 3 2 3 3 3 2 4" xfId="24894"/>
    <cellStyle name="40 % - Accent4 3 2 3 3 3 2 5" xfId="37874"/>
    <cellStyle name="40 % - Accent4 3 2 3 3 3 2 6" xfId="54103"/>
    <cellStyle name="40 % - Accent4 3 2 3 3 3 3" xfId="8666"/>
    <cellStyle name="40 % - Accent4 3 2 3 3 3 3 2" xfId="28139"/>
    <cellStyle name="40 % - Accent4 3 2 3 3 3 3 3" xfId="41119"/>
    <cellStyle name="40 % - Accent4 3 2 3 3 3 3 4" xfId="57348"/>
    <cellStyle name="40 % - Accent4 3 2 3 3 3 4" xfId="15159"/>
    <cellStyle name="40 % - Accent4 3 2 3 3 3 4 2" xfId="50858"/>
    <cellStyle name="40 % - Accent4 3 2 3 3 3 5" xfId="21649"/>
    <cellStyle name="40 % - Accent4 3 2 3 3 3 6" xfId="34629"/>
    <cellStyle name="40 % - Accent4 3 2 3 3 3 7" xfId="47612"/>
    <cellStyle name="40 % - Accent4 3 2 3 3 4" xfId="3756"/>
    <cellStyle name="40 % - Accent4 3 2 3 3 4 2" xfId="10288"/>
    <cellStyle name="40 % - Accent4 3 2 3 3 4 2 2" xfId="29761"/>
    <cellStyle name="40 % - Accent4 3 2 3 3 4 2 3" xfId="42741"/>
    <cellStyle name="40 % - Accent4 3 2 3 3 4 2 4" xfId="58970"/>
    <cellStyle name="40 % - Accent4 3 2 3 3 4 3" xfId="16781"/>
    <cellStyle name="40 % - Accent4 3 2 3 3 4 4" xfId="23271"/>
    <cellStyle name="40 % - Accent4 3 2 3 3 4 5" xfId="36251"/>
    <cellStyle name="40 % - Accent4 3 2 3 3 4 6" xfId="52480"/>
    <cellStyle name="40 % - Accent4 3 2 3 3 5" xfId="7043"/>
    <cellStyle name="40 % - Accent4 3 2 3 3 5 2" xfId="26516"/>
    <cellStyle name="40 % - Accent4 3 2 3 3 5 3" xfId="39496"/>
    <cellStyle name="40 % - Accent4 3 2 3 3 5 4" xfId="55725"/>
    <cellStyle name="40 % - Accent4 3 2 3 3 6" xfId="13536"/>
    <cellStyle name="40 % - Accent4 3 2 3 3 6 2" xfId="49235"/>
    <cellStyle name="40 % - Accent4 3 2 3 3 7" xfId="20026"/>
    <cellStyle name="40 % - Accent4 3 2 3 3 8" xfId="33006"/>
    <cellStyle name="40 % - Accent4 3 2 3 3 9" xfId="45989"/>
    <cellStyle name="40 % - Accent4 3 2 3 4" xfId="952"/>
    <cellStyle name="40 % - Accent4 3 2 3 4 2" xfId="2619"/>
    <cellStyle name="40 % - Accent4 3 2 3 4 2 2" xfId="5864"/>
    <cellStyle name="40 % - Accent4 3 2 3 4 2 2 2" xfId="12396"/>
    <cellStyle name="40 % - Accent4 3 2 3 4 2 2 2 2" xfId="31869"/>
    <cellStyle name="40 % - Accent4 3 2 3 4 2 2 2 3" xfId="44849"/>
    <cellStyle name="40 % - Accent4 3 2 3 4 2 2 2 4" xfId="61078"/>
    <cellStyle name="40 % - Accent4 3 2 3 4 2 2 3" xfId="18889"/>
    <cellStyle name="40 % - Accent4 3 2 3 4 2 2 4" xfId="25379"/>
    <cellStyle name="40 % - Accent4 3 2 3 4 2 2 5" xfId="38359"/>
    <cellStyle name="40 % - Accent4 3 2 3 4 2 2 6" xfId="54588"/>
    <cellStyle name="40 % - Accent4 3 2 3 4 2 3" xfId="9151"/>
    <cellStyle name="40 % - Accent4 3 2 3 4 2 3 2" xfId="28624"/>
    <cellStyle name="40 % - Accent4 3 2 3 4 2 3 3" xfId="41604"/>
    <cellStyle name="40 % - Accent4 3 2 3 4 2 3 4" xfId="57833"/>
    <cellStyle name="40 % - Accent4 3 2 3 4 2 4" xfId="15644"/>
    <cellStyle name="40 % - Accent4 3 2 3 4 2 4 2" xfId="51343"/>
    <cellStyle name="40 % - Accent4 3 2 3 4 2 5" xfId="22134"/>
    <cellStyle name="40 % - Accent4 3 2 3 4 2 6" xfId="35114"/>
    <cellStyle name="40 % - Accent4 3 2 3 4 2 7" xfId="48097"/>
    <cellStyle name="40 % - Accent4 3 2 3 4 3" xfId="4241"/>
    <cellStyle name="40 % - Accent4 3 2 3 4 3 2" xfId="10773"/>
    <cellStyle name="40 % - Accent4 3 2 3 4 3 2 2" xfId="30246"/>
    <cellStyle name="40 % - Accent4 3 2 3 4 3 2 3" xfId="43226"/>
    <cellStyle name="40 % - Accent4 3 2 3 4 3 2 4" xfId="59455"/>
    <cellStyle name="40 % - Accent4 3 2 3 4 3 3" xfId="17266"/>
    <cellStyle name="40 % - Accent4 3 2 3 4 3 4" xfId="23756"/>
    <cellStyle name="40 % - Accent4 3 2 3 4 3 5" xfId="36736"/>
    <cellStyle name="40 % - Accent4 3 2 3 4 3 6" xfId="52965"/>
    <cellStyle name="40 % - Accent4 3 2 3 4 4" xfId="7528"/>
    <cellStyle name="40 % - Accent4 3 2 3 4 4 2" xfId="27001"/>
    <cellStyle name="40 % - Accent4 3 2 3 4 4 3" xfId="39981"/>
    <cellStyle name="40 % - Accent4 3 2 3 4 4 4" xfId="56210"/>
    <cellStyle name="40 % - Accent4 3 2 3 4 5" xfId="14021"/>
    <cellStyle name="40 % - Accent4 3 2 3 4 5 2" xfId="49720"/>
    <cellStyle name="40 % - Accent4 3 2 3 4 6" xfId="20511"/>
    <cellStyle name="40 % - Accent4 3 2 3 4 7" xfId="33491"/>
    <cellStyle name="40 % - Accent4 3 2 3 4 8" xfId="46474"/>
    <cellStyle name="40 % - Accent4 3 2 3 5" xfId="1905"/>
    <cellStyle name="40 % - Accent4 3 2 3 5 2" xfId="5150"/>
    <cellStyle name="40 % - Accent4 3 2 3 5 2 2" xfId="11682"/>
    <cellStyle name="40 % - Accent4 3 2 3 5 2 2 2" xfId="31155"/>
    <cellStyle name="40 % - Accent4 3 2 3 5 2 2 3" xfId="44135"/>
    <cellStyle name="40 % - Accent4 3 2 3 5 2 2 4" xfId="60364"/>
    <cellStyle name="40 % - Accent4 3 2 3 5 2 3" xfId="18175"/>
    <cellStyle name="40 % - Accent4 3 2 3 5 2 4" xfId="24665"/>
    <cellStyle name="40 % - Accent4 3 2 3 5 2 5" xfId="37645"/>
    <cellStyle name="40 % - Accent4 3 2 3 5 2 6" xfId="53874"/>
    <cellStyle name="40 % - Accent4 3 2 3 5 3" xfId="8437"/>
    <cellStyle name="40 % - Accent4 3 2 3 5 3 2" xfId="27910"/>
    <cellStyle name="40 % - Accent4 3 2 3 5 3 3" xfId="40890"/>
    <cellStyle name="40 % - Accent4 3 2 3 5 3 4" xfId="57119"/>
    <cellStyle name="40 % - Accent4 3 2 3 5 4" xfId="14930"/>
    <cellStyle name="40 % - Accent4 3 2 3 5 4 2" xfId="50629"/>
    <cellStyle name="40 % - Accent4 3 2 3 5 5" xfId="21420"/>
    <cellStyle name="40 % - Accent4 3 2 3 5 6" xfId="34400"/>
    <cellStyle name="40 % - Accent4 3 2 3 5 7" xfId="47383"/>
    <cellStyle name="40 % - Accent4 3 2 3 6" xfId="3526"/>
    <cellStyle name="40 % - Accent4 3 2 3 6 2" xfId="10058"/>
    <cellStyle name="40 % - Accent4 3 2 3 6 2 2" xfId="29531"/>
    <cellStyle name="40 % - Accent4 3 2 3 6 2 3" xfId="42511"/>
    <cellStyle name="40 % - Accent4 3 2 3 6 2 4" xfId="58740"/>
    <cellStyle name="40 % - Accent4 3 2 3 6 3" xfId="16551"/>
    <cellStyle name="40 % - Accent4 3 2 3 6 4" xfId="23041"/>
    <cellStyle name="40 % - Accent4 3 2 3 6 5" xfId="36021"/>
    <cellStyle name="40 % - Accent4 3 2 3 6 6" xfId="52250"/>
    <cellStyle name="40 % - Accent4 3 2 3 7" xfId="6813"/>
    <cellStyle name="40 % - Accent4 3 2 3 7 2" xfId="26286"/>
    <cellStyle name="40 % - Accent4 3 2 3 7 3" xfId="39266"/>
    <cellStyle name="40 % - Accent4 3 2 3 7 4" xfId="55495"/>
    <cellStyle name="40 % - Accent4 3 2 3 8" xfId="13306"/>
    <cellStyle name="40 % - Accent4 3 2 3 8 2" xfId="49005"/>
    <cellStyle name="40 % - Accent4 3 2 3 9" xfId="19796"/>
    <cellStyle name="40 % - Accent4 3 2 4" xfId="320"/>
    <cellStyle name="40 % - Accent4 3 2 4 10" xfId="32864"/>
    <cellStyle name="40 % - Accent4 3 2 4 11" xfId="45847"/>
    <cellStyle name="40 % - Accent4 3 2 4 2" xfId="784"/>
    <cellStyle name="40 % - Accent4 3 2 4 2 10" xfId="46307"/>
    <cellStyle name="40 % - Accent4 3 2 4 2 2" xfId="1723"/>
    <cellStyle name="40 % - Accent4 3 2 4 2 2 2" xfId="3390"/>
    <cellStyle name="40 % - Accent4 3 2 4 2 2 2 2" xfId="6635"/>
    <cellStyle name="40 % - Accent4 3 2 4 2 2 2 2 2" xfId="13167"/>
    <cellStyle name="40 % - Accent4 3 2 4 2 2 2 2 2 2" xfId="32640"/>
    <cellStyle name="40 % - Accent4 3 2 4 2 2 2 2 2 3" xfId="45620"/>
    <cellStyle name="40 % - Accent4 3 2 4 2 2 2 2 2 4" xfId="61849"/>
    <cellStyle name="40 % - Accent4 3 2 4 2 2 2 2 3" xfId="19660"/>
    <cellStyle name="40 % - Accent4 3 2 4 2 2 2 2 4" xfId="26150"/>
    <cellStyle name="40 % - Accent4 3 2 4 2 2 2 2 5" xfId="39130"/>
    <cellStyle name="40 % - Accent4 3 2 4 2 2 2 2 6" xfId="55359"/>
    <cellStyle name="40 % - Accent4 3 2 4 2 2 2 3" xfId="9922"/>
    <cellStyle name="40 % - Accent4 3 2 4 2 2 2 3 2" xfId="29395"/>
    <cellStyle name="40 % - Accent4 3 2 4 2 2 2 3 3" xfId="42375"/>
    <cellStyle name="40 % - Accent4 3 2 4 2 2 2 3 4" xfId="58604"/>
    <cellStyle name="40 % - Accent4 3 2 4 2 2 2 4" xfId="16415"/>
    <cellStyle name="40 % - Accent4 3 2 4 2 2 2 4 2" xfId="52114"/>
    <cellStyle name="40 % - Accent4 3 2 4 2 2 2 5" xfId="22905"/>
    <cellStyle name="40 % - Accent4 3 2 4 2 2 2 6" xfId="35885"/>
    <cellStyle name="40 % - Accent4 3 2 4 2 2 2 7" xfId="48868"/>
    <cellStyle name="40 % - Accent4 3 2 4 2 2 3" xfId="5012"/>
    <cellStyle name="40 % - Accent4 3 2 4 2 2 3 2" xfId="11544"/>
    <cellStyle name="40 % - Accent4 3 2 4 2 2 3 2 2" xfId="31017"/>
    <cellStyle name="40 % - Accent4 3 2 4 2 2 3 2 3" xfId="43997"/>
    <cellStyle name="40 % - Accent4 3 2 4 2 2 3 2 4" xfId="60226"/>
    <cellStyle name="40 % - Accent4 3 2 4 2 2 3 3" xfId="18037"/>
    <cellStyle name="40 % - Accent4 3 2 4 2 2 3 4" xfId="24527"/>
    <cellStyle name="40 % - Accent4 3 2 4 2 2 3 5" xfId="37507"/>
    <cellStyle name="40 % - Accent4 3 2 4 2 2 3 6" xfId="53736"/>
    <cellStyle name="40 % - Accent4 3 2 4 2 2 4" xfId="8299"/>
    <cellStyle name="40 % - Accent4 3 2 4 2 2 4 2" xfId="27772"/>
    <cellStyle name="40 % - Accent4 3 2 4 2 2 4 3" xfId="40752"/>
    <cellStyle name="40 % - Accent4 3 2 4 2 2 4 4" xfId="56981"/>
    <cellStyle name="40 % - Accent4 3 2 4 2 2 5" xfId="14792"/>
    <cellStyle name="40 % - Accent4 3 2 4 2 2 5 2" xfId="50491"/>
    <cellStyle name="40 % - Accent4 3 2 4 2 2 6" xfId="21282"/>
    <cellStyle name="40 % - Accent4 3 2 4 2 2 7" xfId="34262"/>
    <cellStyle name="40 % - Accent4 3 2 4 2 2 8" xfId="47245"/>
    <cellStyle name="40 % - Accent4 3 2 4 2 3" xfId="1260"/>
    <cellStyle name="40 % - Accent4 3 2 4 2 3 2" xfId="2927"/>
    <cellStyle name="40 % - Accent4 3 2 4 2 3 2 2" xfId="6172"/>
    <cellStyle name="40 % - Accent4 3 2 4 2 3 2 2 2" xfId="12704"/>
    <cellStyle name="40 % - Accent4 3 2 4 2 3 2 2 2 2" xfId="32177"/>
    <cellStyle name="40 % - Accent4 3 2 4 2 3 2 2 2 3" xfId="45157"/>
    <cellStyle name="40 % - Accent4 3 2 4 2 3 2 2 2 4" xfId="61386"/>
    <cellStyle name="40 % - Accent4 3 2 4 2 3 2 2 3" xfId="19197"/>
    <cellStyle name="40 % - Accent4 3 2 4 2 3 2 2 4" xfId="25687"/>
    <cellStyle name="40 % - Accent4 3 2 4 2 3 2 2 5" xfId="38667"/>
    <cellStyle name="40 % - Accent4 3 2 4 2 3 2 2 6" xfId="54896"/>
    <cellStyle name="40 % - Accent4 3 2 4 2 3 2 3" xfId="9459"/>
    <cellStyle name="40 % - Accent4 3 2 4 2 3 2 3 2" xfId="28932"/>
    <cellStyle name="40 % - Accent4 3 2 4 2 3 2 3 3" xfId="41912"/>
    <cellStyle name="40 % - Accent4 3 2 4 2 3 2 3 4" xfId="58141"/>
    <cellStyle name="40 % - Accent4 3 2 4 2 3 2 4" xfId="15952"/>
    <cellStyle name="40 % - Accent4 3 2 4 2 3 2 4 2" xfId="51651"/>
    <cellStyle name="40 % - Accent4 3 2 4 2 3 2 5" xfId="22442"/>
    <cellStyle name="40 % - Accent4 3 2 4 2 3 2 6" xfId="35422"/>
    <cellStyle name="40 % - Accent4 3 2 4 2 3 2 7" xfId="48405"/>
    <cellStyle name="40 % - Accent4 3 2 4 2 3 3" xfId="4549"/>
    <cellStyle name="40 % - Accent4 3 2 4 2 3 3 2" xfId="11081"/>
    <cellStyle name="40 % - Accent4 3 2 4 2 3 3 2 2" xfId="30554"/>
    <cellStyle name="40 % - Accent4 3 2 4 2 3 3 2 3" xfId="43534"/>
    <cellStyle name="40 % - Accent4 3 2 4 2 3 3 2 4" xfId="59763"/>
    <cellStyle name="40 % - Accent4 3 2 4 2 3 3 3" xfId="17574"/>
    <cellStyle name="40 % - Accent4 3 2 4 2 3 3 4" xfId="24064"/>
    <cellStyle name="40 % - Accent4 3 2 4 2 3 3 5" xfId="37044"/>
    <cellStyle name="40 % - Accent4 3 2 4 2 3 3 6" xfId="53273"/>
    <cellStyle name="40 % - Accent4 3 2 4 2 3 4" xfId="7836"/>
    <cellStyle name="40 % - Accent4 3 2 4 2 3 4 2" xfId="27309"/>
    <cellStyle name="40 % - Accent4 3 2 4 2 3 4 3" xfId="40289"/>
    <cellStyle name="40 % - Accent4 3 2 4 2 3 4 4" xfId="56518"/>
    <cellStyle name="40 % - Accent4 3 2 4 2 3 5" xfId="14329"/>
    <cellStyle name="40 % - Accent4 3 2 4 2 3 5 2" xfId="50028"/>
    <cellStyle name="40 % - Accent4 3 2 4 2 3 6" xfId="20819"/>
    <cellStyle name="40 % - Accent4 3 2 4 2 3 7" xfId="33799"/>
    <cellStyle name="40 % - Accent4 3 2 4 2 3 8" xfId="46782"/>
    <cellStyle name="40 % - Accent4 3 2 4 2 4" xfId="2452"/>
    <cellStyle name="40 % - Accent4 3 2 4 2 4 2" xfId="5697"/>
    <cellStyle name="40 % - Accent4 3 2 4 2 4 2 2" xfId="12229"/>
    <cellStyle name="40 % - Accent4 3 2 4 2 4 2 2 2" xfId="31702"/>
    <cellStyle name="40 % - Accent4 3 2 4 2 4 2 2 3" xfId="44682"/>
    <cellStyle name="40 % - Accent4 3 2 4 2 4 2 2 4" xfId="60911"/>
    <cellStyle name="40 % - Accent4 3 2 4 2 4 2 3" xfId="18722"/>
    <cellStyle name="40 % - Accent4 3 2 4 2 4 2 4" xfId="25212"/>
    <cellStyle name="40 % - Accent4 3 2 4 2 4 2 5" xfId="38192"/>
    <cellStyle name="40 % - Accent4 3 2 4 2 4 2 6" xfId="54421"/>
    <cellStyle name="40 % - Accent4 3 2 4 2 4 3" xfId="8984"/>
    <cellStyle name="40 % - Accent4 3 2 4 2 4 3 2" xfId="28457"/>
    <cellStyle name="40 % - Accent4 3 2 4 2 4 3 3" xfId="41437"/>
    <cellStyle name="40 % - Accent4 3 2 4 2 4 3 4" xfId="57666"/>
    <cellStyle name="40 % - Accent4 3 2 4 2 4 4" xfId="15477"/>
    <cellStyle name="40 % - Accent4 3 2 4 2 4 4 2" xfId="51176"/>
    <cellStyle name="40 % - Accent4 3 2 4 2 4 5" xfId="21967"/>
    <cellStyle name="40 % - Accent4 3 2 4 2 4 6" xfId="34947"/>
    <cellStyle name="40 % - Accent4 3 2 4 2 4 7" xfId="47930"/>
    <cellStyle name="40 % - Accent4 3 2 4 2 5" xfId="4074"/>
    <cellStyle name="40 % - Accent4 3 2 4 2 5 2" xfId="10606"/>
    <cellStyle name="40 % - Accent4 3 2 4 2 5 2 2" xfId="30079"/>
    <cellStyle name="40 % - Accent4 3 2 4 2 5 2 3" xfId="43059"/>
    <cellStyle name="40 % - Accent4 3 2 4 2 5 2 4" xfId="59288"/>
    <cellStyle name="40 % - Accent4 3 2 4 2 5 3" xfId="17099"/>
    <cellStyle name="40 % - Accent4 3 2 4 2 5 4" xfId="23589"/>
    <cellStyle name="40 % - Accent4 3 2 4 2 5 5" xfId="36569"/>
    <cellStyle name="40 % - Accent4 3 2 4 2 5 6" xfId="52798"/>
    <cellStyle name="40 % - Accent4 3 2 4 2 6" xfId="7361"/>
    <cellStyle name="40 % - Accent4 3 2 4 2 6 2" xfId="26834"/>
    <cellStyle name="40 % - Accent4 3 2 4 2 6 3" xfId="39814"/>
    <cellStyle name="40 % - Accent4 3 2 4 2 6 4" xfId="56043"/>
    <cellStyle name="40 % - Accent4 3 2 4 2 7" xfId="13854"/>
    <cellStyle name="40 % - Accent4 3 2 4 2 7 2" xfId="49553"/>
    <cellStyle name="40 % - Accent4 3 2 4 2 8" xfId="20344"/>
    <cellStyle name="40 % - Accent4 3 2 4 2 9" xfId="33324"/>
    <cellStyle name="40 % - Accent4 3 2 4 3" xfId="554"/>
    <cellStyle name="40 % - Accent4 3 2 4 3 2" xfId="1503"/>
    <cellStyle name="40 % - Accent4 3 2 4 3 2 2" xfId="3170"/>
    <cellStyle name="40 % - Accent4 3 2 4 3 2 2 2" xfId="6415"/>
    <cellStyle name="40 % - Accent4 3 2 4 3 2 2 2 2" xfId="12947"/>
    <cellStyle name="40 % - Accent4 3 2 4 3 2 2 2 2 2" xfId="32420"/>
    <cellStyle name="40 % - Accent4 3 2 4 3 2 2 2 2 3" xfId="45400"/>
    <cellStyle name="40 % - Accent4 3 2 4 3 2 2 2 2 4" xfId="61629"/>
    <cellStyle name="40 % - Accent4 3 2 4 3 2 2 2 3" xfId="19440"/>
    <cellStyle name="40 % - Accent4 3 2 4 3 2 2 2 4" xfId="25930"/>
    <cellStyle name="40 % - Accent4 3 2 4 3 2 2 2 5" xfId="38910"/>
    <cellStyle name="40 % - Accent4 3 2 4 3 2 2 2 6" xfId="55139"/>
    <cellStyle name="40 % - Accent4 3 2 4 3 2 2 3" xfId="9702"/>
    <cellStyle name="40 % - Accent4 3 2 4 3 2 2 3 2" xfId="29175"/>
    <cellStyle name="40 % - Accent4 3 2 4 3 2 2 3 3" xfId="42155"/>
    <cellStyle name="40 % - Accent4 3 2 4 3 2 2 3 4" xfId="58384"/>
    <cellStyle name="40 % - Accent4 3 2 4 3 2 2 4" xfId="16195"/>
    <cellStyle name="40 % - Accent4 3 2 4 3 2 2 4 2" xfId="51894"/>
    <cellStyle name="40 % - Accent4 3 2 4 3 2 2 5" xfId="22685"/>
    <cellStyle name="40 % - Accent4 3 2 4 3 2 2 6" xfId="35665"/>
    <cellStyle name="40 % - Accent4 3 2 4 3 2 2 7" xfId="48648"/>
    <cellStyle name="40 % - Accent4 3 2 4 3 2 3" xfId="4792"/>
    <cellStyle name="40 % - Accent4 3 2 4 3 2 3 2" xfId="11324"/>
    <cellStyle name="40 % - Accent4 3 2 4 3 2 3 2 2" xfId="30797"/>
    <cellStyle name="40 % - Accent4 3 2 4 3 2 3 2 3" xfId="43777"/>
    <cellStyle name="40 % - Accent4 3 2 4 3 2 3 2 4" xfId="60006"/>
    <cellStyle name="40 % - Accent4 3 2 4 3 2 3 3" xfId="17817"/>
    <cellStyle name="40 % - Accent4 3 2 4 3 2 3 4" xfId="24307"/>
    <cellStyle name="40 % - Accent4 3 2 4 3 2 3 5" xfId="37287"/>
    <cellStyle name="40 % - Accent4 3 2 4 3 2 3 6" xfId="53516"/>
    <cellStyle name="40 % - Accent4 3 2 4 3 2 4" xfId="8079"/>
    <cellStyle name="40 % - Accent4 3 2 4 3 2 4 2" xfId="27552"/>
    <cellStyle name="40 % - Accent4 3 2 4 3 2 4 3" xfId="40532"/>
    <cellStyle name="40 % - Accent4 3 2 4 3 2 4 4" xfId="56761"/>
    <cellStyle name="40 % - Accent4 3 2 4 3 2 5" xfId="14572"/>
    <cellStyle name="40 % - Accent4 3 2 4 3 2 5 2" xfId="50271"/>
    <cellStyle name="40 % - Accent4 3 2 4 3 2 6" xfId="21062"/>
    <cellStyle name="40 % - Accent4 3 2 4 3 2 7" xfId="34042"/>
    <cellStyle name="40 % - Accent4 3 2 4 3 2 8" xfId="47025"/>
    <cellStyle name="40 % - Accent4 3 2 4 3 3" xfId="2222"/>
    <cellStyle name="40 % - Accent4 3 2 4 3 3 2" xfId="5467"/>
    <cellStyle name="40 % - Accent4 3 2 4 3 3 2 2" xfId="11999"/>
    <cellStyle name="40 % - Accent4 3 2 4 3 3 2 2 2" xfId="31472"/>
    <cellStyle name="40 % - Accent4 3 2 4 3 3 2 2 3" xfId="44452"/>
    <cellStyle name="40 % - Accent4 3 2 4 3 3 2 2 4" xfId="60681"/>
    <cellStyle name="40 % - Accent4 3 2 4 3 3 2 3" xfId="18492"/>
    <cellStyle name="40 % - Accent4 3 2 4 3 3 2 4" xfId="24982"/>
    <cellStyle name="40 % - Accent4 3 2 4 3 3 2 5" xfId="37962"/>
    <cellStyle name="40 % - Accent4 3 2 4 3 3 2 6" xfId="54191"/>
    <cellStyle name="40 % - Accent4 3 2 4 3 3 3" xfId="8754"/>
    <cellStyle name="40 % - Accent4 3 2 4 3 3 3 2" xfId="28227"/>
    <cellStyle name="40 % - Accent4 3 2 4 3 3 3 3" xfId="41207"/>
    <cellStyle name="40 % - Accent4 3 2 4 3 3 3 4" xfId="57436"/>
    <cellStyle name="40 % - Accent4 3 2 4 3 3 4" xfId="15247"/>
    <cellStyle name="40 % - Accent4 3 2 4 3 3 4 2" xfId="50946"/>
    <cellStyle name="40 % - Accent4 3 2 4 3 3 5" xfId="21737"/>
    <cellStyle name="40 % - Accent4 3 2 4 3 3 6" xfId="34717"/>
    <cellStyle name="40 % - Accent4 3 2 4 3 3 7" xfId="47700"/>
    <cellStyle name="40 % - Accent4 3 2 4 3 4" xfId="3844"/>
    <cellStyle name="40 % - Accent4 3 2 4 3 4 2" xfId="10376"/>
    <cellStyle name="40 % - Accent4 3 2 4 3 4 2 2" xfId="29849"/>
    <cellStyle name="40 % - Accent4 3 2 4 3 4 2 3" xfId="42829"/>
    <cellStyle name="40 % - Accent4 3 2 4 3 4 2 4" xfId="59058"/>
    <cellStyle name="40 % - Accent4 3 2 4 3 4 3" xfId="16869"/>
    <cellStyle name="40 % - Accent4 3 2 4 3 4 4" xfId="23359"/>
    <cellStyle name="40 % - Accent4 3 2 4 3 4 5" xfId="36339"/>
    <cellStyle name="40 % - Accent4 3 2 4 3 4 6" xfId="52568"/>
    <cellStyle name="40 % - Accent4 3 2 4 3 5" xfId="7131"/>
    <cellStyle name="40 % - Accent4 3 2 4 3 5 2" xfId="26604"/>
    <cellStyle name="40 % - Accent4 3 2 4 3 5 3" xfId="39584"/>
    <cellStyle name="40 % - Accent4 3 2 4 3 5 4" xfId="55813"/>
    <cellStyle name="40 % - Accent4 3 2 4 3 6" xfId="13624"/>
    <cellStyle name="40 % - Accent4 3 2 4 3 6 2" xfId="49323"/>
    <cellStyle name="40 % - Accent4 3 2 4 3 7" xfId="20114"/>
    <cellStyle name="40 % - Accent4 3 2 4 3 8" xfId="33094"/>
    <cellStyle name="40 % - Accent4 3 2 4 3 9" xfId="46077"/>
    <cellStyle name="40 % - Accent4 3 2 4 4" xfId="1040"/>
    <cellStyle name="40 % - Accent4 3 2 4 4 2" xfId="2707"/>
    <cellStyle name="40 % - Accent4 3 2 4 4 2 2" xfId="5952"/>
    <cellStyle name="40 % - Accent4 3 2 4 4 2 2 2" xfId="12484"/>
    <cellStyle name="40 % - Accent4 3 2 4 4 2 2 2 2" xfId="31957"/>
    <cellStyle name="40 % - Accent4 3 2 4 4 2 2 2 3" xfId="44937"/>
    <cellStyle name="40 % - Accent4 3 2 4 4 2 2 2 4" xfId="61166"/>
    <cellStyle name="40 % - Accent4 3 2 4 4 2 2 3" xfId="18977"/>
    <cellStyle name="40 % - Accent4 3 2 4 4 2 2 4" xfId="25467"/>
    <cellStyle name="40 % - Accent4 3 2 4 4 2 2 5" xfId="38447"/>
    <cellStyle name="40 % - Accent4 3 2 4 4 2 2 6" xfId="54676"/>
    <cellStyle name="40 % - Accent4 3 2 4 4 2 3" xfId="9239"/>
    <cellStyle name="40 % - Accent4 3 2 4 4 2 3 2" xfId="28712"/>
    <cellStyle name="40 % - Accent4 3 2 4 4 2 3 3" xfId="41692"/>
    <cellStyle name="40 % - Accent4 3 2 4 4 2 3 4" xfId="57921"/>
    <cellStyle name="40 % - Accent4 3 2 4 4 2 4" xfId="15732"/>
    <cellStyle name="40 % - Accent4 3 2 4 4 2 4 2" xfId="51431"/>
    <cellStyle name="40 % - Accent4 3 2 4 4 2 5" xfId="22222"/>
    <cellStyle name="40 % - Accent4 3 2 4 4 2 6" xfId="35202"/>
    <cellStyle name="40 % - Accent4 3 2 4 4 2 7" xfId="48185"/>
    <cellStyle name="40 % - Accent4 3 2 4 4 3" xfId="4329"/>
    <cellStyle name="40 % - Accent4 3 2 4 4 3 2" xfId="10861"/>
    <cellStyle name="40 % - Accent4 3 2 4 4 3 2 2" xfId="30334"/>
    <cellStyle name="40 % - Accent4 3 2 4 4 3 2 3" xfId="43314"/>
    <cellStyle name="40 % - Accent4 3 2 4 4 3 2 4" xfId="59543"/>
    <cellStyle name="40 % - Accent4 3 2 4 4 3 3" xfId="17354"/>
    <cellStyle name="40 % - Accent4 3 2 4 4 3 4" xfId="23844"/>
    <cellStyle name="40 % - Accent4 3 2 4 4 3 5" xfId="36824"/>
    <cellStyle name="40 % - Accent4 3 2 4 4 3 6" xfId="53053"/>
    <cellStyle name="40 % - Accent4 3 2 4 4 4" xfId="7616"/>
    <cellStyle name="40 % - Accent4 3 2 4 4 4 2" xfId="27089"/>
    <cellStyle name="40 % - Accent4 3 2 4 4 4 3" xfId="40069"/>
    <cellStyle name="40 % - Accent4 3 2 4 4 4 4" xfId="56298"/>
    <cellStyle name="40 % - Accent4 3 2 4 4 5" xfId="14109"/>
    <cellStyle name="40 % - Accent4 3 2 4 4 5 2" xfId="49808"/>
    <cellStyle name="40 % - Accent4 3 2 4 4 6" xfId="20599"/>
    <cellStyle name="40 % - Accent4 3 2 4 4 7" xfId="33579"/>
    <cellStyle name="40 % - Accent4 3 2 4 4 8" xfId="46562"/>
    <cellStyle name="40 % - Accent4 3 2 4 5" xfId="1993"/>
    <cellStyle name="40 % - Accent4 3 2 4 5 2" xfId="5238"/>
    <cellStyle name="40 % - Accent4 3 2 4 5 2 2" xfId="11770"/>
    <cellStyle name="40 % - Accent4 3 2 4 5 2 2 2" xfId="31243"/>
    <cellStyle name="40 % - Accent4 3 2 4 5 2 2 3" xfId="44223"/>
    <cellStyle name="40 % - Accent4 3 2 4 5 2 2 4" xfId="60452"/>
    <cellStyle name="40 % - Accent4 3 2 4 5 2 3" xfId="18263"/>
    <cellStyle name="40 % - Accent4 3 2 4 5 2 4" xfId="24753"/>
    <cellStyle name="40 % - Accent4 3 2 4 5 2 5" xfId="37733"/>
    <cellStyle name="40 % - Accent4 3 2 4 5 2 6" xfId="53962"/>
    <cellStyle name="40 % - Accent4 3 2 4 5 3" xfId="8525"/>
    <cellStyle name="40 % - Accent4 3 2 4 5 3 2" xfId="27998"/>
    <cellStyle name="40 % - Accent4 3 2 4 5 3 3" xfId="40978"/>
    <cellStyle name="40 % - Accent4 3 2 4 5 3 4" xfId="57207"/>
    <cellStyle name="40 % - Accent4 3 2 4 5 4" xfId="15018"/>
    <cellStyle name="40 % - Accent4 3 2 4 5 4 2" xfId="50717"/>
    <cellStyle name="40 % - Accent4 3 2 4 5 5" xfId="21508"/>
    <cellStyle name="40 % - Accent4 3 2 4 5 6" xfId="34488"/>
    <cellStyle name="40 % - Accent4 3 2 4 5 7" xfId="47471"/>
    <cellStyle name="40 % - Accent4 3 2 4 6" xfId="3614"/>
    <cellStyle name="40 % - Accent4 3 2 4 6 2" xfId="10146"/>
    <cellStyle name="40 % - Accent4 3 2 4 6 2 2" xfId="29619"/>
    <cellStyle name="40 % - Accent4 3 2 4 6 2 3" xfId="42599"/>
    <cellStyle name="40 % - Accent4 3 2 4 6 2 4" xfId="58828"/>
    <cellStyle name="40 % - Accent4 3 2 4 6 3" xfId="16639"/>
    <cellStyle name="40 % - Accent4 3 2 4 6 4" xfId="23129"/>
    <cellStyle name="40 % - Accent4 3 2 4 6 5" xfId="36109"/>
    <cellStyle name="40 % - Accent4 3 2 4 6 6" xfId="52338"/>
    <cellStyle name="40 % - Accent4 3 2 4 7" xfId="6901"/>
    <cellStyle name="40 % - Accent4 3 2 4 7 2" xfId="26374"/>
    <cellStyle name="40 % - Accent4 3 2 4 7 3" xfId="39354"/>
    <cellStyle name="40 % - Accent4 3 2 4 7 4" xfId="55583"/>
    <cellStyle name="40 % - Accent4 3 2 4 8" xfId="13394"/>
    <cellStyle name="40 % - Accent4 3 2 4 8 2" xfId="49093"/>
    <cellStyle name="40 % - Accent4 3 2 4 9" xfId="19884"/>
    <cellStyle name="40 % - Accent4 3 2 5" xfId="652"/>
    <cellStyle name="40 % - Accent4 3 2 5 10" xfId="46175"/>
    <cellStyle name="40 % - Accent4 3 2 5 2" xfId="1591"/>
    <cellStyle name="40 % - Accent4 3 2 5 2 2" xfId="3258"/>
    <cellStyle name="40 % - Accent4 3 2 5 2 2 2" xfId="6503"/>
    <cellStyle name="40 % - Accent4 3 2 5 2 2 2 2" xfId="13035"/>
    <cellStyle name="40 % - Accent4 3 2 5 2 2 2 2 2" xfId="32508"/>
    <cellStyle name="40 % - Accent4 3 2 5 2 2 2 2 3" xfId="45488"/>
    <cellStyle name="40 % - Accent4 3 2 5 2 2 2 2 4" xfId="61717"/>
    <cellStyle name="40 % - Accent4 3 2 5 2 2 2 3" xfId="19528"/>
    <cellStyle name="40 % - Accent4 3 2 5 2 2 2 4" xfId="26018"/>
    <cellStyle name="40 % - Accent4 3 2 5 2 2 2 5" xfId="38998"/>
    <cellStyle name="40 % - Accent4 3 2 5 2 2 2 6" xfId="55227"/>
    <cellStyle name="40 % - Accent4 3 2 5 2 2 3" xfId="9790"/>
    <cellStyle name="40 % - Accent4 3 2 5 2 2 3 2" xfId="29263"/>
    <cellStyle name="40 % - Accent4 3 2 5 2 2 3 3" xfId="42243"/>
    <cellStyle name="40 % - Accent4 3 2 5 2 2 3 4" xfId="58472"/>
    <cellStyle name="40 % - Accent4 3 2 5 2 2 4" xfId="16283"/>
    <cellStyle name="40 % - Accent4 3 2 5 2 2 4 2" xfId="51982"/>
    <cellStyle name="40 % - Accent4 3 2 5 2 2 5" xfId="22773"/>
    <cellStyle name="40 % - Accent4 3 2 5 2 2 6" xfId="35753"/>
    <cellStyle name="40 % - Accent4 3 2 5 2 2 7" xfId="48736"/>
    <cellStyle name="40 % - Accent4 3 2 5 2 3" xfId="4880"/>
    <cellStyle name="40 % - Accent4 3 2 5 2 3 2" xfId="11412"/>
    <cellStyle name="40 % - Accent4 3 2 5 2 3 2 2" xfId="30885"/>
    <cellStyle name="40 % - Accent4 3 2 5 2 3 2 3" xfId="43865"/>
    <cellStyle name="40 % - Accent4 3 2 5 2 3 2 4" xfId="60094"/>
    <cellStyle name="40 % - Accent4 3 2 5 2 3 3" xfId="17905"/>
    <cellStyle name="40 % - Accent4 3 2 5 2 3 4" xfId="24395"/>
    <cellStyle name="40 % - Accent4 3 2 5 2 3 5" xfId="37375"/>
    <cellStyle name="40 % - Accent4 3 2 5 2 3 6" xfId="53604"/>
    <cellStyle name="40 % - Accent4 3 2 5 2 4" xfId="8167"/>
    <cellStyle name="40 % - Accent4 3 2 5 2 4 2" xfId="27640"/>
    <cellStyle name="40 % - Accent4 3 2 5 2 4 3" xfId="40620"/>
    <cellStyle name="40 % - Accent4 3 2 5 2 4 4" xfId="56849"/>
    <cellStyle name="40 % - Accent4 3 2 5 2 5" xfId="14660"/>
    <cellStyle name="40 % - Accent4 3 2 5 2 5 2" xfId="50359"/>
    <cellStyle name="40 % - Accent4 3 2 5 2 6" xfId="21150"/>
    <cellStyle name="40 % - Accent4 3 2 5 2 7" xfId="34130"/>
    <cellStyle name="40 % - Accent4 3 2 5 2 8" xfId="47113"/>
    <cellStyle name="40 % - Accent4 3 2 5 3" xfId="1128"/>
    <cellStyle name="40 % - Accent4 3 2 5 3 2" xfId="2795"/>
    <cellStyle name="40 % - Accent4 3 2 5 3 2 2" xfId="6040"/>
    <cellStyle name="40 % - Accent4 3 2 5 3 2 2 2" xfId="12572"/>
    <cellStyle name="40 % - Accent4 3 2 5 3 2 2 2 2" xfId="32045"/>
    <cellStyle name="40 % - Accent4 3 2 5 3 2 2 2 3" xfId="45025"/>
    <cellStyle name="40 % - Accent4 3 2 5 3 2 2 2 4" xfId="61254"/>
    <cellStyle name="40 % - Accent4 3 2 5 3 2 2 3" xfId="19065"/>
    <cellStyle name="40 % - Accent4 3 2 5 3 2 2 4" xfId="25555"/>
    <cellStyle name="40 % - Accent4 3 2 5 3 2 2 5" xfId="38535"/>
    <cellStyle name="40 % - Accent4 3 2 5 3 2 2 6" xfId="54764"/>
    <cellStyle name="40 % - Accent4 3 2 5 3 2 3" xfId="9327"/>
    <cellStyle name="40 % - Accent4 3 2 5 3 2 3 2" xfId="28800"/>
    <cellStyle name="40 % - Accent4 3 2 5 3 2 3 3" xfId="41780"/>
    <cellStyle name="40 % - Accent4 3 2 5 3 2 3 4" xfId="58009"/>
    <cellStyle name="40 % - Accent4 3 2 5 3 2 4" xfId="15820"/>
    <cellStyle name="40 % - Accent4 3 2 5 3 2 4 2" xfId="51519"/>
    <cellStyle name="40 % - Accent4 3 2 5 3 2 5" xfId="22310"/>
    <cellStyle name="40 % - Accent4 3 2 5 3 2 6" xfId="35290"/>
    <cellStyle name="40 % - Accent4 3 2 5 3 2 7" xfId="48273"/>
    <cellStyle name="40 % - Accent4 3 2 5 3 3" xfId="4417"/>
    <cellStyle name="40 % - Accent4 3 2 5 3 3 2" xfId="10949"/>
    <cellStyle name="40 % - Accent4 3 2 5 3 3 2 2" xfId="30422"/>
    <cellStyle name="40 % - Accent4 3 2 5 3 3 2 3" xfId="43402"/>
    <cellStyle name="40 % - Accent4 3 2 5 3 3 2 4" xfId="59631"/>
    <cellStyle name="40 % - Accent4 3 2 5 3 3 3" xfId="17442"/>
    <cellStyle name="40 % - Accent4 3 2 5 3 3 4" xfId="23932"/>
    <cellStyle name="40 % - Accent4 3 2 5 3 3 5" xfId="36912"/>
    <cellStyle name="40 % - Accent4 3 2 5 3 3 6" xfId="53141"/>
    <cellStyle name="40 % - Accent4 3 2 5 3 4" xfId="7704"/>
    <cellStyle name="40 % - Accent4 3 2 5 3 4 2" xfId="27177"/>
    <cellStyle name="40 % - Accent4 3 2 5 3 4 3" xfId="40157"/>
    <cellStyle name="40 % - Accent4 3 2 5 3 4 4" xfId="56386"/>
    <cellStyle name="40 % - Accent4 3 2 5 3 5" xfId="14197"/>
    <cellStyle name="40 % - Accent4 3 2 5 3 5 2" xfId="49896"/>
    <cellStyle name="40 % - Accent4 3 2 5 3 6" xfId="20687"/>
    <cellStyle name="40 % - Accent4 3 2 5 3 7" xfId="33667"/>
    <cellStyle name="40 % - Accent4 3 2 5 3 8" xfId="46650"/>
    <cellStyle name="40 % - Accent4 3 2 5 4" xfId="2320"/>
    <cellStyle name="40 % - Accent4 3 2 5 4 2" xfId="5565"/>
    <cellStyle name="40 % - Accent4 3 2 5 4 2 2" xfId="12097"/>
    <cellStyle name="40 % - Accent4 3 2 5 4 2 2 2" xfId="31570"/>
    <cellStyle name="40 % - Accent4 3 2 5 4 2 2 3" xfId="44550"/>
    <cellStyle name="40 % - Accent4 3 2 5 4 2 2 4" xfId="60779"/>
    <cellStyle name="40 % - Accent4 3 2 5 4 2 3" xfId="18590"/>
    <cellStyle name="40 % - Accent4 3 2 5 4 2 4" xfId="25080"/>
    <cellStyle name="40 % - Accent4 3 2 5 4 2 5" xfId="38060"/>
    <cellStyle name="40 % - Accent4 3 2 5 4 2 6" xfId="54289"/>
    <cellStyle name="40 % - Accent4 3 2 5 4 3" xfId="8852"/>
    <cellStyle name="40 % - Accent4 3 2 5 4 3 2" xfId="28325"/>
    <cellStyle name="40 % - Accent4 3 2 5 4 3 3" xfId="41305"/>
    <cellStyle name="40 % - Accent4 3 2 5 4 3 4" xfId="57534"/>
    <cellStyle name="40 % - Accent4 3 2 5 4 4" xfId="15345"/>
    <cellStyle name="40 % - Accent4 3 2 5 4 4 2" xfId="51044"/>
    <cellStyle name="40 % - Accent4 3 2 5 4 5" xfId="21835"/>
    <cellStyle name="40 % - Accent4 3 2 5 4 6" xfId="34815"/>
    <cellStyle name="40 % - Accent4 3 2 5 4 7" xfId="47798"/>
    <cellStyle name="40 % - Accent4 3 2 5 5" xfId="3942"/>
    <cellStyle name="40 % - Accent4 3 2 5 5 2" xfId="10474"/>
    <cellStyle name="40 % - Accent4 3 2 5 5 2 2" xfId="29947"/>
    <cellStyle name="40 % - Accent4 3 2 5 5 2 3" xfId="42927"/>
    <cellStyle name="40 % - Accent4 3 2 5 5 2 4" xfId="59156"/>
    <cellStyle name="40 % - Accent4 3 2 5 5 3" xfId="16967"/>
    <cellStyle name="40 % - Accent4 3 2 5 5 4" xfId="23457"/>
    <cellStyle name="40 % - Accent4 3 2 5 5 5" xfId="36437"/>
    <cellStyle name="40 % - Accent4 3 2 5 5 6" xfId="52666"/>
    <cellStyle name="40 % - Accent4 3 2 5 6" xfId="7229"/>
    <cellStyle name="40 % - Accent4 3 2 5 6 2" xfId="26702"/>
    <cellStyle name="40 % - Accent4 3 2 5 6 3" xfId="39682"/>
    <cellStyle name="40 % - Accent4 3 2 5 6 4" xfId="55911"/>
    <cellStyle name="40 % - Accent4 3 2 5 7" xfId="13722"/>
    <cellStyle name="40 % - Accent4 3 2 5 7 2" xfId="49421"/>
    <cellStyle name="40 % - Accent4 3 2 5 8" xfId="20212"/>
    <cellStyle name="40 % - Accent4 3 2 5 9" xfId="33192"/>
    <cellStyle name="40 % - Accent4 3 2 6" xfId="422"/>
    <cellStyle name="40 % - Accent4 3 2 6 2" xfId="1371"/>
    <cellStyle name="40 % - Accent4 3 2 6 2 2" xfId="3038"/>
    <cellStyle name="40 % - Accent4 3 2 6 2 2 2" xfId="6283"/>
    <cellStyle name="40 % - Accent4 3 2 6 2 2 2 2" xfId="12815"/>
    <cellStyle name="40 % - Accent4 3 2 6 2 2 2 2 2" xfId="32288"/>
    <cellStyle name="40 % - Accent4 3 2 6 2 2 2 2 3" xfId="45268"/>
    <cellStyle name="40 % - Accent4 3 2 6 2 2 2 2 4" xfId="61497"/>
    <cellStyle name="40 % - Accent4 3 2 6 2 2 2 3" xfId="19308"/>
    <cellStyle name="40 % - Accent4 3 2 6 2 2 2 4" xfId="25798"/>
    <cellStyle name="40 % - Accent4 3 2 6 2 2 2 5" xfId="38778"/>
    <cellStyle name="40 % - Accent4 3 2 6 2 2 2 6" xfId="55007"/>
    <cellStyle name="40 % - Accent4 3 2 6 2 2 3" xfId="9570"/>
    <cellStyle name="40 % - Accent4 3 2 6 2 2 3 2" xfId="29043"/>
    <cellStyle name="40 % - Accent4 3 2 6 2 2 3 3" xfId="42023"/>
    <cellStyle name="40 % - Accent4 3 2 6 2 2 3 4" xfId="58252"/>
    <cellStyle name="40 % - Accent4 3 2 6 2 2 4" xfId="16063"/>
    <cellStyle name="40 % - Accent4 3 2 6 2 2 4 2" xfId="51762"/>
    <cellStyle name="40 % - Accent4 3 2 6 2 2 5" xfId="22553"/>
    <cellStyle name="40 % - Accent4 3 2 6 2 2 6" xfId="35533"/>
    <cellStyle name="40 % - Accent4 3 2 6 2 2 7" xfId="48516"/>
    <cellStyle name="40 % - Accent4 3 2 6 2 3" xfId="4660"/>
    <cellStyle name="40 % - Accent4 3 2 6 2 3 2" xfId="11192"/>
    <cellStyle name="40 % - Accent4 3 2 6 2 3 2 2" xfId="30665"/>
    <cellStyle name="40 % - Accent4 3 2 6 2 3 2 3" xfId="43645"/>
    <cellStyle name="40 % - Accent4 3 2 6 2 3 2 4" xfId="59874"/>
    <cellStyle name="40 % - Accent4 3 2 6 2 3 3" xfId="17685"/>
    <cellStyle name="40 % - Accent4 3 2 6 2 3 4" xfId="24175"/>
    <cellStyle name="40 % - Accent4 3 2 6 2 3 5" xfId="37155"/>
    <cellStyle name="40 % - Accent4 3 2 6 2 3 6" xfId="53384"/>
    <cellStyle name="40 % - Accent4 3 2 6 2 4" xfId="7947"/>
    <cellStyle name="40 % - Accent4 3 2 6 2 4 2" xfId="27420"/>
    <cellStyle name="40 % - Accent4 3 2 6 2 4 3" xfId="40400"/>
    <cellStyle name="40 % - Accent4 3 2 6 2 4 4" xfId="56629"/>
    <cellStyle name="40 % - Accent4 3 2 6 2 5" xfId="14440"/>
    <cellStyle name="40 % - Accent4 3 2 6 2 5 2" xfId="50139"/>
    <cellStyle name="40 % - Accent4 3 2 6 2 6" xfId="20930"/>
    <cellStyle name="40 % - Accent4 3 2 6 2 7" xfId="33910"/>
    <cellStyle name="40 % - Accent4 3 2 6 2 8" xfId="46893"/>
    <cellStyle name="40 % - Accent4 3 2 6 3" xfId="2090"/>
    <cellStyle name="40 % - Accent4 3 2 6 3 2" xfId="5335"/>
    <cellStyle name="40 % - Accent4 3 2 6 3 2 2" xfId="11867"/>
    <cellStyle name="40 % - Accent4 3 2 6 3 2 2 2" xfId="31340"/>
    <cellStyle name="40 % - Accent4 3 2 6 3 2 2 3" xfId="44320"/>
    <cellStyle name="40 % - Accent4 3 2 6 3 2 2 4" xfId="60549"/>
    <cellStyle name="40 % - Accent4 3 2 6 3 2 3" xfId="18360"/>
    <cellStyle name="40 % - Accent4 3 2 6 3 2 4" xfId="24850"/>
    <cellStyle name="40 % - Accent4 3 2 6 3 2 5" xfId="37830"/>
    <cellStyle name="40 % - Accent4 3 2 6 3 2 6" xfId="54059"/>
    <cellStyle name="40 % - Accent4 3 2 6 3 3" xfId="8622"/>
    <cellStyle name="40 % - Accent4 3 2 6 3 3 2" xfId="28095"/>
    <cellStyle name="40 % - Accent4 3 2 6 3 3 3" xfId="41075"/>
    <cellStyle name="40 % - Accent4 3 2 6 3 3 4" xfId="57304"/>
    <cellStyle name="40 % - Accent4 3 2 6 3 4" xfId="15115"/>
    <cellStyle name="40 % - Accent4 3 2 6 3 4 2" xfId="50814"/>
    <cellStyle name="40 % - Accent4 3 2 6 3 5" xfId="21605"/>
    <cellStyle name="40 % - Accent4 3 2 6 3 6" xfId="34585"/>
    <cellStyle name="40 % - Accent4 3 2 6 3 7" xfId="47568"/>
    <cellStyle name="40 % - Accent4 3 2 6 4" xfId="3712"/>
    <cellStyle name="40 % - Accent4 3 2 6 4 2" xfId="10244"/>
    <cellStyle name="40 % - Accent4 3 2 6 4 2 2" xfId="29717"/>
    <cellStyle name="40 % - Accent4 3 2 6 4 2 3" xfId="42697"/>
    <cellStyle name="40 % - Accent4 3 2 6 4 2 4" xfId="58926"/>
    <cellStyle name="40 % - Accent4 3 2 6 4 3" xfId="16737"/>
    <cellStyle name="40 % - Accent4 3 2 6 4 4" xfId="23227"/>
    <cellStyle name="40 % - Accent4 3 2 6 4 5" xfId="36207"/>
    <cellStyle name="40 % - Accent4 3 2 6 4 6" xfId="52436"/>
    <cellStyle name="40 % - Accent4 3 2 6 5" xfId="6999"/>
    <cellStyle name="40 % - Accent4 3 2 6 5 2" xfId="26472"/>
    <cellStyle name="40 % - Accent4 3 2 6 5 3" xfId="39452"/>
    <cellStyle name="40 % - Accent4 3 2 6 5 4" xfId="55681"/>
    <cellStyle name="40 % - Accent4 3 2 6 6" xfId="13492"/>
    <cellStyle name="40 % - Accent4 3 2 6 6 2" xfId="49191"/>
    <cellStyle name="40 % - Accent4 3 2 6 7" xfId="19982"/>
    <cellStyle name="40 % - Accent4 3 2 6 8" xfId="32962"/>
    <cellStyle name="40 % - Accent4 3 2 6 9" xfId="45945"/>
    <cellStyle name="40 % - Accent4 3 2 7" xfId="908"/>
    <cellStyle name="40 % - Accent4 3 2 7 2" xfId="2575"/>
    <cellStyle name="40 % - Accent4 3 2 7 2 2" xfId="5820"/>
    <cellStyle name="40 % - Accent4 3 2 7 2 2 2" xfId="12352"/>
    <cellStyle name="40 % - Accent4 3 2 7 2 2 2 2" xfId="31825"/>
    <cellStyle name="40 % - Accent4 3 2 7 2 2 2 3" xfId="44805"/>
    <cellStyle name="40 % - Accent4 3 2 7 2 2 2 4" xfId="61034"/>
    <cellStyle name="40 % - Accent4 3 2 7 2 2 3" xfId="18845"/>
    <cellStyle name="40 % - Accent4 3 2 7 2 2 4" xfId="25335"/>
    <cellStyle name="40 % - Accent4 3 2 7 2 2 5" xfId="38315"/>
    <cellStyle name="40 % - Accent4 3 2 7 2 2 6" xfId="54544"/>
    <cellStyle name="40 % - Accent4 3 2 7 2 3" xfId="9107"/>
    <cellStyle name="40 % - Accent4 3 2 7 2 3 2" xfId="28580"/>
    <cellStyle name="40 % - Accent4 3 2 7 2 3 3" xfId="41560"/>
    <cellStyle name="40 % - Accent4 3 2 7 2 3 4" xfId="57789"/>
    <cellStyle name="40 % - Accent4 3 2 7 2 4" xfId="15600"/>
    <cellStyle name="40 % - Accent4 3 2 7 2 4 2" xfId="51299"/>
    <cellStyle name="40 % - Accent4 3 2 7 2 5" xfId="22090"/>
    <cellStyle name="40 % - Accent4 3 2 7 2 6" xfId="35070"/>
    <cellStyle name="40 % - Accent4 3 2 7 2 7" xfId="48053"/>
    <cellStyle name="40 % - Accent4 3 2 7 3" xfId="4197"/>
    <cellStyle name="40 % - Accent4 3 2 7 3 2" xfId="10729"/>
    <cellStyle name="40 % - Accent4 3 2 7 3 2 2" xfId="30202"/>
    <cellStyle name="40 % - Accent4 3 2 7 3 2 3" xfId="43182"/>
    <cellStyle name="40 % - Accent4 3 2 7 3 2 4" xfId="59411"/>
    <cellStyle name="40 % - Accent4 3 2 7 3 3" xfId="17222"/>
    <cellStyle name="40 % - Accent4 3 2 7 3 4" xfId="23712"/>
    <cellStyle name="40 % - Accent4 3 2 7 3 5" xfId="36692"/>
    <cellStyle name="40 % - Accent4 3 2 7 3 6" xfId="52921"/>
    <cellStyle name="40 % - Accent4 3 2 7 4" xfId="7484"/>
    <cellStyle name="40 % - Accent4 3 2 7 4 2" xfId="26957"/>
    <cellStyle name="40 % - Accent4 3 2 7 4 3" xfId="39937"/>
    <cellStyle name="40 % - Accent4 3 2 7 4 4" xfId="56166"/>
    <cellStyle name="40 % - Accent4 3 2 7 5" xfId="13977"/>
    <cellStyle name="40 % - Accent4 3 2 7 5 2" xfId="49676"/>
    <cellStyle name="40 % - Accent4 3 2 7 6" xfId="20467"/>
    <cellStyle name="40 % - Accent4 3 2 7 7" xfId="33447"/>
    <cellStyle name="40 % - Accent4 3 2 7 8" xfId="46430"/>
    <cellStyle name="40 % - Accent4 3 2 8" xfId="1861"/>
    <cellStyle name="40 % - Accent4 3 2 8 2" xfId="5106"/>
    <cellStyle name="40 % - Accent4 3 2 8 2 2" xfId="11638"/>
    <cellStyle name="40 % - Accent4 3 2 8 2 2 2" xfId="31111"/>
    <cellStyle name="40 % - Accent4 3 2 8 2 2 3" xfId="44091"/>
    <cellStyle name="40 % - Accent4 3 2 8 2 2 4" xfId="60320"/>
    <cellStyle name="40 % - Accent4 3 2 8 2 3" xfId="18131"/>
    <cellStyle name="40 % - Accent4 3 2 8 2 4" xfId="24621"/>
    <cellStyle name="40 % - Accent4 3 2 8 2 5" xfId="37601"/>
    <cellStyle name="40 % - Accent4 3 2 8 2 6" xfId="53830"/>
    <cellStyle name="40 % - Accent4 3 2 8 3" xfId="8393"/>
    <cellStyle name="40 % - Accent4 3 2 8 3 2" xfId="27866"/>
    <cellStyle name="40 % - Accent4 3 2 8 3 3" xfId="40846"/>
    <cellStyle name="40 % - Accent4 3 2 8 3 4" xfId="57075"/>
    <cellStyle name="40 % - Accent4 3 2 8 4" xfId="14886"/>
    <cellStyle name="40 % - Accent4 3 2 8 4 2" xfId="50585"/>
    <cellStyle name="40 % - Accent4 3 2 8 5" xfId="21376"/>
    <cellStyle name="40 % - Accent4 3 2 8 6" xfId="34356"/>
    <cellStyle name="40 % - Accent4 3 2 8 7" xfId="47339"/>
    <cellStyle name="40 % - Accent4 3 2 9" xfId="3482"/>
    <cellStyle name="40 % - Accent4 3 2 9 2" xfId="10014"/>
    <cellStyle name="40 % - Accent4 3 2 9 2 2" xfId="29487"/>
    <cellStyle name="40 % - Accent4 3 2 9 2 3" xfId="42467"/>
    <cellStyle name="40 % - Accent4 3 2 9 2 4" xfId="58696"/>
    <cellStyle name="40 % - Accent4 3 2 9 3" xfId="16507"/>
    <cellStyle name="40 % - Accent4 3 2 9 4" xfId="22997"/>
    <cellStyle name="40 % - Accent4 3 2 9 5" xfId="35977"/>
    <cellStyle name="40 % - Accent4 3 2 9 6" xfId="52206"/>
    <cellStyle name="40 % - Accent4 3 3" xfId="254"/>
    <cellStyle name="40 % - Accent4 3 3 10" xfId="19818"/>
    <cellStyle name="40 % - Accent4 3 3 11" xfId="32798"/>
    <cellStyle name="40 % - Accent4 3 3 12" xfId="45781"/>
    <cellStyle name="40 % - Accent4 3 3 2" xfId="342"/>
    <cellStyle name="40 % - Accent4 3 3 2 10" xfId="32886"/>
    <cellStyle name="40 % - Accent4 3 3 2 11" xfId="45869"/>
    <cellStyle name="40 % - Accent4 3 3 2 2" xfId="806"/>
    <cellStyle name="40 % - Accent4 3 3 2 2 10" xfId="46329"/>
    <cellStyle name="40 % - Accent4 3 3 2 2 2" xfId="1745"/>
    <cellStyle name="40 % - Accent4 3 3 2 2 2 2" xfId="3412"/>
    <cellStyle name="40 % - Accent4 3 3 2 2 2 2 2" xfId="6657"/>
    <cellStyle name="40 % - Accent4 3 3 2 2 2 2 2 2" xfId="13189"/>
    <cellStyle name="40 % - Accent4 3 3 2 2 2 2 2 2 2" xfId="32662"/>
    <cellStyle name="40 % - Accent4 3 3 2 2 2 2 2 2 3" xfId="45642"/>
    <cellStyle name="40 % - Accent4 3 3 2 2 2 2 2 2 4" xfId="61871"/>
    <cellStyle name="40 % - Accent4 3 3 2 2 2 2 2 3" xfId="19682"/>
    <cellStyle name="40 % - Accent4 3 3 2 2 2 2 2 4" xfId="26172"/>
    <cellStyle name="40 % - Accent4 3 3 2 2 2 2 2 5" xfId="39152"/>
    <cellStyle name="40 % - Accent4 3 3 2 2 2 2 2 6" xfId="55381"/>
    <cellStyle name="40 % - Accent4 3 3 2 2 2 2 3" xfId="9944"/>
    <cellStyle name="40 % - Accent4 3 3 2 2 2 2 3 2" xfId="29417"/>
    <cellStyle name="40 % - Accent4 3 3 2 2 2 2 3 3" xfId="42397"/>
    <cellStyle name="40 % - Accent4 3 3 2 2 2 2 3 4" xfId="58626"/>
    <cellStyle name="40 % - Accent4 3 3 2 2 2 2 4" xfId="16437"/>
    <cellStyle name="40 % - Accent4 3 3 2 2 2 2 4 2" xfId="52136"/>
    <cellStyle name="40 % - Accent4 3 3 2 2 2 2 5" xfId="22927"/>
    <cellStyle name="40 % - Accent4 3 3 2 2 2 2 6" xfId="35907"/>
    <cellStyle name="40 % - Accent4 3 3 2 2 2 2 7" xfId="48890"/>
    <cellStyle name="40 % - Accent4 3 3 2 2 2 3" xfId="5034"/>
    <cellStyle name="40 % - Accent4 3 3 2 2 2 3 2" xfId="11566"/>
    <cellStyle name="40 % - Accent4 3 3 2 2 2 3 2 2" xfId="31039"/>
    <cellStyle name="40 % - Accent4 3 3 2 2 2 3 2 3" xfId="44019"/>
    <cellStyle name="40 % - Accent4 3 3 2 2 2 3 2 4" xfId="60248"/>
    <cellStyle name="40 % - Accent4 3 3 2 2 2 3 3" xfId="18059"/>
    <cellStyle name="40 % - Accent4 3 3 2 2 2 3 4" xfId="24549"/>
    <cellStyle name="40 % - Accent4 3 3 2 2 2 3 5" xfId="37529"/>
    <cellStyle name="40 % - Accent4 3 3 2 2 2 3 6" xfId="53758"/>
    <cellStyle name="40 % - Accent4 3 3 2 2 2 4" xfId="8321"/>
    <cellStyle name="40 % - Accent4 3 3 2 2 2 4 2" xfId="27794"/>
    <cellStyle name="40 % - Accent4 3 3 2 2 2 4 3" xfId="40774"/>
    <cellStyle name="40 % - Accent4 3 3 2 2 2 4 4" xfId="57003"/>
    <cellStyle name="40 % - Accent4 3 3 2 2 2 5" xfId="14814"/>
    <cellStyle name="40 % - Accent4 3 3 2 2 2 5 2" xfId="50513"/>
    <cellStyle name="40 % - Accent4 3 3 2 2 2 6" xfId="21304"/>
    <cellStyle name="40 % - Accent4 3 3 2 2 2 7" xfId="34284"/>
    <cellStyle name="40 % - Accent4 3 3 2 2 2 8" xfId="47267"/>
    <cellStyle name="40 % - Accent4 3 3 2 2 3" xfId="1282"/>
    <cellStyle name="40 % - Accent4 3 3 2 2 3 2" xfId="2949"/>
    <cellStyle name="40 % - Accent4 3 3 2 2 3 2 2" xfId="6194"/>
    <cellStyle name="40 % - Accent4 3 3 2 2 3 2 2 2" xfId="12726"/>
    <cellStyle name="40 % - Accent4 3 3 2 2 3 2 2 2 2" xfId="32199"/>
    <cellStyle name="40 % - Accent4 3 3 2 2 3 2 2 2 3" xfId="45179"/>
    <cellStyle name="40 % - Accent4 3 3 2 2 3 2 2 2 4" xfId="61408"/>
    <cellStyle name="40 % - Accent4 3 3 2 2 3 2 2 3" xfId="19219"/>
    <cellStyle name="40 % - Accent4 3 3 2 2 3 2 2 4" xfId="25709"/>
    <cellStyle name="40 % - Accent4 3 3 2 2 3 2 2 5" xfId="38689"/>
    <cellStyle name="40 % - Accent4 3 3 2 2 3 2 2 6" xfId="54918"/>
    <cellStyle name="40 % - Accent4 3 3 2 2 3 2 3" xfId="9481"/>
    <cellStyle name="40 % - Accent4 3 3 2 2 3 2 3 2" xfId="28954"/>
    <cellStyle name="40 % - Accent4 3 3 2 2 3 2 3 3" xfId="41934"/>
    <cellStyle name="40 % - Accent4 3 3 2 2 3 2 3 4" xfId="58163"/>
    <cellStyle name="40 % - Accent4 3 3 2 2 3 2 4" xfId="15974"/>
    <cellStyle name="40 % - Accent4 3 3 2 2 3 2 4 2" xfId="51673"/>
    <cellStyle name="40 % - Accent4 3 3 2 2 3 2 5" xfId="22464"/>
    <cellStyle name="40 % - Accent4 3 3 2 2 3 2 6" xfId="35444"/>
    <cellStyle name="40 % - Accent4 3 3 2 2 3 2 7" xfId="48427"/>
    <cellStyle name="40 % - Accent4 3 3 2 2 3 3" xfId="4571"/>
    <cellStyle name="40 % - Accent4 3 3 2 2 3 3 2" xfId="11103"/>
    <cellStyle name="40 % - Accent4 3 3 2 2 3 3 2 2" xfId="30576"/>
    <cellStyle name="40 % - Accent4 3 3 2 2 3 3 2 3" xfId="43556"/>
    <cellStyle name="40 % - Accent4 3 3 2 2 3 3 2 4" xfId="59785"/>
    <cellStyle name="40 % - Accent4 3 3 2 2 3 3 3" xfId="17596"/>
    <cellStyle name="40 % - Accent4 3 3 2 2 3 3 4" xfId="24086"/>
    <cellStyle name="40 % - Accent4 3 3 2 2 3 3 5" xfId="37066"/>
    <cellStyle name="40 % - Accent4 3 3 2 2 3 3 6" xfId="53295"/>
    <cellStyle name="40 % - Accent4 3 3 2 2 3 4" xfId="7858"/>
    <cellStyle name="40 % - Accent4 3 3 2 2 3 4 2" xfId="27331"/>
    <cellStyle name="40 % - Accent4 3 3 2 2 3 4 3" xfId="40311"/>
    <cellStyle name="40 % - Accent4 3 3 2 2 3 4 4" xfId="56540"/>
    <cellStyle name="40 % - Accent4 3 3 2 2 3 5" xfId="14351"/>
    <cellStyle name="40 % - Accent4 3 3 2 2 3 5 2" xfId="50050"/>
    <cellStyle name="40 % - Accent4 3 3 2 2 3 6" xfId="20841"/>
    <cellStyle name="40 % - Accent4 3 3 2 2 3 7" xfId="33821"/>
    <cellStyle name="40 % - Accent4 3 3 2 2 3 8" xfId="46804"/>
    <cellStyle name="40 % - Accent4 3 3 2 2 4" xfId="2474"/>
    <cellStyle name="40 % - Accent4 3 3 2 2 4 2" xfId="5719"/>
    <cellStyle name="40 % - Accent4 3 3 2 2 4 2 2" xfId="12251"/>
    <cellStyle name="40 % - Accent4 3 3 2 2 4 2 2 2" xfId="31724"/>
    <cellStyle name="40 % - Accent4 3 3 2 2 4 2 2 3" xfId="44704"/>
    <cellStyle name="40 % - Accent4 3 3 2 2 4 2 2 4" xfId="60933"/>
    <cellStyle name="40 % - Accent4 3 3 2 2 4 2 3" xfId="18744"/>
    <cellStyle name="40 % - Accent4 3 3 2 2 4 2 4" xfId="25234"/>
    <cellStyle name="40 % - Accent4 3 3 2 2 4 2 5" xfId="38214"/>
    <cellStyle name="40 % - Accent4 3 3 2 2 4 2 6" xfId="54443"/>
    <cellStyle name="40 % - Accent4 3 3 2 2 4 3" xfId="9006"/>
    <cellStyle name="40 % - Accent4 3 3 2 2 4 3 2" xfId="28479"/>
    <cellStyle name="40 % - Accent4 3 3 2 2 4 3 3" xfId="41459"/>
    <cellStyle name="40 % - Accent4 3 3 2 2 4 3 4" xfId="57688"/>
    <cellStyle name="40 % - Accent4 3 3 2 2 4 4" xfId="15499"/>
    <cellStyle name="40 % - Accent4 3 3 2 2 4 4 2" xfId="51198"/>
    <cellStyle name="40 % - Accent4 3 3 2 2 4 5" xfId="21989"/>
    <cellStyle name="40 % - Accent4 3 3 2 2 4 6" xfId="34969"/>
    <cellStyle name="40 % - Accent4 3 3 2 2 4 7" xfId="47952"/>
    <cellStyle name="40 % - Accent4 3 3 2 2 5" xfId="4096"/>
    <cellStyle name="40 % - Accent4 3 3 2 2 5 2" xfId="10628"/>
    <cellStyle name="40 % - Accent4 3 3 2 2 5 2 2" xfId="30101"/>
    <cellStyle name="40 % - Accent4 3 3 2 2 5 2 3" xfId="43081"/>
    <cellStyle name="40 % - Accent4 3 3 2 2 5 2 4" xfId="59310"/>
    <cellStyle name="40 % - Accent4 3 3 2 2 5 3" xfId="17121"/>
    <cellStyle name="40 % - Accent4 3 3 2 2 5 4" xfId="23611"/>
    <cellStyle name="40 % - Accent4 3 3 2 2 5 5" xfId="36591"/>
    <cellStyle name="40 % - Accent4 3 3 2 2 5 6" xfId="52820"/>
    <cellStyle name="40 % - Accent4 3 3 2 2 6" xfId="7383"/>
    <cellStyle name="40 % - Accent4 3 3 2 2 6 2" xfId="26856"/>
    <cellStyle name="40 % - Accent4 3 3 2 2 6 3" xfId="39836"/>
    <cellStyle name="40 % - Accent4 3 3 2 2 6 4" xfId="56065"/>
    <cellStyle name="40 % - Accent4 3 3 2 2 7" xfId="13876"/>
    <cellStyle name="40 % - Accent4 3 3 2 2 7 2" xfId="49575"/>
    <cellStyle name="40 % - Accent4 3 3 2 2 8" xfId="20366"/>
    <cellStyle name="40 % - Accent4 3 3 2 2 9" xfId="33346"/>
    <cellStyle name="40 % - Accent4 3 3 2 3" xfId="576"/>
    <cellStyle name="40 % - Accent4 3 3 2 3 2" xfId="1525"/>
    <cellStyle name="40 % - Accent4 3 3 2 3 2 2" xfId="3192"/>
    <cellStyle name="40 % - Accent4 3 3 2 3 2 2 2" xfId="6437"/>
    <cellStyle name="40 % - Accent4 3 3 2 3 2 2 2 2" xfId="12969"/>
    <cellStyle name="40 % - Accent4 3 3 2 3 2 2 2 2 2" xfId="32442"/>
    <cellStyle name="40 % - Accent4 3 3 2 3 2 2 2 2 3" xfId="45422"/>
    <cellStyle name="40 % - Accent4 3 3 2 3 2 2 2 2 4" xfId="61651"/>
    <cellStyle name="40 % - Accent4 3 3 2 3 2 2 2 3" xfId="19462"/>
    <cellStyle name="40 % - Accent4 3 3 2 3 2 2 2 4" xfId="25952"/>
    <cellStyle name="40 % - Accent4 3 3 2 3 2 2 2 5" xfId="38932"/>
    <cellStyle name="40 % - Accent4 3 3 2 3 2 2 2 6" xfId="55161"/>
    <cellStyle name="40 % - Accent4 3 3 2 3 2 2 3" xfId="9724"/>
    <cellStyle name="40 % - Accent4 3 3 2 3 2 2 3 2" xfId="29197"/>
    <cellStyle name="40 % - Accent4 3 3 2 3 2 2 3 3" xfId="42177"/>
    <cellStyle name="40 % - Accent4 3 3 2 3 2 2 3 4" xfId="58406"/>
    <cellStyle name="40 % - Accent4 3 3 2 3 2 2 4" xfId="16217"/>
    <cellStyle name="40 % - Accent4 3 3 2 3 2 2 4 2" xfId="51916"/>
    <cellStyle name="40 % - Accent4 3 3 2 3 2 2 5" xfId="22707"/>
    <cellStyle name="40 % - Accent4 3 3 2 3 2 2 6" xfId="35687"/>
    <cellStyle name="40 % - Accent4 3 3 2 3 2 2 7" xfId="48670"/>
    <cellStyle name="40 % - Accent4 3 3 2 3 2 3" xfId="4814"/>
    <cellStyle name="40 % - Accent4 3 3 2 3 2 3 2" xfId="11346"/>
    <cellStyle name="40 % - Accent4 3 3 2 3 2 3 2 2" xfId="30819"/>
    <cellStyle name="40 % - Accent4 3 3 2 3 2 3 2 3" xfId="43799"/>
    <cellStyle name="40 % - Accent4 3 3 2 3 2 3 2 4" xfId="60028"/>
    <cellStyle name="40 % - Accent4 3 3 2 3 2 3 3" xfId="17839"/>
    <cellStyle name="40 % - Accent4 3 3 2 3 2 3 4" xfId="24329"/>
    <cellStyle name="40 % - Accent4 3 3 2 3 2 3 5" xfId="37309"/>
    <cellStyle name="40 % - Accent4 3 3 2 3 2 3 6" xfId="53538"/>
    <cellStyle name="40 % - Accent4 3 3 2 3 2 4" xfId="8101"/>
    <cellStyle name="40 % - Accent4 3 3 2 3 2 4 2" xfId="27574"/>
    <cellStyle name="40 % - Accent4 3 3 2 3 2 4 3" xfId="40554"/>
    <cellStyle name="40 % - Accent4 3 3 2 3 2 4 4" xfId="56783"/>
    <cellStyle name="40 % - Accent4 3 3 2 3 2 5" xfId="14594"/>
    <cellStyle name="40 % - Accent4 3 3 2 3 2 5 2" xfId="50293"/>
    <cellStyle name="40 % - Accent4 3 3 2 3 2 6" xfId="21084"/>
    <cellStyle name="40 % - Accent4 3 3 2 3 2 7" xfId="34064"/>
    <cellStyle name="40 % - Accent4 3 3 2 3 2 8" xfId="47047"/>
    <cellStyle name="40 % - Accent4 3 3 2 3 3" xfId="2244"/>
    <cellStyle name="40 % - Accent4 3 3 2 3 3 2" xfId="5489"/>
    <cellStyle name="40 % - Accent4 3 3 2 3 3 2 2" xfId="12021"/>
    <cellStyle name="40 % - Accent4 3 3 2 3 3 2 2 2" xfId="31494"/>
    <cellStyle name="40 % - Accent4 3 3 2 3 3 2 2 3" xfId="44474"/>
    <cellStyle name="40 % - Accent4 3 3 2 3 3 2 2 4" xfId="60703"/>
    <cellStyle name="40 % - Accent4 3 3 2 3 3 2 3" xfId="18514"/>
    <cellStyle name="40 % - Accent4 3 3 2 3 3 2 4" xfId="25004"/>
    <cellStyle name="40 % - Accent4 3 3 2 3 3 2 5" xfId="37984"/>
    <cellStyle name="40 % - Accent4 3 3 2 3 3 2 6" xfId="54213"/>
    <cellStyle name="40 % - Accent4 3 3 2 3 3 3" xfId="8776"/>
    <cellStyle name="40 % - Accent4 3 3 2 3 3 3 2" xfId="28249"/>
    <cellStyle name="40 % - Accent4 3 3 2 3 3 3 3" xfId="41229"/>
    <cellStyle name="40 % - Accent4 3 3 2 3 3 3 4" xfId="57458"/>
    <cellStyle name="40 % - Accent4 3 3 2 3 3 4" xfId="15269"/>
    <cellStyle name="40 % - Accent4 3 3 2 3 3 4 2" xfId="50968"/>
    <cellStyle name="40 % - Accent4 3 3 2 3 3 5" xfId="21759"/>
    <cellStyle name="40 % - Accent4 3 3 2 3 3 6" xfId="34739"/>
    <cellStyle name="40 % - Accent4 3 3 2 3 3 7" xfId="47722"/>
    <cellStyle name="40 % - Accent4 3 3 2 3 4" xfId="3866"/>
    <cellStyle name="40 % - Accent4 3 3 2 3 4 2" xfId="10398"/>
    <cellStyle name="40 % - Accent4 3 3 2 3 4 2 2" xfId="29871"/>
    <cellStyle name="40 % - Accent4 3 3 2 3 4 2 3" xfId="42851"/>
    <cellStyle name="40 % - Accent4 3 3 2 3 4 2 4" xfId="59080"/>
    <cellStyle name="40 % - Accent4 3 3 2 3 4 3" xfId="16891"/>
    <cellStyle name="40 % - Accent4 3 3 2 3 4 4" xfId="23381"/>
    <cellStyle name="40 % - Accent4 3 3 2 3 4 5" xfId="36361"/>
    <cellStyle name="40 % - Accent4 3 3 2 3 4 6" xfId="52590"/>
    <cellStyle name="40 % - Accent4 3 3 2 3 5" xfId="7153"/>
    <cellStyle name="40 % - Accent4 3 3 2 3 5 2" xfId="26626"/>
    <cellStyle name="40 % - Accent4 3 3 2 3 5 3" xfId="39606"/>
    <cellStyle name="40 % - Accent4 3 3 2 3 5 4" xfId="55835"/>
    <cellStyle name="40 % - Accent4 3 3 2 3 6" xfId="13646"/>
    <cellStyle name="40 % - Accent4 3 3 2 3 6 2" xfId="49345"/>
    <cellStyle name="40 % - Accent4 3 3 2 3 7" xfId="20136"/>
    <cellStyle name="40 % - Accent4 3 3 2 3 8" xfId="33116"/>
    <cellStyle name="40 % - Accent4 3 3 2 3 9" xfId="46099"/>
    <cellStyle name="40 % - Accent4 3 3 2 4" xfId="1062"/>
    <cellStyle name="40 % - Accent4 3 3 2 4 2" xfId="2729"/>
    <cellStyle name="40 % - Accent4 3 3 2 4 2 2" xfId="5974"/>
    <cellStyle name="40 % - Accent4 3 3 2 4 2 2 2" xfId="12506"/>
    <cellStyle name="40 % - Accent4 3 3 2 4 2 2 2 2" xfId="31979"/>
    <cellStyle name="40 % - Accent4 3 3 2 4 2 2 2 3" xfId="44959"/>
    <cellStyle name="40 % - Accent4 3 3 2 4 2 2 2 4" xfId="61188"/>
    <cellStyle name="40 % - Accent4 3 3 2 4 2 2 3" xfId="18999"/>
    <cellStyle name="40 % - Accent4 3 3 2 4 2 2 4" xfId="25489"/>
    <cellStyle name="40 % - Accent4 3 3 2 4 2 2 5" xfId="38469"/>
    <cellStyle name="40 % - Accent4 3 3 2 4 2 2 6" xfId="54698"/>
    <cellStyle name="40 % - Accent4 3 3 2 4 2 3" xfId="9261"/>
    <cellStyle name="40 % - Accent4 3 3 2 4 2 3 2" xfId="28734"/>
    <cellStyle name="40 % - Accent4 3 3 2 4 2 3 3" xfId="41714"/>
    <cellStyle name="40 % - Accent4 3 3 2 4 2 3 4" xfId="57943"/>
    <cellStyle name="40 % - Accent4 3 3 2 4 2 4" xfId="15754"/>
    <cellStyle name="40 % - Accent4 3 3 2 4 2 4 2" xfId="51453"/>
    <cellStyle name="40 % - Accent4 3 3 2 4 2 5" xfId="22244"/>
    <cellStyle name="40 % - Accent4 3 3 2 4 2 6" xfId="35224"/>
    <cellStyle name="40 % - Accent4 3 3 2 4 2 7" xfId="48207"/>
    <cellStyle name="40 % - Accent4 3 3 2 4 3" xfId="4351"/>
    <cellStyle name="40 % - Accent4 3 3 2 4 3 2" xfId="10883"/>
    <cellStyle name="40 % - Accent4 3 3 2 4 3 2 2" xfId="30356"/>
    <cellStyle name="40 % - Accent4 3 3 2 4 3 2 3" xfId="43336"/>
    <cellStyle name="40 % - Accent4 3 3 2 4 3 2 4" xfId="59565"/>
    <cellStyle name="40 % - Accent4 3 3 2 4 3 3" xfId="17376"/>
    <cellStyle name="40 % - Accent4 3 3 2 4 3 4" xfId="23866"/>
    <cellStyle name="40 % - Accent4 3 3 2 4 3 5" xfId="36846"/>
    <cellStyle name="40 % - Accent4 3 3 2 4 3 6" xfId="53075"/>
    <cellStyle name="40 % - Accent4 3 3 2 4 4" xfId="7638"/>
    <cellStyle name="40 % - Accent4 3 3 2 4 4 2" xfId="27111"/>
    <cellStyle name="40 % - Accent4 3 3 2 4 4 3" xfId="40091"/>
    <cellStyle name="40 % - Accent4 3 3 2 4 4 4" xfId="56320"/>
    <cellStyle name="40 % - Accent4 3 3 2 4 5" xfId="14131"/>
    <cellStyle name="40 % - Accent4 3 3 2 4 5 2" xfId="49830"/>
    <cellStyle name="40 % - Accent4 3 3 2 4 6" xfId="20621"/>
    <cellStyle name="40 % - Accent4 3 3 2 4 7" xfId="33601"/>
    <cellStyle name="40 % - Accent4 3 3 2 4 8" xfId="46584"/>
    <cellStyle name="40 % - Accent4 3 3 2 5" xfId="2015"/>
    <cellStyle name="40 % - Accent4 3 3 2 5 2" xfId="5260"/>
    <cellStyle name="40 % - Accent4 3 3 2 5 2 2" xfId="11792"/>
    <cellStyle name="40 % - Accent4 3 3 2 5 2 2 2" xfId="31265"/>
    <cellStyle name="40 % - Accent4 3 3 2 5 2 2 3" xfId="44245"/>
    <cellStyle name="40 % - Accent4 3 3 2 5 2 2 4" xfId="60474"/>
    <cellStyle name="40 % - Accent4 3 3 2 5 2 3" xfId="18285"/>
    <cellStyle name="40 % - Accent4 3 3 2 5 2 4" xfId="24775"/>
    <cellStyle name="40 % - Accent4 3 3 2 5 2 5" xfId="37755"/>
    <cellStyle name="40 % - Accent4 3 3 2 5 2 6" xfId="53984"/>
    <cellStyle name="40 % - Accent4 3 3 2 5 3" xfId="8547"/>
    <cellStyle name="40 % - Accent4 3 3 2 5 3 2" xfId="28020"/>
    <cellStyle name="40 % - Accent4 3 3 2 5 3 3" xfId="41000"/>
    <cellStyle name="40 % - Accent4 3 3 2 5 3 4" xfId="57229"/>
    <cellStyle name="40 % - Accent4 3 3 2 5 4" xfId="15040"/>
    <cellStyle name="40 % - Accent4 3 3 2 5 4 2" xfId="50739"/>
    <cellStyle name="40 % - Accent4 3 3 2 5 5" xfId="21530"/>
    <cellStyle name="40 % - Accent4 3 3 2 5 6" xfId="34510"/>
    <cellStyle name="40 % - Accent4 3 3 2 5 7" xfId="47493"/>
    <cellStyle name="40 % - Accent4 3 3 2 6" xfId="3636"/>
    <cellStyle name="40 % - Accent4 3 3 2 6 2" xfId="10168"/>
    <cellStyle name="40 % - Accent4 3 3 2 6 2 2" xfId="29641"/>
    <cellStyle name="40 % - Accent4 3 3 2 6 2 3" xfId="42621"/>
    <cellStyle name="40 % - Accent4 3 3 2 6 2 4" xfId="58850"/>
    <cellStyle name="40 % - Accent4 3 3 2 6 3" xfId="16661"/>
    <cellStyle name="40 % - Accent4 3 3 2 6 4" xfId="23151"/>
    <cellStyle name="40 % - Accent4 3 3 2 6 5" xfId="36131"/>
    <cellStyle name="40 % - Accent4 3 3 2 6 6" xfId="52360"/>
    <cellStyle name="40 % - Accent4 3 3 2 7" xfId="6923"/>
    <cellStyle name="40 % - Accent4 3 3 2 7 2" xfId="26396"/>
    <cellStyle name="40 % - Accent4 3 3 2 7 3" xfId="39376"/>
    <cellStyle name="40 % - Accent4 3 3 2 7 4" xfId="55605"/>
    <cellStyle name="40 % - Accent4 3 3 2 8" xfId="13416"/>
    <cellStyle name="40 % - Accent4 3 3 2 8 2" xfId="49115"/>
    <cellStyle name="40 % - Accent4 3 3 2 9" xfId="19906"/>
    <cellStyle name="40 % - Accent4 3 3 3" xfId="718"/>
    <cellStyle name="40 % - Accent4 3 3 3 10" xfId="46241"/>
    <cellStyle name="40 % - Accent4 3 3 3 2" xfId="1657"/>
    <cellStyle name="40 % - Accent4 3 3 3 2 2" xfId="3324"/>
    <cellStyle name="40 % - Accent4 3 3 3 2 2 2" xfId="6569"/>
    <cellStyle name="40 % - Accent4 3 3 3 2 2 2 2" xfId="13101"/>
    <cellStyle name="40 % - Accent4 3 3 3 2 2 2 2 2" xfId="32574"/>
    <cellStyle name="40 % - Accent4 3 3 3 2 2 2 2 3" xfId="45554"/>
    <cellStyle name="40 % - Accent4 3 3 3 2 2 2 2 4" xfId="61783"/>
    <cellStyle name="40 % - Accent4 3 3 3 2 2 2 3" xfId="19594"/>
    <cellStyle name="40 % - Accent4 3 3 3 2 2 2 4" xfId="26084"/>
    <cellStyle name="40 % - Accent4 3 3 3 2 2 2 5" xfId="39064"/>
    <cellStyle name="40 % - Accent4 3 3 3 2 2 2 6" xfId="55293"/>
    <cellStyle name="40 % - Accent4 3 3 3 2 2 3" xfId="9856"/>
    <cellStyle name="40 % - Accent4 3 3 3 2 2 3 2" xfId="29329"/>
    <cellStyle name="40 % - Accent4 3 3 3 2 2 3 3" xfId="42309"/>
    <cellStyle name="40 % - Accent4 3 3 3 2 2 3 4" xfId="58538"/>
    <cellStyle name="40 % - Accent4 3 3 3 2 2 4" xfId="16349"/>
    <cellStyle name="40 % - Accent4 3 3 3 2 2 4 2" xfId="52048"/>
    <cellStyle name="40 % - Accent4 3 3 3 2 2 5" xfId="22839"/>
    <cellStyle name="40 % - Accent4 3 3 3 2 2 6" xfId="35819"/>
    <cellStyle name="40 % - Accent4 3 3 3 2 2 7" xfId="48802"/>
    <cellStyle name="40 % - Accent4 3 3 3 2 3" xfId="4946"/>
    <cellStyle name="40 % - Accent4 3 3 3 2 3 2" xfId="11478"/>
    <cellStyle name="40 % - Accent4 3 3 3 2 3 2 2" xfId="30951"/>
    <cellStyle name="40 % - Accent4 3 3 3 2 3 2 3" xfId="43931"/>
    <cellStyle name="40 % - Accent4 3 3 3 2 3 2 4" xfId="60160"/>
    <cellStyle name="40 % - Accent4 3 3 3 2 3 3" xfId="17971"/>
    <cellStyle name="40 % - Accent4 3 3 3 2 3 4" xfId="24461"/>
    <cellStyle name="40 % - Accent4 3 3 3 2 3 5" xfId="37441"/>
    <cellStyle name="40 % - Accent4 3 3 3 2 3 6" xfId="53670"/>
    <cellStyle name="40 % - Accent4 3 3 3 2 4" xfId="8233"/>
    <cellStyle name="40 % - Accent4 3 3 3 2 4 2" xfId="27706"/>
    <cellStyle name="40 % - Accent4 3 3 3 2 4 3" xfId="40686"/>
    <cellStyle name="40 % - Accent4 3 3 3 2 4 4" xfId="56915"/>
    <cellStyle name="40 % - Accent4 3 3 3 2 5" xfId="14726"/>
    <cellStyle name="40 % - Accent4 3 3 3 2 5 2" xfId="50425"/>
    <cellStyle name="40 % - Accent4 3 3 3 2 6" xfId="21216"/>
    <cellStyle name="40 % - Accent4 3 3 3 2 7" xfId="34196"/>
    <cellStyle name="40 % - Accent4 3 3 3 2 8" xfId="47179"/>
    <cellStyle name="40 % - Accent4 3 3 3 3" xfId="1194"/>
    <cellStyle name="40 % - Accent4 3 3 3 3 2" xfId="2861"/>
    <cellStyle name="40 % - Accent4 3 3 3 3 2 2" xfId="6106"/>
    <cellStyle name="40 % - Accent4 3 3 3 3 2 2 2" xfId="12638"/>
    <cellStyle name="40 % - Accent4 3 3 3 3 2 2 2 2" xfId="32111"/>
    <cellStyle name="40 % - Accent4 3 3 3 3 2 2 2 3" xfId="45091"/>
    <cellStyle name="40 % - Accent4 3 3 3 3 2 2 2 4" xfId="61320"/>
    <cellStyle name="40 % - Accent4 3 3 3 3 2 2 3" xfId="19131"/>
    <cellStyle name="40 % - Accent4 3 3 3 3 2 2 4" xfId="25621"/>
    <cellStyle name="40 % - Accent4 3 3 3 3 2 2 5" xfId="38601"/>
    <cellStyle name="40 % - Accent4 3 3 3 3 2 2 6" xfId="54830"/>
    <cellStyle name="40 % - Accent4 3 3 3 3 2 3" xfId="9393"/>
    <cellStyle name="40 % - Accent4 3 3 3 3 2 3 2" xfId="28866"/>
    <cellStyle name="40 % - Accent4 3 3 3 3 2 3 3" xfId="41846"/>
    <cellStyle name="40 % - Accent4 3 3 3 3 2 3 4" xfId="58075"/>
    <cellStyle name="40 % - Accent4 3 3 3 3 2 4" xfId="15886"/>
    <cellStyle name="40 % - Accent4 3 3 3 3 2 4 2" xfId="51585"/>
    <cellStyle name="40 % - Accent4 3 3 3 3 2 5" xfId="22376"/>
    <cellStyle name="40 % - Accent4 3 3 3 3 2 6" xfId="35356"/>
    <cellStyle name="40 % - Accent4 3 3 3 3 2 7" xfId="48339"/>
    <cellStyle name="40 % - Accent4 3 3 3 3 3" xfId="4483"/>
    <cellStyle name="40 % - Accent4 3 3 3 3 3 2" xfId="11015"/>
    <cellStyle name="40 % - Accent4 3 3 3 3 3 2 2" xfId="30488"/>
    <cellStyle name="40 % - Accent4 3 3 3 3 3 2 3" xfId="43468"/>
    <cellStyle name="40 % - Accent4 3 3 3 3 3 2 4" xfId="59697"/>
    <cellStyle name="40 % - Accent4 3 3 3 3 3 3" xfId="17508"/>
    <cellStyle name="40 % - Accent4 3 3 3 3 3 4" xfId="23998"/>
    <cellStyle name="40 % - Accent4 3 3 3 3 3 5" xfId="36978"/>
    <cellStyle name="40 % - Accent4 3 3 3 3 3 6" xfId="53207"/>
    <cellStyle name="40 % - Accent4 3 3 3 3 4" xfId="7770"/>
    <cellStyle name="40 % - Accent4 3 3 3 3 4 2" xfId="27243"/>
    <cellStyle name="40 % - Accent4 3 3 3 3 4 3" xfId="40223"/>
    <cellStyle name="40 % - Accent4 3 3 3 3 4 4" xfId="56452"/>
    <cellStyle name="40 % - Accent4 3 3 3 3 5" xfId="14263"/>
    <cellStyle name="40 % - Accent4 3 3 3 3 5 2" xfId="49962"/>
    <cellStyle name="40 % - Accent4 3 3 3 3 6" xfId="20753"/>
    <cellStyle name="40 % - Accent4 3 3 3 3 7" xfId="33733"/>
    <cellStyle name="40 % - Accent4 3 3 3 3 8" xfId="46716"/>
    <cellStyle name="40 % - Accent4 3 3 3 4" xfId="2386"/>
    <cellStyle name="40 % - Accent4 3 3 3 4 2" xfId="5631"/>
    <cellStyle name="40 % - Accent4 3 3 3 4 2 2" xfId="12163"/>
    <cellStyle name="40 % - Accent4 3 3 3 4 2 2 2" xfId="31636"/>
    <cellStyle name="40 % - Accent4 3 3 3 4 2 2 3" xfId="44616"/>
    <cellStyle name="40 % - Accent4 3 3 3 4 2 2 4" xfId="60845"/>
    <cellStyle name="40 % - Accent4 3 3 3 4 2 3" xfId="18656"/>
    <cellStyle name="40 % - Accent4 3 3 3 4 2 4" xfId="25146"/>
    <cellStyle name="40 % - Accent4 3 3 3 4 2 5" xfId="38126"/>
    <cellStyle name="40 % - Accent4 3 3 3 4 2 6" xfId="54355"/>
    <cellStyle name="40 % - Accent4 3 3 3 4 3" xfId="8918"/>
    <cellStyle name="40 % - Accent4 3 3 3 4 3 2" xfId="28391"/>
    <cellStyle name="40 % - Accent4 3 3 3 4 3 3" xfId="41371"/>
    <cellStyle name="40 % - Accent4 3 3 3 4 3 4" xfId="57600"/>
    <cellStyle name="40 % - Accent4 3 3 3 4 4" xfId="15411"/>
    <cellStyle name="40 % - Accent4 3 3 3 4 4 2" xfId="51110"/>
    <cellStyle name="40 % - Accent4 3 3 3 4 5" xfId="21901"/>
    <cellStyle name="40 % - Accent4 3 3 3 4 6" xfId="34881"/>
    <cellStyle name="40 % - Accent4 3 3 3 4 7" xfId="47864"/>
    <cellStyle name="40 % - Accent4 3 3 3 5" xfId="4008"/>
    <cellStyle name="40 % - Accent4 3 3 3 5 2" xfId="10540"/>
    <cellStyle name="40 % - Accent4 3 3 3 5 2 2" xfId="30013"/>
    <cellStyle name="40 % - Accent4 3 3 3 5 2 3" xfId="42993"/>
    <cellStyle name="40 % - Accent4 3 3 3 5 2 4" xfId="59222"/>
    <cellStyle name="40 % - Accent4 3 3 3 5 3" xfId="17033"/>
    <cellStyle name="40 % - Accent4 3 3 3 5 4" xfId="23523"/>
    <cellStyle name="40 % - Accent4 3 3 3 5 5" xfId="36503"/>
    <cellStyle name="40 % - Accent4 3 3 3 5 6" xfId="52732"/>
    <cellStyle name="40 % - Accent4 3 3 3 6" xfId="7295"/>
    <cellStyle name="40 % - Accent4 3 3 3 6 2" xfId="26768"/>
    <cellStyle name="40 % - Accent4 3 3 3 6 3" xfId="39748"/>
    <cellStyle name="40 % - Accent4 3 3 3 6 4" xfId="55977"/>
    <cellStyle name="40 % - Accent4 3 3 3 7" xfId="13788"/>
    <cellStyle name="40 % - Accent4 3 3 3 7 2" xfId="49487"/>
    <cellStyle name="40 % - Accent4 3 3 3 8" xfId="20278"/>
    <cellStyle name="40 % - Accent4 3 3 3 9" xfId="33258"/>
    <cellStyle name="40 % - Accent4 3 3 4" xfId="488"/>
    <cellStyle name="40 % - Accent4 3 3 4 2" xfId="1437"/>
    <cellStyle name="40 % - Accent4 3 3 4 2 2" xfId="3104"/>
    <cellStyle name="40 % - Accent4 3 3 4 2 2 2" xfId="6349"/>
    <cellStyle name="40 % - Accent4 3 3 4 2 2 2 2" xfId="12881"/>
    <cellStyle name="40 % - Accent4 3 3 4 2 2 2 2 2" xfId="32354"/>
    <cellStyle name="40 % - Accent4 3 3 4 2 2 2 2 3" xfId="45334"/>
    <cellStyle name="40 % - Accent4 3 3 4 2 2 2 2 4" xfId="61563"/>
    <cellStyle name="40 % - Accent4 3 3 4 2 2 2 3" xfId="19374"/>
    <cellStyle name="40 % - Accent4 3 3 4 2 2 2 4" xfId="25864"/>
    <cellStyle name="40 % - Accent4 3 3 4 2 2 2 5" xfId="38844"/>
    <cellStyle name="40 % - Accent4 3 3 4 2 2 2 6" xfId="55073"/>
    <cellStyle name="40 % - Accent4 3 3 4 2 2 3" xfId="9636"/>
    <cellStyle name="40 % - Accent4 3 3 4 2 2 3 2" xfId="29109"/>
    <cellStyle name="40 % - Accent4 3 3 4 2 2 3 3" xfId="42089"/>
    <cellStyle name="40 % - Accent4 3 3 4 2 2 3 4" xfId="58318"/>
    <cellStyle name="40 % - Accent4 3 3 4 2 2 4" xfId="16129"/>
    <cellStyle name="40 % - Accent4 3 3 4 2 2 4 2" xfId="51828"/>
    <cellStyle name="40 % - Accent4 3 3 4 2 2 5" xfId="22619"/>
    <cellStyle name="40 % - Accent4 3 3 4 2 2 6" xfId="35599"/>
    <cellStyle name="40 % - Accent4 3 3 4 2 2 7" xfId="48582"/>
    <cellStyle name="40 % - Accent4 3 3 4 2 3" xfId="4726"/>
    <cellStyle name="40 % - Accent4 3 3 4 2 3 2" xfId="11258"/>
    <cellStyle name="40 % - Accent4 3 3 4 2 3 2 2" xfId="30731"/>
    <cellStyle name="40 % - Accent4 3 3 4 2 3 2 3" xfId="43711"/>
    <cellStyle name="40 % - Accent4 3 3 4 2 3 2 4" xfId="59940"/>
    <cellStyle name="40 % - Accent4 3 3 4 2 3 3" xfId="17751"/>
    <cellStyle name="40 % - Accent4 3 3 4 2 3 4" xfId="24241"/>
    <cellStyle name="40 % - Accent4 3 3 4 2 3 5" xfId="37221"/>
    <cellStyle name="40 % - Accent4 3 3 4 2 3 6" xfId="53450"/>
    <cellStyle name="40 % - Accent4 3 3 4 2 4" xfId="8013"/>
    <cellStyle name="40 % - Accent4 3 3 4 2 4 2" xfId="27486"/>
    <cellStyle name="40 % - Accent4 3 3 4 2 4 3" xfId="40466"/>
    <cellStyle name="40 % - Accent4 3 3 4 2 4 4" xfId="56695"/>
    <cellStyle name="40 % - Accent4 3 3 4 2 5" xfId="14506"/>
    <cellStyle name="40 % - Accent4 3 3 4 2 5 2" xfId="50205"/>
    <cellStyle name="40 % - Accent4 3 3 4 2 6" xfId="20996"/>
    <cellStyle name="40 % - Accent4 3 3 4 2 7" xfId="33976"/>
    <cellStyle name="40 % - Accent4 3 3 4 2 8" xfId="46959"/>
    <cellStyle name="40 % - Accent4 3 3 4 3" xfId="2156"/>
    <cellStyle name="40 % - Accent4 3 3 4 3 2" xfId="5401"/>
    <cellStyle name="40 % - Accent4 3 3 4 3 2 2" xfId="11933"/>
    <cellStyle name="40 % - Accent4 3 3 4 3 2 2 2" xfId="31406"/>
    <cellStyle name="40 % - Accent4 3 3 4 3 2 2 3" xfId="44386"/>
    <cellStyle name="40 % - Accent4 3 3 4 3 2 2 4" xfId="60615"/>
    <cellStyle name="40 % - Accent4 3 3 4 3 2 3" xfId="18426"/>
    <cellStyle name="40 % - Accent4 3 3 4 3 2 4" xfId="24916"/>
    <cellStyle name="40 % - Accent4 3 3 4 3 2 5" xfId="37896"/>
    <cellStyle name="40 % - Accent4 3 3 4 3 2 6" xfId="54125"/>
    <cellStyle name="40 % - Accent4 3 3 4 3 3" xfId="8688"/>
    <cellStyle name="40 % - Accent4 3 3 4 3 3 2" xfId="28161"/>
    <cellStyle name="40 % - Accent4 3 3 4 3 3 3" xfId="41141"/>
    <cellStyle name="40 % - Accent4 3 3 4 3 3 4" xfId="57370"/>
    <cellStyle name="40 % - Accent4 3 3 4 3 4" xfId="15181"/>
    <cellStyle name="40 % - Accent4 3 3 4 3 4 2" xfId="50880"/>
    <cellStyle name="40 % - Accent4 3 3 4 3 5" xfId="21671"/>
    <cellStyle name="40 % - Accent4 3 3 4 3 6" xfId="34651"/>
    <cellStyle name="40 % - Accent4 3 3 4 3 7" xfId="47634"/>
    <cellStyle name="40 % - Accent4 3 3 4 4" xfId="3778"/>
    <cellStyle name="40 % - Accent4 3 3 4 4 2" xfId="10310"/>
    <cellStyle name="40 % - Accent4 3 3 4 4 2 2" xfId="29783"/>
    <cellStyle name="40 % - Accent4 3 3 4 4 2 3" xfId="42763"/>
    <cellStyle name="40 % - Accent4 3 3 4 4 2 4" xfId="58992"/>
    <cellStyle name="40 % - Accent4 3 3 4 4 3" xfId="16803"/>
    <cellStyle name="40 % - Accent4 3 3 4 4 4" xfId="23293"/>
    <cellStyle name="40 % - Accent4 3 3 4 4 5" xfId="36273"/>
    <cellStyle name="40 % - Accent4 3 3 4 4 6" xfId="52502"/>
    <cellStyle name="40 % - Accent4 3 3 4 5" xfId="7065"/>
    <cellStyle name="40 % - Accent4 3 3 4 5 2" xfId="26538"/>
    <cellStyle name="40 % - Accent4 3 3 4 5 3" xfId="39518"/>
    <cellStyle name="40 % - Accent4 3 3 4 5 4" xfId="55747"/>
    <cellStyle name="40 % - Accent4 3 3 4 6" xfId="13558"/>
    <cellStyle name="40 % - Accent4 3 3 4 6 2" xfId="49257"/>
    <cellStyle name="40 % - Accent4 3 3 4 7" xfId="20048"/>
    <cellStyle name="40 % - Accent4 3 3 4 8" xfId="33028"/>
    <cellStyle name="40 % - Accent4 3 3 4 9" xfId="46011"/>
    <cellStyle name="40 % - Accent4 3 3 5" xfId="974"/>
    <cellStyle name="40 % - Accent4 3 3 5 2" xfId="2641"/>
    <cellStyle name="40 % - Accent4 3 3 5 2 2" xfId="5886"/>
    <cellStyle name="40 % - Accent4 3 3 5 2 2 2" xfId="12418"/>
    <cellStyle name="40 % - Accent4 3 3 5 2 2 2 2" xfId="31891"/>
    <cellStyle name="40 % - Accent4 3 3 5 2 2 2 3" xfId="44871"/>
    <cellStyle name="40 % - Accent4 3 3 5 2 2 2 4" xfId="61100"/>
    <cellStyle name="40 % - Accent4 3 3 5 2 2 3" xfId="18911"/>
    <cellStyle name="40 % - Accent4 3 3 5 2 2 4" xfId="25401"/>
    <cellStyle name="40 % - Accent4 3 3 5 2 2 5" xfId="38381"/>
    <cellStyle name="40 % - Accent4 3 3 5 2 2 6" xfId="54610"/>
    <cellStyle name="40 % - Accent4 3 3 5 2 3" xfId="9173"/>
    <cellStyle name="40 % - Accent4 3 3 5 2 3 2" xfId="28646"/>
    <cellStyle name="40 % - Accent4 3 3 5 2 3 3" xfId="41626"/>
    <cellStyle name="40 % - Accent4 3 3 5 2 3 4" xfId="57855"/>
    <cellStyle name="40 % - Accent4 3 3 5 2 4" xfId="15666"/>
    <cellStyle name="40 % - Accent4 3 3 5 2 4 2" xfId="51365"/>
    <cellStyle name="40 % - Accent4 3 3 5 2 5" xfId="22156"/>
    <cellStyle name="40 % - Accent4 3 3 5 2 6" xfId="35136"/>
    <cellStyle name="40 % - Accent4 3 3 5 2 7" xfId="48119"/>
    <cellStyle name="40 % - Accent4 3 3 5 3" xfId="4263"/>
    <cellStyle name="40 % - Accent4 3 3 5 3 2" xfId="10795"/>
    <cellStyle name="40 % - Accent4 3 3 5 3 2 2" xfId="30268"/>
    <cellStyle name="40 % - Accent4 3 3 5 3 2 3" xfId="43248"/>
    <cellStyle name="40 % - Accent4 3 3 5 3 2 4" xfId="59477"/>
    <cellStyle name="40 % - Accent4 3 3 5 3 3" xfId="17288"/>
    <cellStyle name="40 % - Accent4 3 3 5 3 4" xfId="23778"/>
    <cellStyle name="40 % - Accent4 3 3 5 3 5" xfId="36758"/>
    <cellStyle name="40 % - Accent4 3 3 5 3 6" xfId="52987"/>
    <cellStyle name="40 % - Accent4 3 3 5 4" xfId="7550"/>
    <cellStyle name="40 % - Accent4 3 3 5 4 2" xfId="27023"/>
    <cellStyle name="40 % - Accent4 3 3 5 4 3" xfId="40003"/>
    <cellStyle name="40 % - Accent4 3 3 5 4 4" xfId="56232"/>
    <cellStyle name="40 % - Accent4 3 3 5 5" xfId="14043"/>
    <cellStyle name="40 % - Accent4 3 3 5 5 2" xfId="49742"/>
    <cellStyle name="40 % - Accent4 3 3 5 6" xfId="20533"/>
    <cellStyle name="40 % - Accent4 3 3 5 7" xfId="33513"/>
    <cellStyle name="40 % - Accent4 3 3 5 8" xfId="46496"/>
    <cellStyle name="40 % - Accent4 3 3 6" xfId="1927"/>
    <cellStyle name="40 % - Accent4 3 3 6 2" xfId="5172"/>
    <cellStyle name="40 % - Accent4 3 3 6 2 2" xfId="11704"/>
    <cellStyle name="40 % - Accent4 3 3 6 2 2 2" xfId="31177"/>
    <cellStyle name="40 % - Accent4 3 3 6 2 2 3" xfId="44157"/>
    <cellStyle name="40 % - Accent4 3 3 6 2 2 4" xfId="60386"/>
    <cellStyle name="40 % - Accent4 3 3 6 2 3" xfId="18197"/>
    <cellStyle name="40 % - Accent4 3 3 6 2 4" xfId="24687"/>
    <cellStyle name="40 % - Accent4 3 3 6 2 5" xfId="37667"/>
    <cellStyle name="40 % - Accent4 3 3 6 2 6" xfId="53896"/>
    <cellStyle name="40 % - Accent4 3 3 6 3" xfId="8459"/>
    <cellStyle name="40 % - Accent4 3 3 6 3 2" xfId="27932"/>
    <cellStyle name="40 % - Accent4 3 3 6 3 3" xfId="40912"/>
    <cellStyle name="40 % - Accent4 3 3 6 3 4" xfId="57141"/>
    <cellStyle name="40 % - Accent4 3 3 6 4" xfId="14952"/>
    <cellStyle name="40 % - Accent4 3 3 6 4 2" xfId="50651"/>
    <cellStyle name="40 % - Accent4 3 3 6 5" xfId="21442"/>
    <cellStyle name="40 % - Accent4 3 3 6 6" xfId="34422"/>
    <cellStyle name="40 % - Accent4 3 3 6 7" xfId="47405"/>
    <cellStyle name="40 % - Accent4 3 3 7" xfId="3548"/>
    <cellStyle name="40 % - Accent4 3 3 7 2" xfId="10080"/>
    <cellStyle name="40 % - Accent4 3 3 7 2 2" xfId="29553"/>
    <cellStyle name="40 % - Accent4 3 3 7 2 3" xfId="42533"/>
    <cellStyle name="40 % - Accent4 3 3 7 2 4" xfId="58762"/>
    <cellStyle name="40 % - Accent4 3 3 7 3" xfId="16573"/>
    <cellStyle name="40 % - Accent4 3 3 7 4" xfId="23063"/>
    <cellStyle name="40 % - Accent4 3 3 7 5" xfId="36043"/>
    <cellStyle name="40 % - Accent4 3 3 7 6" xfId="52272"/>
    <cellStyle name="40 % - Accent4 3 3 8" xfId="6835"/>
    <cellStyle name="40 % - Accent4 3 3 8 2" xfId="26308"/>
    <cellStyle name="40 % - Accent4 3 3 8 3" xfId="39288"/>
    <cellStyle name="40 % - Accent4 3 3 8 4" xfId="55517"/>
    <cellStyle name="40 % - Accent4 3 3 9" xfId="13328"/>
    <cellStyle name="40 % - Accent4 3 3 9 2" xfId="49027"/>
    <cellStyle name="40 % - Accent4 3 4" xfId="210"/>
    <cellStyle name="40 % - Accent4 3 4 10" xfId="32754"/>
    <cellStyle name="40 % - Accent4 3 4 11" xfId="45737"/>
    <cellStyle name="40 % - Accent4 3 4 2" xfId="674"/>
    <cellStyle name="40 % - Accent4 3 4 2 10" xfId="46197"/>
    <cellStyle name="40 % - Accent4 3 4 2 2" xfId="1613"/>
    <cellStyle name="40 % - Accent4 3 4 2 2 2" xfId="3280"/>
    <cellStyle name="40 % - Accent4 3 4 2 2 2 2" xfId="6525"/>
    <cellStyle name="40 % - Accent4 3 4 2 2 2 2 2" xfId="13057"/>
    <cellStyle name="40 % - Accent4 3 4 2 2 2 2 2 2" xfId="32530"/>
    <cellStyle name="40 % - Accent4 3 4 2 2 2 2 2 3" xfId="45510"/>
    <cellStyle name="40 % - Accent4 3 4 2 2 2 2 2 4" xfId="61739"/>
    <cellStyle name="40 % - Accent4 3 4 2 2 2 2 3" xfId="19550"/>
    <cellStyle name="40 % - Accent4 3 4 2 2 2 2 4" xfId="26040"/>
    <cellStyle name="40 % - Accent4 3 4 2 2 2 2 5" xfId="39020"/>
    <cellStyle name="40 % - Accent4 3 4 2 2 2 2 6" xfId="55249"/>
    <cellStyle name="40 % - Accent4 3 4 2 2 2 3" xfId="9812"/>
    <cellStyle name="40 % - Accent4 3 4 2 2 2 3 2" xfId="29285"/>
    <cellStyle name="40 % - Accent4 3 4 2 2 2 3 3" xfId="42265"/>
    <cellStyle name="40 % - Accent4 3 4 2 2 2 3 4" xfId="58494"/>
    <cellStyle name="40 % - Accent4 3 4 2 2 2 4" xfId="16305"/>
    <cellStyle name="40 % - Accent4 3 4 2 2 2 4 2" xfId="52004"/>
    <cellStyle name="40 % - Accent4 3 4 2 2 2 5" xfId="22795"/>
    <cellStyle name="40 % - Accent4 3 4 2 2 2 6" xfId="35775"/>
    <cellStyle name="40 % - Accent4 3 4 2 2 2 7" xfId="48758"/>
    <cellStyle name="40 % - Accent4 3 4 2 2 3" xfId="4902"/>
    <cellStyle name="40 % - Accent4 3 4 2 2 3 2" xfId="11434"/>
    <cellStyle name="40 % - Accent4 3 4 2 2 3 2 2" xfId="30907"/>
    <cellStyle name="40 % - Accent4 3 4 2 2 3 2 3" xfId="43887"/>
    <cellStyle name="40 % - Accent4 3 4 2 2 3 2 4" xfId="60116"/>
    <cellStyle name="40 % - Accent4 3 4 2 2 3 3" xfId="17927"/>
    <cellStyle name="40 % - Accent4 3 4 2 2 3 4" xfId="24417"/>
    <cellStyle name="40 % - Accent4 3 4 2 2 3 5" xfId="37397"/>
    <cellStyle name="40 % - Accent4 3 4 2 2 3 6" xfId="53626"/>
    <cellStyle name="40 % - Accent4 3 4 2 2 4" xfId="8189"/>
    <cellStyle name="40 % - Accent4 3 4 2 2 4 2" xfId="27662"/>
    <cellStyle name="40 % - Accent4 3 4 2 2 4 3" xfId="40642"/>
    <cellStyle name="40 % - Accent4 3 4 2 2 4 4" xfId="56871"/>
    <cellStyle name="40 % - Accent4 3 4 2 2 5" xfId="14682"/>
    <cellStyle name="40 % - Accent4 3 4 2 2 5 2" xfId="50381"/>
    <cellStyle name="40 % - Accent4 3 4 2 2 6" xfId="21172"/>
    <cellStyle name="40 % - Accent4 3 4 2 2 7" xfId="34152"/>
    <cellStyle name="40 % - Accent4 3 4 2 2 8" xfId="47135"/>
    <cellStyle name="40 % - Accent4 3 4 2 3" xfId="1150"/>
    <cellStyle name="40 % - Accent4 3 4 2 3 2" xfId="2817"/>
    <cellStyle name="40 % - Accent4 3 4 2 3 2 2" xfId="6062"/>
    <cellStyle name="40 % - Accent4 3 4 2 3 2 2 2" xfId="12594"/>
    <cellStyle name="40 % - Accent4 3 4 2 3 2 2 2 2" xfId="32067"/>
    <cellStyle name="40 % - Accent4 3 4 2 3 2 2 2 3" xfId="45047"/>
    <cellStyle name="40 % - Accent4 3 4 2 3 2 2 2 4" xfId="61276"/>
    <cellStyle name="40 % - Accent4 3 4 2 3 2 2 3" xfId="19087"/>
    <cellStyle name="40 % - Accent4 3 4 2 3 2 2 4" xfId="25577"/>
    <cellStyle name="40 % - Accent4 3 4 2 3 2 2 5" xfId="38557"/>
    <cellStyle name="40 % - Accent4 3 4 2 3 2 2 6" xfId="54786"/>
    <cellStyle name="40 % - Accent4 3 4 2 3 2 3" xfId="9349"/>
    <cellStyle name="40 % - Accent4 3 4 2 3 2 3 2" xfId="28822"/>
    <cellStyle name="40 % - Accent4 3 4 2 3 2 3 3" xfId="41802"/>
    <cellStyle name="40 % - Accent4 3 4 2 3 2 3 4" xfId="58031"/>
    <cellStyle name="40 % - Accent4 3 4 2 3 2 4" xfId="15842"/>
    <cellStyle name="40 % - Accent4 3 4 2 3 2 4 2" xfId="51541"/>
    <cellStyle name="40 % - Accent4 3 4 2 3 2 5" xfId="22332"/>
    <cellStyle name="40 % - Accent4 3 4 2 3 2 6" xfId="35312"/>
    <cellStyle name="40 % - Accent4 3 4 2 3 2 7" xfId="48295"/>
    <cellStyle name="40 % - Accent4 3 4 2 3 3" xfId="4439"/>
    <cellStyle name="40 % - Accent4 3 4 2 3 3 2" xfId="10971"/>
    <cellStyle name="40 % - Accent4 3 4 2 3 3 2 2" xfId="30444"/>
    <cellStyle name="40 % - Accent4 3 4 2 3 3 2 3" xfId="43424"/>
    <cellStyle name="40 % - Accent4 3 4 2 3 3 2 4" xfId="59653"/>
    <cellStyle name="40 % - Accent4 3 4 2 3 3 3" xfId="17464"/>
    <cellStyle name="40 % - Accent4 3 4 2 3 3 4" xfId="23954"/>
    <cellStyle name="40 % - Accent4 3 4 2 3 3 5" xfId="36934"/>
    <cellStyle name="40 % - Accent4 3 4 2 3 3 6" xfId="53163"/>
    <cellStyle name="40 % - Accent4 3 4 2 3 4" xfId="7726"/>
    <cellStyle name="40 % - Accent4 3 4 2 3 4 2" xfId="27199"/>
    <cellStyle name="40 % - Accent4 3 4 2 3 4 3" xfId="40179"/>
    <cellStyle name="40 % - Accent4 3 4 2 3 4 4" xfId="56408"/>
    <cellStyle name="40 % - Accent4 3 4 2 3 5" xfId="14219"/>
    <cellStyle name="40 % - Accent4 3 4 2 3 5 2" xfId="49918"/>
    <cellStyle name="40 % - Accent4 3 4 2 3 6" xfId="20709"/>
    <cellStyle name="40 % - Accent4 3 4 2 3 7" xfId="33689"/>
    <cellStyle name="40 % - Accent4 3 4 2 3 8" xfId="46672"/>
    <cellStyle name="40 % - Accent4 3 4 2 4" xfId="2342"/>
    <cellStyle name="40 % - Accent4 3 4 2 4 2" xfId="5587"/>
    <cellStyle name="40 % - Accent4 3 4 2 4 2 2" xfId="12119"/>
    <cellStyle name="40 % - Accent4 3 4 2 4 2 2 2" xfId="31592"/>
    <cellStyle name="40 % - Accent4 3 4 2 4 2 2 3" xfId="44572"/>
    <cellStyle name="40 % - Accent4 3 4 2 4 2 2 4" xfId="60801"/>
    <cellStyle name="40 % - Accent4 3 4 2 4 2 3" xfId="18612"/>
    <cellStyle name="40 % - Accent4 3 4 2 4 2 4" xfId="25102"/>
    <cellStyle name="40 % - Accent4 3 4 2 4 2 5" xfId="38082"/>
    <cellStyle name="40 % - Accent4 3 4 2 4 2 6" xfId="54311"/>
    <cellStyle name="40 % - Accent4 3 4 2 4 3" xfId="8874"/>
    <cellStyle name="40 % - Accent4 3 4 2 4 3 2" xfId="28347"/>
    <cellStyle name="40 % - Accent4 3 4 2 4 3 3" xfId="41327"/>
    <cellStyle name="40 % - Accent4 3 4 2 4 3 4" xfId="57556"/>
    <cellStyle name="40 % - Accent4 3 4 2 4 4" xfId="15367"/>
    <cellStyle name="40 % - Accent4 3 4 2 4 4 2" xfId="51066"/>
    <cellStyle name="40 % - Accent4 3 4 2 4 5" xfId="21857"/>
    <cellStyle name="40 % - Accent4 3 4 2 4 6" xfId="34837"/>
    <cellStyle name="40 % - Accent4 3 4 2 4 7" xfId="47820"/>
    <cellStyle name="40 % - Accent4 3 4 2 5" xfId="3964"/>
    <cellStyle name="40 % - Accent4 3 4 2 5 2" xfId="10496"/>
    <cellStyle name="40 % - Accent4 3 4 2 5 2 2" xfId="29969"/>
    <cellStyle name="40 % - Accent4 3 4 2 5 2 3" xfId="42949"/>
    <cellStyle name="40 % - Accent4 3 4 2 5 2 4" xfId="59178"/>
    <cellStyle name="40 % - Accent4 3 4 2 5 3" xfId="16989"/>
    <cellStyle name="40 % - Accent4 3 4 2 5 4" xfId="23479"/>
    <cellStyle name="40 % - Accent4 3 4 2 5 5" xfId="36459"/>
    <cellStyle name="40 % - Accent4 3 4 2 5 6" xfId="52688"/>
    <cellStyle name="40 % - Accent4 3 4 2 6" xfId="7251"/>
    <cellStyle name="40 % - Accent4 3 4 2 6 2" xfId="26724"/>
    <cellStyle name="40 % - Accent4 3 4 2 6 3" xfId="39704"/>
    <cellStyle name="40 % - Accent4 3 4 2 6 4" xfId="55933"/>
    <cellStyle name="40 % - Accent4 3 4 2 7" xfId="13744"/>
    <cellStyle name="40 % - Accent4 3 4 2 7 2" xfId="49443"/>
    <cellStyle name="40 % - Accent4 3 4 2 8" xfId="20234"/>
    <cellStyle name="40 % - Accent4 3 4 2 9" xfId="33214"/>
    <cellStyle name="40 % - Accent4 3 4 3" xfId="444"/>
    <cellStyle name="40 % - Accent4 3 4 3 2" xfId="1393"/>
    <cellStyle name="40 % - Accent4 3 4 3 2 2" xfId="3060"/>
    <cellStyle name="40 % - Accent4 3 4 3 2 2 2" xfId="6305"/>
    <cellStyle name="40 % - Accent4 3 4 3 2 2 2 2" xfId="12837"/>
    <cellStyle name="40 % - Accent4 3 4 3 2 2 2 2 2" xfId="32310"/>
    <cellStyle name="40 % - Accent4 3 4 3 2 2 2 2 3" xfId="45290"/>
    <cellStyle name="40 % - Accent4 3 4 3 2 2 2 2 4" xfId="61519"/>
    <cellStyle name="40 % - Accent4 3 4 3 2 2 2 3" xfId="19330"/>
    <cellStyle name="40 % - Accent4 3 4 3 2 2 2 4" xfId="25820"/>
    <cellStyle name="40 % - Accent4 3 4 3 2 2 2 5" xfId="38800"/>
    <cellStyle name="40 % - Accent4 3 4 3 2 2 2 6" xfId="55029"/>
    <cellStyle name="40 % - Accent4 3 4 3 2 2 3" xfId="9592"/>
    <cellStyle name="40 % - Accent4 3 4 3 2 2 3 2" xfId="29065"/>
    <cellStyle name="40 % - Accent4 3 4 3 2 2 3 3" xfId="42045"/>
    <cellStyle name="40 % - Accent4 3 4 3 2 2 3 4" xfId="58274"/>
    <cellStyle name="40 % - Accent4 3 4 3 2 2 4" xfId="16085"/>
    <cellStyle name="40 % - Accent4 3 4 3 2 2 4 2" xfId="51784"/>
    <cellStyle name="40 % - Accent4 3 4 3 2 2 5" xfId="22575"/>
    <cellStyle name="40 % - Accent4 3 4 3 2 2 6" xfId="35555"/>
    <cellStyle name="40 % - Accent4 3 4 3 2 2 7" xfId="48538"/>
    <cellStyle name="40 % - Accent4 3 4 3 2 3" xfId="4682"/>
    <cellStyle name="40 % - Accent4 3 4 3 2 3 2" xfId="11214"/>
    <cellStyle name="40 % - Accent4 3 4 3 2 3 2 2" xfId="30687"/>
    <cellStyle name="40 % - Accent4 3 4 3 2 3 2 3" xfId="43667"/>
    <cellStyle name="40 % - Accent4 3 4 3 2 3 2 4" xfId="59896"/>
    <cellStyle name="40 % - Accent4 3 4 3 2 3 3" xfId="17707"/>
    <cellStyle name="40 % - Accent4 3 4 3 2 3 4" xfId="24197"/>
    <cellStyle name="40 % - Accent4 3 4 3 2 3 5" xfId="37177"/>
    <cellStyle name="40 % - Accent4 3 4 3 2 3 6" xfId="53406"/>
    <cellStyle name="40 % - Accent4 3 4 3 2 4" xfId="7969"/>
    <cellStyle name="40 % - Accent4 3 4 3 2 4 2" xfId="27442"/>
    <cellStyle name="40 % - Accent4 3 4 3 2 4 3" xfId="40422"/>
    <cellStyle name="40 % - Accent4 3 4 3 2 4 4" xfId="56651"/>
    <cellStyle name="40 % - Accent4 3 4 3 2 5" xfId="14462"/>
    <cellStyle name="40 % - Accent4 3 4 3 2 5 2" xfId="50161"/>
    <cellStyle name="40 % - Accent4 3 4 3 2 6" xfId="20952"/>
    <cellStyle name="40 % - Accent4 3 4 3 2 7" xfId="33932"/>
    <cellStyle name="40 % - Accent4 3 4 3 2 8" xfId="46915"/>
    <cellStyle name="40 % - Accent4 3 4 3 3" xfId="2112"/>
    <cellStyle name="40 % - Accent4 3 4 3 3 2" xfId="5357"/>
    <cellStyle name="40 % - Accent4 3 4 3 3 2 2" xfId="11889"/>
    <cellStyle name="40 % - Accent4 3 4 3 3 2 2 2" xfId="31362"/>
    <cellStyle name="40 % - Accent4 3 4 3 3 2 2 3" xfId="44342"/>
    <cellStyle name="40 % - Accent4 3 4 3 3 2 2 4" xfId="60571"/>
    <cellStyle name="40 % - Accent4 3 4 3 3 2 3" xfId="18382"/>
    <cellStyle name="40 % - Accent4 3 4 3 3 2 4" xfId="24872"/>
    <cellStyle name="40 % - Accent4 3 4 3 3 2 5" xfId="37852"/>
    <cellStyle name="40 % - Accent4 3 4 3 3 2 6" xfId="54081"/>
    <cellStyle name="40 % - Accent4 3 4 3 3 3" xfId="8644"/>
    <cellStyle name="40 % - Accent4 3 4 3 3 3 2" xfId="28117"/>
    <cellStyle name="40 % - Accent4 3 4 3 3 3 3" xfId="41097"/>
    <cellStyle name="40 % - Accent4 3 4 3 3 3 4" xfId="57326"/>
    <cellStyle name="40 % - Accent4 3 4 3 3 4" xfId="15137"/>
    <cellStyle name="40 % - Accent4 3 4 3 3 4 2" xfId="50836"/>
    <cellStyle name="40 % - Accent4 3 4 3 3 5" xfId="21627"/>
    <cellStyle name="40 % - Accent4 3 4 3 3 6" xfId="34607"/>
    <cellStyle name="40 % - Accent4 3 4 3 3 7" xfId="47590"/>
    <cellStyle name="40 % - Accent4 3 4 3 4" xfId="3734"/>
    <cellStyle name="40 % - Accent4 3 4 3 4 2" xfId="10266"/>
    <cellStyle name="40 % - Accent4 3 4 3 4 2 2" xfId="29739"/>
    <cellStyle name="40 % - Accent4 3 4 3 4 2 3" xfId="42719"/>
    <cellStyle name="40 % - Accent4 3 4 3 4 2 4" xfId="58948"/>
    <cellStyle name="40 % - Accent4 3 4 3 4 3" xfId="16759"/>
    <cellStyle name="40 % - Accent4 3 4 3 4 4" xfId="23249"/>
    <cellStyle name="40 % - Accent4 3 4 3 4 5" xfId="36229"/>
    <cellStyle name="40 % - Accent4 3 4 3 4 6" xfId="52458"/>
    <cellStyle name="40 % - Accent4 3 4 3 5" xfId="7021"/>
    <cellStyle name="40 % - Accent4 3 4 3 5 2" xfId="26494"/>
    <cellStyle name="40 % - Accent4 3 4 3 5 3" xfId="39474"/>
    <cellStyle name="40 % - Accent4 3 4 3 5 4" xfId="55703"/>
    <cellStyle name="40 % - Accent4 3 4 3 6" xfId="13514"/>
    <cellStyle name="40 % - Accent4 3 4 3 6 2" xfId="49213"/>
    <cellStyle name="40 % - Accent4 3 4 3 7" xfId="20004"/>
    <cellStyle name="40 % - Accent4 3 4 3 8" xfId="32984"/>
    <cellStyle name="40 % - Accent4 3 4 3 9" xfId="45967"/>
    <cellStyle name="40 % - Accent4 3 4 4" xfId="930"/>
    <cellStyle name="40 % - Accent4 3 4 4 2" xfId="2597"/>
    <cellStyle name="40 % - Accent4 3 4 4 2 2" xfId="5842"/>
    <cellStyle name="40 % - Accent4 3 4 4 2 2 2" xfId="12374"/>
    <cellStyle name="40 % - Accent4 3 4 4 2 2 2 2" xfId="31847"/>
    <cellStyle name="40 % - Accent4 3 4 4 2 2 2 3" xfId="44827"/>
    <cellStyle name="40 % - Accent4 3 4 4 2 2 2 4" xfId="61056"/>
    <cellStyle name="40 % - Accent4 3 4 4 2 2 3" xfId="18867"/>
    <cellStyle name="40 % - Accent4 3 4 4 2 2 4" xfId="25357"/>
    <cellStyle name="40 % - Accent4 3 4 4 2 2 5" xfId="38337"/>
    <cellStyle name="40 % - Accent4 3 4 4 2 2 6" xfId="54566"/>
    <cellStyle name="40 % - Accent4 3 4 4 2 3" xfId="9129"/>
    <cellStyle name="40 % - Accent4 3 4 4 2 3 2" xfId="28602"/>
    <cellStyle name="40 % - Accent4 3 4 4 2 3 3" xfId="41582"/>
    <cellStyle name="40 % - Accent4 3 4 4 2 3 4" xfId="57811"/>
    <cellStyle name="40 % - Accent4 3 4 4 2 4" xfId="15622"/>
    <cellStyle name="40 % - Accent4 3 4 4 2 4 2" xfId="51321"/>
    <cellStyle name="40 % - Accent4 3 4 4 2 5" xfId="22112"/>
    <cellStyle name="40 % - Accent4 3 4 4 2 6" xfId="35092"/>
    <cellStyle name="40 % - Accent4 3 4 4 2 7" xfId="48075"/>
    <cellStyle name="40 % - Accent4 3 4 4 3" xfId="4219"/>
    <cellStyle name="40 % - Accent4 3 4 4 3 2" xfId="10751"/>
    <cellStyle name="40 % - Accent4 3 4 4 3 2 2" xfId="30224"/>
    <cellStyle name="40 % - Accent4 3 4 4 3 2 3" xfId="43204"/>
    <cellStyle name="40 % - Accent4 3 4 4 3 2 4" xfId="59433"/>
    <cellStyle name="40 % - Accent4 3 4 4 3 3" xfId="17244"/>
    <cellStyle name="40 % - Accent4 3 4 4 3 4" xfId="23734"/>
    <cellStyle name="40 % - Accent4 3 4 4 3 5" xfId="36714"/>
    <cellStyle name="40 % - Accent4 3 4 4 3 6" xfId="52943"/>
    <cellStyle name="40 % - Accent4 3 4 4 4" xfId="7506"/>
    <cellStyle name="40 % - Accent4 3 4 4 4 2" xfId="26979"/>
    <cellStyle name="40 % - Accent4 3 4 4 4 3" xfId="39959"/>
    <cellStyle name="40 % - Accent4 3 4 4 4 4" xfId="56188"/>
    <cellStyle name="40 % - Accent4 3 4 4 5" xfId="13999"/>
    <cellStyle name="40 % - Accent4 3 4 4 5 2" xfId="49698"/>
    <cellStyle name="40 % - Accent4 3 4 4 6" xfId="20489"/>
    <cellStyle name="40 % - Accent4 3 4 4 7" xfId="33469"/>
    <cellStyle name="40 % - Accent4 3 4 4 8" xfId="46452"/>
    <cellStyle name="40 % - Accent4 3 4 5" xfId="1883"/>
    <cellStyle name="40 % - Accent4 3 4 5 2" xfId="5128"/>
    <cellStyle name="40 % - Accent4 3 4 5 2 2" xfId="11660"/>
    <cellStyle name="40 % - Accent4 3 4 5 2 2 2" xfId="31133"/>
    <cellStyle name="40 % - Accent4 3 4 5 2 2 3" xfId="44113"/>
    <cellStyle name="40 % - Accent4 3 4 5 2 2 4" xfId="60342"/>
    <cellStyle name="40 % - Accent4 3 4 5 2 3" xfId="18153"/>
    <cellStyle name="40 % - Accent4 3 4 5 2 4" xfId="24643"/>
    <cellStyle name="40 % - Accent4 3 4 5 2 5" xfId="37623"/>
    <cellStyle name="40 % - Accent4 3 4 5 2 6" xfId="53852"/>
    <cellStyle name="40 % - Accent4 3 4 5 3" xfId="8415"/>
    <cellStyle name="40 % - Accent4 3 4 5 3 2" xfId="27888"/>
    <cellStyle name="40 % - Accent4 3 4 5 3 3" xfId="40868"/>
    <cellStyle name="40 % - Accent4 3 4 5 3 4" xfId="57097"/>
    <cellStyle name="40 % - Accent4 3 4 5 4" xfId="14908"/>
    <cellStyle name="40 % - Accent4 3 4 5 4 2" xfId="50607"/>
    <cellStyle name="40 % - Accent4 3 4 5 5" xfId="21398"/>
    <cellStyle name="40 % - Accent4 3 4 5 6" xfId="34378"/>
    <cellStyle name="40 % - Accent4 3 4 5 7" xfId="47361"/>
    <cellStyle name="40 % - Accent4 3 4 6" xfId="3504"/>
    <cellStyle name="40 % - Accent4 3 4 6 2" xfId="10036"/>
    <cellStyle name="40 % - Accent4 3 4 6 2 2" xfId="29509"/>
    <cellStyle name="40 % - Accent4 3 4 6 2 3" xfId="42489"/>
    <cellStyle name="40 % - Accent4 3 4 6 2 4" xfId="58718"/>
    <cellStyle name="40 % - Accent4 3 4 6 3" xfId="16529"/>
    <cellStyle name="40 % - Accent4 3 4 6 4" xfId="23019"/>
    <cellStyle name="40 % - Accent4 3 4 6 5" xfId="35999"/>
    <cellStyle name="40 % - Accent4 3 4 6 6" xfId="52228"/>
    <cellStyle name="40 % - Accent4 3 4 7" xfId="6791"/>
    <cellStyle name="40 % - Accent4 3 4 7 2" xfId="26264"/>
    <cellStyle name="40 % - Accent4 3 4 7 3" xfId="39244"/>
    <cellStyle name="40 % - Accent4 3 4 7 4" xfId="55473"/>
    <cellStyle name="40 % - Accent4 3 4 8" xfId="13284"/>
    <cellStyle name="40 % - Accent4 3 4 8 2" xfId="48983"/>
    <cellStyle name="40 % - Accent4 3 4 9" xfId="19774"/>
    <cellStyle name="40 % - Accent4 3 5" xfId="298"/>
    <cellStyle name="40 % - Accent4 3 5 10" xfId="32842"/>
    <cellStyle name="40 % - Accent4 3 5 11" xfId="45825"/>
    <cellStyle name="40 % - Accent4 3 5 2" xfId="762"/>
    <cellStyle name="40 % - Accent4 3 5 2 10" xfId="46285"/>
    <cellStyle name="40 % - Accent4 3 5 2 2" xfId="1701"/>
    <cellStyle name="40 % - Accent4 3 5 2 2 2" xfId="3368"/>
    <cellStyle name="40 % - Accent4 3 5 2 2 2 2" xfId="6613"/>
    <cellStyle name="40 % - Accent4 3 5 2 2 2 2 2" xfId="13145"/>
    <cellStyle name="40 % - Accent4 3 5 2 2 2 2 2 2" xfId="32618"/>
    <cellStyle name="40 % - Accent4 3 5 2 2 2 2 2 3" xfId="45598"/>
    <cellStyle name="40 % - Accent4 3 5 2 2 2 2 2 4" xfId="61827"/>
    <cellStyle name="40 % - Accent4 3 5 2 2 2 2 3" xfId="19638"/>
    <cellStyle name="40 % - Accent4 3 5 2 2 2 2 4" xfId="26128"/>
    <cellStyle name="40 % - Accent4 3 5 2 2 2 2 5" xfId="39108"/>
    <cellStyle name="40 % - Accent4 3 5 2 2 2 2 6" xfId="55337"/>
    <cellStyle name="40 % - Accent4 3 5 2 2 2 3" xfId="9900"/>
    <cellStyle name="40 % - Accent4 3 5 2 2 2 3 2" xfId="29373"/>
    <cellStyle name="40 % - Accent4 3 5 2 2 2 3 3" xfId="42353"/>
    <cellStyle name="40 % - Accent4 3 5 2 2 2 3 4" xfId="58582"/>
    <cellStyle name="40 % - Accent4 3 5 2 2 2 4" xfId="16393"/>
    <cellStyle name="40 % - Accent4 3 5 2 2 2 4 2" xfId="52092"/>
    <cellStyle name="40 % - Accent4 3 5 2 2 2 5" xfId="22883"/>
    <cellStyle name="40 % - Accent4 3 5 2 2 2 6" xfId="35863"/>
    <cellStyle name="40 % - Accent4 3 5 2 2 2 7" xfId="48846"/>
    <cellStyle name="40 % - Accent4 3 5 2 2 3" xfId="4990"/>
    <cellStyle name="40 % - Accent4 3 5 2 2 3 2" xfId="11522"/>
    <cellStyle name="40 % - Accent4 3 5 2 2 3 2 2" xfId="30995"/>
    <cellStyle name="40 % - Accent4 3 5 2 2 3 2 3" xfId="43975"/>
    <cellStyle name="40 % - Accent4 3 5 2 2 3 2 4" xfId="60204"/>
    <cellStyle name="40 % - Accent4 3 5 2 2 3 3" xfId="18015"/>
    <cellStyle name="40 % - Accent4 3 5 2 2 3 4" xfId="24505"/>
    <cellStyle name="40 % - Accent4 3 5 2 2 3 5" xfId="37485"/>
    <cellStyle name="40 % - Accent4 3 5 2 2 3 6" xfId="53714"/>
    <cellStyle name="40 % - Accent4 3 5 2 2 4" xfId="8277"/>
    <cellStyle name="40 % - Accent4 3 5 2 2 4 2" xfId="27750"/>
    <cellStyle name="40 % - Accent4 3 5 2 2 4 3" xfId="40730"/>
    <cellStyle name="40 % - Accent4 3 5 2 2 4 4" xfId="56959"/>
    <cellStyle name="40 % - Accent4 3 5 2 2 5" xfId="14770"/>
    <cellStyle name="40 % - Accent4 3 5 2 2 5 2" xfId="50469"/>
    <cellStyle name="40 % - Accent4 3 5 2 2 6" xfId="21260"/>
    <cellStyle name="40 % - Accent4 3 5 2 2 7" xfId="34240"/>
    <cellStyle name="40 % - Accent4 3 5 2 2 8" xfId="47223"/>
    <cellStyle name="40 % - Accent4 3 5 2 3" xfId="1238"/>
    <cellStyle name="40 % - Accent4 3 5 2 3 2" xfId="2905"/>
    <cellStyle name="40 % - Accent4 3 5 2 3 2 2" xfId="6150"/>
    <cellStyle name="40 % - Accent4 3 5 2 3 2 2 2" xfId="12682"/>
    <cellStyle name="40 % - Accent4 3 5 2 3 2 2 2 2" xfId="32155"/>
    <cellStyle name="40 % - Accent4 3 5 2 3 2 2 2 3" xfId="45135"/>
    <cellStyle name="40 % - Accent4 3 5 2 3 2 2 2 4" xfId="61364"/>
    <cellStyle name="40 % - Accent4 3 5 2 3 2 2 3" xfId="19175"/>
    <cellStyle name="40 % - Accent4 3 5 2 3 2 2 4" xfId="25665"/>
    <cellStyle name="40 % - Accent4 3 5 2 3 2 2 5" xfId="38645"/>
    <cellStyle name="40 % - Accent4 3 5 2 3 2 2 6" xfId="54874"/>
    <cellStyle name="40 % - Accent4 3 5 2 3 2 3" xfId="9437"/>
    <cellStyle name="40 % - Accent4 3 5 2 3 2 3 2" xfId="28910"/>
    <cellStyle name="40 % - Accent4 3 5 2 3 2 3 3" xfId="41890"/>
    <cellStyle name="40 % - Accent4 3 5 2 3 2 3 4" xfId="58119"/>
    <cellStyle name="40 % - Accent4 3 5 2 3 2 4" xfId="15930"/>
    <cellStyle name="40 % - Accent4 3 5 2 3 2 4 2" xfId="51629"/>
    <cellStyle name="40 % - Accent4 3 5 2 3 2 5" xfId="22420"/>
    <cellStyle name="40 % - Accent4 3 5 2 3 2 6" xfId="35400"/>
    <cellStyle name="40 % - Accent4 3 5 2 3 2 7" xfId="48383"/>
    <cellStyle name="40 % - Accent4 3 5 2 3 3" xfId="4527"/>
    <cellStyle name="40 % - Accent4 3 5 2 3 3 2" xfId="11059"/>
    <cellStyle name="40 % - Accent4 3 5 2 3 3 2 2" xfId="30532"/>
    <cellStyle name="40 % - Accent4 3 5 2 3 3 2 3" xfId="43512"/>
    <cellStyle name="40 % - Accent4 3 5 2 3 3 2 4" xfId="59741"/>
    <cellStyle name="40 % - Accent4 3 5 2 3 3 3" xfId="17552"/>
    <cellStyle name="40 % - Accent4 3 5 2 3 3 4" xfId="24042"/>
    <cellStyle name="40 % - Accent4 3 5 2 3 3 5" xfId="37022"/>
    <cellStyle name="40 % - Accent4 3 5 2 3 3 6" xfId="53251"/>
    <cellStyle name="40 % - Accent4 3 5 2 3 4" xfId="7814"/>
    <cellStyle name="40 % - Accent4 3 5 2 3 4 2" xfId="27287"/>
    <cellStyle name="40 % - Accent4 3 5 2 3 4 3" xfId="40267"/>
    <cellStyle name="40 % - Accent4 3 5 2 3 4 4" xfId="56496"/>
    <cellStyle name="40 % - Accent4 3 5 2 3 5" xfId="14307"/>
    <cellStyle name="40 % - Accent4 3 5 2 3 5 2" xfId="50006"/>
    <cellStyle name="40 % - Accent4 3 5 2 3 6" xfId="20797"/>
    <cellStyle name="40 % - Accent4 3 5 2 3 7" xfId="33777"/>
    <cellStyle name="40 % - Accent4 3 5 2 3 8" xfId="46760"/>
    <cellStyle name="40 % - Accent4 3 5 2 4" xfId="2430"/>
    <cellStyle name="40 % - Accent4 3 5 2 4 2" xfId="5675"/>
    <cellStyle name="40 % - Accent4 3 5 2 4 2 2" xfId="12207"/>
    <cellStyle name="40 % - Accent4 3 5 2 4 2 2 2" xfId="31680"/>
    <cellStyle name="40 % - Accent4 3 5 2 4 2 2 3" xfId="44660"/>
    <cellStyle name="40 % - Accent4 3 5 2 4 2 2 4" xfId="60889"/>
    <cellStyle name="40 % - Accent4 3 5 2 4 2 3" xfId="18700"/>
    <cellStyle name="40 % - Accent4 3 5 2 4 2 4" xfId="25190"/>
    <cellStyle name="40 % - Accent4 3 5 2 4 2 5" xfId="38170"/>
    <cellStyle name="40 % - Accent4 3 5 2 4 2 6" xfId="54399"/>
    <cellStyle name="40 % - Accent4 3 5 2 4 3" xfId="8962"/>
    <cellStyle name="40 % - Accent4 3 5 2 4 3 2" xfId="28435"/>
    <cellStyle name="40 % - Accent4 3 5 2 4 3 3" xfId="41415"/>
    <cellStyle name="40 % - Accent4 3 5 2 4 3 4" xfId="57644"/>
    <cellStyle name="40 % - Accent4 3 5 2 4 4" xfId="15455"/>
    <cellStyle name="40 % - Accent4 3 5 2 4 4 2" xfId="51154"/>
    <cellStyle name="40 % - Accent4 3 5 2 4 5" xfId="21945"/>
    <cellStyle name="40 % - Accent4 3 5 2 4 6" xfId="34925"/>
    <cellStyle name="40 % - Accent4 3 5 2 4 7" xfId="47908"/>
    <cellStyle name="40 % - Accent4 3 5 2 5" xfId="4052"/>
    <cellStyle name="40 % - Accent4 3 5 2 5 2" xfId="10584"/>
    <cellStyle name="40 % - Accent4 3 5 2 5 2 2" xfId="30057"/>
    <cellStyle name="40 % - Accent4 3 5 2 5 2 3" xfId="43037"/>
    <cellStyle name="40 % - Accent4 3 5 2 5 2 4" xfId="59266"/>
    <cellStyle name="40 % - Accent4 3 5 2 5 3" xfId="17077"/>
    <cellStyle name="40 % - Accent4 3 5 2 5 4" xfId="23567"/>
    <cellStyle name="40 % - Accent4 3 5 2 5 5" xfId="36547"/>
    <cellStyle name="40 % - Accent4 3 5 2 5 6" xfId="52776"/>
    <cellStyle name="40 % - Accent4 3 5 2 6" xfId="7339"/>
    <cellStyle name="40 % - Accent4 3 5 2 6 2" xfId="26812"/>
    <cellStyle name="40 % - Accent4 3 5 2 6 3" xfId="39792"/>
    <cellStyle name="40 % - Accent4 3 5 2 6 4" xfId="56021"/>
    <cellStyle name="40 % - Accent4 3 5 2 7" xfId="13832"/>
    <cellStyle name="40 % - Accent4 3 5 2 7 2" xfId="49531"/>
    <cellStyle name="40 % - Accent4 3 5 2 8" xfId="20322"/>
    <cellStyle name="40 % - Accent4 3 5 2 9" xfId="33302"/>
    <cellStyle name="40 % - Accent4 3 5 3" xfId="532"/>
    <cellStyle name="40 % - Accent4 3 5 3 2" xfId="1481"/>
    <cellStyle name="40 % - Accent4 3 5 3 2 2" xfId="3148"/>
    <cellStyle name="40 % - Accent4 3 5 3 2 2 2" xfId="6393"/>
    <cellStyle name="40 % - Accent4 3 5 3 2 2 2 2" xfId="12925"/>
    <cellStyle name="40 % - Accent4 3 5 3 2 2 2 2 2" xfId="32398"/>
    <cellStyle name="40 % - Accent4 3 5 3 2 2 2 2 3" xfId="45378"/>
    <cellStyle name="40 % - Accent4 3 5 3 2 2 2 2 4" xfId="61607"/>
    <cellStyle name="40 % - Accent4 3 5 3 2 2 2 3" xfId="19418"/>
    <cellStyle name="40 % - Accent4 3 5 3 2 2 2 4" xfId="25908"/>
    <cellStyle name="40 % - Accent4 3 5 3 2 2 2 5" xfId="38888"/>
    <cellStyle name="40 % - Accent4 3 5 3 2 2 2 6" xfId="55117"/>
    <cellStyle name="40 % - Accent4 3 5 3 2 2 3" xfId="9680"/>
    <cellStyle name="40 % - Accent4 3 5 3 2 2 3 2" xfId="29153"/>
    <cellStyle name="40 % - Accent4 3 5 3 2 2 3 3" xfId="42133"/>
    <cellStyle name="40 % - Accent4 3 5 3 2 2 3 4" xfId="58362"/>
    <cellStyle name="40 % - Accent4 3 5 3 2 2 4" xfId="16173"/>
    <cellStyle name="40 % - Accent4 3 5 3 2 2 4 2" xfId="51872"/>
    <cellStyle name="40 % - Accent4 3 5 3 2 2 5" xfId="22663"/>
    <cellStyle name="40 % - Accent4 3 5 3 2 2 6" xfId="35643"/>
    <cellStyle name="40 % - Accent4 3 5 3 2 2 7" xfId="48626"/>
    <cellStyle name="40 % - Accent4 3 5 3 2 3" xfId="4770"/>
    <cellStyle name="40 % - Accent4 3 5 3 2 3 2" xfId="11302"/>
    <cellStyle name="40 % - Accent4 3 5 3 2 3 2 2" xfId="30775"/>
    <cellStyle name="40 % - Accent4 3 5 3 2 3 2 3" xfId="43755"/>
    <cellStyle name="40 % - Accent4 3 5 3 2 3 2 4" xfId="59984"/>
    <cellStyle name="40 % - Accent4 3 5 3 2 3 3" xfId="17795"/>
    <cellStyle name="40 % - Accent4 3 5 3 2 3 4" xfId="24285"/>
    <cellStyle name="40 % - Accent4 3 5 3 2 3 5" xfId="37265"/>
    <cellStyle name="40 % - Accent4 3 5 3 2 3 6" xfId="53494"/>
    <cellStyle name="40 % - Accent4 3 5 3 2 4" xfId="8057"/>
    <cellStyle name="40 % - Accent4 3 5 3 2 4 2" xfId="27530"/>
    <cellStyle name="40 % - Accent4 3 5 3 2 4 3" xfId="40510"/>
    <cellStyle name="40 % - Accent4 3 5 3 2 4 4" xfId="56739"/>
    <cellStyle name="40 % - Accent4 3 5 3 2 5" xfId="14550"/>
    <cellStyle name="40 % - Accent4 3 5 3 2 5 2" xfId="50249"/>
    <cellStyle name="40 % - Accent4 3 5 3 2 6" xfId="21040"/>
    <cellStyle name="40 % - Accent4 3 5 3 2 7" xfId="34020"/>
    <cellStyle name="40 % - Accent4 3 5 3 2 8" xfId="47003"/>
    <cellStyle name="40 % - Accent4 3 5 3 3" xfId="2200"/>
    <cellStyle name="40 % - Accent4 3 5 3 3 2" xfId="5445"/>
    <cellStyle name="40 % - Accent4 3 5 3 3 2 2" xfId="11977"/>
    <cellStyle name="40 % - Accent4 3 5 3 3 2 2 2" xfId="31450"/>
    <cellStyle name="40 % - Accent4 3 5 3 3 2 2 3" xfId="44430"/>
    <cellStyle name="40 % - Accent4 3 5 3 3 2 2 4" xfId="60659"/>
    <cellStyle name="40 % - Accent4 3 5 3 3 2 3" xfId="18470"/>
    <cellStyle name="40 % - Accent4 3 5 3 3 2 4" xfId="24960"/>
    <cellStyle name="40 % - Accent4 3 5 3 3 2 5" xfId="37940"/>
    <cellStyle name="40 % - Accent4 3 5 3 3 2 6" xfId="54169"/>
    <cellStyle name="40 % - Accent4 3 5 3 3 3" xfId="8732"/>
    <cellStyle name="40 % - Accent4 3 5 3 3 3 2" xfId="28205"/>
    <cellStyle name="40 % - Accent4 3 5 3 3 3 3" xfId="41185"/>
    <cellStyle name="40 % - Accent4 3 5 3 3 3 4" xfId="57414"/>
    <cellStyle name="40 % - Accent4 3 5 3 3 4" xfId="15225"/>
    <cellStyle name="40 % - Accent4 3 5 3 3 4 2" xfId="50924"/>
    <cellStyle name="40 % - Accent4 3 5 3 3 5" xfId="21715"/>
    <cellStyle name="40 % - Accent4 3 5 3 3 6" xfId="34695"/>
    <cellStyle name="40 % - Accent4 3 5 3 3 7" xfId="47678"/>
    <cellStyle name="40 % - Accent4 3 5 3 4" xfId="3822"/>
    <cellStyle name="40 % - Accent4 3 5 3 4 2" xfId="10354"/>
    <cellStyle name="40 % - Accent4 3 5 3 4 2 2" xfId="29827"/>
    <cellStyle name="40 % - Accent4 3 5 3 4 2 3" xfId="42807"/>
    <cellStyle name="40 % - Accent4 3 5 3 4 2 4" xfId="59036"/>
    <cellStyle name="40 % - Accent4 3 5 3 4 3" xfId="16847"/>
    <cellStyle name="40 % - Accent4 3 5 3 4 4" xfId="23337"/>
    <cellStyle name="40 % - Accent4 3 5 3 4 5" xfId="36317"/>
    <cellStyle name="40 % - Accent4 3 5 3 4 6" xfId="52546"/>
    <cellStyle name="40 % - Accent4 3 5 3 5" xfId="7109"/>
    <cellStyle name="40 % - Accent4 3 5 3 5 2" xfId="26582"/>
    <cellStyle name="40 % - Accent4 3 5 3 5 3" xfId="39562"/>
    <cellStyle name="40 % - Accent4 3 5 3 5 4" xfId="55791"/>
    <cellStyle name="40 % - Accent4 3 5 3 6" xfId="13602"/>
    <cellStyle name="40 % - Accent4 3 5 3 6 2" xfId="49301"/>
    <cellStyle name="40 % - Accent4 3 5 3 7" xfId="20092"/>
    <cellStyle name="40 % - Accent4 3 5 3 8" xfId="33072"/>
    <cellStyle name="40 % - Accent4 3 5 3 9" xfId="46055"/>
    <cellStyle name="40 % - Accent4 3 5 4" xfId="1018"/>
    <cellStyle name="40 % - Accent4 3 5 4 2" xfId="2685"/>
    <cellStyle name="40 % - Accent4 3 5 4 2 2" xfId="5930"/>
    <cellStyle name="40 % - Accent4 3 5 4 2 2 2" xfId="12462"/>
    <cellStyle name="40 % - Accent4 3 5 4 2 2 2 2" xfId="31935"/>
    <cellStyle name="40 % - Accent4 3 5 4 2 2 2 3" xfId="44915"/>
    <cellStyle name="40 % - Accent4 3 5 4 2 2 2 4" xfId="61144"/>
    <cellStyle name="40 % - Accent4 3 5 4 2 2 3" xfId="18955"/>
    <cellStyle name="40 % - Accent4 3 5 4 2 2 4" xfId="25445"/>
    <cellStyle name="40 % - Accent4 3 5 4 2 2 5" xfId="38425"/>
    <cellStyle name="40 % - Accent4 3 5 4 2 2 6" xfId="54654"/>
    <cellStyle name="40 % - Accent4 3 5 4 2 3" xfId="9217"/>
    <cellStyle name="40 % - Accent4 3 5 4 2 3 2" xfId="28690"/>
    <cellStyle name="40 % - Accent4 3 5 4 2 3 3" xfId="41670"/>
    <cellStyle name="40 % - Accent4 3 5 4 2 3 4" xfId="57899"/>
    <cellStyle name="40 % - Accent4 3 5 4 2 4" xfId="15710"/>
    <cellStyle name="40 % - Accent4 3 5 4 2 4 2" xfId="51409"/>
    <cellStyle name="40 % - Accent4 3 5 4 2 5" xfId="22200"/>
    <cellStyle name="40 % - Accent4 3 5 4 2 6" xfId="35180"/>
    <cellStyle name="40 % - Accent4 3 5 4 2 7" xfId="48163"/>
    <cellStyle name="40 % - Accent4 3 5 4 3" xfId="4307"/>
    <cellStyle name="40 % - Accent4 3 5 4 3 2" xfId="10839"/>
    <cellStyle name="40 % - Accent4 3 5 4 3 2 2" xfId="30312"/>
    <cellStyle name="40 % - Accent4 3 5 4 3 2 3" xfId="43292"/>
    <cellStyle name="40 % - Accent4 3 5 4 3 2 4" xfId="59521"/>
    <cellStyle name="40 % - Accent4 3 5 4 3 3" xfId="17332"/>
    <cellStyle name="40 % - Accent4 3 5 4 3 4" xfId="23822"/>
    <cellStyle name="40 % - Accent4 3 5 4 3 5" xfId="36802"/>
    <cellStyle name="40 % - Accent4 3 5 4 3 6" xfId="53031"/>
    <cellStyle name="40 % - Accent4 3 5 4 4" xfId="7594"/>
    <cellStyle name="40 % - Accent4 3 5 4 4 2" xfId="27067"/>
    <cellStyle name="40 % - Accent4 3 5 4 4 3" xfId="40047"/>
    <cellStyle name="40 % - Accent4 3 5 4 4 4" xfId="56276"/>
    <cellStyle name="40 % - Accent4 3 5 4 5" xfId="14087"/>
    <cellStyle name="40 % - Accent4 3 5 4 5 2" xfId="49786"/>
    <cellStyle name="40 % - Accent4 3 5 4 6" xfId="20577"/>
    <cellStyle name="40 % - Accent4 3 5 4 7" xfId="33557"/>
    <cellStyle name="40 % - Accent4 3 5 4 8" xfId="46540"/>
    <cellStyle name="40 % - Accent4 3 5 5" xfId="1971"/>
    <cellStyle name="40 % - Accent4 3 5 5 2" xfId="5216"/>
    <cellStyle name="40 % - Accent4 3 5 5 2 2" xfId="11748"/>
    <cellStyle name="40 % - Accent4 3 5 5 2 2 2" xfId="31221"/>
    <cellStyle name="40 % - Accent4 3 5 5 2 2 3" xfId="44201"/>
    <cellStyle name="40 % - Accent4 3 5 5 2 2 4" xfId="60430"/>
    <cellStyle name="40 % - Accent4 3 5 5 2 3" xfId="18241"/>
    <cellStyle name="40 % - Accent4 3 5 5 2 4" xfId="24731"/>
    <cellStyle name="40 % - Accent4 3 5 5 2 5" xfId="37711"/>
    <cellStyle name="40 % - Accent4 3 5 5 2 6" xfId="53940"/>
    <cellStyle name="40 % - Accent4 3 5 5 3" xfId="8503"/>
    <cellStyle name="40 % - Accent4 3 5 5 3 2" xfId="27976"/>
    <cellStyle name="40 % - Accent4 3 5 5 3 3" xfId="40956"/>
    <cellStyle name="40 % - Accent4 3 5 5 3 4" xfId="57185"/>
    <cellStyle name="40 % - Accent4 3 5 5 4" xfId="14996"/>
    <cellStyle name="40 % - Accent4 3 5 5 4 2" xfId="50695"/>
    <cellStyle name="40 % - Accent4 3 5 5 5" xfId="21486"/>
    <cellStyle name="40 % - Accent4 3 5 5 6" xfId="34466"/>
    <cellStyle name="40 % - Accent4 3 5 5 7" xfId="47449"/>
    <cellStyle name="40 % - Accent4 3 5 6" xfId="3592"/>
    <cellStyle name="40 % - Accent4 3 5 6 2" xfId="10124"/>
    <cellStyle name="40 % - Accent4 3 5 6 2 2" xfId="29597"/>
    <cellStyle name="40 % - Accent4 3 5 6 2 3" xfId="42577"/>
    <cellStyle name="40 % - Accent4 3 5 6 2 4" xfId="58806"/>
    <cellStyle name="40 % - Accent4 3 5 6 3" xfId="16617"/>
    <cellStyle name="40 % - Accent4 3 5 6 4" xfId="23107"/>
    <cellStyle name="40 % - Accent4 3 5 6 5" xfId="36087"/>
    <cellStyle name="40 % - Accent4 3 5 6 6" xfId="52316"/>
    <cellStyle name="40 % - Accent4 3 5 7" xfId="6879"/>
    <cellStyle name="40 % - Accent4 3 5 7 2" xfId="26352"/>
    <cellStyle name="40 % - Accent4 3 5 7 3" xfId="39332"/>
    <cellStyle name="40 % - Accent4 3 5 7 4" xfId="55561"/>
    <cellStyle name="40 % - Accent4 3 5 8" xfId="13372"/>
    <cellStyle name="40 % - Accent4 3 5 8 2" xfId="49071"/>
    <cellStyle name="40 % - Accent4 3 5 9" xfId="19862"/>
    <cellStyle name="40 % - Accent4 3 6" xfId="630"/>
    <cellStyle name="40 % - Accent4 3 6 10" xfId="46153"/>
    <cellStyle name="40 % - Accent4 3 6 2" xfId="1349"/>
    <cellStyle name="40 % - Accent4 3 6 2 2" xfId="3016"/>
    <cellStyle name="40 % - Accent4 3 6 2 2 2" xfId="6261"/>
    <cellStyle name="40 % - Accent4 3 6 2 2 2 2" xfId="12793"/>
    <cellStyle name="40 % - Accent4 3 6 2 2 2 2 2" xfId="32266"/>
    <cellStyle name="40 % - Accent4 3 6 2 2 2 2 3" xfId="45246"/>
    <cellStyle name="40 % - Accent4 3 6 2 2 2 2 4" xfId="61475"/>
    <cellStyle name="40 % - Accent4 3 6 2 2 2 3" xfId="19286"/>
    <cellStyle name="40 % - Accent4 3 6 2 2 2 4" xfId="25776"/>
    <cellStyle name="40 % - Accent4 3 6 2 2 2 5" xfId="38756"/>
    <cellStyle name="40 % - Accent4 3 6 2 2 2 6" xfId="54985"/>
    <cellStyle name="40 % - Accent4 3 6 2 2 3" xfId="9548"/>
    <cellStyle name="40 % - Accent4 3 6 2 2 3 2" xfId="29021"/>
    <cellStyle name="40 % - Accent4 3 6 2 2 3 3" xfId="42001"/>
    <cellStyle name="40 % - Accent4 3 6 2 2 3 4" xfId="58230"/>
    <cellStyle name="40 % - Accent4 3 6 2 2 4" xfId="16041"/>
    <cellStyle name="40 % - Accent4 3 6 2 2 4 2" xfId="51740"/>
    <cellStyle name="40 % - Accent4 3 6 2 2 5" xfId="22531"/>
    <cellStyle name="40 % - Accent4 3 6 2 2 6" xfId="35511"/>
    <cellStyle name="40 % - Accent4 3 6 2 2 7" xfId="48494"/>
    <cellStyle name="40 % - Accent4 3 6 2 3" xfId="4638"/>
    <cellStyle name="40 % - Accent4 3 6 2 3 2" xfId="11170"/>
    <cellStyle name="40 % - Accent4 3 6 2 3 2 2" xfId="30643"/>
    <cellStyle name="40 % - Accent4 3 6 2 3 2 3" xfId="43623"/>
    <cellStyle name="40 % - Accent4 3 6 2 3 2 4" xfId="59852"/>
    <cellStyle name="40 % - Accent4 3 6 2 3 3" xfId="17663"/>
    <cellStyle name="40 % - Accent4 3 6 2 3 4" xfId="24153"/>
    <cellStyle name="40 % - Accent4 3 6 2 3 5" xfId="37133"/>
    <cellStyle name="40 % - Accent4 3 6 2 3 6" xfId="53362"/>
    <cellStyle name="40 % - Accent4 3 6 2 4" xfId="7925"/>
    <cellStyle name="40 % - Accent4 3 6 2 4 2" xfId="27398"/>
    <cellStyle name="40 % - Accent4 3 6 2 4 3" xfId="40378"/>
    <cellStyle name="40 % - Accent4 3 6 2 4 4" xfId="56607"/>
    <cellStyle name="40 % - Accent4 3 6 2 5" xfId="14418"/>
    <cellStyle name="40 % - Accent4 3 6 2 5 2" xfId="50117"/>
    <cellStyle name="40 % - Accent4 3 6 2 6" xfId="20908"/>
    <cellStyle name="40 % - Accent4 3 6 2 7" xfId="33888"/>
    <cellStyle name="40 % - Accent4 3 6 2 8" xfId="46871"/>
    <cellStyle name="40 % - Accent4 3 6 3" xfId="885"/>
    <cellStyle name="40 % - Accent4 3 6 3 2" xfId="2553"/>
    <cellStyle name="40 % - Accent4 3 6 3 2 2" xfId="5798"/>
    <cellStyle name="40 % - Accent4 3 6 3 2 2 2" xfId="12330"/>
    <cellStyle name="40 % - Accent4 3 6 3 2 2 2 2" xfId="31803"/>
    <cellStyle name="40 % - Accent4 3 6 3 2 2 2 3" xfId="44783"/>
    <cellStyle name="40 % - Accent4 3 6 3 2 2 2 4" xfId="61012"/>
    <cellStyle name="40 % - Accent4 3 6 3 2 2 3" xfId="18823"/>
    <cellStyle name="40 % - Accent4 3 6 3 2 2 4" xfId="25313"/>
    <cellStyle name="40 % - Accent4 3 6 3 2 2 5" xfId="38293"/>
    <cellStyle name="40 % - Accent4 3 6 3 2 2 6" xfId="54522"/>
    <cellStyle name="40 % - Accent4 3 6 3 2 3" xfId="9085"/>
    <cellStyle name="40 % - Accent4 3 6 3 2 3 2" xfId="28558"/>
    <cellStyle name="40 % - Accent4 3 6 3 2 3 3" xfId="41538"/>
    <cellStyle name="40 % - Accent4 3 6 3 2 3 4" xfId="57767"/>
    <cellStyle name="40 % - Accent4 3 6 3 2 4" xfId="15578"/>
    <cellStyle name="40 % - Accent4 3 6 3 2 4 2" xfId="51277"/>
    <cellStyle name="40 % - Accent4 3 6 3 2 5" xfId="22068"/>
    <cellStyle name="40 % - Accent4 3 6 3 2 6" xfId="35048"/>
    <cellStyle name="40 % - Accent4 3 6 3 2 7" xfId="48031"/>
    <cellStyle name="40 % - Accent4 3 6 3 3" xfId="4175"/>
    <cellStyle name="40 % - Accent4 3 6 3 3 2" xfId="10707"/>
    <cellStyle name="40 % - Accent4 3 6 3 3 2 2" xfId="30180"/>
    <cellStyle name="40 % - Accent4 3 6 3 3 2 3" xfId="43160"/>
    <cellStyle name="40 % - Accent4 3 6 3 3 2 4" xfId="59389"/>
    <cellStyle name="40 % - Accent4 3 6 3 3 3" xfId="17200"/>
    <cellStyle name="40 % - Accent4 3 6 3 3 4" xfId="23690"/>
    <cellStyle name="40 % - Accent4 3 6 3 3 5" xfId="36670"/>
    <cellStyle name="40 % - Accent4 3 6 3 3 6" xfId="52899"/>
    <cellStyle name="40 % - Accent4 3 6 3 4" xfId="7462"/>
    <cellStyle name="40 % - Accent4 3 6 3 4 2" xfId="26935"/>
    <cellStyle name="40 % - Accent4 3 6 3 4 3" xfId="39915"/>
    <cellStyle name="40 % - Accent4 3 6 3 4 4" xfId="56144"/>
    <cellStyle name="40 % - Accent4 3 6 3 5" xfId="13955"/>
    <cellStyle name="40 % - Accent4 3 6 3 5 2" xfId="49654"/>
    <cellStyle name="40 % - Accent4 3 6 3 6" xfId="20445"/>
    <cellStyle name="40 % - Accent4 3 6 3 7" xfId="33425"/>
    <cellStyle name="40 % - Accent4 3 6 3 8" xfId="46408"/>
    <cellStyle name="40 % - Accent4 3 6 4" xfId="2298"/>
    <cellStyle name="40 % - Accent4 3 6 4 2" xfId="5543"/>
    <cellStyle name="40 % - Accent4 3 6 4 2 2" xfId="12075"/>
    <cellStyle name="40 % - Accent4 3 6 4 2 2 2" xfId="31548"/>
    <cellStyle name="40 % - Accent4 3 6 4 2 2 3" xfId="44528"/>
    <cellStyle name="40 % - Accent4 3 6 4 2 2 4" xfId="60757"/>
    <cellStyle name="40 % - Accent4 3 6 4 2 3" xfId="18568"/>
    <cellStyle name="40 % - Accent4 3 6 4 2 4" xfId="25058"/>
    <cellStyle name="40 % - Accent4 3 6 4 2 5" xfId="38038"/>
    <cellStyle name="40 % - Accent4 3 6 4 2 6" xfId="54267"/>
    <cellStyle name="40 % - Accent4 3 6 4 3" xfId="8830"/>
    <cellStyle name="40 % - Accent4 3 6 4 3 2" xfId="28303"/>
    <cellStyle name="40 % - Accent4 3 6 4 3 3" xfId="41283"/>
    <cellStyle name="40 % - Accent4 3 6 4 3 4" xfId="57512"/>
    <cellStyle name="40 % - Accent4 3 6 4 4" xfId="15323"/>
    <cellStyle name="40 % - Accent4 3 6 4 4 2" xfId="51022"/>
    <cellStyle name="40 % - Accent4 3 6 4 5" xfId="21813"/>
    <cellStyle name="40 % - Accent4 3 6 4 6" xfId="34793"/>
    <cellStyle name="40 % - Accent4 3 6 4 7" xfId="47776"/>
    <cellStyle name="40 % - Accent4 3 6 5" xfId="3920"/>
    <cellStyle name="40 % - Accent4 3 6 5 2" xfId="10452"/>
    <cellStyle name="40 % - Accent4 3 6 5 2 2" xfId="29925"/>
    <cellStyle name="40 % - Accent4 3 6 5 2 3" xfId="42905"/>
    <cellStyle name="40 % - Accent4 3 6 5 2 4" xfId="59134"/>
    <cellStyle name="40 % - Accent4 3 6 5 3" xfId="16945"/>
    <cellStyle name="40 % - Accent4 3 6 5 4" xfId="23435"/>
    <cellStyle name="40 % - Accent4 3 6 5 5" xfId="36415"/>
    <cellStyle name="40 % - Accent4 3 6 5 6" xfId="52644"/>
    <cellStyle name="40 % - Accent4 3 6 6" xfId="7207"/>
    <cellStyle name="40 % - Accent4 3 6 6 2" xfId="26680"/>
    <cellStyle name="40 % - Accent4 3 6 6 3" xfId="39660"/>
    <cellStyle name="40 % - Accent4 3 6 6 4" xfId="55889"/>
    <cellStyle name="40 % - Accent4 3 6 7" xfId="13700"/>
    <cellStyle name="40 % - Accent4 3 6 7 2" xfId="49399"/>
    <cellStyle name="40 % - Accent4 3 6 8" xfId="20190"/>
    <cellStyle name="40 % - Accent4 3 6 9" xfId="33170"/>
    <cellStyle name="40 % - Accent4 3 7" xfId="400"/>
    <cellStyle name="40 % - Accent4 3 7 10" xfId="45923"/>
    <cellStyle name="40 % - Accent4 3 7 2" xfId="1569"/>
    <cellStyle name="40 % - Accent4 3 7 2 2" xfId="3236"/>
    <cellStyle name="40 % - Accent4 3 7 2 2 2" xfId="6481"/>
    <cellStyle name="40 % - Accent4 3 7 2 2 2 2" xfId="13013"/>
    <cellStyle name="40 % - Accent4 3 7 2 2 2 2 2" xfId="32486"/>
    <cellStyle name="40 % - Accent4 3 7 2 2 2 2 3" xfId="45466"/>
    <cellStyle name="40 % - Accent4 3 7 2 2 2 2 4" xfId="61695"/>
    <cellStyle name="40 % - Accent4 3 7 2 2 2 3" xfId="19506"/>
    <cellStyle name="40 % - Accent4 3 7 2 2 2 4" xfId="25996"/>
    <cellStyle name="40 % - Accent4 3 7 2 2 2 5" xfId="38976"/>
    <cellStyle name="40 % - Accent4 3 7 2 2 2 6" xfId="55205"/>
    <cellStyle name="40 % - Accent4 3 7 2 2 3" xfId="9768"/>
    <cellStyle name="40 % - Accent4 3 7 2 2 3 2" xfId="29241"/>
    <cellStyle name="40 % - Accent4 3 7 2 2 3 3" xfId="42221"/>
    <cellStyle name="40 % - Accent4 3 7 2 2 3 4" xfId="58450"/>
    <cellStyle name="40 % - Accent4 3 7 2 2 4" xfId="16261"/>
    <cellStyle name="40 % - Accent4 3 7 2 2 4 2" xfId="51960"/>
    <cellStyle name="40 % - Accent4 3 7 2 2 5" xfId="22751"/>
    <cellStyle name="40 % - Accent4 3 7 2 2 6" xfId="35731"/>
    <cellStyle name="40 % - Accent4 3 7 2 2 7" xfId="48714"/>
    <cellStyle name="40 % - Accent4 3 7 2 3" xfId="4858"/>
    <cellStyle name="40 % - Accent4 3 7 2 3 2" xfId="11390"/>
    <cellStyle name="40 % - Accent4 3 7 2 3 2 2" xfId="30863"/>
    <cellStyle name="40 % - Accent4 3 7 2 3 2 3" xfId="43843"/>
    <cellStyle name="40 % - Accent4 3 7 2 3 2 4" xfId="60072"/>
    <cellStyle name="40 % - Accent4 3 7 2 3 3" xfId="17883"/>
    <cellStyle name="40 % - Accent4 3 7 2 3 4" xfId="24373"/>
    <cellStyle name="40 % - Accent4 3 7 2 3 5" xfId="37353"/>
    <cellStyle name="40 % - Accent4 3 7 2 3 6" xfId="53582"/>
    <cellStyle name="40 % - Accent4 3 7 2 4" xfId="8145"/>
    <cellStyle name="40 % - Accent4 3 7 2 4 2" xfId="27618"/>
    <cellStyle name="40 % - Accent4 3 7 2 4 3" xfId="40598"/>
    <cellStyle name="40 % - Accent4 3 7 2 4 4" xfId="56827"/>
    <cellStyle name="40 % - Accent4 3 7 2 5" xfId="14638"/>
    <cellStyle name="40 % - Accent4 3 7 2 5 2" xfId="50337"/>
    <cellStyle name="40 % - Accent4 3 7 2 6" xfId="21128"/>
    <cellStyle name="40 % - Accent4 3 7 2 7" xfId="34108"/>
    <cellStyle name="40 % - Accent4 3 7 2 8" xfId="47091"/>
    <cellStyle name="40 % - Accent4 3 7 3" xfId="1106"/>
    <cellStyle name="40 % - Accent4 3 7 3 2" xfId="2773"/>
    <cellStyle name="40 % - Accent4 3 7 3 2 2" xfId="6018"/>
    <cellStyle name="40 % - Accent4 3 7 3 2 2 2" xfId="12550"/>
    <cellStyle name="40 % - Accent4 3 7 3 2 2 2 2" xfId="32023"/>
    <cellStyle name="40 % - Accent4 3 7 3 2 2 2 3" xfId="45003"/>
    <cellStyle name="40 % - Accent4 3 7 3 2 2 2 4" xfId="61232"/>
    <cellStyle name="40 % - Accent4 3 7 3 2 2 3" xfId="19043"/>
    <cellStyle name="40 % - Accent4 3 7 3 2 2 4" xfId="25533"/>
    <cellStyle name="40 % - Accent4 3 7 3 2 2 5" xfId="38513"/>
    <cellStyle name="40 % - Accent4 3 7 3 2 2 6" xfId="54742"/>
    <cellStyle name="40 % - Accent4 3 7 3 2 3" xfId="9305"/>
    <cellStyle name="40 % - Accent4 3 7 3 2 3 2" xfId="28778"/>
    <cellStyle name="40 % - Accent4 3 7 3 2 3 3" xfId="41758"/>
    <cellStyle name="40 % - Accent4 3 7 3 2 3 4" xfId="57987"/>
    <cellStyle name="40 % - Accent4 3 7 3 2 4" xfId="15798"/>
    <cellStyle name="40 % - Accent4 3 7 3 2 4 2" xfId="51497"/>
    <cellStyle name="40 % - Accent4 3 7 3 2 5" xfId="22288"/>
    <cellStyle name="40 % - Accent4 3 7 3 2 6" xfId="35268"/>
    <cellStyle name="40 % - Accent4 3 7 3 2 7" xfId="48251"/>
    <cellStyle name="40 % - Accent4 3 7 3 3" xfId="4395"/>
    <cellStyle name="40 % - Accent4 3 7 3 3 2" xfId="10927"/>
    <cellStyle name="40 % - Accent4 3 7 3 3 2 2" xfId="30400"/>
    <cellStyle name="40 % - Accent4 3 7 3 3 2 3" xfId="43380"/>
    <cellStyle name="40 % - Accent4 3 7 3 3 2 4" xfId="59609"/>
    <cellStyle name="40 % - Accent4 3 7 3 3 3" xfId="17420"/>
    <cellStyle name="40 % - Accent4 3 7 3 3 4" xfId="23910"/>
    <cellStyle name="40 % - Accent4 3 7 3 3 5" xfId="36890"/>
    <cellStyle name="40 % - Accent4 3 7 3 3 6" xfId="53119"/>
    <cellStyle name="40 % - Accent4 3 7 3 4" xfId="7682"/>
    <cellStyle name="40 % - Accent4 3 7 3 4 2" xfId="27155"/>
    <cellStyle name="40 % - Accent4 3 7 3 4 3" xfId="40135"/>
    <cellStyle name="40 % - Accent4 3 7 3 4 4" xfId="56364"/>
    <cellStyle name="40 % - Accent4 3 7 3 5" xfId="14175"/>
    <cellStyle name="40 % - Accent4 3 7 3 5 2" xfId="49874"/>
    <cellStyle name="40 % - Accent4 3 7 3 6" xfId="20665"/>
    <cellStyle name="40 % - Accent4 3 7 3 7" xfId="33645"/>
    <cellStyle name="40 % - Accent4 3 7 3 8" xfId="46628"/>
    <cellStyle name="40 % - Accent4 3 7 4" xfId="2068"/>
    <cellStyle name="40 % - Accent4 3 7 4 2" xfId="5313"/>
    <cellStyle name="40 % - Accent4 3 7 4 2 2" xfId="11845"/>
    <cellStyle name="40 % - Accent4 3 7 4 2 2 2" xfId="31318"/>
    <cellStyle name="40 % - Accent4 3 7 4 2 2 3" xfId="44298"/>
    <cellStyle name="40 % - Accent4 3 7 4 2 2 4" xfId="60527"/>
    <cellStyle name="40 % - Accent4 3 7 4 2 3" xfId="18338"/>
    <cellStyle name="40 % - Accent4 3 7 4 2 4" xfId="24828"/>
    <cellStyle name="40 % - Accent4 3 7 4 2 5" xfId="37808"/>
    <cellStyle name="40 % - Accent4 3 7 4 2 6" xfId="54037"/>
    <cellStyle name="40 % - Accent4 3 7 4 3" xfId="8600"/>
    <cellStyle name="40 % - Accent4 3 7 4 3 2" xfId="28073"/>
    <cellStyle name="40 % - Accent4 3 7 4 3 3" xfId="41053"/>
    <cellStyle name="40 % - Accent4 3 7 4 3 4" xfId="57282"/>
    <cellStyle name="40 % - Accent4 3 7 4 4" xfId="15093"/>
    <cellStyle name="40 % - Accent4 3 7 4 4 2" xfId="50792"/>
    <cellStyle name="40 % - Accent4 3 7 4 5" xfId="21583"/>
    <cellStyle name="40 % - Accent4 3 7 4 6" xfId="34563"/>
    <cellStyle name="40 % - Accent4 3 7 4 7" xfId="47546"/>
    <cellStyle name="40 % - Accent4 3 7 5" xfId="3690"/>
    <cellStyle name="40 % - Accent4 3 7 5 2" xfId="10222"/>
    <cellStyle name="40 % - Accent4 3 7 5 2 2" xfId="29695"/>
    <cellStyle name="40 % - Accent4 3 7 5 2 3" xfId="42675"/>
    <cellStyle name="40 % - Accent4 3 7 5 2 4" xfId="58904"/>
    <cellStyle name="40 % - Accent4 3 7 5 3" xfId="16715"/>
    <cellStyle name="40 % - Accent4 3 7 5 4" xfId="23205"/>
    <cellStyle name="40 % - Accent4 3 7 5 5" xfId="36185"/>
    <cellStyle name="40 % - Accent4 3 7 5 6" xfId="52414"/>
    <cellStyle name="40 % - Accent4 3 7 6" xfId="6977"/>
    <cellStyle name="40 % - Accent4 3 7 6 2" xfId="26450"/>
    <cellStyle name="40 % - Accent4 3 7 6 3" xfId="39430"/>
    <cellStyle name="40 % - Accent4 3 7 6 4" xfId="55659"/>
    <cellStyle name="40 % - Accent4 3 7 7" xfId="13470"/>
    <cellStyle name="40 % - Accent4 3 7 7 2" xfId="49169"/>
    <cellStyle name="40 % - Accent4 3 7 8" xfId="19960"/>
    <cellStyle name="40 % - Accent4 3 7 9" xfId="32940"/>
    <cellStyle name="40 % - Accent4 3 8" xfId="1326"/>
    <cellStyle name="40 % - Accent4 3 8 2" xfId="2993"/>
    <cellStyle name="40 % - Accent4 3 8 2 2" xfId="6238"/>
    <cellStyle name="40 % - Accent4 3 8 2 2 2" xfId="12770"/>
    <cellStyle name="40 % - Accent4 3 8 2 2 2 2" xfId="32243"/>
    <cellStyle name="40 % - Accent4 3 8 2 2 2 3" xfId="45223"/>
    <cellStyle name="40 % - Accent4 3 8 2 2 2 4" xfId="61452"/>
    <cellStyle name="40 % - Accent4 3 8 2 2 3" xfId="19263"/>
    <cellStyle name="40 % - Accent4 3 8 2 2 4" xfId="25753"/>
    <cellStyle name="40 % - Accent4 3 8 2 2 5" xfId="38733"/>
    <cellStyle name="40 % - Accent4 3 8 2 2 6" xfId="54962"/>
    <cellStyle name="40 % - Accent4 3 8 2 3" xfId="9525"/>
    <cellStyle name="40 % - Accent4 3 8 2 3 2" xfId="28998"/>
    <cellStyle name="40 % - Accent4 3 8 2 3 3" xfId="41978"/>
    <cellStyle name="40 % - Accent4 3 8 2 3 4" xfId="58207"/>
    <cellStyle name="40 % - Accent4 3 8 2 4" xfId="16018"/>
    <cellStyle name="40 % - Accent4 3 8 2 4 2" xfId="51717"/>
    <cellStyle name="40 % - Accent4 3 8 2 5" xfId="22508"/>
    <cellStyle name="40 % - Accent4 3 8 2 6" xfId="35488"/>
    <cellStyle name="40 % - Accent4 3 8 2 7" xfId="48471"/>
    <cellStyle name="40 % - Accent4 3 8 3" xfId="4615"/>
    <cellStyle name="40 % - Accent4 3 8 3 2" xfId="11147"/>
    <cellStyle name="40 % - Accent4 3 8 3 2 2" xfId="30620"/>
    <cellStyle name="40 % - Accent4 3 8 3 2 3" xfId="43600"/>
    <cellStyle name="40 % - Accent4 3 8 3 2 4" xfId="59829"/>
    <cellStyle name="40 % - Accent4 3 8 3 3" xfId="17640"/>
    <cellStyle name="40 % - Accent4 3 8 3 4" xfId="24130"/>
    <cellStyle name="40 % - Accent4 3 8 3 5" xfId="37110"/>
    <cellStyle name="40 % - Accent4 3 8 3 6" xfId="53339"/>
    <cellStyle name="40 % - Accent4 3 8 4" xfId="7902"/>
    <cellStyle name="40 % - Accent4 3 8 4 2" xfId="27375"/>
    <cellStyle name="40 % - Accent4 3 8 4 3" xfId="40355"/>
    <cellStyle name="40 % - Accent4 3 8 4 4" xfId="56584"/>
    <cellStyle name="40 % - Accent4 3 8 5" xfId="14395"/>
    <cellStyle name="40 % - Accent4 3 8 5 2" xfId="50094"/>
    <cellStyle name="40 % - Accent4 3 8 6" xfId="20885"/>
    <cellStyle name="40 % - Accent4 3 8 7" xfId="33865"/>
    <cellStyle name="40 % - Accent4 3 8 8" xfId="46848"/>
    <cellStyle name="40 % - Accent4 3 9" xfId="862"/>
    <cellStyle name="40 % - Accent4 3 9 2" xfId="2530"/>
    <cellStyle name="40 % - Accent4 3 9 2 2" xfId="5775"/>
    <cellStyle name="40 % - Accent4 3 9 2 2 2" xfId="12307"/>
    <cellStyle name="40 % - Accent4 3 9 2 2 2 2" xfId="31780"/>
    <cellStyle name="40 % - Accent4 3 9 2 2 2 3" xfId="44760"/>
    <cellStyle name="40 % - Accent4 3 9 2 2 2 4" xfId="60989"/>
    <cellStyle name="40 % - Accent4 3 9 2 2 3" xfId="18800"/>
    <cellStyle name="40 % - Accent4 3 9 2 2 4" xfId="25290"/>
    <cellStyle name="40 % - Accent4 3 9 2 2 5" xfId="38270"/>
    <cellStyle name="40 % - Accent4 3 9 2 2 6" xfId="54499"/>
    <cellStyle name="40 % - Accent4 3 9 2 3" xfId="9062"/>
    <cellStyle name="40 % - Accent4 3 9 2 3 2" xfId="28535"/>
    <cellStyle name="40 % - Accent4 3 9 2 3 3" xfId="41515"/>
    <cellStyle name="40 % - Accent4 3 9 2 3 4" xfId="57744"/>
    <cellStyle name="40 % - Accent4 3 9 2 4" xfId="15555"/>
    <cellStyle name="40 % - Accent4 3 9 2 4 2" xfId="51254"/>
    <cellStyle name="40 % - Accent4 3 9 2 5" xfId="22045"/>
    <cellStyle name="40 % - Accent4 3 9 2 6" xfId="35025"/>
    <cellStyle name="40 % - Accent4 3 9 2 7" xfId="48008"/>
    <cellStyle name="40 % - Accent4 3 9 3" xfId="4152"/>
    <cellStyle name="40 % - Accent4 3 9 3 2" xfId="10684"/>
    <cellStyle name="40 % - Accent4 3 9 3 2 2" xfId="30157"/>
    <cellStyle name="40 % - Accent4 3 9 3 2 3" xfId="43137"/>
    <cellStyle name="40 % - Accent4 3 9 3 2 4" xfId="59366"/>
    <cellStyle name="40 % - Accent4 3 9 3 3" xfId="17177"/>
    <cellStyle name="40 % - Accent4 3 9 3 4" xfId="23667"/>
    <cellStyle name="40 % - Accent4 3 9 3 5" xfId="36647"/>
    <cellStyle name="40 % - Accent4 3 9 3 6" xfId="52876"/>
    <cellStyle name="40 % - Accent4 3 9 4" xfId="7439"/>
    <cellStyle name="40 % - Accent4 3 9 4 2" xfId="26912"/>
    <cellStyle name="40 % - Accent4 3 9 4 3" xfId="39892"/>
    <cellStyle name="40 % - Accent4 3 9 4 4" xfId="56121"/>
    <cellStyle name="40 % - Accent4 3 9 5" xfId="13932"/>
    <cellStyle name="40 % - Accent4 3 9 5 2" xfId="49631"/>
    <cellStyle name="40 % - Accent4 3 9 6" xfId="20422"/>
    <cellStyle name="40 % - Accent4 3 9 7" xfId="33402"/>
    <cellStyle name="40 % - Accent4 3 9 8" xfId="46385"/>
    <cellStyle name="40 % - Accent4 4" xfId="1794"/>
    <cellStyle name="40 % - Accent4 5" xfId="6703"/>
    <cellStyle name="40 % - Accent4 6" xfId="61918"/>
    <cellStyle name="40 % - Accent4 7" xfId="61936"/>
    <cellStyle name="40 % - Accent4 8" xfId="61948"/>
    <cellStyle name="40 % - Accent4 9" xfId="50"/>
    <cellStyle name="40 % - Accent5 2" xfId="94"/>
    <cellStyle name="40 % - Accent5 3" xfId="163"/>
    <cellStyle name="40 % - Accent5 3 10" xfId="1840"/>
    <cellStyle name="40 % - Accent5 3 10 2" xfId="5086"/>
    <cellStyle name="40 % - Accent5 3 10 2 2" xfId="11618"/>
    <cellStyle name="40 % - Accent5 3 10 2 2 2" xfId="31091"/>
    <cellStyle name="40 % - Accent5 3 10 2 2 3" xfId="44071"/>
    <cellStyle name="40 % - Accent5 3 10 2 2 4" xfId="60300"/>
    <cellStyle name="40 % - Accent5 3 10 2 3" xfId="18111"/>
    <cellStyle name="40 % - Accent5 3 10 2 4" xfId="24601"/>
    <cellStyle name="40 % - Accent5 3 10 2 5" xfId="37581"/>
    <cellStyle name="40 % - Accent5 3 10 2 6" xfId="53810"/>
    <cellStyle name="40 % - Accent5 3 10 3" xfId="8373"/>
    <cellStyle name="40 % - Accent5 3 10 3 2" xfId="27846"/>
    <cellStyle name="40 % - Accent5 3 10 3 3" xfId="40826"/>
    <cellStyle name="40 % - Accent5 3 10 3 4" xfId="57055"/>
    <cellStyle name="40 % - Accent5 3 10 4" xfId="14866"/>
    <cellStyle name="40 % - Accent5 3 10 4 2" xfId="50565"/>
    <cellStyle name="40 % - Accent5 3 10 5" xfId="21356"/>
    <cellStyle name="40 % - Accent5 3 10 6" xfId="34336"/>
    <cellStyle name="40 % - Accent5 3 10 7" xfId="47319"/>
    <cellStyle name="40 % - Accent5 3 11" xfId="3462"/>
    <cellStyle name="40 % - Accent5 3 11 2" xfId="9994"/>
    <cellStyle name="40 % - Accent5 3 11 2 2" xfId="29467"/>
    <cellStyle name="40 % - Accent5 3 11 2 3" xfId="42447"/>
    <cellStyle name="40 % - Accent5 3 11 2 4" xfId="58676"/>
    <cellStyle name="40 % - Accent5 3 11 3" xfId="16487"/>
    <cellStyle name="40 % - Accent5 3 11 4" xfId="22977"/>
    <cellStyle name="40 % - Accent5 3 11 5" xfId="35957"/>
    <cellStyle name="40 % - Accent5 3 11 6" xfId="52186"/>
    <cellStyle name="40 % - Accent5 3 12" xfId="6749"/>
    <cellStyle name="40 % - Accent5 3 12 2" xfId="26222"/>
    <cellStyle name="40 % - Accent5 3 12 3" xfId="39202"/>
    <cellStyle name="40 % - Accent5 3 12 4" xfId="55431"/>
    <cellStyle name="40 % - Accent5 3 13" xfId="13242"/>
    <cellStyle name="40 % - Accent5 3 13 2" xfId="48941"/>
    <cellStyle name="40 % - Accent5 3 14" xfId="19732"/>
    <cellStyle name="40 % - Accent5 3 15" xfId="32712"/>
    <cellStyle name="40 % - Accent5 3 16" xfId="45695"/>
    <cellStyle name="40 % - Accent5 3 2" xfId="189"/>
    <cellStyle name="40 % - Accent5 3 2 10" xfId="6771"/>
    <cellStyle name="40 % - Accent5 3 2 10 2" xfId="26244"/>
    <cellStyle name="40 % - Accent5 3 2 10 3" xfId="39224"/>
    <cellStyle name="40 % - Accent5 3 2 10 4" xfId="55453"/>
    <cellStyle name="40 % - Accent5 3 2 11" xfId="13264"/>
    <cellStyle name="40 % - Accent5 3 2 11 2" xfId="48963"/>
    <cellStyle name="40 % - Accent5 3 2 12" xfId="19754"/>
    <cellStyle name="40 % - Accent5 3 2 13" xfId="32734"/>
    <cellStyle name="40 % - Accent5 3 2 14" xfId="45717"/>
    <cellStyle name="40 % - Accent5 3 2 2" xfId="278"/>
    <cellStyle name="40 % - Accent5 3 2 2 10" xfId="19842"/>
    <cellStyle name="40 % - Accent5 3 2 2 11" xfId="32822"/>
    <cellStyle name="40 % - Accent5 3 2 2 12" xfId="45805"/>
    <cellStyle name="40 % - Accent5 3 2 2 2" xfId="366"/>
    <cellStyle name="40 % - Accent5 3 2 2 2 10" xfId="32910"/>
    <cellStyle name="40 % - Accent5 3 2 2 2 11" xfId="45893"/>
    <cellStyle name="40 % - Accent5 3 2 2 2 2" xfId="830"/>
    <cellStyle name="40 % - Accent5 3 2 2 2 2 10" xfId="46353"/>
    <cellStyle name="40 % - Accent5 3 2 2 2 2 2" xfId="1769"/>
    <cellStyle name="40 % - Accent5 3 2 2 2 2 2 2" xfId="3436"/>
    <cellStyle name="40 % - Accent5 3 2 2 2 2 2 2 2" xfId="6681"/>
    <cellStyle name="40 % - Accent5 3 2 2 2 2 2 2 2 2" xfId="13213"/>
    <cellStyle name="40 % - Accent5 3 2 2 2 2 2 2 2 2 2" xfId="32686"/>
    <cellStyle name="40 % - Accent5 3 2 2 2 2 2 2 2 2 3" xfId="45666"/>
    <cellStyle name="40 % - Accent5 3 2 2 2 2 2 2 2 2 4" xfId="61895"/>
    <cellStyle name="40 % - Accent5 3 2 2 2 2 2 2 2 3" xfId="19706"/>
    <cellStyle name="40 % - Accent5 3 2 2 2 2 2 2 2 4" xfId="26196"/>
    <cellStyle name="40 % - Accent5 3 2 2 2 2 2 2 2 5" xfId="39176"/>
    <cellStyle name="40 % - Accent5 3 2 2 2 2 2 2 2 6" xfId="55405"/>
    <cellStyle name="40 % - Accent5 3 2 2 2 2 2 2 3" xfId="9968"/>
    <cellStyle name="40 % - Accent5 3 2 2 2 2 2 2 3 2" xfId="29441"/>
    <cellStyle name="40 % - Accent5 3 2 2 2 2 2 2 3 3" xfId="42421"/>
    <cellStyle name="40 % - Accent5 3 2 2 2 2 2 2 3 4" xfId="58650"/>
    <cellStyle name="40 % - Accent5 3 2 2 2 2 2 2 4" xfId="16461"/>
    <cellStyle name="40 % - Accent5 3 2 2 2 2 2 2 4 2" xfId="52160"/>
    <cellStyle name="40 % - Accent5 3 2 2 2 2 2 2 5" xfId="22951"/>
    <cellStyle name="40 % - Accent5 3 2 2 2 2 2 2 6" xfId="35931"/>
    <cellStyle name="40 % - Accent5 3 2 2 2 2 2 2 7" xfId="48914"/>
    <cellStyle name="40 % - Accent5 3 2 2 2 2 2 3" xfId="5058"/>
    <cellStyle name="40 % - Accent5 3 2 2 2 2 2 3 2" xfId="11590"/>
    <cellStyle name="40 % - Accent5 3 2 2 2 2 2 3 2 2" xfId="31063"/>
    <cellStyle name="40 % - Accent5 3 2 2 2 2 2 3 2 3" xfId="44043"/>
    <cellStyle name="40 % - Accent5 3 2 2 2 2 2 3 2 4" xfId="60272"/>
    <cellStyle name="40 % - Accent5 3 2 2 2 2 2 3 3" xfId="18083"/>
    <cellStyle name="40 % - Accent5 3 2 2 2 2 2 3 4" xfId="24573"/>
    <cellStyle name="40 % - Accent5 3 2 2 2 2 2 3 5" xfId="37553"/>
    <cellStyle name="40 % - Accent5 3 2 2 2 2 2 3 6" xfId="53782"/>
    <cellStyle name="40 % - Accent5 3 2 2 2 2 2 4" xfId="8345"/>
    <cellStyle name="40 % - Accent5 3 2 2 2 2 2 4 2" xfId="27818"/>
    <cellStyle name="40 % - Accent5 3 2 2 2 2 2 4 3" xfId="40798"/>
    <cellStyle name="40 % - Accent5 3 2 2 2 2 2 4 4" xfId="57027"/>
    <cellStyle name="40 % - Accent5 3 2 2 2 2 2 5" xfId="14838"/>
    <cellStyle name="40 % - Accent5 3 2 2 2 2 2 5 2" xfId="50537"/>
    <cellStyle name="40 % - Accent5 3 2 2 2 2 2 6" xfId="21328"/>
    <cellStyle name="40 % - Accent5 3 2 2 2 2 2 7" xfId="34308"/>
    <cellStyle name="40 % - Accent5 3 2 2 2 2 2 8" xfId="47291"/>
    <cellStyle name="40 % - Accent5 3 2 2 2 2 3" xfId="1306"/>
    <cellStyle name="40 % - Accent5 3 2 2 2 2 3 2" xfId="2973"/>
    <cellStyle name="40 % - Accent5 3 2 2 2 2 3 2 2" xfId="6218"/>
    <cellStyle name="40 % - Accent5 3 2 2 2 2 3 2 2 2" xfId="12750"/>
    <cellStyle name="40 % - Accent5 3 2 2 2 2 3 2 2 2 2" xfId="32223"/>
    <cellStyle name="40 % - Accent5 3 2 2 2 2 3 2 2 2 3" xfId="45203"/>
    <cellStyle name="40 % - Accent5 3 2 2 2 2 3 2 2 2 4" xfId="61432"/>
    <cellStyle name="40 % - Accent5 3 2 2 2 2 3 2 2 3" xfId="19243"/>
    <cellStyle name="40 % - Accent5 3 2 2 2 2 3 2 2 4" xfId="25733"/>
    <cellStyle name="40 % - Accent5 3 2 2 2 2 3 2 2 5" xfId="38713"/>
    <cellStyle name="40 % - Accent5 3 2 2 2 2 3 2 2 6" xfId="54942"/>
    <cellStyle name="40 % - Accent5 3 2 2 2 2 3 2 3" xfId="9505"/>
    <cellStyle name="40 % - Accent5 3 2 2 2 2 3 2 3 2" xfId="28978"/>
    <cellStyle name="40 % - Accent5 3 2 2 2 2 3 2 3 3" xfId="41958"/>
    <cellStyle name="40 % - Accent5 3 2 2 2 2 3 2 3 4" xfId="58187"/>
    <cellStyle name="40 % - Accent5 3 2 2 2 2 3 2 4" xfId="15998"/>
    <cellStyle name="40 % - Accent5 3 2 2 2 2 3 2 4 2" xfId="51697"/>
    <cellStyle name="40 % - Accent5 3 2 2 2 2 3 2 5" xfId="22488"/>
    <cellStyle name="40 % - Accent5 3 2 2 2 2 3 2 6" xfId="35468"/>
    <cellStyle name="40 % - Accent5 3 2 2 2 2 3 2 7" xfId="48451"/>
    <cellStyle name="40 % - Accent5 3 2 2 2 2 3 3" xfId="4595"/>
    <cellStyle name="40 % - Accent5 3 2 2 2 2 3 3 2" xfId="11127"/>
    <cellStyle name="40 % - Accent5 3 2 2 2 2 3 3 2 2" xfId="30600"/>
    <cellStyle name="40 % - Accent5 3 2 2 2 2 3 3 2 3" xfId="43580"/>
    <cellStyle name="40 % - Accent5 3 2 2 2 2 3 3 2 4" xfId="59809"/>
    <cellStyle name="40 % - Accent5 3 2 2 2 2 3 3 3" xfId="17620"/>
    <cellStyle name="40 % - Accent5 3 2 2 2 2 3 3 4" xfId="24110"/>
    <cellStyle name="40 % - Accent5 3 2 2 2 2 3 3 5" xfId="37090"/>
    <cellStyle name="40 % - Accent5 3 2 2 2 2 3 3 6" xfId="53319"/>
    <cellStyle name="40 % - Accent5 3 2 2 2 2 3 4" xfId="7882"/>
    <cellStyle name="40 % - Accent5 3 2 2 2 2 3 4 2" xfId="27355"/>
    <cellStyle name="40 % - Accent5 3 2 2 2 2 3 4 3" xfId="40335"/>
    <cellStyle name="40 % - Accent5 3 2 2 2 2 3 4 4" xfId="56564"/>
    <cellStyle name="40 % - Accent5 3 2 2 2 2 3 5" xfId="14375"/>
    <cellStyle name="40 % - Accent5 3 2 2 2 2 3 5 2" xfId="50074"/>
    <cellStyle name="40 % - Accent5 3 2 2 2 2 3 6" xfId="20865"/>
    <cellStyle name="40 % - Accent5 3 2 2 2 2 3 7" xfId="33845"/>
    <cellStyle name="40 % - Accent5 3 2 2 2 2 3 8" xfId="46828"/>
    <cellStyle name="40 % - Accent5 3 2 2 2 2 4" xfId="2498"/>
    <cellStyle name="40 % - Accent5 3 2 2 2 2 4 2" xfId="5743"/>
    <cellStyle name="40 % - Accent5 3 2 2 2 2 4 2 2" xfId="12275"/>
    <cellStyle name="40 % - Accent5 3 2 2 2 2 4 2 2 2" xfId="31748"/>
    <cellStyle name="40 % - Accent5 3 2 2 2 2 4 2 2 3" xfId="44728"/>
    <cellStyle name="40 % - Accent5 3 2 2 2 2 4 2 2 4" xfId="60957"/>
    <cellStyle name="40 % - Accent5 3 2 2 2 2 4 2 3" xfId="18768"/>
    <cellStyle name="40 % - Accent5 3 2 2 2 2 4 2 4" xfId="25258"/>
    <cellStyle name="40 % - Accent5 3 2 2 2 2 4 2 5" xfId="38238"/>
    <cellStyle name="40 % - Accent5 3 2 2 2 2 4 2 6" xfId="54467"/>
    <cellStyle name="40 % - Accent5 3 2 2 2 2 4 3" xfId="9030"/>
    <cellStyle name="40 % - Accent5 3 2 2 2 2 4 3 2" xfId="28503"/>
    <cellStyle name="40 % - Accent5 3 2 2 2 2 4 3 3" xfId="41483"/>
    <cellStyle name="40 % - Accent5 3 2 2 2 2 4 3 4" xfId="57712"/>
    <cellStyle name="40 % - Accent5 3 2 2 2 2 4 4" xfId="15523"/>
    <cellStyle name="40 % - Accent5 3 2 2 2 2 4 4 2" xfId="51222"/>
    <cellStyle name="40 % - Accent5 3 2 2 2 2 4 5" xfId="22013"/>
    <cellStyle name="40 % - Accent5 3 2 2 2 2 4 6" xfId="34993"/>
    <cellStyle name="40 % - Accent5 3 2 2 2 2 4 7" xfId="47976"/>
    <cellStyle name="40 % - Accent5 3 2 2 2 2 5" xfId="4120"/>
    <cellStyle name="40 % - Accent5 3 2 2 2 2 5 2" xfId="10652"/>
    <cellStyle name="40 % - Accent5 3 2 2 2 2 5 2 2" xfId="30125"/>
    <cellStyle name="40 % - Accent5 3 2 2 2 2 5 2 3" xfId="43105"/>
    <cellStyle name="40 % - Accent5 3 2 2 2 2 5 2 4" xfId="59334"/>
    <cellStyle name="40 % - Accent5 3 2 2 2 2 5 3" xfId="17145"/>
    <cellStyle name="40 % - Accent5 3 2 2 2 2 5 4" xfId="23635"/>
    <cellStyle name="40 % - Accent5 3 2 2 2 2 5 5" xfId="36615"/>
    <cellStyle name="40 % - Accent5 3 2 2 2 2 5 6" xfId="52844"/>
    <cellStyle name="40 % - Accent5 3 2 2 2 2 6" xfId="7407"/>
    <cellStyle name="40 % - Accent5 3 2 2 2 2 6 2" xfId="26880"/>
    <cellStyle name="40 % - Accent5 3 2 2 2 2 6 3" xfId="39860"/>
    <cellStyle name="40 % - Accent5 3 2 2 2 2 6 4" xfId="56089"/>
    <cellStyle name="40 % - Accent5 3 2 2 2 2 7" xfId="13900"/>
    <cellStyle name="40 % - Accent5 3 2 2 2 2 7 2" xfId="49599"/>
    <cellStyle name="40 % - Accent5 3 2 2 2 2 8" xfId="20390"/>
    <cellStyle name="40 % - Accent5 3 2 2 2 2 9" xfId="33370"/>
    <cellStyle name="40 % - Accent5 3 2 2 2 3" xfId="600"/>
    <cellStyle name="40 % - Accent5 3 2 2 2 3 2" xfId="1549"/>
    <cellStyle name="40 % - Accent5 3 2 2 2 3 2 2" xfId="3216"/>
    <cellStyle name="40 % - Accent5 3 2 2 2 3 2 2 2" xfId="6461"/>
    <cellStyle name="40 % - Accent5 3 2 2 2 3 2 2 2 2" xfId="12993"/>
    <cellStyle name="40 % - Accent5 3 2 2 2 3 2 2 2 2 2" xfId="32466"/>
    <cellStyle name="40 % - Accent5 3 2 2 2 3 2 2 2 2 3" xfId="45446"/>
    <cellStyle name="40 % - Accent5 3 2 2 2 3 2 2 2 2 4" xfId="61675"/>
    <cellStyle name="40 % - Accent5 3 2 2 2 3 2 2 2 3" xfId="19486"/>
    <cellStyle name="40 % - Accent5 3 2 2 2 3 2 2 2 4" xfId="25976"/>
    <cellStyle name="40 % - Accent5 3 2 2 2 3 2 2 2 5" xfId="38956"/>
    <cellStyle name="40 % - Accent5 3 2 2 2 3 2 2 2 6" xfId="55185"/>
    <cellStyle name="40 % - Accent5 3 2 2 2 3 2 2 3" xfId="9748"/>
    <cellStyle name="40 % - Accent5 3 2 2 2 3 2 2 3 2" xfId="29221"/>
    <cellStyle name="40 % - Accent5 3 2 2 2 3 2 2 3 3" xfId="42201"/>
    <cellStyle name="40 % - Accent5 3 2 2 2 3 2 2 3 4" xfId="58430"/>
    <cellStyle name="40 % - Accent5 3 2 2 2 3 2 2 4" xfId="16241"/>
    <cellStyle name="40 % - Accent5 3 2 2 2 3 2 2 4 2" xfId="51940"/>
    <cellStyle name="40 % - Accent5 3 2 2 2 3 2 2 5" xfId="22731"/>
    <cellStyle name="40 % - Accent5 3 2 2 2 3 2 2 6" xfId="35711"/>
    <cellStyle name="40 % - Accent5 3 2 2 2 3 2 2 7" xfId="48694"/>
    <cellStyle name="40 % - Accent5 3 2 2 2 3 2 3" xfId="4838"/>
    <cellStyle name="40 % - Accent5 3 2 2 2 3 2 3 2" xfId="11370"/>
    <cellStyle name="40 % - Accent5 3 2 2 2 3 2 3 2 2" xfId="30843"/>
    <cellStyle name="40 % - Accent5 3 2 2 2 3 2 3 2 3" xfId="43823"/>
    <cellStyle name="40 % - Accent5 3 2 2 2 3 2 3 2 4" xfId="60052"/>
    <cellStyle name="40 % - Accent5 3 2 2 2 3 2 3 3" xfId="17863"/>
    <cellStyle name="40 % - Accent5 3 2 2 2 3 2 3 4" xfId="24353"/>
    <cellStyle name="40 % - Accent5 3 2 2 2 3 2 3 5" xfId="37333"/>
    <cellStyle name="40 % - Accent5 3 2 2 2 3 2 3 6" xfId="53562"/>
    <cellStyle name="40 % - Accent5 3 2 2 2 3 2 4" xfId="8125"/>
    <cellStyle name="40 % - Accent5 3 2 2 2 3 2 4 2" xfId="27598"/>
    <cellStyle name="40 % - Accent5 3 2 2 2 3 2 4 3" xfId="40578"/>
    <cellStyle name="40 % - Accent5 3 2 2 2 3 2 4 4" xfId="56807"/>
    <cellStyle name="40 % - Accent5 3 2 2 2 3 2 5" xfId="14618"/>
    <cellStyle name="40 % - Accent5 3 2 2 2 3 2 5 2" xfId="50317"/>
    <cellStyle name="40 % - Accent5 3 2 2 2 3 2 6" xfId="21108"/>
    <cellStyle name="40 % - Accent5 3 2 2 2 3 2 7" xfId="34088"/>
    <cellStyle name="40 % - Accent5 3 2 2 2 3 2 8" xfId="47071"/>
    <cellStyle name="40 % - Accent5 3 2 2 2 3 3" xfId="2268"/>
    <cellStyle name="40 % - Accent5 3 2 2 2 3 3 2" xfId="5513"/>
    <cellStyle name="40 % - Accent5 3 2 2 2 3 3 2 2" xfId="12045"/>
    <cellStyle name="40 % - Accent5 3 2 2 2 3 3 2 2 2" xfId="31518"/>
    <cellStyle name="40 % - Accent5 3 2 2 2 3 3 2 2 3" xfId="44498"/>
    <cellStyle name="40 % - Accent5 3 2 2 2 3 3 2 2 4" xfId="60727"/>
    <cellStyle name="40 % - Accent5 3 2 2 2 3 3 2 3" xfId="18538"/>
    <cellStyle name="40 % - Accent5 3 2 2 2 3 3 2 4" xfId="25028"/>
    <cellStyle name="40 % - Accent5 3 2 2 2 3 3 2 5" xfId="38008"/>
    <cellStyle name="40 % - Accent5 3 2 2 2 3 3 2 6" xfId="54237"/>
    <cellStyle name="40 % - Accent5 3 2 2 2 3 3 3" xfId="8800"/>
    <cellStyle name="40 % - Accent5 3 2 2 2 3 3 3 2" xfId="28273"/>
    <cellStyle name="40 % - Accent5 3 2 2 2 3 3 3 3" xfId="41253"/>
    <cellStyle name="40 % - Accent5 3 2 2 2 3 3 3 4" xfId="57482"/>
    <cellStyle name="40 % - Accent5 3 2 2 2 3 3 4" xfId="15293"/>
    <cellStyle name="40 % - Accent5 3 2 2 2 3 3 4 2" xfId="50992"/>
    <cellStyle name="40 % - Accent5 3 2 2 2 3 3 5" xfId="21783"/>
    <cellStyle name="40 % - Accent5 3 2 2 2 3 3 6" xfId="34763"/>
    <cellStyle name="40 % - Accent5 3 2 2 2 3 3 7" xfId="47746"/>
    <cellStyle name="40 % - Accent5 3 2 2 2 3 4" xfId="3890"/>
    <cellStyle name="40 % - Accent5 3 2 2 2 3 4 2" xfId="10422"/>
    <cellStyle name="40 % - Accent5 3 2 2 2 3 4 2 2" xfId="29895"/>
    <cellStyle name="40 % - Accent5 3 2 2 2 3 4 2 3" xfId="42875"/>
    <cellStyle name="40 % - Accent5 3 2 2 2 3 4 2 4" xfId="59104"/>
    <cellStyle name="40 % - Accent5 3 2 2 2 3 4 3" xfId="16915"/>
    <cellStyle name="40 % - Accent5 3 2 2 2 3 4 4" xfId="23405"/>
    <cellStyle name="40 % - Accent5 3 2 2 2 3 4 5" xfId="36385"/>
    <cellStyle name="40 % - Accent5 3 2 2 2 3 4 6" xfId="52614"/>
    <cellStyle name="40 % - Accent5 3 2 2 2 3 5" xfId="7177"/>
    <cellStyle name="40 % - Accent5 3 2 2 2 3 5 2" xfId="26650"/>
    <cellStyle name="40 % - Accent5 3 2 2 2 3 5 3" xfId="39630"/>
    <cellStyle name="40 % - Accent5 3 2 2 2 3 5 4" xfId="55859"/>
    <cellStyle name="40 % - Accent5 3 2 2 2 3 6" xfId="13670"/>
    <cellStyle name="40 % - Accent5 3 2 2 2 3 6 2" xfId="49369"/>
    <cellStyle name="40 % - Accent5 3 2 2 2 3 7" xfId="20160"/>
    <cellStyle name="40 % - Accent5 3 2 2 2 3 8" xfId="33140"/>
    <cellStyle name="40 % - Accent5 3 2 2 2 3 9" xfId="46123"/>
    <cellStyle name="40 % - Accent5 3 2 2 2 4" xfId="1086"/>
    <cellStyle name="40 % - Accent5 3 2 2 2 4 2" xfId="2753"/>
    <cellStyle name="40 % - Accent5 3 2 2 2 4 2 2" xfId="5998"/>
    <cellStyle name="40 % - Accent5 3 2 2 2 4 2 2 2" xfId="12530"/>
    <cellStyle name="40 % - Accent5 3 2 2 2 4 2 2 2 2" xfId="32003"/>
    <cellStyle name="40 % - Accent5 3 2 2 2 4 2 2 2 3" xfId="44983"/>
    <cellStyle name="40 % - Accent5 3 2 2 2 4 2 2 2 4" xfId="61212"/>
    <cellStyle name="40 % - Accent5 3 2 2 2 4 2 2 3" xfId="19023"/>
    <cellStyle name="40 % - Accent5 3 2 2 2 4 2 2 4" xfId="25513"/>
    <cellStyle name="40 % - Accent5 3 2 2 2 4 2 2 5" xfId="38493"/>
    <cellStyle name="40 % - Accent5 3 2 2 2 4 2 2 6" xfId="54722"/>
    <cellStyle name="40 % - Accent5 3 2 2 2 4 2 3" xfId="9285"/>
    <cellStyle name="40 % - Accent5 3 2 2 2 4 2 3 2" xfId="28758"/>
    <cellStyle name="40 % - Accent5 3 2 2 2 4 2 3 3" xfId="41738"/>
    <cellStyle name="40 % - Accent5 3 2 2 2 4 2 3 4" xfId="57967"/>
    <cellStyle name="40 % - Accent5 3 2 2 2 4 2 4" xfId="15778"/>
    <cellStyle name="40 % - Accent5 3 2 2 2 4 2 4 2" xfId="51477"/>
    <cellStyle name="40 % - Accent5 3 2 2 2 4 2 5" xfId="22268"/>
    <cellStyle name="40 % - Accent5 3 2 2 2 4 2 6" xfId="35248"/>
    <cellStyle name="40 % - Accent5 3 2 2 2 4 2 7" xfId="48231"/>
    <cellStyle name="40 % - Accent5 3 2 2 2 4 3" xfId="4375"/>
    <cellStyle name="40 % - Accent5 3 2 2 2 4 3 2" xfId="10907"/>
    <cellStyle name="40 % - Accent5 3 2 2 2 4 3 2 2" xfId="30380"/>
    <cellStyle name="40 % - Accent5 3 2 2 2 4 3 2 3" xfId="43360"/>
    <cellStyle name="40 % - Accent5 3 2 2 2 4 3 2 4" xfId="59589"/>
    <cellStyle name="40 % - Accent5 3 2 2 2 4 3 3" xfId="17400"/>
    <cellStyle name="40 % - Accent5 3 2 2 2 4 3 4" xfId="23890"/>
    <cellStyle name="40 % - Accent5 3 2 2 2 4 3 5" xfId="36870"/>
    <cellStyle name="40 % - Accent5 3 2 2 2 4 3 6" xfId="53099"/>
    <cellStyle name="40 % - Accent5 3 2 2 2 4 4" xfId="7662"/>
    <cellStyle name="40 % - Accent5 3 2 2 2 4 4 2" xfId="27135"/>
    <cellStyle name="40 % - Accent5 3 2 2 2 4 4 3" xfId="40115"/>
    <cellStyle name="40 % - Accent5 3 2 2 2 4 4 4" xfId="56344"/>
    <cellStyle name="40 % - Accent5 3 2 2 2 4 5" xfId="14155"/>
    <cellStyle name="40 % - Accent5 3 2 2 2 4 5 2" xfId="49854"/>
    <cellStyle name="40 % - Accent5 3 2 2 2 4 6" xfId="20645"/>
    <cellStyle name="40 % - Accent5 3 2 2 2 4 7" xfId="33625"/>
    <cellStyle name="40 % - Accent5 3 2 2 2 4 8" xfId="46608"/>
    <cellStyle name="40 % - Accent5 3 2 2 2 5" xfId="2039"/>
    <cellStyle name="40 % - Accent5 3 2 2 2 5 2" xfId="5284"/>
    <cellStyle name="40 % - Accent5 3 2 2 2 5 2 2" xfId="11816"/>
    <cellStyle name="40 % - Accent5 3 2 2 2 5 2 2 2" xfId="31289"/>
    <cellStyle name="40 % - Accent5 3 2 2 2 5 2 2 3" xfId="44269"/>
    <cellStyle name="40 % - Accent5 3 2 2 2 5 2 2 4" xfId="60498"/>
    <cellStyle name="40 % - Accent5 3 2 2 2 5 2 3" xfId="18309"/>
    <cellStyle name="40 % - Accent5 3 2 2 2 5 2 4" xfId="24799"/>
    <cellStyle name="40 % - Accent5 3 2 2 2 5 2 5" xfId="37779"/>
    <cellStyle name="40 % - Accent5 3 2 2 2 5 2 6" xfId="54008"/>
    <cellStyle name="40 % - Accent5 3 2 2 2 5 3" xfId="8571"/>
    <cellStyle name="40 % - Accent5 3 2 2 2 5 3 2" xfId="28044"/>
    <cellStyle name="40 % - Accent5 3 2 2 2 5 3 3" xfId="41024"/>
    <cellStyle name="40 % - Accent5 3 2 2 2 5 3 4" xfId="57253"/>
    <cellStyle name="40 % - Accent5 3 2 2 2 5 4" xfId="15064"/>
    <cellStyle name="40 % - Accent5 3 2 2 2 5 4 2" xfId="50763"/>
    <cellStyle name="40 % - Accent5 3 2 2 2 5 5" xfId="21554"/>
    <cellStyle name="40 % - Accent5 3 2 2 2 5 6" xfId="34534"/>
    <cellStyle name="40 % - Accent5 3 2 2 2 5 7" xfId="47517"/>
    <cellStyle name="40 % - Accent5 3 2 2 2 6" xfId="3660"/>
    <cellStyle name="40 % - Accent5 3 2 2 2 6 2" xfId="10192"/>
    <cellStyle name="40 % - Accent5 3 2 2 2 6 2 2" xfId="29665"/>
    <cellStyle name="40 % - Accent5 3 2 2 2 6 2 3" xfId="42645"/>
    <cellStyle name="40 % - Accent5 3 2 2 2 6 2 4" xfId="58874"/>
    <cellStyle name="40 % - Accent5 3 2 2 2 6 3" xfId="16685"/>
    <cellStyle name="40 % - Accent5 3 2 2 2 6 4" xfId="23175"/>
    <cellStyle name="40 % - Accent5 3 2 2 2 6 5" xfId="36155"/>
    <cellStyle name="40 % - Accent5 3 2 2 2 6 6" xfId="52384"/>
    <cellStyle name="40 % - Accent5 3 2 2 2 7" xfId="6947"/>
    <cellStyle name="40 % - Accent5 3 2 2 2 7 2" xfId="26420"/>
    <cellStyle name="40 % - Accent5 3 2 2 2 7 3" xfId="39400"/>
    <cellStyle name="40 % - Accent5 3 2 2 2 7 4" xfId="55629"/>
    <cellStyle name="40 % - Accent5 3 2 2 2 8" xfId="13440"/>
    <cellStyle name="40 % - Accent5 3 2 2 2 8 2" xfId="49139"/>
    <cellStyle name="40 % - Accent5 3 2 2 2 9" xfId="19930"/>
    <cellStyle name="40 % - Accent5 3 2 2 3" xfId="742"/>
    <cellStyle name="40 % - Accent5 3 2 2 3 10" xfId="46265"/>
    <cellStyle name="40 % - Accent5 3 2 2 3 2" xfId="1681"/>
    <cellStyle name="40 % - Accent5 3 2 2 3 2 2" xfId="3348"/>
    <cellStyle name="40 % - Accent5 3 2 2 3 2 2 2" xfId="6593"/>
    <cellStyle name="40 % - Accent5 3 2 2 3 2 2 2 2" xfId="13125"/>
    <cellStyle name="40 % - Accent5 3 2 2 3 2 2 2 2 2" xfId="32598"/>
    <cellStyle name="40 % - Accent5 3 2 2 3 2 2 2 2 3" xfId="45578"/>
    <cellStyle name="40 % - Accent5 3 2 2 3 2 2 2 2 4" xfId="61807"/>
    <cellStyle name="40 % - Accent5 3 2 2 3 2 2 2 3" xfId="19618"/>
    <cellStyle name="40 % - Accent5 3 2 2 3 2 2 2 4" xfId="26108"/>
    <cellStyle name="40 % - Accent5 3 2 2 3 2 2 2 5" xfId="39088"/>
    <cellStyle name="40 % - Accent5 3 2 2 3 2 2 2 6" xfId="55317"/>
    <cellStyle name="40 % - Accent5 3 2 2 3 2 2 3" xfId="9880"/>
    <cellStyle name="40 % - Accent5 3 2 2 3 2 2 3 2" xfId="29353"/>
    <cellStyle name="40 % - Accent5 3 2 2 3 2 2 3 3" xfId="42333"/>
    <cellStyle name="40 % - Accent5 3 2 2 3 2 2 3 4" xfId="58562"/>
    <cellStyle name="40 % - Accent5 3 2 2 3 2 2 4" xfId="16373"/>
    <cellStyle name="40 % - Accent5 3 2 2 3 2 2 4 2" xfId="52072"/>
    <cellStyle name="40 % - Accent5 3 2 2 3 2 2 5" xfId="22863"/>
    <cellStyle name="40 % - Accent5 3 2 2 3 2 2 6" xfId="35843"/>
    <cellStyle name="40 % - Accent5 3 2 2 3 2 2 7" xfId="48826"/>
    <cellStyle name="40 % - Accent5 3 2 2 3 2 3" xfId="4970"/>
    <cellStyle name="40 % - Accent5 3 2 2 3 2 3 2" xfId="11502"/>
    <cellStyle name="40 % - Accent5 3 2 2 3 2 3 2 2" xfId="30975"/>
    <cellStyle name="40 % - Accent5 3 2 2 3 2 3 2 3" xfId="43955"/>
    <cellStyle name="40 % - Accent5 3 2 2 3 2 3 2 4" xfId="60184"/>
    <cellStyle name="40 % - Accent5 3 2 2 3 2 3 3" xfId="17995"/>
    <cellStyle name="40 % - Accent5 3 2 2 3 2 3 4" xfId="24485"/>
    <cellStyle name="40 % - Accent5 3 2 2 3 2 3 5" xfId="37465"/>
    <cellStyle name="40 % - Accent5 3 2 2 3 2 3 6" xfId="53694"/>
    <cellStyle name="40 % - Accent5 3 2 2 3 2 4" xfId="8257"/>
    <cellStyle name="40 % - Accent5 3 2 2 3 2 4 2" xfId="27730"/>
    <cellStyle name="40 % - Accent5 3 2 2 3 2 4 3" xfId="40710"/>
    <cellStyle name="40 % - Accent5 3 2 2 3 2 4 4" xfId="56939"/>
    <cellStyle name="40 % - Accent5 3 2 2 3 2 5" xfId="14750"/>
    <cellStyle name="40 % - Accent5 3 2 2 3 2 5 2" xfId="50449"/>
    <cellStyle name="40 % - Accent5 3 2 2 3 2 6" xfId="21240"/>
    <cellStyle name="40 % - Accent5 3 2 2 3 2 7" xfId="34220"/>
    <cellStyle name="40 % - Accent5 3 2 2 3 2 8" xfId="47203"/>
    <cellStyle name="40 % - Accent5 3 2 2 3 3" xfId="1218"/>
    <cellStyle name="40 % - Accent5 3 2 2 3 3 2" xfId="2885"/>
    <cellStyle name="40 % - Accent5 3 2 2 3 3 2 2" xfId="6130"/>
    <cellStyle name="40 % - Accent5 3 2 2 3 3 2 2 2" xfId="12662"/>
    <cellStyle name="40 % - Accent5 3 2 2 3 3 2 2 2 2" xfId="32135"/>
    <cellStyle name="40 % - Accent5 3 2 2 3 3 2 2 2 3" xfId="45115"/>
    <cellStyle name="40 % - Accent5 3 2 2 3 3 2 2 2 4" xfId="61344"/>
    <cellStyle name="40 % - Accent5 3 2 2 3 3 2 2 3" xfId="19155"/>
    <cellStyle name="40 % - Accent5 3 2 2 3 3 2 2 4" xfId="25645"/>
    <cellStyle name="40 % - Accent5 3 2 2 3 3 2 2 5" xfId="38625"/>
    <cellStyle name="40 % - Accent5 3 2 2 3 3 2 2 6" xfId="54854"/>
    <cellStyle name="40 % - Accent5 3 2 2 3 3 2 3" xfId="9417"/>
    <cellStyle name="40 % - Accent5 3 2 2 3 3 2 3 2" xfId="28890"/>
    <cellStyle name="40 % - Accent5 3 2 2 3 3 2 3 3" xfId="41870"/>
    <cellStyle name="40 % - Accent5 3 2 2 3 3 2 3 4" xfId="58099"/>
    <cellStyle name="40 % - Accent5 3 2 2 3 3 2 4" xfId="15910"/>
    <cellStyle name="40 % - Accent5 3 2 2 3 3 2 4 2" xfId="51609"/>
    <cellStyle name="40 % - Accent5 3 2 2 3 3 2 5" xfId="22400"/>
    <cellStyle name="40 % - Accent5 3 2 2 3 3 2 6" xfId="35380"/>
    <cellStyle name="40 % - Accent5 3 2 2 3 3 2 7" xfId="48363"/>
    <cellStyle name="40 % - Accent5 3 2 2 3 3 3" xfId="4507"/>
    <cellStyle name="40 % - Accent5 3 2 2 3 3 3 2" xfId="11039"/>
    <cellStyle name="40 % - Accent5 3 2 2 3 3 3 2 2" xfId="30512"/>
    <cellStyle name="40 % - Accent5 3 2 2 3 3 3 2 3" xfId="43492"/>
    <cellStyle name="40 % - Accent5 3 2 2 3 3 3 2 4" xfId="59721"/>
    <cellStyle name="40 % - Accent5 3 2 2 3 3 3 3" xfId="17532"/>
    <cellStyle name="40 % - Accent5 3 2 2 3 3 3 4" xfId="24022"/>
    <cellStyle name="40 % - Accent5 3 2 2 3 3 3 5" xfId="37002"/>
    <cellStyle name="40 % - Accent5 3 2 2 3 3 3 6" xfId="53231"/>
    <cellStyle name="40 % - Accent5 3 2 2 3 3 4" xfId="7794"/>
    <cellStyle name="40 % - Accent5 3 2 2 3 3 4 2" xfId="27267"/>
    <cellStyle name="40 % - Accent5 3 2 2 3 3 4 3" xfId="40247"/>
    <cellStyle name="40 % - Accent5 3 2 2 3 3 4 4" xfId="56476"/>
    <cellStyle name="40 % - Accent5 3 2 2 3 3 5" xfId="14287"/>
    <cellStyle name="40 % - Accent5 3 2 2 3 3 5 2" xfId="49986"/>
    <cellStyle name="40 % - Accent5 3 2 2 3 3 6" xfId="20777"/>
    <cellStyle name="40 % - Accent5 3 2 2 3 3 7" xfId="33757"/>
    <cellStyle name="40 % - Accent5 3 2 2 3 3 8" xfId="46740"/>
    <cellStyle name="40 % - Accent5 3 2 2 3 4" xfId="2410"/>
    <cellStyle name="40 % - Accent5 3 2 2 3 4 2" xfId="5655"/>
    <cellStyle name="40 % - Accent5 3 2 2 3 4 2 2" xfId="12187"/>
    <cellStyle name="40 % - Accent5 3 2 2 3 4 2 2 2" xfId="31660"/>
    <cellStyle name="40 % - Accent5 3 2 2 3 4 2 2 3" xfId="44640"/>
    <cellStyle name="40 % - Accent5 3 2 2 3 4 2 2 4" xfId="60869"/>
    <cellStyle name="40 % - Accent5 3 2 2 3 4 2 3" xfId="18680"/>
    <cellStyle name="40 % - Accent5 3 2 2 3 4 2 4" xfId="25170"/>
    <cellStyle name="40 % - Accent5 3 2 2 3 4 2 5" xfId="38150"/>
    <cellStyle name="40 % - Accent5 3 2 2 3 4 2 6" xfId="54379"/>
    <cellStyle name="40 % - Accent5 3 2 2 3 4 3" xfId="8942"/>
    <cellStyle name="40 % - Accent5 3 2 2 3 4 3 2" xfId="28415"/>
    <cellStyle name="40 % - Accent5 3 2 2 3 4 3 3" xfId="41395"/>
    <cellStyle name="40 % - Accent5 3 2 2 3 4 3 4" xfId="57624"/>
    <cellStyle name="40 % - Accent5 3 2 2 3 4 4" xfId="15435"/>
    <cellStyle name="40 % - Accent5 3 2 2 3 4 4 2" xfId="51134"/>
    <cellStyle name="40 % - Accent5 3 2 2 3 4 5" xfId="21925"/>
    <cellStyle name="40 % - Accent5 3 2 2 3 4 6" xfId="34905"/>
    <cellStyle name="40 % - Accent5 3 2 2 3 4 7" xfId="47888"/>
    <cellStyle name="40 % - Accent5 3 2 2 3 5" xfId="4032"/>
    <cellStyle name="40 % - Accent5 3 2 2 3 5 2" xfId="10564"/>
    <cellStyle name="40 % - Accent5 3 2 2 3 5 2 2" xfId="30037"/>
    <cellStyle name="40 % - Accent5 3 2 2 3 5 2 3" xfId="43017"/>
    <cellStyle name="40 % - Accent5 3 2 2 3 5 2 4" xfId="59246"/>
    <cellStyle name="40 % - Accent5 3 2 2 3 5 3" xfId="17057"/>
    <cellStyle name="40 % - Accent5 3 2 2 3 5 4" xfId="23547"/>
    <cellStyle name="40 % - Accent5 3 2 2 3 5 5" xfId="36527"/>
    <cellStyle name="40 % - Accent5 3 2 2 3 5 6" xfId="52756"/>
    <cellStyle name="40 % - Accent5 3 2 2 3 6" xfId="7319"/>
    <cellStyle name="40 % - Accent5 3 2 2 3 6 2" xfId="26792"/>
    <cellStyle name="40 % - Accent5 3 2 2 3 6 3" xfId="39772"/>
    <cellStyle name="40 % - Accent5 3 2 2 3 6 4" xfId="56001"/>
    <cellStyle name="40 % - Accent5 3 2 2 3 7" xfId="13812"/>
    <cellStyle name="40 % - Accent5 3 2 2 3 7 2" xfId="49511"/>
    <cellStyle name="40 % - Accent5 3 2 2 3 8" xfId="20302"/>
    <cellStyle name="40 % - Accent5 3 2 2 3 9" xfId="33282"/>
    <cellStyle name="40 % - Accent5 3 2 2 4" xfId="512"/>
    <cellStyle name="40 % - Accent5 3 2 2 4 2" xfId="1461"/>
    <cellStyle name="40 % - Accent5 3 2 2 4 2 2" xfId="3128"/>
    <cellStyle name="40 % - Accent5 3 2 2 4 2 2 2" xfId="6373"/>
    <cellStyle name="40 % - Accent5 3 2 2 4 2 2 2 2" xfId="12905"/>
    <cellStyle name="40 % - Accent5 3 2 2 4 2 2 2 2 2" xfId="32378"/>
    <cellStyle name="40 % - Accent5 3 2 2 4 2 2 2 2 3" xfId="45358"/>
    <cellStyle name="40 % - Accent5 3 2 2 4 2 2 2 2 4" xfId="61587"/>
    <cellStyle name="40 % - Accent5 3 2 2 4 2 2 2 3" xfId="19398"/>
    <cellStyle name="40 % - Accent5 3 2 2 4 2 2 2 4" xfId="25888"/>
    <cellStyle name="40 % - Accent5 3 2 2 4 2 2 2 5" xfId="38868"/>
    <cellStyle name="40 % - Accent5 3 2 2 4 2 2 2 6" xfId="55097"/>
    <cellStyle name="40 % - Accent5 3 2 2 4 2 2 3" xfId="9660"/>
    <cellStyle name="40 % - Accent5 3 2 2 4 2 2 3 2" xfId="29133"/>
    <cellStyle name="40 % - Accent5 3 2 2 4 2 2 3 3" xfId="42113"/>
    <cellStyle name="40 % - Accent5 3 2 2 4 2 2 3 4" xfId="58342"/>
    <cellStyle name="40 % - Accent5 3 2 2 4 2 2 4" xfId="16153"/>
    <cellStyle name="40 % - Accent5 3 2 2 4 2 2 4 2" xfId="51852"/>
    <cellStyle name="40 % - Accent5 3 2 2 4 2 2 5" xfId="22643"/>
    <cellStyle name="40 % - Accent5 3 2 2 4 2 2 6" xfId="35623"/>
    <cellStyle name="40 % - Accent5 3 2 2 4 2 2 7" xfId="48606"/>
    <cellStyle name="40 % - Accent5 3 2 2 4 2 3" xfId="4750"/>
    <cellStyle name="40 % - Accent5 3 2 2 4 2 3 2" xfId="11282"/>
    <cellStyle name="40 % - Accent5 3 2 2 4 2 3 2 2" xfId="30755"/>
    <cellStyle name="40 % - Accent5 3 2 2 4 2 3 2 3" xfId="43735"/>
    <cellStyle name="40 % - Accent5 3 2 2 4 2 3 2 4" xfId="59964"/>
    <cellStyle name="40 % - Accent5 3 2 2 4 2 3 3" xfId="17775"/>
    <cellStyle name="40 % - Accent5 3 2 2 4 2 3 4" xfId="24265"/>
    <cellStyle name="40 % - Accent5 3 2 2 4 2 3 5" xfId="37245"/>
    <cellStyle name="40 % - Accent5 3 2 2 4 2 3 6" xfId="53474"/>
    <cellStyle name="40 % - Accent5 3 2 2 4 2 4" xfId="8037"/>
    <cellStyle name="40 % - Accent5 3 2 2 4 2 4 2" xfId="27510"/>
    <cellStyle name="40 % - Accent5 3 2 2 4 2 4 3" xfId="40490"/>
    <cellStyle name="40 % - Accent5 3 2 2 4 2 4 4" xfId="56719"/>
    <cellStyle name="40 % - Accent5 3 2 2 4 2 5" xfId="14530"/>
    <cellStyle name="40 % - Accent5 3 2 2 4 2 5 2" xfId="50229"/>
    <cellStyle name="40 % - Accent5 3 2 2 4 2 6" xfId="21020"/>
    <cellStyle name="40 % - Accent5 3 2 2 4 2 7" xfId="34000"/>
    <cellStyle name="40 % - Accent5 3 2 2 4 2 8" xfId="46983"/>
    <cellStyle name="40 % - Accent5 3 2 2 4 3" xfId="2180"/>
    <cellStyle name="40 % - Accent5 3 2 2 4 3 2" xfId="5425"/>
    <cellStyle name="40 % - Accent5 3 2 2 4 3 2 2" xfId="11957"/>
    <cellStyle name="40 % - Accent5 3 2 2 4 3 2 2 2" xfId="31430"/>
    <cellStyle name="40 % - Accent5 3 2 2 4 3 2 2 3" xfId="44410"/>
    <cellStyle name="40 % - Accent5 3 2 2 4 3 2 2 4" xfId="60639"/>
    <cellStyle name="40 % - Accent5 3 2 2 4 3 2 3" xfId="18450"/>
    <cellStyle name="40 % - Accent5 3 2 2 4 3 2 4" xfId="24940"/>
    <cellStyle name="40 % - Accent5 3 2 2 4 3 2 5" xfId="37920"/>
    <cellStyle name="40 % - Accent5 3 2 2 4 3 2 6" xfId="54149"/>
    <cellStyle name="40 % - Accent5 3 2 2 4 3 3" xfId="8712"/>
    <cellStyle name="40 % - Accent5 3 2 2 4 3 3 2" xfId="28185"/>
    <cellStyle name="40 % - Accent5 3 2 2 4 3 3 3" xfId="41165"/>
    <cellStyle name="40 % - Accent5 3 2 2 4 3 3 4" xfId="57394"/>
    <cellStyle name="40 % - Accent5 3 2 2 4 3 4" xfId="15205"/>
    <cellStyle name="40 % - Accent5 3 2 2 4 3 4 2" xfId="50904"/>
    <cellStyle name="40 % - Accent5 3 2 2 4 3 5" xfId="21695"/>
    <cellStyle name="40 % - Accent5 3 2 2 4 3 6" xfId="34675"/>
    <cellStyle name="40 % - Accent5 3 2 2 4 3 7" xfId="47658"/>
    <cellStyle name="40 % - Accent5 3 2 2 4 4" xfId="3802"/>
    <cellStyle name="40 % - Accent5 3 2 2 4 4 2" xfId="10334"/>
    <cellStyle name="40 % - Accent5 3 2 2 4 4 2 2" xfId="29807"/>
    <cellStyle name="40 % - Accent5 3 2 2 4 4 2 3" xfId="42787"/>
    <cellStyle name="40 % - Accent5 3 2 2 4 4 2 4" xfId="59016"/>
    <cellStyle name="40 % - Accent5 3 2 2 4 4 3" xfId="16827"/>
    <cellStyle name="40 % - Accent5 3 2 2 4 4 4" xfId="23317"/>
    <cellStyle name="40 % - Accent5 3 2 2 4 4 5" xfId="36297"/>
    <cellStyle name="40 % - Accent5 3 2 2 4 4 6" xfId="52526"/>
    <cellStyle name="40 % - Accent5 3 2 2 4 5" xfId="7089"/>
    <cellStyle name="40 % - Accent5 3 2 2 4 5 2" xfId="26562"/>
    <cellStyle name="40 % - Accent5 3 2 2 4 5 3" xfId="39542"/>
    <cellStyle name="40 % - Accent5 3 2 2 4 5 4" xfId="55771"/>
    <cellStyle name="40 % - Accent5 3 2 2 4 6" xfId="13582"/>
    <cellStyle name="40 % - Accent5 3 2 2 4 6 2" xfId="49281"/>
    <cellStyle name="40 % - Accent5 3 2 2 4 7" xfId="20072"/>
    <cellStyle name="40 % - Accent5 3 2 2 4 8" xfId="33052"/>
    <cellStyle name="40 % - Accent5 3 2 2 4 9" xfId="46035"/>
    <cellStyle name="40 % - Accent5 3 2 2 5" xfId="998"/>
    <cellStyle name="40 % - Accent5 3 2 2 5 2" xfId="2665"/>
    <cellStyle name="40 % - Accent5 3 2 2 5 2 2" xfId="5910"/>
    <cellStyle name="40 % - Accent5 3 2 2 5 2 2 2" xfId="12442"/>
    <cellStyle name="40 % - Accent5 3 2 2 5 2 2 2 2" xfId="31915"/>
    <cellStyle name="40 % - Accent5 3 2 2 5 2 2 2 3" xfId="44895"/>
    <cellStyle name="40 % - Accent5 3 2 2 5 2 2 2 4" xfId="61124"/>
    <cellStyle name="40 % - Accent5 3 2 2 5 2 2 3" xfId="18935"/>
    <cellStyle name="40 % - Accent5 3 2 2 5 2 2 4" xfId="25425"/>
    <cellStyle name="40 % - Accent5 3 2 2 5 2 2 5" xfId="38405"/>
    <cellStyle name="40 % - Accent5 3 2 2 5 2 2 6" xfId="54634"/>
    <cellStyle name="40 % - Accent5 3 2 2 5 2 3" xfId="9197"/>
    <cellStyle name="40 % - Accent5 3 2 2 5 2 3 2" xfId="28670"/>
    <cellStyle name="40 % - Accent5 3 2 2 5 2 3 3" xfId="41650"/>
    <cellStyle name="40 % - Accent5 3 2 2 5 2 3 4" xfId="57879"/>
    <cellStyle name="40 % - Accent5 3 2 2 5 2 4" xfId="15690"/>
    <cellStyle name="40 % - Accent5 3 2 2 5 2 4 2" xfId="51389"/>
    <cellStyle name="40 % - Accent5 3 2 2 5 2 5" xfId="22180"/>
    <cellStyle name="40 % - Accent5 3 2 2 5 2 6" xfId="35160"/>
    <cellStyle name="40 % - Accent5 3 2 2 5 2 7" xfId="48143"/>
    <cellStyle name="40 % - Accent5 3 2 2 5 3" xfId="4287"/>
    <cellStyle name="40 % - Accent5 3 2 2 5 3 2" xfId="10819"/>
    <cellStyle name="40 % - Accent5 3 2 2 5 3 2 2" xfId="30292"/>
    <cellStyle name="40 % - Accent5 3 2 2 5 3 2 3" xfId="43272"/>
    <cellStyle name="40 % - Accent5 3 2 2 5 3 2 4" xfId="59501"/>
    <cellStyle name="40 % - Accent5 3 2 2 5 3 3" xfId="17312"/>
    <cellStyle name="40 % - Accent5 3 2 2 5 3 4" xfId="23802"/>
    <cellStyle name="40 % - Accent5 3 2 2 5 3 5" xfId="36782"/>
    <cellStyle name="40 % - Accent5 3 2 2 5 3 6" xfId="53011"/>
    <cellStyle name="40 % - Accent5 3 2 2 5 4" xfId="7574"/>
    <cellStyle name="40 % - Accent5 3 2 2 5 4 2" xfId="27047"/>
    <cellStyle name="40 % - Accent5 3 2 2 5 4 3" xfId="40027"/>
    <cellStyle name="40 % - Accent5 3 2 2 5 4 4" xfId="56256"/>
    <cellStyle name="40 % - Accent5 3 2 2 5 5" xfId="14067"/>
    <cellStyle name="40 % - Accent5 3 2 2 5 5 2" xfId="49766"/>
    <cellStyle name="40 % - Accent5 3 2 2 5 6" xfId="20557"/>
    <cellStyle name="40 % - Accent5 3 2 2 5 7" xfId="33537"/>
    <cellStyle name="40 % - Accent5 3 2 2 5 8" xfId="46520"/>
    <cellStyle name="40 % - Accent5 3 2 2 6" xfId="1951"/>
    <cellStyle name="40 % - Accent5 3 2 2 6 2" xfId="5196"/>
    <cellStyle name="40 % - Accent5 3 2 2 6 2 2" xfId="11728"/>
    <cellStyle name="40 % - Accent5 3 2 2 6 2 2 2" xfId="31201"/>
    <cellStyle name="40 % - Accent5 3 2 2 6 2 2 3" xfId="44181"/>
    <cellStyle name="40 % - Accent5 3 2 2 6 2 2 4" xfId="60410"/>
    <cellStyle name="40 % - Accent5 3 2 2 6 2 3" xfId="18221"/>
    <cellStyle name="40 % - Accent5 3 2 2 6 2 4" xfId="24711"/>
    <cellStyle name="40 % - Accent5 3 2 2 6 2 5" xfId="37691"/>
    <cellStyle name="40 % - Accent5 3 2 2 6 2 6" xfId="53920"/>
    <cellStyle name="40 % - Accent5 3 2 2 6 3" xfId="8483"/>
    <cellStyle name="40 % - Accent5 3 2 2 6 3 2" xfId="27956"/>
    <cellStyle name="40 % - Accent5 3 2 2 6 3 3" xfId="40936"/>
    <cellStyle name="40 % - Accent5 3 2 2 6 3 4" xfId="57165"/>
    <cellStyle name="40 % - Accent5 3 2 2 6 4" xfId="14976"/>
    <cellStyle name="40 % - Accent5 3 2 2 6 4 2" xfId="50675"/>
    <cellStyle name="40 % - Accent5 3 2 2 6 5" xfId="21466"/>
    <cellStyle name="40 % - Accent5 3 2 2 6 6" xfId="34446"/>
    <cellStyle name="40 % - Accent5 3 2 2 6 7" xfId="47429"/>
    <cellStyle name="40 % - Accent5 3 2 2 7" xfId="3572"/>
    <cellStyle name="40 % - Accent5 3 2 2 7 2" xfId="10104"/>
    <cellStyle name="40 % - Accent5 3 2 2 7 2 2" xfId="29577"/>
    <cellStyle name="40 % - Accent5 3 2 2 7 2 3" xfId="42557"/>
    <cellStyle name="40 % - Accent5 3 2 2 7 2 4" xfId="58786"/>
    <cellStyle name="40 % - Accent5 3 2 2 7 3" xfId="16597"/>
    <cellStyle name="40 % - Accent5 3 2 2 7 4" xfId="23087"/>
    <cellStyle name="40 % - Accent5 3 2 2 7 5" xfId="36067"/>
    <cellStyle name="40 % - Accent5 3 2 2 7 6" xfId="52296"/>
    <cellStyle name="40 % - Accent5 3 2 2 8" xfId="6859"/>
    <cellStyle name="40 % - Accent5 3 2 2 8 2" xfId="26332"/>
    <cellStyle name="40 % - Accent5 3 2 2 8 3" xfId="39312"/>
    <cellStyle name="40 % - Accent5 3 2 2 8 4" xfId="55541"/>
    <cellStyle name="40 % - Accent5 3 2 2 9" xfId="13352"/>
    <cellStyle name="40 % - Accent5 3 2 2 9 2" xfId="49051"/>
    <cellStyle name="40 % - Accent5 3 2 3" xfId="234"/>
    <cellStyle name="40 % - Accent5 3 2 3 10" xfId="32778"/>
    <cellStyle name="40 % - Accent5 3 2 3 11" xfId="45761"/>
    <cellStyle name="40 % - Accent5 3 2 3 2" xfId="698"/>
    <cellStyle name="40 % - Accent5 3 2 3 2 10" xfId="46221"/>
    <cellStyle name="40 % - Accent5 3 2 3 2 2" xfId="1637"/>
    <cellStyle name="40 % - Accent5 3 2 3 2 2 2" xfId="3304"/>
    <cellStyle name="40 % - Accent5 3 2 3 2 2 2 2" xfId="6549"/>
    <cellStyle name="40 % - Accent5 3 2 3 2 2 2 2 2" xfId="13081"/>
    <cellStyle name="40 % - Accent5 3 2 3 2 2 2 2 2 2" xfId="32554"/>
    <cellStyle name="40 % - Accent5 3 2 3 2 2 2 2 2 3" xfId="45534"/>
    <cellStyle name="40 % - Accent5 3 2 3 2 2 2 2 2 4" xfId="61763"/>
    <cellStyle name="40 % - Accent5 3 2 3 2 2 2 2 3" xfId="19574"/>
    <cellStyle name="40 % - Accent5 3 2 3 2 2 2 2 4" xfId="26064"/>
    <cellStyle name="40 % - Accent5 3 2 3 2 2 2 2 5" xfId="39044"/>
    <cellStyle name="40 % - Accent5 3 2 3 2 2 2 2 6" xfId="55273"/>
    <cellStyle name="40 % - Accent5 3 2 3 2 2 2 3" xfId="9836"/>
    <cellStyle name="40 % - Accent5 3 2 3 2 2 2 3 2" xfId="29309"/>
    <cellStyle name="40 % - Accent5 3 2 3 2 2 2 3 3" xfId="42289"/>
    <cellStyle name="40 % - Accent5 3 2 3 2 2 2 3 4" xfId="58518"/>
    <cellStyle name="40 % - Accent5 3 2 3 2 2 2 4" xfId="16329"/>
    <cellStyle name="40 % - Accent5 3 2 3 2 2 2 4 2" xfId="52028"/>
    <cellStyle name="40 % - Accent5 3 2 3 2 2 2 5" xfId="22819"/>
    <cellStyle name="40 % - Accent5 3 2 3 2 2 2 6" xfId="35799"/>
    <cellStyle name="40 % - Accent5 3 2 3 2 2 2 7" xfId="48782"/>
    <cellStyle name="40 % - Accent5 3 2 3 2 2 3" xfId="4926"/>
    <cellStyle name="40 % - Accent5 3 2 3 2 2 3 2" xfId="11458"/>
    <cellStyle name="40 % - Accent5 3 2 3 2 2 3 2 2" xfId="30931"/>
    <cellStyle name="40 % - Accent5 3 2 3 2 2 3 2 3" xfId="43911"/>
    <cellStyle name="40 % - Accent5 3 2 3 2 2 3 2 4" xfId="60140"/>
    <cellStyle name="40 % - Accent5 3 2 3 2 2 3 3" xfId="17951"/>
    <cellStyle name="40 % - Accent5 3 2 3 2 2 3 4" xfId="24441"/>
    <cellStyle name="40 % - Accent5 3 2 3 2 2 3 5" xfId="37421"/>
    <cellStyle name="40 % - Accent5 3 2 3 2 2 3 6" xfId="53650"/>
    <cellStyle name="40 % - Accent5 3 2 3 2 2 4" xfId="8213"/>
    <cellStyle name="40 % - Accent5 3 2 3 2 2 4 2" xfId="27686"/>
    <cellStyle name="40 % - Accent5 3 2 3 2 2 4 3" xfId="40666"/>
    <cellStyle name="40 % - Accent5 3 2 3 2 2 4 4" xfId="56895"/>
    <cellStyle name="40 % - Accent5 3 2 3 2 2 5" xfId="14706"/>
    <cellStyle name="40 % - Accent5 3 2 3 2 2 5 2" xfId="50405"/>
    <cellStyle name="40 % - Accent5 3 2 3 2 2 6" xfId="21196"/>
    <cellStyle name="40 % - Accent5 3 2 3 2 2 7" xfId="34176"/>
    <cellStyle name="40 % - Accent5 3 2 3 2 2 8" xfId="47159"/>
    <cellStyle name="40 % - Accent5 3 2 3 2 3" xfId="1174"/>
    <cellStyle name="40 % - Accent5 3 2 3 2 3 2" xfId="2841"/>
    <cellStyle name="40 % - Accent5 3 2 3 2 3 2 2" xfId="6086"/>
    <cellStyle name="40 % - Accent5 3 2 3 2 3 2 2 2" xfId="12618"/>
    <cellStyle name="40 % - Accent5 3 2 3 2 3 2 2 2 2" xfId="32091"/>
    <cellStyle name="40 % - Accent5 3 2 3 2 3 2 2 2 3" xfId="45071"/>
    <cellStyle name="40 % - Accent5 3 2 3 2 3 2 2 2 4" xfId="61300"/>
    <cellStyle name="40 % - Accent5 3 2 3 2 3 2 2 3" xfId="19111"/>
    <cellStyle name="40 % - Accent5 3 2 3 2 3 2 2 4" xfId="25601"/>
    <cellStyle name="40 % - Accent5 3 2 3 2 3 2 2 5" xfId="38581"/>
    <cellStyle name="40 % - Accent5 3 2 3 2 3 2 2 6" xfId="54810"/>
    <cellStyle name="40 % - Accent5 3 2 3 2 3 2 3" xfId="9373"/>
    <cellStyle name="40 % - Accent5 3 2 3 2 3 2 3 2" xfId="28846"/>
    <cellStyle name="40 % - Accent5 3 2 3 2 3 2 3 3" xfId="41826"/>
    <cellStyle name="40 % - Accent5 3 2 3 2 3 2 3 4" xfId="58055"/>
    <cellStyle name="40 % - Accent5 3 2 3 2 3 2 4" xfId="15866"/>
    <cellStyle name="40 % - Accent5 3 2 3 2 3 2 4 2" xfId="51565"/>
    <cellStyle name="40 % - Accent5 3 2 3 2 3 2 5" xfId="22356"/>
    <cellStyle name="40 % - Accent5 3 2 3 2 3 2 6" xfId="35336"/>
    <cellStyle name="40 % - Accent5 3 2 3 2 3 2 7" xfId="48319"/>
    <cellStyle name="40 % - Accent5 3 2 3 2 3 3" xfId="4463"/>
    <cellStyle name="40 % - Accent5 3 2 3 2 3 3 2" xfId="10995"/>
    <cellStyle name="40 % - Accent5 3 2 3 2 3 3 2 2" xfId="30468"/>
    <cellStyle name="40 % - Accent5 3 2 3 2 3 3 2 3" xfId="43448"/>
    <cellStyle name="40 % - Accent5 3 2 3 2 3 3 2 4" xfId="59677"/>
    <cellStyle name="40 % - Accent5 3 2 3 2 3 3 3" xfId="17488"/>
    <cellStyle name="40 % - Accent5 3 2 3 2 3 3 4" xfId="23978"/>
    <cellStyle name="40 % - Accent5 3 2 3 2 3 3 5" xfId="36958"/>
    <cellStyle name="40 % - Accent5 3 2 3 2 3 3 6" xfId="53187"/>
    <cellStyle name="40 % - Accent5 3 2 3 2 3 4" xfId="7750"/>
    <cellStyle name="40 % - Accent5 3 2 3 2 3 4 2" xfId="27223"/>
    <cellStyle name="40 % - Accent5 3 2 3 2 3 4 3" xfId="40203"/>
    <cellStyle name="40 % - Accent5 3 2 3 2 3 4 4" xfId="56432"/>
    <cellStyle name="40 % - Accent5 3 2 3 2 3 5" xfId="14243"/>
    <cellStyle name="40 % - Accent5 3 2 3 2 3 5 2" xfId="49942"/>
    <cellStyle name="40 % - Accent5 3 2 3 2 3 6" xfId="20733"/>
    <cellStyle name="40 % - Accent5 3 2 3 2 3 7" xfId="33713"/>
    <cellStyle name="40 % - Accent5 3 2 3 2 3 8" xfId="46696"/>
    <cellStyle name="40 % - Accent5 3 2 3 2 4" xfId="2366"/>
    <cellStyle name="40 % - Accent5 3 2 3 2 4 2" xfId="5611"/>
    <cellStyle name="40 % - Accent5 3 2 3 2 4 2 2" xfId="12143"/>
    <cellStyle name="40 % - Accent5 3 2 3 2 4 2 2 2" xfId="31616"/>
    <cellStyle name="40 % - Accent5 3 2 3 2 4 2 2 3" xfId="44596"/>
    <cellStyle name="40 % - Accent5 3 2 3 2 4 2 2 4" xfId="60825"/>
    <cellStyle name="40 % - Accent5 3 2 3 2 4 2 3" xfId="18636"/>
    <cellStyle name="40 % - Accent5 3 2 3 2 4 2 4" xfId="25126"/>
    <cellStyle name="40 % - Accent5 3 2 3 2 4 2 5" xfId="38106"/>
    <cellStyle name="40 % - Accent5 3 2 3 2 4 2 6" xfId="54335"/>
    <cellStyle name="40 % - Accent5 3 2 3 2 4 3" xfId="8898"/>
    <cellStyle name="40 % - Accent5 3 2 3 2 4 3 2" xfId="28371"/>
    <cellStyle name="40 % - Accent5 3 2 3 2 4 3 3" xfId="41351"/>
    <cellStyle name="40 % - Accent5 3 2 3 2 4 3 4" xfId="57580"/>
    <cellStyle name="40 % - Accent5 3 2 3 2 4 4" xfId="15391"/>
    <cellStyle name="40 % - Accent5 3 2 3 2 4 4 2" xfId="51090"/>
    <cellStyle name="40 % - Accent5 3 2 3 2 4 5" xfId="21881"/>
    <cellStyle name="40 % - Accent5 3 2 3 2 4 6" xfId="34861"/>
    <cellStyle name="40 % - Accent5 3 2 3 2 4 7" xfId="47844"/>
    <cellStyle name="40 % - Accent5 3 2 3 2 5" xfId="3988"/>
    <cellStyle name="40 % - Accent5 3 2 3 2 5 2" xfId="10520"/>
    <cellStyle name="40 % - Accent5 3 2 3 2 5 2 2" xfId="29993"/>
    <cellStyle name="40 % - Accent5 3 2 3 2 5 2 3" xfId="42973"/>
    <cellStyle name="40 % - Accent5 3 2 3 2 5 2 4" xfId="59202"/>
    <cellStyle name="40 % - Accent5 3 2 3 2 5 3" xfId="17013"/>
    <cellStyle name="40 % - Accent5 3 2 3 2 5 4" xfId="23503"/>
    <cellStyle name="40 % - Accent5 3 2 3 2 5 5" xfId="36483"/>
    <cellStyle name="40 % - Accent5 3 2 3 2 5 6" xfId="52712"/>
    <cellStyle name="40 % - Accent5 3 2 3 2 6" xfId="7275"/>
    <cellStyle name="40 % - Accent5 3 2 3 2 6 2" xfId="26748"/>
    <cellStyle name="40 % - Accent5 3 2 3 2 6 3" xfId="39728"/>
    <cellStyle name="40 % - Accent5 3 2 3 2 6 4" xfId="55957"/>
    <cellStyle name="40 % - Accent5 3 2 3 2 7" xfId="13768"/>
    <cellStyle name="40 % - Accent5 3 2 3 2 7 2" xfId="49467"/>
    <cellStyle name="40 % - Accent5 3 2 3 2 8" xfId="20258"/>
    <cellStyle name="40 % - Accent5 3 2 3 2 9" xfId="33238"/>
    <cellStyle name="40 % - Accent5 3 2 3 3" xfId="468"/>
    <cellStyle name="40 % - Accent5 3 2 3 3 2" xfId="1417"/>
    <cellStyle name="40 % - Accent5 3 2 3 3 2 2" xfId="3084"/>
    <cellStyle name="40 % - Accent5 3 2 3 3 2 2 2" xfId="6329"/>
    <cellStyle name="40 % - Accent5 3 2 3 3 2 2 2 2" xfId="12861"/>
    <cellStyle name="40 % - Accent5 3 2 3 3 2 2 2 2 2" xfId="32334"/>
    <cellStyle name="40 % - Accent5 3 2 3 3 2 2 2 2 3" xfId="45314"/>
    <cellStyle name="40 % - Accent5 3 2 3 3 2 2 2 2 4" xfId="61543"/>
    <cellStyle name="40 % - Accent5 3 2 3 3 2 2 2 3" xfId="19354"/>
    <cellStyle name="40 % - Accent5 3 2 3 3 2 2 2 4" xfId="25844"/>
    <cellStyle name="40 % - Accent5 3 2 3 3 2 2 2 5" xfId="38824"/>
    <cellStyle name="40 % - Accent5 3 2 3 3 2 2 2 6" xfId="55053"/>
    <cellStyle name="40 % - Accent5 3 2 3 3 2 2 3" xfId="9616"/>
    <cellStyle name="40 % - Accent5 3 2 3 3 2 2 3 2" xfId="29089"/>
    <cellStyle name="40 % - Accent5 3 2 3 3 2 2 3 3" xfId="42069"/>
    <cellStyle name="40 % - Accent5 3 2 3 3 2 2 3 4" xfId="58298"/>
    <cellStyle name="40 % - Accent5 3 2 3 3 2 2 4" xfId="16109"/>
    <cellStyle name="40 % - Accent5 3 2 3 3 2 2 4 2" xfId="51808"/>
    <cellStyle name="40 % - Accent5 3 2 3 3 2 2 5" xfId="22599"/>
    <cellStyle name="40 % - Accent5 3 2 3 3 2 2 6" xfId="35579"/>
    <cellStyle name="40 % - Accent5 3 2 3 3 2 2 7" xfId="48562"/>
    <cellStyle name="40 % - Accent5 3 2 3 3 2 3" xfId="4706"/>
    <cellStyle name="40 % - Accent5 3 2 3 3 2 3 2" xfId="11238"/>
    <cellStyle name="40 % - Accent5 3 2 3 3 2 3 2 2" xfId="30711"/>
    <cellStyle name="40 % - Accent5 3 2 3 3 2 3 2 3" xfId="43691"/>
    <cellStyle name="40 % - Accent5 3 2 3 3 2 3 2 4" xfId="59920"/>
    <cellStyle name="40 % - Accent5 3 2 3 3 2 3 3" xfId="17731"/>
    <cellStyle name="40 % - Accent5 3 2 3 3 2 3 4" xfId="24221"/>
    <cellStyle name="40 % - Accent5 3 2 3 3 2 3 5" xfId="37201"/>
    <cellStyle name="40 % - Accent5 3 2 3 3 2 3 6" xfId="53430"/>
    <cellStyle name="40 % - Accent5 3 2 3 3 2 4" xfId="7993"/>
    <cellStyle name="40 % - Accent5 3 2 3 3 2 4 2" xfId="27466"/>
    <cellStyle name="40 % - Accent5 3 2 3 3 2 4 3" xfId="40446"/>
    <cellStyle name="40 % - Accent5 3 2 3 3 2 4 4" xfId="56675"/>
    <cellStyle name="40 % - Accent5 3 2 3 3 2 5" xfId="14486"/>
    <cellStyle name="40 % - Accent5 3 2 3 3 2 5 2" xfId="50185"/>
    <cellStyle name="40 % - Accent5 3 2 3 3 2 6" xfId="20976"/>
    <cellStyle name="40 % - Accent5 3 2 3 3 2 7" xfId="33956"/>
    <cellStyle name="40 % - Accent5 3 2 3 3 2 8" xfId="46939"/>
    <cellStyle name="40 % - Accent5 3 2 3 3 3" xfId="2136"/>
    <cellStyle name="40 % - Accent5 3 2 3 3 3 2" xfId="5381"/>
    <cellStyle name="40 % - Accent5 3 2 3 3 3 2 2" xfId="11913"/>
    <cellStyle name="40 % - Accent5 3 2 3 3 3 2 2 2" xfId="31386"/>
    <cellStyle name="40 % - Accent5 3 2 3 3 3 2 2 3" xfId="44366"/>
    <cellStyle name="40 % - Accent5 3 2 3 3 3 2 2 4" xfId="60595"/>
    <cellStyle name="40 % - Accent5 3 2 3 3 3 2 3" xfId="18406"/>
    <cellStyle name="40 % - Accent5 3 2 3 3 3 2 4" xfId="24896"/>
    <cellStyle name="40 % - Accent5 3 2 3 3 3 2 5" xfId="37876"/>
    <cellStyle name="40 % - Accent5 3 2 3 3 3 2 6" xfId="54105"/>
    <cellStyle name="40 % - Accent5 3 2 3 3 3 3" xfId="8668"/>
    <cellStyle name="40 % - Accent5 3 2 3 3 3 3 2" xfId="28141"/>
    <cellStyle name="40 % - Accent5 3 2 3 3 3 3 3" xfId="41121"/>
    <cellStyle name="40 % - Accent5 3 2 3 3 3 3 4" xfId="57350"/>
    <cellStyle name="40 % - Accent5 3 2 3 3 3 4" xfId="15161"/>
    <cellStyle name="40 % - Accent5 3 2 3 3 3 4 2" xfId="50860"/>
    <cellStyle name="40 % - Accent5 3 2 3 3 3 5" xfId="21651"/>
    <cellStyle name="40 % - Accent5 3 2 3 3 3 6" xfId="34631"/>
    <cellStyle name="40 % - Accent5 3 2 3 3 3 7" xfId="47614"/>
    <cellStyle name="40 % - Accent5 3 2 3 3 4" xfId="3758"/>
    <cellStyle name="40 % - Accent5 3 2 3 3 4 2" xfId="10290"/>
    <cellStyle name="40 % - Accent5 3 2 3 3 4 2 2" xfId="29763"/>
    <cellStyle name="40 % - Accent5 3 2 3 3 4 2 3" xfId="42743"/>
    <cellStyle name="40 % - Accent5 3 2 3 3 4 2 4" xfId="58972"/>
    <cellStyle name="40 % - Accent5 3 2 3 3 4 3" xfId="16783"/>
    <cellStyle name="40 % - Accent5 3 2 3 3 4 4" xfId="23273"/>
    <cellStyle name="40 % - Accent5 3 2 3 3 4 5" xfId="36253"/>
    <cellStyle name="40 % - Accent5 3 2 3 3 4 6" xfId="52482"/>
    <cellStyle name="40 % - Accent5 3 2 3 3 5" xfId="7045"/>
    <cellStyle name="40 % - Accent5 3 2 3 3 5 2" xfId="26518"/>
    <cellStyle name="40 % - Accent5 3 2 3 3 5 3" xfId="39498"/>
    <cellStyle name="40 % - Accent5 3 2 3 3 5 4" xfId="55727"/>
    <cellStyle name="40 % - Accent5 3 2 3 3 6" xfId="13538"/>
    <cellStyle name="40 % - Accent5 3 2 3 3 6 2" xfId="49237"/>
    <cellStyle name="40 % - Accent5 3 2 3 3 7" xfId="20028"/>
    <cellStyle name="40 % - Accent5 3 2 3 3 8" xfId="33008"/>
    <cellStyle name="40 % - Accent5 3 2 3 3 9" xfId="45991"/>
    <cellStyle name="40 % - Accent5 3 2 3 4" xfId="954"/>
    <cellStyle name="40 % - Accent5 3 2 3 4 2" xfId="2621"/>
    <cellStyle name="40 % - Accent5 3 2 3 4 2 2" xfId="5866"/>
    <cellStyle name="40 % - Accent5 3 2 3 4 2 2 2" xfId="12398"/>
    <cellStyle name="40 % - Accent5 3 2 3 4 2 2 2 2" xfId="31871"/>
    <cellStyle name="40 % - Accent5 3 2 3 4 2 2 2 3" xfId="44851"/>
    <cellStyle name="40 % - Accent5 3 2 3 4 2 2 2 4" xfId="61080"/>
    <cellStyle name="40 % - Accent5 3 2 3 4 2 2 3" xfId="18891"/>
    <cellStyle name="40 % - Accent5 3 2 3 4 2 2 4" xfId="25381"/>
    <cellStyle name="40 % - Accent5 3 2 3 4 2 2 5" xfId="38361"/>
    <cellStyle name="40 % - Accent5 3 2 3 4 2 2 6" xfId="54590"/>
    <cellStyle name="40 % - Accent5 3 2 3 4 2 3" xfId="9153"/>
    <cellStyle name="40 % - Accent5 3 2 3 4 2 3 2" xfId="28626"/>
    <cellStyle name="40 % - Accent5 3 2 3 4 2 3 3" xfId="41606"/>
    <cellStyle name="40 % - Accent5 3 2 3 4 2 3 4" xfId="57835"/>
    <cellStyle name="40 % - Accent5 3 2 3 4 2 4" xfId="15646"/>
    <cellStyle name="40 % - Accent5 3 2 3 4 2 4 2" xfId="51345"/>
    <cellStyle name="40 % - Accent5 3 2 3 4 2 5" xfId="22136"/>
    <cellStyle name="40 % - Accent5 3 2 3 4 2 6" xfId="35116"/>
    <cellStyle name="40 % - Accent5 3 2 3 4 2 7" xfId="48099"/>
    <cellStyle name="40 % - Accent5 3 2 3 4 3" xfId="4243"/>
    <cellStyle name="40 % - Accent5 3 2 3 4 3 2" xfId="10775"/>
    <cellStyle name="40 % - Accent5 3 2 3 4 3 2 2" xfId="30248"/>
    <cellStyle name="40 % - Accent5 3 2 3 4 3 2 3" xfId="43228"/>
    <cellStyle name="40 % - Accent5 3 2 3 4 3 2 4" xfId="59457"/>
    <cellStyle name="40 % - Accent5 3 2 3 4 3 3" xfId="17268"/>
    <cellStyle name="40 % - Accent5 3 2 3 4 3 4" xfId="23758"/>
    <cellStyle name="40 % - Accent5 3 2 3 4 3 5" xfId="36738"/>
    <cellStyle name="40 % - Accent5 3 2 3 4 3 6" xfId="52967"/>
    <cellStyle name="40 % - Accent5 3 2 3 4 4" xfId="7530"/>
    <cellStyle name="40 % - Accent5 3 2 3 4 4 2" xfId="27003"/>
    <cellStyle name="40 % - Accent5 3 2 3 4 4 3" xfId="39983"/>
    <cellStyle name="40 % - Accent5 3 2 3 4 4 4" xfId="56212"/>
    <cellStyle name="40 % - Accent5 3 2 3 4 5" xfId="14023"/>
    <cellStyle name="40 % - Accent5 3 2 3 4 5 2" xfId="49722"/>
    <cellStyle name="40 % - Accent5 3 2 3 4 6" xfId="20513"/>
    <cellStyle name="40 % - Accent5 3 2 3 4 7" xfId="33493"/>
    <cellStyle name="40 % - Accent5 3 2 3 4 8" xfId="46476"/>
    <cellStyle name="40 % - Accent5 3 2 3 5" xfId="1907"/>
    <cellStyle name="40 % - Accent5 3 2 3 5 2" xfId="5152"/>
    <cellStyle name="40 % - Accent5 3 2 3 5 2 2" xfId="11684"/>
    <cellStyle name="40 % - Accent5 3 2 3 5 2 2 2" xfId="31157"/>
    <cellStyle name="40 % - Accent5 3 2 3 5 2 2 3" xfId="44137"/>
    <cellStyle name="40 % - Accent5 3 2 3 5 2 2 4" xfId="60366"/>
    <cellStyle name="40 % - Accent5 3 2 3 5 2 3" xfId="18177"/>
    <cellStyle name="40 % - Accent5 3 2 3 5 2 4" xfId="24667"/>
    <cellStyle name="40 % - Accent5 3 2 3 5 2 5" xfId="37647"/>
    <cellStyle name="40 % - Accent5 3 2 3 5 2 6" xfId="53876"/>
    <cellStyle name="40 % - Accent5 3 2 3 5 3" xfId="8439"/>
    <cellStyle name="40 % - Accent5 3 2 3 5 3 2" xfId="27912"/>
    <cellStyle name="40 % - Accent5 3 2 3 5 3 3" xfId="40892"/>
    <cellStyle name="40 % - Accent5 3 2 3 5 3 4" xfId="57121"/>
    <cellStyle name="40 % - Accent5 3 2 3 5 4" xfId="14932"/>
    <cellStyle name="40 % - Accent5 3 2 3 5 4 2" xfId="50631"/>
    <cellStyle name="40 % - Accent5 3 2 3 5 5" xfId="21422"/>
    <cellStyle name="40 % - Accent5 3 2 3 5 6" xfId="34402"/>
    <cellStyle name="40 % - Accent5 3 2 3 5 7" xfId="47385"/>
    <cellStyle name="40 % - Accent5 3 2 3 6" xfId="3528"/>
    <cellStyle name="40 % - Accent5 3 2 3 6 2" xfId="10060"/>
    <cellStyle name="40 % - Accent5 3 2 3 6 2 2" xfId="29533"/>
    <cellStyle name="40 % - Accent5 3 2 3 6 2 3" xfId="42513"/>
    <cellStyle name="40 % - Accent5 3 2 3 6 2 4" xfId="58742"/>
    <cellStyle name="40 % - Accent5 3 2 3 6 3" xfId="16553"/>
    <cellStyle name="40 % - Accent5 3 2 3 6 4" xfId="23043"/>
    <cellStyle name="40 % - Accent5 3 2 3 6 5" xfId="36023"/>
    <cellStyle name="40 % - Accent5 3 2 3 6 6" xfId="52252"/>
    <cellStyle name="40 % - Accent5 3 2 3 7" xfId="6815"/>
    <cellStyle name="40 % - Accent5 3 2 3 7 2" xfId="26288"/>
    <cellStyle name="40 % - Accent5 3 2 3 7 3" xfId="39268"/>
    <cellStyle name="40 % - Accent5 3 2 3 7 4" xfId="55497"/>
    <cellStyle name="40 % - Accent5 3 2 3 8" xfId="13308"/>
    <cellStyle name="40 % - Accent5 3 2 3 8 2" xfId="49007"/>
    <cellStyle name="40 % - Accent5 3 2 3 9" xfId="19798"/>
    <cellStyle name="40 % - Accent5 3 2 4" xfId="322"/>
    <cellStyle name="40 % - Accent5 3 2 4 10" xfId="32866"/>
    <cellStyle name="40 % - Accent5 3 2 4 11" xfId="45849"/>
    <cellStyle name="40 % - Accent5 3 2 4 2" xfId="786"/>
    <cellStyle name="40 % - Accent5 3 2 4 2 10" xfId="46309"/>
    <cellStyle name="40 % - Accent5 3 2 4 2 2" xfId="1725"/>
    <cellStyle name="40 % - Accent5 3 2 4 2 2 2" xfId="3392"/>
    <cellStyle name="40 % - Accent5 3 2 4 2 2 2 2" xfId="6637"/>
    <cellStyle name="40 % - Accent5 3 2 4 2 2 2 2 2" xfId="13169"/>
    <cellStyle name="40 % - Accent5 3 2 4 2 2 2 2 2 2" xfId="32642"/>
    <cellStyle name="40 % - Accent5 3 2 4 2 2 2 2 2 3" xfId="45622"/>
    <cellStyle name="40 % - Accent5 3 2 4 2 2 2 2 2 4" xfId="61851"/>
    <cellStyle name="40 % - Accent5 3 2 4 2 2 2 2 3" xfId="19662"/>
    <cellStyle name="40 % - Accent5 3 2 4 2 2 2 2 4" xfId="26152"/>
    <cellStyle name="40 % - Accent5 3 2 4 2 2 2 2 5" xfId="39132"/>
    <cellStyle name="40 % - Accent5 3 2 4 2 2 2 2 6" xfId="55361"/>
    <cellStyle name="40 % - Accent5 3 2 4 2 2 2 3" xfId="9924"/>
    <cellStyle name="40 % - Accent5 3 2 4 2 2 2 3 2" xfId="29397"/>
    <cellStyle name="40 % - Accent5 3 2 4 2 2 2 3 3" xfId="42377"/>
    <cellStyle name="40 % - Accent5 3 2 4 2 2 2 3 4" xfId="58606"/>
    <cellStyle name="40 % - Accent5 3 2 4 2 2 2 4" xfId="16417"/>
    <cellStyle name="40 % - Accent5 3 2 4 2 2 2 4 2" xfId="52116"/>
    <cellStyle name="40 % - Accent5 3 2 4 2 2 2 5" xfId="22907"/>
    <cellStyle name="40 % - Accent5 3 2 4 2 2 2 6" xfId="35887"/>
    <cellStyle name="40 % - Accent5 3 2 4 2 2 2 7" xfId="48870"/>
    <cellStyle name="40 % - Accent5 3 2 4 2 2 3" xfId="5014"/>
    <cellStyle name="40 % - Accent5 3 2 4 2 2 3 2" xfId="11546"/>
    <cellStyle name="40 % - Accent5 3 2 4 2 2 3 2 2" xfId="31019"/>
    <cellStyle name="40 % - Accent5 3 2 4 2 2 3 2 3" xfId="43999"/>
    <cellStyle name="40 % - Accent5 3 2 4 2 2 3 2 4" xfId="60228"/>
    <cellStyle name="40 % - Accent5 3 2 4 2 2 3 3" xfId="18039"/>
    <cellStyle name="40 % - Accent5 3 2 4 2 2 3 4" xfId="24529"/>
    <cellStyle name="40 % - Accent5 3 2 4 2 2 3 5" xfId="37509"/>
    <cellStyle name="40 % - Accent5 3 2 4 2 2 3 6" xfId="53738"/>
    <cellStyle name="40 % - Accent5 3 2 4 2 2 4" xfId="8301"/>
    <cellStyle name="40 % - Accent5 3 2 4 2 2 4 2" xfId="27774"/>
    <cellStyle name="40 % - Accent5 3 2 4 2 2 4 3" xfId="40754"/>
    <cellStyle name="40 % - Accent5 3 2 4 2 2 4 4" xfId="56983"/>
    <cellStyle name="40 % - Accent5 3 2 4 2 2 5" xfId="14794"/>
    <cellStyle name="40 % - Accent5 3 2 4 2 2 5 2" xfId="50493"/>
    <cellStyle name="40 % - Accent5 3 2 4 2 2 6" xfId="21284"/>
    <cellStyle name="40 % - Accent5 3 2 4 2 2 7" xfId="34264"/>
    <cellStyle name="40 % - Accent5 3 2 4 2 2 8" xfId="47247"/>
    <cellStyle name="40 % - Accent5 3 2 4 2 3" xfId="1262"/>
    <cellStyle name="40 % - Accent5 3 2 4 2 3 2" xfId="2929"/>
    <cellStyle name="40 % - Accent5 3 2 4 2 3 2 2" xfId="6174"/>
    <cellStyle name="40 % - Accent5 3 2 4 2 3 2 2 2" xfId="12706"/>
    <cellStyle name="40 % - Accent5 3 2 4 2 3 2 2 2 2" xfId="32179"/>
    <cellStyle name="40 % - Accent5 3 2 4 2 3 2 2 2 3" xfId="45159"/>
    <cellStyle name="40 % - Accent5 3 2 4 2 3 2 2 2 4" xfId="61388"/>
    <cellStyle name="40 % - Accent5 3 2 4 2 3 2 2 3" xfId="19199"/>
    <cellStyle name="40 % - Accent5 3 2 4 2 3 2 2 4" xfId="25689"/>
    <cellStyle name="40 % - Accent5 3 2 4 2 3 2 2 5" xfId="38669"/>
    <cellStyle name="40 % - Accent5 3 2 4 2 3 2 2 6" xfId="54898"/>
    <cellStyle name="40 % - Accent5 3 2 4 2 3 2 3" xfId="9461"/>
    <cellStyle name="40 % - Accent5 3 2 4 2 3 2 3 2" xfId="28934"/>
    <cellStyle name="40 % - Accent5 3 2 4 2 3 2 3 3" xfId="41914"/>
    <cellStyle name="40 % - Accent5 3 2 4 2 3 2 3 4" xfId="58143"/>
    <cellStyle name="40 % - Accent5 3 2 4 2 3 2 4" xfId="15954"/>
    <cellStyle name="40 % - Accent5 3 2 4 2 3 2 4 2" xfId="51653"/>
    <cellStyle name="40 % - Accent5 3 2 4 2 3 2 5" xfId="22444"/>
    <cellStyle name="40 % - Accent5 3 2 4 2 3 2 6" xfId="35424"/>
    <cellStyle name="40 % - Accent5 3 2 4 2 3 2 7" xfId="48407"/>
    <cellStyle name="40 % - Accent5 3 2 4 2 3 3" xfId="4551"/>
    <cellStyle name="40 % - Accent5 3 2 4 2 3 3 2" xfId="11083"/>
    <cellStyle name="40 % - Accent5 3 2 4 2 3 3 2 2" xfId="30556"/>
    <cellStyle name="40 % - Accent5 3 2 4 2 3 3 2 3" xfId="43536"/>
    <cellStyle name="40 % - Accent5 3 2 4 2 3 3 2 4" xfId="59765"/>
    <cellStyle name="40 % - Accent5 3 2 4 2 3 3 3" xfId="17576"/>
    <cellStyle name="40 % - Accent5 3 2 4 2 3 3 4" xfId="24066"/>
    <cellStyle name="40 % - Accent5 3 2 4 2 3 3 5" xfId="37046"/>
    <cellStyle name="40 % - Accent5 3 2 4 2 3 3 6" xfId="53275"/>
    <cellStyle name="40 % - Accent5 3 2 4 2 3 4" xfId="7838"/>
    <cellStyle name="40 % - Accent5 3 2 4 2 3 4 2" xfId="27311"/>
    <cellStyle name="40 % - Accent5 3 2 4 2 3 4 3" xfId="40291"/>
    <cellStyle name="40 % - Accent5 3 2 4 2 3 4 4" xfId="56520"/>
    <cellStyle name="40 % - Accent5 3 2 4 2 3 5" xfId="14331"/>
    <cellStyle name="40 % - Accent5 3 2 4 2 3 5 2" xfId="50030"/>
    <cellStyle name="40 % - Accent5 3 2 4 2 3 6" xfId="20821"/>
    <cellStyle name="40 % - Accent5 3 2 4 2 3 7" xfId="33801"/>
    <cellStyle name="40 % - Accent5 3 2 4 2 3 8" xfId="46784"/>
    <cellStyle name="40 % - Accent5 3 2 4 2 4" xfId="2454"/>
    <cellStyle name="40 % - Accent5 3 2 4 2 4 2" xfId="5699"/>
    <cellStyle name="40 % - Accent5 3 2 4 2 4 2 2" xfId="12231"/>
    <cellStyle name="40 % - Accent5 3 2 4 2 4 2 2 2" xfId="31704"/>
    <cellStyle name="40 % - Accent5 3 2 4 2 4 2 2 3" xfId="44684"/>
    <cellStyle name="40 % - Accent5 3 2 4 2 4 2 2 4" xfId="60913"/>
    <cellStyle name="40 % - Accent5 3 2 4 2 4 2 3" xfId="18724"/>
    <cellStyle name="40 % - Accent5 3 2 4 2 4 2 4" xfId="25214"/>
    <cellStyle name="40 % - Accent5 3 2 4 2 4 2 5" xfId="38194"/>
    <cellStyle name="40 % - Accent5 3 2 4 2 4 2 6" xfId="54423"/>
    <cellStyle name="40 % - Accent5 3 2 4 2 4 3" xfId="8986"/>
    <cellStyle name="40 % - Accent5 3 2 4 2 4 3 2" xfId="28459"/>
    <cellStyle name="40 % - Accent5 3 2 4 2 4 3 3" xfId="41439"/>
    <cellStyle name="40 % - Accent5 3 2 4 2 4 3 4" xfId="57668"/>
    <cellStyle name="40 % - Accent5 3 2 4 2 4 4" xfId="15479"/>
    <cellStyle name="40 % - Accent5 3 2 4 2 4 4 2" xfId="51178"/>
    <cellStyle name="40 % - Accent5 3 2 4 2 4 5" xfId="21969"/>
    <cellStyle name="40 % - Accent5 3 2 4 2 4 6" xfId="34949"/>
    <cellStyle name="40 % - Accent5 3 2 4 2 4 7" xfId="47932"/>
    <cellStyle name="40 % - Accent5 3 2 4 2 5" xfId="4076"/>
    <cellStyle name="40 % - Accent5 3 2 4 2 5 2" xfId="10608"/>
    <cellStyle name="40 % - Accent5 3 2 4 2 5 2 2" xfId="30081"/>
    <cellStyle name="40 % - Accent5 3 2 4 2 5 2 3" xfId="43061"/>
    <cellStyle name="40 % - Accent5 3 2 4 2 5 2 4" xfId="59290"/>
    <cellStyle name="40 % - Accent5 3 2 4 2 5 3" xfId="17101"/>
    <cellStyle name="40 % - Accent5 3 2 4 2 5 4" xfId="23591"/>
    <cellStyle name="40 % - Accent5 3 2 4 2 5 5" xfId="36571"/>
    <cellStyle name="40 % - Accent5 3 2 4 2 5 6" xfId="52800"/>
    <cellStyle name="40 % - Accent5 3 2 4 2 6" xfId="7363"/>
    <cellStyle name="40 % - Accent5 3 2 4 2 6 2" xfId="26836"/>
    <cellStyle name="40 % - Accent5 3 2 4 2 6 3" xfId="39816"/>
    <cellStyle name="40 % - Accent5 3 2 4 2 6 4" xfId="56045"/>
    <cellStyle name="40 % - Accent5 3 2 4 2 7" xfId="13856"/>
    <cellStyle name="40 % - Accent5 3 2 4 2 7 2" xfId="49555"/>
    <cellStyle name="40 % - Accent5 3 2 4 2 8" xfId="20346"/>
    <cellStyle name="40 % - Accent5 3 2 4 2 9" xfId="33326"/>
    <cellStyle name="40 % - Accent5 3 2 4 3" xfId="556"/>
    <cellStyle name="40 % - Accent5 3 2 4 3 2" xfId="1505"/>
    <cellStyle name="40 % - Accent5 3 2 4 3 2 2" xfId="3172"/>
    <cellStyle name="40 % - Accent5 3 2 4 3 2 2 2" xfId="6417"/>
    <cellStyle name="40 % - Accent5 3 2 4 3 2 2 2 2" xfId="12949"/>
    <cellStyle name="40 % - Accent5 3 2 4 3 2 2 2 2 2" xfId="32422"/>
    <cellStyle name="40 % - Accent5 3 2 4 3 2 2 2 2 3" xfId="45402"/>
    <cellStyle name="40 % - Accent5 3 2 4 3 2 2 2 2 4" xfId="61631"/>
    <cellStyle name="40 % - Accent5 3 2 4 3 2 2 2 3" xfId="19442"/>
    <cellStyle name="40 % - Accent5 3 2 4 3 2 2 2 4" xfId="25932"/>
    <cellStyle name="40 % - Accent5 3 2 4 3 2 2 2 5" xfId="38912"/>
    <cellStyle name="40 % - Accent5 3 2 4 3 2 2 2 6" xfId="55141"/>
    <cellStyle name="40 % - Accent5 3 2 4 3 2 2 3" xfId="9704"/>
    <cellStyle name="40 % - Accent5 3 2 4 3 2 2 3 2" xfId="29177"/>
    <cellStyle name="40 % - Accent5 3 2 4 3 2 2 3 3" xfId="42157"/>
    <cellStyle name="40 % - Accent5 3 2 4 3 2 2 3 4" xfId="58386"/>
    <cellStyle name="40 % - Accent5 3 2 4 3 2 2 4" xfId="16197"/>
    <cellStyle name="40 % - Accent5 3 2 4 3 2 2 4 2" xfId="51896"/>
    <cellStyle name="40 % - Accent5 3 2 4 3 2 2 5" xfId="22687"/>
    <cellStyle name="40 % - Accent5 3 2 4 3 2 2 6" xfId="35667"/>
    <cellStyle name="40 % - Accent5 3 2 4 3 2 2 7" xfId="48650"/>
    <cellStyle name="40 % - Accent5 3 2 4 3 2 3" xfId="4794"/>
    <cellStyle name="40 % - Accent5 3 2 4 3 2 3 2" xfId="11326"/>
    <cellStyle name="40 % - Accent5 3 2 4 3 2 3 2 2" xfId="30799"/>
    <cellStyle name="40 % - Accent5 3 2 4 3 2 3 2 3" xfId="43779"/>
    <cellStyle name="40 % - Accent5 3 2 4 3 2 3 2 4" xfId="60008"/>
    <cellStyle name="40 % - Accent5 3 2 4 3 2 3 3" xfId="17819"/>
    <cellStyle name="40 % - Accent5 3 2 4 3 2 3 4" xfId="24309"/>
    <cellStyle name="40 % - Accent5 3 2 4 3 2 3 5" xfId="37289"/>
    <cellStyle name="40 % - Accent5 3 2 4 3 2 3 6" xfId="53518"/>
    <cellStyle name="40 % - Accent5 3 2 4 3 2 4" xfId="8081"/>
    <cellStyle name="40 % - Accent5 3 2 4 3 2 4 2" xfId="27554"/>
    <cellStyle name="40 % - Accent5 3 2 4 3 2 4 3" xfId="40534"/>
    <cellStyle name="40 % - Accent5 3 2 4 3 2 4 4" xfId="56763"/>
    <cellStyle name="40 % - Accent5 3 2 4 3 2 5" xfId="14574"/>
    <cellStyle name="40 % - Accent5 3 2 4 3 2 5 2" xfId="50273"/>
    <cellStyle name="40 % - Accent5 3 2 4 3 2 6" xfId="21064"/>
    <cellStyle name="40 % - Accent5 3 2 4 3 2 7" xfId="34044"/>
    <cellStyle name="40 % - Accent5 3 2 4 3 2 8" xfId="47027"/>
    <cellStyle name="40 % - Accent5 3 2 4 3 3" xfId="2224"/>
    <cellStyle name="40 % - Accent5 3 2 4 3 3 2" xfId="5469"/>
    <cellStyle name="40 % - Accent5 3 2 4 3 3 2 2" xfId="12001"/>
    <cellStyle name="40 % - Accent5 3 2 4 3 3 2 2 2" xfId="31474"/>
    <cellStyle name="40 % - Accent5 3 2 4 3 3 2 2 3" xfId="44454"/>
    <cellStyle name="40 % - Accent5 3 2 4 3 3 2 2 4" xfId="60683"/>
    <cellStyle name="40 % - Accent5 3 2 4 3 3 2 3" xfId="18494"/>
    <cellStyle name="40 % - Accent5 3 2 4 3 3 2 4" xfId="24984"/>
    <cellStyle name="40 % - Accent5 3 2 4 3 3 2 5" xfId="37964"/>
    <cellStyle name="40 % - Accent5 3 2 4 3 3 2 6" xfId="54193"/>
    <cellStyle name="40 % - Accent5 3 2 4 3 3 3" xfId="8756"/>
    <cellStyle name="40 % - Accent5 3 2 4 3 3 3 2" xfId="28229"/>
    <cellStyle name="40 % - Accent5 3 2 4 3 3 3 3" xfId="41209"/>
    <cellStyle name="40 % - Accent5 3 2 4 3 3 3 4" xfId="57438"/>
    <cellStyle name="40 % - Accent5 3 2 4 3 3 4" xfId="15249"/>
    <cellStyle name="40 % - Accent5 3 2 4 3 3 4 2" xfId="50948"/>
    <cellStyle name="40 % - Accent5 3 2 4 3 3 5" xfId="21739"/>
    <cellStyle name="40 % - Accent5 3 2 4 3 3 6" xfId="34719"/>
    <cellStyle name="40 % - Accent5 3 2 4 3 3 7" xfId="47702"/>
    <cellStyle name="40 % - Accent5 3 2 4 3 4" xfId="3846"/>
    <cellStyle name="40 % - Accent5 3 2 4 3 4 2" xfId="10378"/>
    <cellStyle name="40 % - Accent5 3 2 4 3 4 2 2" xfId="29851"/>
    <cellStyle name="40 % - Accent5 3 2 4 3 4 2 3" xfId="42831"/>
    <cellStyle name="40 % - Accent5 3 2 4 3 4 2 4" xfId="59060"/>
    <cellStyle name="40 % - Accent5 3 2 4 3 4 3" xfId="16871"/>
    <cellStyle name="40 % - Accent5 3 2 4 3 4 4" xfId="23361"/>
    <cellStyle name="40 % - Accent5 3 2 4 3 4 5" xfId="36341"/>
    <cellStyle name="40 % - Accent5 3 2 4 3 4 6" xfId="52570"/>
    <cellStyle name="40 % - Accent5 3 2 4 3 5" xfId="7133"/>
    <cellStyle name="40 % - Accent5 3 2 4 3 5 2" xfId="26606"/>
    <cellStyle name="40 % - Accent5 3 2 4 3 5 3" xfId="39586"/>
    <cellStyle name="40 % - Accent5 3 2 4 3 5 4" xfId="55815"/>
    <cellStyle name="40 % - Accent5 3 2 4 3 6" xfId="13626"/>
    <cellStyle name="40 % - Accent5 3 2 4 3 6 2" xfId="49325"/>
    <cellStyle name="40 % - Accent5 3 2 4 3 7" xfId="20116"/>
    <cellStyle name="40 % - Accent5 3 2 4 3 8" xfId="33096"/>
    <cellStyle name="40 % - Accent5 3 2 4 3 9" xfId="46079"/>
    <cellStyle name="40 % - Accent5 3 2 4 4" xfId="1042"/>
    <cellStyle name="40 % - Accent5 3 2 4 4 2" xfId="2709"/>
    <cellStyle name="40 % - Accent5 3 2 4 4 2 2" xfId="5954"/>
    <cellStyle name="40 % - Accent5 3 2 4 4 2 2 2" xfId="12486"/>
    <cellStyle name="40 % - Accent5 3 2 4 4 2 2 2 2" xfId="31959"/>
    <cellStyle name="40 % - Accent5 3 2 4 4 2 2 2 3" xfId="44939"/>
    <cellStyle name="40 % - Accent5 3 2 4 4 2 2 2 4" xfId="61168"/>
    <cellStyle name="40 % - Accent5 3 2 4 4 2 2 3" xfId="18979"/>
    <cellStyle name="40 % - Accent5 3 2 4 4 2 2 4" xfId="25469"/>
    <cellStyle name="40 % - Accent5 3 2 4 4 2 2 5" xfId="38449"/>
    <cellStyle name="40 % - Accent5 3 2 4 4 2 2 6" xfId="54678"/>
    <cellStyle name="40 % - Accent5 3 2 4 4 2 3" xfId="9241"/>
    <cellStyle name="40 % - Accent5 3 2 4 4 2 3 2" xfId="28714"/>
    <cellStyle name="40 % - Accent5 3 2 4 4 2 3 3" xfId="41694"/>
    <cellStyle name="40 % - Accent5 3 2 4 4 2 3 4" xfId="57923"/>
    <cellStyle name="40 % - Accent5 3 2 4 4 2 4" xfId="15734"/>
    <cellStyle name="40 % - Accent5 3 2 4 4 2 4 2" xfId="51433"/>
    <cellStyle name="40 % - Accent5 3 2 4 4 2 5" xfId="22224"/>
    <cellStyle name="40 % - Accent5 3 2 4 4 2 6" xfId="35204"/>
    <cellStyle name="40 % - Accent5 3 2 4 4 2 7" xfId="48187"/>
    <cellStyle name="40 % - Accent5 3 2 4 4 3" xfId="4331"/>
    <cellStyle name="40 % - Accent5 3 2 4 4 3 2" xfId="10863"/>
    <cellStyle name="40 % - Accent5 3 2 4 4 3 2 2" xfId="30336"/>
    <cellStyle name="40 % - Accent5 3 2 4 4 3 2 3" xfId="43316"/>
    <cellStyle name="40 % - Accent5 3 2 4 4 3 2 4" xfId="59545"/>
    <cellStyle name="40 % - Accent5 3 2 4 4 3 3" xfId="17356"/>
    <cellStyle name="40 % - Accent5 3 2 4 4 3 4" xfId="23846"/>
    <cellStyle name="40 % - Accent5 3 2 4 4 3 5" xfId="36826"/>
    <cellStyle name="40 % - Accent5 3 2 4 4 3 6" xfId="53055"/>
    <cellStyle name="40 % - Accent5 3 2 4 4 4" xfId="7618"/>
    <cellStyle name="40 % - Accent5 3 2 4 4 4 2" xfId="27091"/>
    <cellStyle name="40 % - Accent5 3 2 4 4 4 3" xfId="40071"/>
    <cellStyle name="40 % - Accent5 3 2 4 4 4 4" xfId="56300"/>
    <cellStyle name="40 % - Accent5 3 2 4 4 5" xfId="14111"/>
    <cellStyle name="40 % - Accent5 3 2 4 4 5 2" xfId="49810"/>
    <cellStyle name="40 % - Accent5 3 2 4 4 6" xfId="20601"/>
    <cellStyle name="40 % - Accent5 3 2 4 4 7" xfId="33581"/>
    <cellStyle name="40 % - Accent5 3 2 4 4 8" xfId="46564"/>
    <cellStyle name="40 % - Accent5 3 2 4 5" xfId="1995"/>
    <cellStyle name="40 % - Accent5 3 2 4 5 2" xfId="5240"/>
    <cellStyle name="40 % - Accent5 3 2 4 5 2 2" xfId="11772"/>
    <cellStyle name="40 % - Accent5 3 2 4 5 2 2 2" xfId="31245"/>
    <cellStyle name="40 % - Accent5 3 2 4 5 2 2 3" xfId="44225"/>
    <cellStyle name="40 % - Accent5 3 2 4 5 2 2 4" xfId="60454"/>
    <cellStyle name="40 % - Accent5 3 2 4 5 2 3" xfId="18265"/>
    <cellStyle name="40 % - Accent5 3 2 4 5 2 4" xfId="24755"/>
    <cellStyle name="40 % - Accent5 3 2 4 5 2 5" xfId="37735"/>
    <cellStyle name="40 % - Accent5 3 2 4 5 2 6" xfId="53964"/>
    <cellStyle name="40 % - Accent5 3 2 4 5 3" xfId="8527"/>
    <cellStyle name="40 % - Accent5 3 2 4 5 3 2" xfId="28000"/>
    <cellStyle name="40 % - Accent5 3 2 4 5 3 3" xfId="40980"/>
    <cellStyle name="40 % - Accent5 3 2 4 5 3 4" xfId="57209"/>
    <cellStyle name="40 % - Accent5 3 2 4 5 4" xfId="15020"/>
    <cellStyle name="40 % - Accent5 3 2 4 5 4 2" xfId="50719"/>
    <cellStyle name="40 % - Accent5 3 2 4 5 5" xfId="21510"/>
    <cellStyle name="40 % - Accent5 3 2 4 5 6" xfId="34490"/>
    <cellStyle name="40 % - Accent5 3 2 4 5 7" xfId="47473"/>
    <cellStyle name="40 % - Accent5 3 2 4 6" xfId="3616"/>
    <cellStyle name="40 % - Accent5 3 2 4 6 2" xfId="10148"/>
    <cellStyle name="40 % - Accent5 3 2 4 6 2 2" xfId="29621"/>
    <cellStyle name="40 % - Accent5 3 2 4 6 2 3" xfId="42601"/>
    <cellStyle name="40 % - Accent5 3 2 4 6 2 4" xfId="58830"/>
    <cellStyle name="40 % - Accent5 3 2 4 6 3" xfId="16641"/>
    <cellStyle name="40 % - Accent5 3 2 4 6 4" xfId="23131"/>
    <cellStyle name="40 % - Accent5 3 2 4 6 5" xfId="36111"/>
    <cellStyle name="40 % - Accent5 3 2 4 6 6" xfId="52340"/>
    <cellStyle name="40 % - Accent5 3 2 4 7" xfId="6903"/>
    <cellStyle name="40 % - Accent5 3 2 4 7 2" xfId="26376"/>
    <cellStyle name="40 % - Accent5 3 2 4 7 3" xfId="39356"/>
    <cellStyle name="40 % - Accent5 3 2 4 7 4" xfId="55585"/>
    <cellStyle name="40 % - Accent5 3 2 4 8" xfId="13396"/>
    <cellStyle name="40 % - Accent5 3 2 4 8 2" xfId="49095"/>
    <cellStyle name="40 % - Accent5 3 2 4 9" xfId="19886"/>
    <cellStyle name="40 % - Accent5 3 2 5" xfId="654"/>
    <cellStyle name="40 % - Accent5 3 2 5 10" xfId="46177"/>
    <cellStyle name="40 % - Accent5 3 2 5 2" xfId="1593"/>
    <cellStyle name="40 % - Accent5 3 2 5 2 2" xfId="3260"/>
    <cellStyle name="40 % - Accent5 3 2 5 2 2 2" xfId="6505"/>
    <cellStyle name="40 % - Accent5 3 2 5 2 2 2 2" xfId="13037"/>
    <cellStyle name="40 % - Accent5 3 2 5 2 2 2 2 2" xfId="32510"/>
    <cellStyle name="40 % - Accent5 3 2 5 2 2 2 2 3" xfId="45490"/>
    <cellStyle name="40 % - Accent5 3 2 5 2 2 2 2 4" xfId="61719"/>
    <cellStyle name="40 % - Accent5 3 2 5 2 2 2 3" xfId="19530"/>
    <cellStyle name="40 % - Accent5 3 2 5 2 2 2 4" xfId="26020"/>
    <cellStyle name="40 % - Accent5 3 2 5 2 2 2 5" xfId="39000"/>
    <cellStyle name="40 % - Accent5 3 2 5 2 2 2 6" xfId="55229"/>
    <cellStyle name="40 % - Accent5 3 2 5 2 2 3" xfId="9792"/>
    <cellStyle name="40 % - Accent5 3 2 5 2 2 3 2" xfId="29265"/>
    <cellStyle name="40 % - Accent5 3 2 5 2 2 3 3" xfId="42245"/>
    <cellStyle name="40 % - Accent5 3 2 5 2 2 3 4" xfId="58474"/>
    <cellStyle name="40 % - Accent5 3 2 5 2 2 4" xfId="16285"/>
    <cellStyle name="40 % - Accent5 3 2 5 2 2 4 2" xfId="51984"/>
    <cellStyle name="40 % - Accent5 3 2 5 2 2 5" xfId="22775"/>
    <cellStyle name="40 % - Accent5 3 2 5 2 2 6" xfId="35755"/>
    <cellStyle name="40 % - Accent5 3 2 5 2 2 7" xfId="48738"/>
    <cellStyle name="40 % - Accent5 3 2 5 2 3" xfId="4882"/>
    <cellStyle name="40 % - Accent5 3 2 5 2 3 2" xfId="11414"/>
    <cellStyle name="40 % - Accent5 3 2 5 2 3 2 2" xfId="30887"/>
    <cellStyle name="40 % - Accent5 3 2 5 2 3 2 3" xfId="43867"/>
    <cellStyle name="40 % - Accent5 3 2 5 2 3 2 4" xfId="60096"/>
    <cellStyle name="40 % - Accent5 3 2 5 2 3 3" xfId="17907"/>
    <cellStyle name="40 % - Accent5 3 2 5 2 3 4" xfId="24397"/>
    <cellStyle name="40 % - Accent5 3 2 5 2 3 5" xfId="37377"/>
    <cellStyle name="40 % - Accent5 3 2 5 2 3 6" xfId="53606"/>
    <cellStyle name="40 % - Accent5 3 2 5 2 4" xfId="8169"/>
    <cellStyle name="40 % - Accent5 3 2 5 2 4 2" xfId="27642"/>
    <cellStyle name="40 % - Accent5 3 2 5 2 4 3" xfId="40622"/>
    <cellStyle name="40 % - Accent5 3 2 5 2 4 4" xfId="56851"/>
    <cellStyle name="40 % - Accent5 3 2 5 2 5" xfId="14662"/>
    <cellStyle name="40 % - Accent5 3 2 5 2 5 2" xfId="50361"/>
    <cellStyle name="40 % - Accent5 3 2 5 2 6" xfId="21152"/>
    <cellStyle name="40 % - Accent5 3 2 5 2 7" xfId="34132"/>
    <cellStyle name="40 % - Accent5 3 2 5 2 8" xfId="47115"/>
    <cellStyle name="40 % - Accent5 3 2 5 3" xfId="1130"/>
    <cellStyle name="40 % - Accent5 3 2 5 3 2" xfId="2797"/>
    <cellStyle name="40 % - Accent5 3 2 5 3 2 2" xfId="6042"/>
    <cellStyle name="40 % - Accent5 3 2 5 3 2 2 2" xfId="12574"/>
    <cellStyle name="40 % - Accent5 3 2 5 3 2 2 2 2" xfId="32047"/>
    <cellStyle name="40 % - Accent5 3 2 5 3 2 2 2 3" xfId="45027"/>
    <cellStyle name="40 % - Accent5 3 2 5 3 2 2 2 4" xfId="61256"/>
    <cellStyle name="40 % - Accent5 3 2 5 3 2 2 3" xfId="19067"/>
    <cellStyle name="40 % - Accent5 3 2 5 3 2 2 4" xfId="25557"/>
    <cellStyle name="40 % - Accent5 3 2 5 3 2 2 5" xfId="38537"/>
    <cellStyle name="40 % - Accent5 3 2 5 3 2 2 6" xfId="54766"/>
    <cellStyle name="40 % - Accent5 3 2 5 3 2 3" xfId="9329"/>
    <cellStyle name="40 % - Accent5 3 2 5 3 2 3 2" xfId="28802"/>
    <cellStyle name="40 % - Accent5 3 2 5 3 2 3 3" xfId="41782"/>
    <cellStyle name="40 % - Accent5 3 2 5 3 2 3 4" xfId="58011"/>
    <cellStyle name="40 % - Accent5 3 2 5 3 2 4" xfId="15822"/>
    <cellStyle name="40 % - Accent5 3 2 5 3 2 4 2" xfId="51521"/>
    <cellStyle name="40 % - Accent5 3 2 5 3 2 5" xfId="22312"/>
    <cellStyle name="40 % - Accent5 3 2 5 3 2 6" xfId="35292"/>
    <cellStyle name="40 % - Accent5 3 2 5 3 2 7" xfId="48275"/>
    <cellStyle name="40 % - Accent5 3 2 5 3 3" xfId="4419"/>
    <cellStyle name="40 % - Accent5 3 2 5 3 3 2" xfId="10951"/>
    <cellStyle name="40 % - Accent5 3 2 5 3 3 2 2" xfId="30424"/>
    <cellStyle name="40 % - Accent5 3 2 5 3 3 2 3" xfId="43404"/>
    <cellStyle name="40 % - Accent5 3 2 5 3 3 2 4" xfId="59633"/>
    <cellStyle name="40 % - Accent5 3 2 5 3 3 3" xfId="17444"/>
    <cellStyle name="40 % - Accent5 3 2 5 3 3 4" xfId="23934"/>
    <cellStyle name="40 % - Accent5 3 2 5 3 3 5" xfId="36914"/>
    <cellStyle name="40 % - Accent5 3 2 5 3 3 6" xfId="53143"/>
    <cellStyle name="40 % - Accent5 3 2 5 3 4" xfId="7706"/>
    <cellStyle name="40 % - Accent5 3 2 5 3 4 2" xfId="27179"/>
    <cellStyle name="40 % - Accent5 3 2 5 3 4 3" xfId="40159"/>
    <cellStyle name="40 % - Accent5 3 2 5 3 4 4" xfId="56388"/>
    <cellStyle name="40 % - Accent5 3 2 5 3 5" xfId="14199"/>
    <cellStyle name="40 % - Accent5 3 2 5 3 5 2" xfId="49898"/>
    <cellStyle name="40 % - Accent5 3 2 5 3 6" xfId="20689"/>
    <cellStyle name="40 % - Accent5 3 2 5 3 7" xfId="33669"/>
    <cellStyle name="40 % - Accent5 3 2 5 3 8" xfId="46652"/>
    <cellStyle name="40 % - Accent5 3 2 5 4" xfId="2322"/>
    <cellStyle name="40 % - Accent5 3 2 5 4 2" xfId="5567"/>
    <cellStyle name="40 % - Accent5 3 2 5 4 2 2" xfId="12099"/>
    <cellStyle name="40 % - Accent5 3 2 5 4 2 2 2" xfId="31572"/>
    <cellStyle name="40 % - Accent5 3 2 5 4 2 2 3" xfId="44552"/>
    <cellStyle name="40 % - Accent5 3 2 5 4 2 2 4" xfId="60781"/>
    <cellStyle name="40 % - Accent5 3 2 5 4 2 3" xfId="18592"/>
    <cellStyle name="40 % - Accent5 3 2 5 4 2 4" xfId="25082"/>
    <cellStyle name="40 % - Accent5 3 2 5 4 2 5" xfId="38062"/>
    <cellStyle name="40 % - Accent5 3 2 5 4 2 6" xfId="54291"/>
    <cellStyle name="40 % - Accent5 3 2 5 4 3" xfId="8854"/>
    <cellStyle name="40 % - Accent5 3 2 5 4 3 2" xfId="28327"/>
    <cellStyle name="40 % - Accent5 3 2 5 4 3 3" xfId="41307"/>
    <cellStyle name="40 % - Accent5 3 2 5 4 3 4" xfId="57536"/>
    <cellStyle name="40 % - Accent5 3 2 5 4 4" xfId="15347"/>
    <cellStyle name="40 % - Accent5 3 2 5 4 4 2" xfId="51046"/>
    <cellStyle name="40 % - Accent5 3 2 5 4 5" xfId="21837"/>
    <cellStyle name="40 % - Accent5 3 2 5 4 6" xfId="34817"/>
    <cellStyle name="40 % - Accent5 3 2 5 4 7" xfId="47800"/>
    <cellStyle name="40 % - Accent5 3 2 5 5" xfId="3944"/>
    <cellStyle name="40 % - Accent5 3 2 5 5 2" xfId="10476"/>
    <cellStyle name="40 % - Accent5 3 2 5 5 2 2" xfId="29949"/>
    <cellStyle name="40 % - Accent5 3 2 5 5 2 3" xfId="42929"/>
    <cellStyle name="40 % - Accent5 3 2 5 5 2 4" xfId="59158"/>
    <cellStyle name="40 % - Accent5 3 2 5 5 3" xfId="16969"/>
    <cellStyle name="40 % - Accent5 3 2 5 5 4" xfId="23459"/>
    <cellStyle name="40 % - Accent5 3 2 5 5 5" xfId="36439"/>
    <cellStyle name="40 % - Accent5 3 2 5 5 6" xfId="52668"/>
    <cellStyle name="40 % - Accent5 3 2 5 6" xfId="7231"/>
    <cellStyle name="40 % - Accent5 3 2 5 6 2" xfId="26704"/>
    <cellStyle name="40 % - Accent5 3 2 5 6 3" xfId="39684"/>
    <cellStyle name="40 % - Accent5 3 2 5 6 4" xfId="55913"/>
    <cellStyle name="40 % - Accent5 3 2 5 7" xfId="13724"/>
    <cellStyle name="40 % - Accent5 3 2 5 7 2" xfId="49423"/>
    <cellStyle name="40 % - Accent5 3 2 5 8" xfId="20214"/>
    <cellStyle name="40 % - Accent5 3 2 5 9" xfId="33194"/>
    <cellStyle name="40 % - Accent5 3 2 6" xfId="424"/>
    <cellStyle name="40 % - Accent5 3 2 6 2" xfId="1373"/>
    <cellStyle name="40 % - Accent5 3 2 6 2 2" xfId="3040"/>
    <cellStyle name="40 % - Accent5 3 2 6 2 2 2" xfId="6285"/>
    <cellStyle name="40 % - Accent5 3 2 6 2 2 2 2" xfId="12817"/>
    <cellStyle name="40 % - Accent5 3 2 6 2 2 2 2 2" xfId="32290"/>
    <cellStyle name="40 % - Accent5 3 2 6 2 2 2 2 3" xfId="45270"/>
    <cellStyle name="40 % - Accent5 3 2 6 2 2 2 2 4" xfId="61499"/>
    <cellStyle name="40 % - Accent5 3 2 6 2 2 2 3" xfId="19310"/>
    <cellStyle name="40 % - Accent5 3 2 6 2 2 2 4" xfId="25800"/>
    <cellStyle name="40 % - Accent5 3 2 6 2 2 2 5" xfId="38780"/>
    <cellStyle name="40 % - Accent5 3 2 6 2 2 2 6" xfId="55009"/>
    <cellStyle name="40 % - Accent5 3 2 6 2 2 3" xfId="9572"/>
    <cellStyle name="40 % - Accent5 3 2 6 2 2 3 2" xfId="29045"/>
    <cellStyle name="40 % - Accent5 3 2 6 2 2 3 3" xfId="42025"/>
    <cellStyle name="40 % - Accent5 3 2 6 2 2 3 4" xfId="58254"/>
    <cellStyle name="40 % - Accent5 3 2 6 2 2 4" xfId="16065"/>
    <cellStyle name="40 % - Accent5 3 2 6 2 2 4 2" xfId="51764"/>
    <cellStyle name="40 % - Accent5 3 2 6 2 2 5" xfId="22555"/>
    <cellStyle name="40 % - Accent5 3 2 6 2 2 6" xfId="35535"/>
    <cellStyle name="40 % - Accent5 3 2 6 2 2 7" xfId="48518"/>
    <cellStyle name="40 % - Accent5 3 2 6 2 3" xfId="4662"/>
    <cellStyle name="40 % - Accent5 3 2 6 2 3 2" xfId="11194"/>
    <cellStyle name="40 % - Accent5 3 2 6 2 3 2 2" xfId="30667"/>
    <cellStyle name="40 % - Accent5 3 2 6 2 3 2 3" xfId="43647"/>
    <cellStyle name="40 % - Accent5 3 2 6 2 3 2 4" xfId="59876"/>
    <cellStyle name="40 % - Accent5 3 2 6 2 3 3" xfId="17687"/>
    <cellStyle name="40 % - Accent5 3 2 6 2 3 4" xfId="24177"/>
    <cellStyle name="40 % - Accent5 3 2 6 2 3 5" xfId="37157"/>
    <cellStyle name="40 % - Accent5 3 2 6 2 3 6" xfId="53386"/>
    <cellStyle name="40 % - Accent5 3 2 6 2 4" xfId="7949"/>
    <cellStyle name="40 % - Accent5 3 2 6 2 4 2" xfId="27422"/>
    <cellStyle name="40 % - Accent5 3 2 6 2 4 3" xfId="40402"/>
    <cellStyle name="40 % - Accent5 3 2 6 2 4 4" xfId="56631"/>
    <cellStyle name="40 % - Accent5 3 2 6 2 5" xfId="14442"/>
    <cellStyle name="40 % - Accent5 3 2 6 2 5 2" xfId="50141"/>
    <cellStyle name="40 % - Accent5 3 2 6 2 6" xfId="20932"/>
    <cellStyle name="40 % - Accent5 3 2 6 2 7" xfId="33912"/>
    <cellStyle name="40 % - Accent5 3 2 6 2 8" xfId="46895"/>
    <cellStyle name="40 % - Accent5 3 2 6 3" xfId="2092"/>
    <cellStyle name="40 % - Accent5 3 2 6 3 2" xfId="5337"/>
    <cellStyle name="40 % - Accent5 3 2 6 3 2 2" xfId="11869"/>
    <cellStyle name="40 % - Accent5 3 2 6 3 2 2 2" xfId="31342"/>
    <cellStyle name="40 % - Accent5 3 2 6 3 2 2 3" xfId="44322"/>
    <cellStyle name="40 % - Accent5 3 2 6 3 2 2 4" xfId="60551"/>
    <cellStyle name="40 % - Accent5 3 2 6 3 2 3" xfId="18362"/>
    <cellStyle name="40 % - Accent5 3 2 6 3 2 4" xfId="24852"/>
    <cellStyle name="40 % - Accent5 3 2 6 3 2 5" xfId="37832"/>
    <cellStyle name="40 % - Accent5 3 2 6 3 2 6" xfId="54061"/>
    <cellStyle name="40 % - Accent5 3 2 6 3 3" xfId="8624"/>
    <cellStyle name="40 % - Accent5 3 2 6 3 3 2" xfId="28097"/>
    <cellStyle name="40 % - Accent5 3 2 6 3 3 3" xfId="41077"/>
    <cellStyle name="40 % - Accent5 3 2 6 3 3 4" xfId="57306"/>
    <cellStyle name="40 % - Accent5 3 2 6 3 4" xfId="15117"/>
    <cellStyle name="40 % - Accent5 3 2 6 3 4 2" xfId="50816"/>
    <cellStyle name="40 % - Accent5 3 2 6 3 5" xfId="21607"/>
    <cellStyle name="40 % - Accent5 3 2 6 3 6" xfId="34587"/>
    <cellStyle name="40 % - Accent5 3 2 6 3 7" xfId="47570"/>
    <cellStyle name="40 % - Accent5 3 2 6 4" xfId="3714"/>
    <cellStyle name="40 % - Accent5 3 2 6 4 2" xfId="10246"/>
    <cellStyle name="40 % - Accent5 3 2 6 4 2 2" xfId="29719"/>
    <cellStyle name="40 % - Accent5 3 2 6 4 2 3" xfId="42699"/>
    <cellStyle name="40 % - Accent5 3 2 6 4 2 4" xfId="58928"/>
    <cellStyle name="40 % - Accent5 3 2 6 4 3" xfId="16739"/>
    <cellStyle name="40 % - Accent5 3 2 6 4 4" xfId="23229"/>
    <cellStyle name="40 % - Accent5 3 2 6 4 5" xfId="36209"/>
    <cellStyle name="40 % - Accent5 3 2 6 4 6" xfId="52438"/>
    <cellStyle name="40 % - Accent5 3 2 6 5" xfId="7001"/>
    <cellStyle name="40 % - Accent5 3 2 6 5 2" xfId="26474"/>
    <cellStyle name="40 % - Accent5 3 2 6 5 3" xfId="39454"/>
    <cellStyle name="40 % - Accent5 3 2 6 5 4" xfId="55683"/>
    <cellStyle name="40 % - Accent5 3 2 6 6" xfId="13494"/>
    <cellStyle name="40 % - Accent5 3 2 6 6 2" xfId="49193"/>
    <cellStyle name="40 % - Accent5 3 2 6 7" xfId="19984"/>
    <cellStyle name="40 % - Accent5 3 2 6 8" xfId="32964"/>
    <cellStyle name="40 % - Accent5 3 2 6 9" xfId="45947"/>
    <cellStyle name="40 % - Accent5 3 2 7" xfId="910"/>
    <cellStyle name="40 % - Accent5 3 2 7 2" xfId="2577"/>
    <cellStyle name="40 % - Accent5 3 2 7 2 2" xfId="5822"/>
    <cellStyle name="40 % - Accent5 3 2 7 2 2 2" xfId="12354"/>
    <cellStyle name="40 % - Accent5 3 2 7 2 2 2 2" xfId="31827"/>
    <cellStyle name="40 % - Accent5 3 2 7 2 2 2 3" xfId="44807"/>
    <cellStyle name="40 % - Accent5 3 2 7 2 2 2 4" xfId="61036"/>
    <cellStyle name="40 % - Accent5 3 2 7 2 2 3" xfId="18847"/>
    <cellStyle name="40 % - Accent5 3 2 7 2 2 4" xfId="25337"/>
    <cellStyle name="40 % - Accent5 3 2 7 2 2 5" xfId="38317"/>
    <cellStyle name="40 % - Accent5 3 2 7 2 2 6" xfId="54546"/>
    <cellStyle name="40 % - Accent5 3 2 7 2 3" xfId="9109"/>
    <cellStyle name="40 % - Accent5 3 2 7 2 3 2" xfId="28582"/>
    <cellStyle name="40 % - Accent5 3 2 7 2 3 3" xfId="41562"/>
    <cellStyle name="40 % - Accent5 3 2 7 2 3 4" xfId="57791"/>
    <cellStyle name="40 % - Accent5 3 2 7 2 4" xfId="15602"/>
    <cellStyle name="40 % - Accent5 3 2 7 2 4 2" xfId="51301"/>
    <cellStyle name="40 % - Accent5 3 2 7 2 5" xfId="22092"/>
    <cellStyle name="40 % - Accent5 3 2 7 2 6" xfId="35072"/>
    <cellStyle name="40 % - Accent5 3 2 7 2 7" xfId="48055"/>
    <cellStyle name="40 % - Accent5 3 2 7 3" xfId="4199"/>
    <cellStyle name="40 % - Accent5 3 2 7 3 2" xfId="10731"/>
    <cellStyle name="40 % - Accent5 3 2 7 3 2 2" xfId="30204"/>
    <cellStyle name="40 % - Accent5 3 2 7 3 2 3" xfId="43184"/>
    <cellStyle name="40 % - Accent5 3 2 7 3 2 4" xfId="59413"/>
    <cellStyle name="40 % - Accent5 3 2 7 3 3" xfId="17224"/>
    <cellStyle name="40 % - Accent5 3 2 7 3 4" xfId="23714"/>
    <cellStyle name="40 % - Accent5 3 2 7 3 5" xfId="36694"/>
    <cellStyle name="40 % - Accent5 3 2 7 3 6" xfId="52923"/>
    <cellStyle name="40 % - Accent5 3 2 7 4" xfId="7486"/>
    <cellStyle name="40 % - Accent5 3 2 7 4 2" xfId="26959"/>
    <cellStyle name="40 % - Accent5 3 2 7 4 3" xfId="39939"/>
    <cellStyle name="40 % - Accent5 3 2 7 4 4" xfId="56168"/>
    <cellStyle name="40 % - Accent5 3 2 7 5" xfId="13979"/>
    <cellStyle name="40 % - Accent5 3 2 7 5 2" xfId="49678"/>
    <cellStyle name="40 % - Accent5 3 2 7 6" xfId="20469"/>
    <cellStyle name="40 % - Accent5 3 2 7 7" xfId="33449"/>
    <cellStyle name="40 % - Accent5 3 2 7 8" xfId="46432"/>
    <cellStyle name="40 % - Accent5 3 2 8" xfId="1863"/>
    <cellStyle name="40 % - Accent5 3 2 8 2" xfId="5108"/>
    <cellStyle name="40 % - Accent5 3 2 8 2 2" xfId="11640"/>
    <cellStyle name="40 % - Accent5 3 2 8 2 2 2" xfId="31113"/>
    <cellStyle name="40 % - Accent5 3 2 8 2 2 3" xfId="44093"/>
    <cellStyle name="40 % - Accent5 3 2 8 2 2 4" xfId="60322"/>
    <cellStyle name="40 % - Accent5 3 2 8 2 3" xfId="18133"/>
    <cellStyle name="40 % - Accent5 3 2 8 2 4" xfId="24623"/>
    <cellStyle name="40 % - Accent5 3 2 8 2 5" xfId="37603"/>
    <cellStyle name="40 % - Accent5 3 2 8 2 6" xfId="53832"/>
    <cellStyle name="40 % - Accent5 3 2 8 3" xfId="8395"/>
    <cellStyle name="40 % - Accent5 3 2 8 3 2" xfId="27868"/>
    <cellStyle name="40 % - Accent5 3 2 8 3 3" xfId="40848"/>
    <cellStyle name="40 % - Accent5 3 2 8 3 4" xfId="57077"/>
    <cellStyle name="40 % - Accent5 3 2 8 4" xfId="14888"/>
    <cellStyle name="40 % - Accent5 3 2 8 4 2" xfId="50587"/>
    <cellStyle name="40 % - Accent5 3 2 8 5" xfId="21378"/>
    <cellStyle name="40 % - Accent5 3 2 8 6" xfId="34358"/>
    <cellStyle name="40 % - Accent5 3 2 8 7" xfId="47341"/>
    <cellStyle name="40 % - Accent5 3 2 9" xfId="3484"/>
    <cellStyle name="40 % - Accent5 3 2 9 2" xfId="10016"/>
    <cellStyle name="40 % - Accent5 3 2 9 2 2" xfId="29489"/>
    <cellStyle name="40 % - Accent5 3 2 9 2 3" xfId="42469"/>
    <cellStyle name="40 % - Accent5 3 2 9 2 4" xfId="58698"/>
    <cellStyle name="40 % - Accent5 3 2 9 3" xfId="16509"/>
    <cellStyle name="40 % - Accent5 3 2 9 4" xfId="22999"/>
    <cellStyle name="40 % - Accent5 3 2 9 5" xfId="35979"/>
    <cellStyle name="40 % - Accent5 3 2 9 6" xfId="52208"/>
    <cellStyle name="40 % - Accent5 3 3" xfId="256"/>
    <cellStyle name="40 % - Accent5 3 3 10" xfId="19820"/>
    <cellStyle name="40 % - Accent5 3 3 11" xfId="32800"/>
    <cellStyle name="40 % - Accent5 3 3 12" xfId="45783"/>
    <cellStyle name="40 % - Accent5 3 3 2" xfId="344"/>
    <cellStyle name="40 % - Accent5 3 3 2 10" xfId="32888"/>
    <cellStyle name="40 % - Accent5 3 3 2 11" xfId="45871"/>
    <cellStyle name="40 % - Accent5 3 3 2 2" xfId="808"/>
    <cellStyle name="40 % - Accent5 3 3 2 2 10" xfId="46331"/>
    <cellStyle name="40 % - Accent5 3 3 2 2 2" xfId="1747"/>
    <cellStyle name="40 % - Accent5 3 3 2 2 2 2" xfId="3414"/>
    <cellStyle name="40 % - Accent5 3 3 2 2 2 2 2" xfId="6659"/>
    <cellStyle name="40 % - Accent5 3 3 2 2 2 2 2 2" xfId="13191"/>
    <cellStyle name="40 % - Accent5 3 3 2 2 2 2 2 2 2" xfId="32664"/>
    <cellStyle name="40 % - Accent5 3 3 2 2 2 2 2 2 3" xfId="45644"/>
    <cellStyle name="40 % - Accent5 3 3 2 2 2 2 2 2 4" xfId="61873"/>
    <cellStyle name="40 % - Accent5 3 3 2 2 2 2 2 3" xfId="19684"/>
    <cellStyle name="40 % - Accent5 3 3 2 2 2 2 2 4" xfId="26174"/>
    <cellStyle name="40 % - Accent5 3 3 2 2 2 2 2 5" xfId="39154"/>
    <cellStyle name="40 % - Accent5 3 3 2 2 2 2 2 6" xfId="55383"/>
    <cellStyle name="40 % - Accent5 3 3 2 2 2 2 3" xfId="9946"/>
    <cellStyle name="40 % - Accent5 3 3 2 2 2 2 3 2" xfId="29419"/>
    <cellStyle name="40 % - Accent5 3 3 2 2 2 2 3 3" xfId="42399"/>
    <cellStyle name="40 % - Accent5 3 3 2 2 2 2 3 4" xfId="58628"/>
    <cellStyle name="40 % - Accent5 3 3 2 2 2 2 4" xfId="16439"/>
    <cellStyle name="40 % - Accent5 3 3 2 2 2 2 4 2" xfId="52138"/>
    <cellStyle name="40 % - Accent5 3 3 2 2 2 2 5" xfId="22929"/>
    <cellStyle name="40 % - Accent5 3 3 2 2 2 2 6" xfId="35909"/>
    <cellStyle name="40 % - Accent5 3 3 2 2 2 2 7" xfId="48892"/>
    <cellStyle name="40 % - Accent5 3 3 2 2 2 3" xfId="5036"/>
    <cellStyle name="40 % - Accent5 3 3 2 2 2 3 2" xfId="11568"/>
    <cellStyle name="40 % - Accent5 3 3 2 2 2 3 2 2" xfId="31041"/>
    <cellStyle name="40 % - Accent5 3 3 2 2 2 3 2 3" xfId="44021"/>
    <cellStyle name="40 % - Accent5 3 3 2 2 2 3 2 4" xfId="60250"/>
    <cellStyle name="40 % - Accent5 3 3 2 2 2 3 3" xfId="18061"/>
    <cellStyle name="40 % - Accent5 3 3 2 2 2 3 4" xfId="24551"/>
    <cellStyle name="40 % - Accent5 3 3 2 2 2 3 5" xfId="37531"/>
    <cellStyle name="40 % - Accent5 3 3 2 2 2 3 6" xfId="53760"/>
    <cellStyle name="40 % - Accent5 3 3 2 2 2 4" xfId="8323"/>
    <cellStyle name="40 % - Accent5 3 3 2 2 2 4 2" xfId="27796"/>
    <cellStyle name="40 % - Accent5 3 3 2 2 2 4 3" xfId="40776"/>
    <cellStyle name="40 % - Accent5 3 3 2 2 2 4 4" xfId="57005"/>
    <cellStyle name="40 % - Accent5 3 3 2 2 2 5" xfId="14816"/>
    <cellStyle name="40 % - Accent5 3 3 2 2 2 5 2" xfId="50515"/>
    <cellStyle name="40 % - Accent5 3 3 2 2 2 6" xfId="21306"/>
    <cellStyle name="40 % - Accent5 3 3 2 2 2 7" xfId="34286"/>
    <cellStyle name="40 % - Accent5 3 3 2 2 2 8" xfId="47269"/>
    <cellStyle name="40 % - Accent5 3 3 2 2 3" xfId="1284"/>
    <cellStyle name="40 % - Accent5 3 3 2 2 3 2" xfId="2951"/>
    <cellStyle name="40 % - Accent5 3 3 2 2 3 2 2" xfId="6196"/>
    <cellStyle name="40 % - Accent5 3 3 2 2 3 2 2 2" xfId="12728"/>
    <cellStyle name="40 % - Accent5 3 3 2 2 3 2 2 2 2" xfId="32201"/>
    <cellStyle name="40 % - Accent5 3 3 2 2 3 2 2 2 3" xfId="45181"/>
    <cellStyle name="40 % - Accent5 3 3 2 2 3 2 2 2 4" xfId="61410"/>
    <cellStyle name="40 % - Accent5 3 3 2 2 3 2 2 3" xfId="19221"/>
    <cellStyle name="40 % - Accent5 3 3 2 2 3 2 2 4" xfId="25711"/>
    <cellStyle name="40 % - Accent5 3 3 2 2 3 2 2 5" xfId="38691"/>
    <cellStyle name="40 % - Accent5 3 3 2 2 3 2 2 6" xfId="54920"/>
    <cellStyle name="40 % - Accent5 3 3 2 2 3 2 3" xfId="9483"/>
    <cellStyle name="40 % - Accent5 3 3 2 2 3 2 3 2" xfId="28956"/>
    <cellStyle name="40 % - Accent5 3 3 2 2 3 2 3 3" xfId="41936"/>
    <cellStyle name="40 % - Accent5 3 3 2 2 3 2 3 4" xfId="58165"/>
    <cellStyle name="40 % - Accent5 3 3 2 2 3 2 4" xfId="15976"/>
    <cellStyle name="40 % - Accent5 3 3 2 2 3 2 4 2" xfId="51675"/>
    <cellStyle name="40 % - Accent5 3 3 2 2 3 2 5" xfId="22466"/>
    <cellStyle name="40 % - Accent5 3 3 2 2 3 2 6" xfId="35446"/>
    <cellStyle name="40 % - Accent5 3 3 2 2 3 2 7" xfId="48429"/>
    <cellStyle name="40 % - Accent5 3 3 2 2 3 3" xfId="4573"/>
    <cellStyle name="40 % - Accent5 3 3 2 2 3 3 2" xfId="11105"/>
    <cellStyle name="40 % - Accent5 3 3 2 2 3 3 2 2" xfId="30578"/>
    <cellStyle name="40 % - Accent5 3 3 2 2 3 3 2 3" xfId="43558"/>
    <cellStyle name="40 % - Accent5 3 3 2 2 3 3 2 4" xfId="59787"/>
    <cellStyle name="40 % - Accent5 3 3 2 2 3 3 3" xfId="17598"/>
    <cellStyle name="40 % - Accent5 3 3 2 2 3 3 4" xfId="24088"/>
    <cellStyle name="40 % - Accent5 3 3 2 2 3 3 5" xfId="37068"/>
    <cellStyle name="40 % - Accent5 3 3 2 2 3 3 6" xfId="53297"/>
    <cellStyle name="40 % - Accent5 3 3 2 2 3 4" xfId="7860"/>
    <cellStyle name="40 % - Accent5 3 3 2 2 3 4 2" xfId="27333"/>
    <cellStyle name="40 % - Accent5 3 3 2 2 3 4 3" xfId="40313"/>
    <cellStyle name="40 % - Accent5 3 3 2 2 3 4 4" xfId="56542"/>
    <cellStyle name="40 % - Accent5 3 3 2 2 3 5" xfId="14353"/>
    <cellStyle name="40 % - Accent5 3 3 2 2 3 5 2" xfId="50052"/>
    <cellStyle name="40 % - Accent5 3 3 2 2 3 6" xfId="20843"/>
    <cellStyle name="40 % - Accent5 3 3 2 2 3 7" xfId="33823"/>
    <cellStyle name="40 % - Accent5 3 3 2 2 3 8" xfId="46806"/>
    <cellStyle name="40 % - Accent5 3 3 2 2 4" xfId="2476"/>
    <cellStyle name="40 % - Accent5 3 3 2 2 4 2" xfId="5721"/>
    <cellStyle name="40 % - Accent5 3 3 2 2 4 2 2" xfId="12253"/>
    <cellStyle name="40 % - Accent5 3 3 2 2 4 2 2 2" xfId="31726"/>
    <cellStyle name="40 % - Accent5 3 3 2 2 4 2 2 3" xfId="44706"/>
    <cellStyle name="40 % - Accent5 3 3 2 2 4 2 2 4" xfId="60935"/>
    <cellStyle name="40 % - Accent5 3 3 2 2 4 2 3" xfId="18746"/>
    <cellStyle name="40 % - Accent5 3 3 2 2 4 2 4" xfId="25236"/>
    <cellStyle name="40 % - Accent5 3 3 2 2 4 2 5" xfId="38216"/>
    <cellStyle name="40 % - Accent5 3 3 2 2 4 2 6" xfId="54445"/>
    <cellStyle name="40 % - Accent5 3 3 2 2 4 3" xfId="9008"/>
    <cellStyle name="40 % - Accent5 3 3 2 2 4 3 2" xfId="28481"/>
    <cellStyle name="40 % - Accent5 3 3 2 2 4 3 3" xfId="41461"/>
    <cellStyle name="40 % - Accent5 3 3 2 2 4 3 4" xfId="57690"/>
    <cellStyle name="40 % - Accent5 3 3 2 2 4 4" xfId="15501"/>
    <cellStyle name="40 % - Accent5 3 3 2 2 4 4 2" xfId="51200"/>
    <cellStyle name="40 % - Accent5 3 3 2 2 4 5" xfId="21991"/>
    <cellStyle name="40 % - Accent5 3 3 2 2 4 6" xfId="34971"/>
    <cellStyle name="40 % - Accent5 3 3 2 2 4 7" xfId="47954"/>
    <cellStyle name="40 % - Accent5 3 3 2 2 5" xfId="4098"/>
    <cellStyle name="40 % - Accent5 3 3 2 2 5 2" xfId="10630"/>
    <cellStyle name="40 % - Accent5 3 3 2 2 5 2 2" xfId="30103"/>
    <cellStyle name="40 % - Accent5 3 3 2 2 5 2 3" xfId="43083"/>
    <cellStyle name="40 % - Accent5 3 3 2 2 5 2 4" xfId="59312"/>
    <cellStyle name="40 % - Accent5 3 3 2 2 5 3" xfId="17123"/>
    <cellStyle name="40 % - Accent5 3 3 2 2 5 4" xfId="23613"/>
    <cellStyle name="40 % - Accent5 3 3 2 2 5 5" xfId="36593"/>
    <cellStyle name="40 % - Accent5 3 3 2 2 5 6" xfId="52822"/>
    <cellStyle name="40 % - Accent5 3 3 2 2 6" xfId="7385"/>
    <cellStyle name="40 % - Accent5 3 3 2 2 6 2" xfId="26858"/>
    <cellStyle name="40 % - Accent5 3 3 2 2 6 3" xfId="39838"/>
    <cellStyle name="40 % - Accent5 3 3 2 2 6 4" xfId="56067"/>
    <cellStyle name="40 % - Accent5 3 3 2 2 7" xfId="13878"/>
    <cellStyle name="40 % - Accent5 3 3 2 2 7 2" xfId="49577"/>
    <cellStyle name="40 % - Accent5 3 3 2 2 8" xfId="20368"/>
    <cellStyle name="40 % - Accent5 3 3 2 2 9" xfId="33348"/>
    <cellStyle name="40 % - Accent5 3 3 2 3" xfId="578"/>
    <cellStyle name="40 % - Accent5 3 3 2 3 2" xfId="1527"/>
    <cellStyle name="40 % - Accent5 3 3 2 3 2 2" xfId="3194"/>
    <cellStyle name="40 % - Accent5 3 3 2 3 2 2 2" xfId="6439"/>
    <cellStyle name="40 % - Accent5 3 3 2 3 2 2 2 2" xfId="12971"/>
    <cellStyle name="40 % - Accent5 3 3 2 3 2 2 2 2 2" xfId="32444"/>
    <cellStyle name="40 % - Accent5 3 3 2 3 2 2 2 2 3" xfId="45424"/>
    <cellStyle name="40 % - Accent5 3 3 2 3 2 2 2 2 4" xfId="61653"/>
    <cellStyle name="40 % - Accent5 3 3 2 3 2 2 2 3" xfId="19464"/>
    <cellStyle name="40 % - Accent5 3 3 2 3 2 2 2 4" xfId="25954"/>
    <cellStyle name="40 % - Accent5 3 3 2 3 2 2 2 5" xfId="38934"/>
    <cellStyle name="40 % - Accent5 3 3 2 3 2 2 2 6" xfId="55163"/>
    <cellStyle name="40 % - Accent5 3 3 2 3 2 2 3" xfId="9726"/>
    <cellStyle name="40 % - Accent5 3 3 2 3 2 2 3 2" xfId="29199"/>
    <cellStyle name="40 % - Accent5 3 3 2 3 2 2 3 3" xfId="42179"/>
    <cellStyle name="40 % - Accent5 3 3 2 3 2 2 3 4" xfId="58408"/>
    <cellStyle name="40 % - Accent5 3 3 2 3 2 2 4" xfId="16219"/>
    <cellStyle name="40 % - Accent5 3 3 2 3 2 2 4 2" xfId="51918"/>
    <cellStyle name="40 % - Accent5 3 3 2 3 2 2 5" xfId="22709"/>
    <cellStyle name="40 % - Accent5 3 3 2 3 2 2 6" xfId="35689"/>
    <cellStyle name="40 % - Accent5 3 3 2 3 2 2 7" xfId="48672"/>
    <cellStyle name="40 % - Accent5 3 3 2 3 2 3" xfId="4816"/>
    <cellStyle name="40 % - Accent5 3 3 2 3 2 3 2" xfId="11348"/>
    <cellStyle name="40 % - Accent5 3 3 2 3 2 3 2 2" xfId="30821"/>
    <cellStyle name="40 % - Accent5 3 3 2 3 2 3 2 3" xfId="43801"/>
    <cellStyle name="40 % - Accent5 3 3 2 3 2 3 2 4" xfId="60030"/>
    <cellStyle name="40 % - Accent5 3 3 2 3 2 3 3" xfId="17841"/>
    <cellStyle name="40 % - Accent5 3 3 2 3 2 3 4" xfId="24331"/>
    <cellStyle name="40 % - Accent5 3 3 2 3 2 3 5" xfId="37311"/>
    <cellStyle name="40 % - Accent5 3 3 2 3 2 3 6" xfId="53540"/>
    <cellStyle name="40 % - Accent5 3 3 2 3 2 4" xfId="8103"/>
    <cellStyle name="40 % - Accent5 3 3 2 3 2 4 2" xfId="27576"/>
    <cellStyle name="40 % - Accent5 3 3 2 3 2 4 3" xfId="40556"/>
    <cellStyle name="40 % - Accent5 3 3 2 3 2 4 4" xfId="56785"/>
    <cellStyle name="40 % - Accent5 3 3 2 3 2 5" xfId="14596"/>
    <cellStyle name="40 % - Accent5 3 3 2 3 2 5 2" xfId="50295"/>
    <cellStyle name="40 % - Accent5 3 3 2 3 2 6" xfId="21086"/>
    <cellStyle name="40 % - Accent5 3 3 2 3 2 7" xfId="34066"/>
    <cellStyle name="40 % - Accent5 3 3 2 3 2 8" xfId="47049"/>
    <cellStyle name="40 % - Accent5 3 3 2 3 3" xfId="2246"/>
    <cellStyle name="40 % - Accent5 3 3 2 3 3 2" xfId="5491"/>
    <cellStyle name="40 % - Accent5 3 3 2 3 3 2 2" xfId="12023"/>
    <cellStyle name="40 % - Accent5 3 3 2 3 3 2 2 2" xfId="31496"/>
    <cellStyle name="40 % - Accent5 3 3 2 3 3 2 2 3" xfId="44476"/>
    <cellStyle name="40 % - Accent5 3 3 2 3 3 2 2 4" xfId="60705"/>
    <cellStyle name="40 % - Accent5 3 3 2 3 3 2 3" xfId="18516"/>
    <cellStyle name="40 % - Accent5 3 3 2 3 3 2 4" xfId="25006"/>
    <cellStyle name="40 % - Accent5 3 3 2 3 3 2 5" xfId="37986"/>
    <cellStyle name="40 % - Accent5 3 3 2 3 3 2 6" xfId="54215"/>
    <cellStyle name="40 % - Accent5 3 3 2 3 3 3" xfId="8778"/>
    <cellStyle name="40 % - Accent5 3 3 2 3 3 3 2" xfId="28251"/>
    <cellStyle name="40 % - Accent5 3 3 2 3 3 3 3" xfId="41231"/>
    <cellStyle name="40 % - Accent5 3 3 2 3 3 3 4" xfId="57460"/>
    <cellStyle name="40 % - Accent5 3 3 2 3 3 4" xfId="15271"/>
    <cellStyle name="40 % - Accent5 3 3 2 3 3 4 2" xfId="50970"/>
    <cellStyle name="40 % - Accent5 3 3 2 3 3 5" xfId="21761"/>
    <cellStyle name="40 % - Accent5 3 3 2 3 3 6" xfId="34741"/>
    <cellStyle name="40 % - Accent5 3 3 2 3 3 7" xfId="47724"/>
    <cellStyle name="40 % - Accent5 3 3 2 3 4" xfId="3868"/>
    <cellStyle name="40 % - Accent5 3 3 2 3 4 2" xfId="10400"/>
    <cellStyle name="40 % - Accent5 3 3 2 3 4 2 2" xfId="29873"/>
    <cellStyle name="40 % - Accent5 3 3 2 3 4 2 3" xfId="42853"/>
    <cellStyle name="40 % - Accent5 3 3 2 3 4 2 4" xfId="59082"/>
    <cellStyle name="40 % - Accent5 3 3 2 3 4 3" xfId="16893"/>
    <cellStyle name="40 % - Accent5 3 3 2 3 4 4" xfId="23383"/>
    <cellStyle name="40 % - Accent5 3 3 2 3 4 5" xfId="36363"/>
    <cellStyle name="40 % - Accent5 3 3 2 3 4 6" xfId="52592"/>
    <cellStyle name="40 % - Accent5 3 3 2 3 5" xfId="7155"/>
    <cellStyle name="40 % - Accent5 3 3 2 3 5 2" xfId="26628"/>
    <cellStyle name="40 % - Accent5 3 3 2 3 5 3" xfId="39608"/>
    <cellStyle name="40 % - Accent5 3 3 2 3 5 4" xfId="55837"/>
    <cellStyle name="40 % - Accent5 3 3 2 3 6" xfId="13648"/>
    <cellStyle name="40 % - Accent5 3 3 2 3 6 2" xfId="49347"/>
    <cellStyle name="40 % - Accent5 3 3 2 3 7" xfId="20138"/>
    <cellStyle name="40 % - Accent5 3 3 2 3 8" xfId="33118"/>
    <cellStyle name="40 % - Accent5 3 3 2 3 9" xfId="46101"/>
    <cellStyle name="40 % - Accent5 3 3 2 4" xfId="1064"/>
    <cellStyle name="40 % - Accent5 3 3 2 4 2" xfId="2731"/>
    <cellStyle name="40 % - Accent5 3 3 2 4 2 2" xfId="5976"/>
    <cellStyle name="40 % - Accent5 3 3 2 4 2 2 2" xfId="12508"/>
    <cellStyle name="40 % - Accent5 3 3 2 4 2 2 2 2" xfId="31981"/>
    <cellStyle name="40 % - Accent5 3 3 2 4 2 2 2 3" xfId="44961"/>
    <cellStyle name="40 % - Accent5 3 3 2 4 2 2 2 4" xfId="61190"/>
    <cellStyle name="40 % - Accent5 3 3 2 4 2 2 3" xfId="19001"/>
    <cellStyle name="40 % - Accent5 3 3 2 4 2 2 4" xfId="25491"/>
    <cellStyle name="40 % - Accent5 3 3 2 4 2 2 5" xfId="38471"/>
    <cellStyle name="40 % - Accent5 3 3 2 4 2 2 6" xfId="54700"/>
    <cellStyle name="40 % - Accent5 3 3 2 4 2 3" xfId="9263"/>
    <cellStyle name="40 % - Accent5 3 3 2 4 2 3 2" xfId="28736"/>
    <cellStyle name="40 % - Accent5 3 3 2 4 2 3 3" xfId="41716"/>
    <cellStyle name="40 % - Accent5 3 3 2 4 2 3 4" xfId="57945"/>
    <cellStyle name="40 % - Accent5 3 3 2 4 2 4" xfId="15756"/>
    <cellStyle name="40 % - Accent5 3 3 2 4 2 4 2" xfId="51455"/>
    <cellStyle name="40 % - Accent5 3 3 2 4 2 5" xfId="22246"/>
    <cellStyle name="40 % - Accent5 3 3 2 4 2 6" xfId="35226"/>
    <cellStyle name="40 % - Accent5 3 3 2 4 2 7" xfId="48209"/>
    <cellStyle name="40 % - Accent5 3 3 2 4 3" xfId="4353"/>
    <cellStyle name="40 % - Accent5 3 3 2 4 3 2" xfId="10885"/>
    <cellStyle name="40 % - Accent5 3 3 2 4 3 2 2" xfId="30358"/>
    <cellStyle name="40 % - Accent5 3 3 2 4 3 2 3" xfId="43338"/>
    <cellStyle name="40 % - Accent5 3 3 2 4 3 2 4" xfId="59567"/>
    <cellStyle name="40 % - Accent5 3 3 2 4 3 3" xfId="17378"/>
    <cellStyle name="40 % - Accent5 3 3 2 4 3 4" xfId="23868"/>
    <cellStyle name="40 % - Accent5 3 3 2 4 3 5" xfId="36848"/>
    <cellStyle name="40 % - Accent5 3 3 2 4 3 6" xfId="53077"/>
    <cellStyle name="40 % - Accent5 3 3 2 4 4" xfId="7640"/>
    <cellStyle name="40 % - Accent5 3 3 2 4 4 2" xfId="27113"/>
    <cellStyle name="40 % - Accent5 3 3 2 4 4 3" xfId="40093"/>
    <cellStyle name="40 % - Accent5 3 3 2 4 4 4" xfId="56322"/>
    <cellStyle name="40 % - Accent5 3 3 2 4 5" xfId="14133"/>
    <cellStyle name="40 % - Accent5 3 3 2 4 5 2" xfId="49832"/>
    <cellStyle name="40 % - Accent5 3 3 2 4 6" xfId="20623"/>
    <cellStyle name="40 % - Accent5 3 3 2 4 7" xfId="33603"/>
    <cellStyle name="40 % - Accent5 3 3 2 4 8" xfId="46586"/>
    <cellStyle name="40 % - Accent5 3 3 2 5" xfId="2017"/>
    <cellStyle name="40 % - Accent5 3 3 2 5 2" xfId="5262"/>
    <cellStyle name="40 % - Accent5 3 3 2 5 2 2" xfId="11794"/>
    <cellStyle name="40 % - Accent5 3 3 2 5 2 2 2" xfId="31267"/>
    <cellStyle name="40 % - Accent5 3 3 2 5 2 2 3" xfId="44247"/>
    <cellStyle name="40 % - Accent5 3 3 2 5 2 2 4" xfId="60476"/>
    <cellStyle name="40 % - Accent5 3 3 2 5 2 3" xfId="18287"/>
    <cellStyle name="40 % - Accent5 3 3 2 5 2 4" xfId="24777"/>
    <cellStyle name="40 % - Accent5 3 3 2 5 2 5" xfId="37757"/>
    <cellStyle name="40 % - Accent5 3 3 2 5 2 6" xfId="53986"/>
    <cellStyle name="40 % - Accent5 3 3 2 5 3" xfId="8549"/>
    <cellStyle name="40 % - Accent5 3 3 2 5 3 2" xfId="28022"/>
    <cellStyle name="40 % - Accent5 3 3 2 5 3 3" xfId="41002"/>
    <cellStyle name="40 % - Accent5 3 3 2 5 3 4" xfId="57231"/>
    <cellStyle name="40 % - Accent5 3 3 2 5 4" xfId="15042"/>
    <cellStyle name="40 % - Accent5 3 3 2 5 4 2" xfId="50741"/>
    <cellStyle name="40 % - Accent5 3 3 2 5 5" xfId="21532"/>
    <cellStyle name="40 % - Accent5 3 3 2 5 6" xfId="34512"/>
    <cellStyle name="40 % - Accent5 3 3 2 5 7" xfId="47495"/>
    <cellStyle name="40 % - Accent5 3 3 2 6" xfId="3638"/>
    <cellStyle name="40 % - Accent5 3 3 2 6 2" xfId="10170"/>
    <cellStyle name="40 % - Accent5 3 3 2 6 2 2" xfId="29643"/>
    <cellStyle name="40 % - Accent5 3 3 2 6 2 3" xfId="42623"/>
    <cellStyle name="40 % - Accent5 3 3 2 6 2 4" xfId="58852"/>
    <cellStyle name="40 % - Accent5 3 3 2 6 3" xfId="16663"/>
    <cellStyle name="40 % - Accent5 3 3 2 6 4" xfId="23153"/>
    <cellStyle name="40 % - Accent5 3 3 2 6 5" xfId="36133"/>
    <cellStyle name="40 % - Accent5 3 3 2 6 6" xfId="52362"/>
    <cellStyle name="40 % - Accent5 3 3 2 7" xfId="6925"/>
    <cellStyle name="40 % - Accent5 3 3 2 7 2" xfId="26398"/>
    <cellStyle name="40 % - Accent5 3 3 2 7 3" xfId="39378"/>
    <cellStyle name="40 % - Accent5 3 3 2 7 4" xfId="55607"/>
    <cellStyle name="40 % - Accent5 3 3 2 8" xfId="13418"/>
    <cellStyle name="40 % - Accent5 3 3 2 8 2" xfId="49117"/>
    <cellStyle name="40 % - Accent5 3 3 2 9" xfId="19908"/>
    <cellStyle name="40 % - Accent5 3 3 3" xfId="720"/>
    <cellStyle name="40 % - Accent5 3 3 3 10" xfId="46243"/>
    <cellStyle name="40 % - Accent5 3 3 3 2" xfId="1659"/>
    <cellStyle name="40 % - Accent5 3 3 3 2 2" xfId="3326"/>
    <cellStyle name="40 % - Accent5 3 3 3 2 2 2" xfId="6571"/>
    <cellStyle name="40 % - Accent5 3 3 3 2 2 2 2" xfId="13103"/>
    <cellStyle name="40 % - Accent5 3 3 3 2 2 2 2 2" xfId="32576"/>
    <cellStyle name="40 % - Accent5 3 3 3 2 2 2 2 3" xfId="45556"/>
    <cellStyle name="40 % - Accent5 3 3 3 2 2 2 2 4" xfId="61785"/>
    <cellStyle name="40 % - Accent5 3 3 3 2 2 2 3" xfId="19596"/>
    <cellStyle name="40 % - Accent5 3 3 3 2 2 2 4" xfId="26086"/>
    <cellStyle name="40 % - Accent5 3 3 3 2 2 2 5" xfId="39066"/>
    <cellStyle name="40 % - Accent5 3 3 3 2 2 2 6" xfId="55295"/>
    <cellStyle name="40 % - Accent5 3 3 3 2 2 3" xfId="9858"/>
    <cellStyle name="40 % - Accent5 3 3 3 2 2 3 2" xfId="29331"/>
    <cellStyle name="40 % - Accent5 3 3 3 2 2 3 3" xfId="42311"/>
    <cellStyle name="40 % - Accent5 3 3 3 2 2 3 4" xfId="58540"/>
    <cellStyle name="40 % - Accent5 3 3 3 2 2 4" xfId="16351"/>
    <cellStyle name="40 % - Accent5 3 3 3 2 2 4 2" xfId="52050"/>
    <cellStyle name="40 % - Accent5 3 3 3 2 2 5" xfId="22841"/>
    <cellStyle name="40 % - Accent5 3 3 3 2 2 6" xfId="35821"/>
    <cellStyle name="40 % - Accent5 3 3 3 2 2 7" xfId="48804"/>
    <cellStyle name="40 % - Accent5 3 3 3 2 3" xfId="4948"/>
    <cellStyle name="40 % - Accent5 3 3 3 2 3 2" xfId="11480"/>
    <cellStyle name="40 % - Accent5 3 3 3 2 3 2 2" xfId="30953"/>
    <cellStyle name="40 % - Accent5 3 3 3 2 3 2 3" xfId="43933"/>
    <cellStyle name="40 % - Accent5 3 3 3 2 3 2 4" xfId="60162"/>
    <cellStyle name="40 % - Accent5 3 3 3 2 3 3" xfId="17973"/>
    <cellStyle name="40 % - Accent5 3 3 3 2 3 4" xfId="24463"/>
    <cellStyle name="40 % - Accent5 3 3 3 2 3 5" xfId="37443"/>
    <cellStyle name="40 % - Accent5 3 3 3 2 3 6" xfId="53672"/>
    <cellStyle name="40 % - Accent5 3 3 3 2 4" xfId="8235"/>
    <cellStyle name="40 % - Accent5 3 3 3 2 4 2" xfId="27708"/>
    <cellStyle name="40 % - Accent5 3 3 3 2 4 3" xfId="40688"/>
    <cellStyle name="40 % - Accent5 3 3 3 2 4 4" xfId="56917"/>
    <cellStyle name="40 % - Accent5 3 3 3 2 5" xfId="14728"/>
    <cellStyle name="40 % - Accent5 3 3 3 2 5 2" xfId="50427"/>
    <cellStyle name="40 % - Accent5 3 3 3 2 6" xfId="21218"/>
    <cellStyle name="40 % - Accent5 3 3 3 2 7" xfId="34198"/>
    <cellStyle name="40 % - Accent5 3 3 3 2 8" xfId="47181"/>
    <cellStyle name="40 % - Accent5 3 3 3 3" xfId="1196"/>
    <cellStyle name="40 % - Accent5 3 3 3 3 2" xfId="2863"/>
    <cellStyle name="40 % - Accent5 3 3 3 3 2 2" xfId="6108"/>
    <cellStyle name="40 % - Accent5 3 3 3 3 2 2 2" xfId="12640"/>
    <cellStyle name="40 % - Accent5 3 3 3 3 2 2 2 2" xfId="32113"/>
    <cellStyle name="40 % - Accent5 3 3 3 3 2 2 2 3" xfId="45093"/>
    <cellStyle name="40 % - Accent5 3 3 3 3 2 2 2 4" xfId="61322"/>
    <cellStyle name="40 % - Accent5 3 3 3 3 2 2 3" xfId="19133"/>
    <cellStyle name="40 % - Accent5 3 3 3 3 2 2 4" xfId="25623"/>
    <cellStyle name="40 % - Accent5 3 3 3 3 2 2 5" xfId="38603"/>
    <cellStyle name="40 % - Accent5 3 3 3 3 2 2 6" xfId="54832"/>
    <cellStyle name="40 % - Accent5 3 3 3 3 2 3" xfId="9395"/>
    <cellStyle name="40 % - Accent5 3 3 3 3 2 3 2" xfId="28868"/>
    <cellStyle name="40 % - Accent5 3 3 3 3 2 3 3" xfId="41848"/>
    <cellStyle name="40 % - Accent5 3 3 3 3 2 3 4" xfId="58077"/>
    <cellStyle name="40 % - Accent5 3 3 3 3 2 4" xfId="15888"/>
    <cellStyle name="40 % - Accent5 3 3 3 3 2 4 2" xfId="51587"/>
    <cellStyle name="40 % - Accent5 3 3 3 3 2 5" xfId="22378"/>
    <cellStyle name="40 % - Accent5 3 3 3 3 2 6" xfId="35358"/>
    <cellStyle name="40 % - Accent5 3 3 3 3 2 7" xfId="48341"/>
    <cellStyle name="40 % - Accent5 3 3 3 3 3" xfId="4485"/>
    <cellStyle name="40 % - Accent5 3 3 3 3 3 2" xfId="11017"/>
    <cellStyle name="40 % - Accent5 3 3 3 3 3 2 2" xfId="30490"/>
    <cellStyle name="40 % - Accent5 3 3 3 3 3 2 3" xfId="43470"/>
    <cellStyle name="40 % - Accent5 3 3 3 3 3 2 4" xfId="59699"/>
    <cellStyle name="40 % - Accent5 3 3 3 3 3 3" xfId="17510"/>
    <cellStyle name="40 % - Accent5 3 3 3 3 3 4" xfId="24000"/>
    <cellStyle name="40 % - Accent5 3 3 3 3 3 5" xfId="36980"/>
    <cellStyle name="40 % - Accent5 3 3 3 3 3 6" xfId="53209"/>
    <cellStyle name="40 % - Accent5 3 3 3 3 4" xfId="7772"/>
    <cellStyle name="40 % - Accent5 3 3 3 3 4 2" xfId="27245"/>
    <cellStyle name="40 % - Accent5 3 3 3 3 4 3" xfId="40225"/>
    <cellStyle name="40 % - Accent5 3 3 3 3 4 4" xfId="56454"/>
    <cellStyle name="40 % - Accent5 3 3 3 3 5" xfId="14265"/>
    <cellStyle name="40 % - Accent5 3 3 3 3 5 2" xfId="49964"/>
    <cellStyle name="40 % - Accent5 3 3 3 3 6" xfId="20755"/>
    <cellStyle name="40 % - Accent5 3 3 3 3 7" xfId="33735"/>
    <cellStyle name="40 % - Accent5 3 3 3 3 8" xfId="46718"/>
    <cellStyle name="40 % - Accent5 3 3 3 4" xfId="2388"/>
    <cellStyle name="40 % - Accent5 3 3 3 4 2" xfId="5633"/>
    <cellStyle name="40 % - Accent5 3 3 3 4 2 2" xfId="12165"/>
    <cellStyle name="40 % - Accent5 3 3 3 4 2 2 2" xfId="31638"/>
    <cellStyle name="40 % - Accent5 3 3 3 4 2 2 3" xfId="44618"/>
    <cellStyle name="40 % - Accent5 3 3 3 4 2 2 4" xfId="60847"/>
    <cellStyle name="40 % - Accent5 3 3 3 4 2 3" xfId="18658"/>
    <cellStyle name="40 % - Accent5 3 3 3 4 2 4" xfId="25148"/>
    <cellStyle name="40 % - Accent5 3 3 3 4 2 5" xfId="38128"/>
    <cellStyle name="40 % - Accent5 3 3 3 4 2 6" xfId="54357"/>
    <cellStyle name="40 % - Accent5 3 3 3 4 3" xfId="8920"/>
    <cellStyle name="40 % - Accent5 3 3 3 4 3 2" xfId="28393"/>
    <cellStyle name="40 % - Accent5 3 3 3 4 3 3" xfId="41373"/>
    <cellStyle name="40 % - Accent5 3 3 3 4 3 4" xfId="57602"/>
    <cellStyle name="40 % - Accent5 3 3 3 4 4" xfId="15413"/>
    <cellStyle name="40 % - Accent5 3 3 3 4 4 2" xfId="51112"/>
    <cellStyle name="40 % - Accent5 3 3 3 4 5" xfId="21903"/>
    <cellStyle name="40 % - Accent5 3 3 3 4 6" xfId="34883"/>
    <cellStyle name="40 % - Accent5 3 3 3 4 7" xfId="47866"/>
    <cellStyle name="40 % - Accent5 3 3 3 5" xfId="4010"/>
    <cellStyle name="40 % - Accent5 3 3 3 5 2" xfId="10542"/>
    <cellStyle name="40 % - Accent5 3 3 3 5 2 2" xfId="30015"/>
    <cellStyle name="40 % - Accent5 3 3 3 5 2 3" xfId="42995"/>
    <cellStyle name="40 % - Accent5 3 3 3 5 2 4" xfId="59224"/>
    <cellStyle name="40 % - Accent5 3 3 3 5 3" xfId="17035"/>
    <cellStyle name="40 % - Accent5 3 3 3 5 4" xfId="23525"/>
    <cellStyle name="40 % - Accent5 3 3 3 5 5" xfId="36505"/>
    <cellStyle name="40 % - Accent5 3 3 3 5 6" xfId="52734"/>
    <cellStyle name="40 % - Accent5 3 3 3 6" xfId="7297"/>
    <cellStyle name="40 % - Accent5 3 3 3 6 2" xfId="26770"/>
    <cellStyle name="40 % - Accent5 3 3 3 6 3" xfId="39750"/>
    <cellStyle name="40 % - Accent5 3 3 3 6 4" xfId="55979"/>
    <cellStyle name="40 % - Accent5 3 3 3 7" xfId="13790"/>
    <cellStyle name="40 % - Accent5 3 3 3 7 2" xfId="49489"/>
    <cellStyle name="40 % - Accent5 3 3 3 8" xfId="20280"/>
    <cellStyle name="40 % - Accent5 3 3 3 9" xfId="33260"/>
    <cellStyle name="40 % - Accent5 3 3 4" xfId="490"/>
    <cellStyle name="40 % - Accent5 3 3 4 2" xfId="1439"/>
    <cellStyle name="40 % - Accent5 3 3 4 2 2" xfId="3106"/>
    <cellStyle name="40 % - Accent5 3 3 4 2 2 2" xfId="6351"/>
    <cellStyle name="40 % - Accent5 3 3 4 2 2 2 2" xfId="12883"/>
    <cellStyle name="40 % - Accent5 3 3 4 2 2 2 2 2" xfId="32356"/>
    <cellStyle name="40 % - Accent5 3 3 4 2 2 2 2 3" xfId="45336"/>
    <cellStyle name="40 % - Accent5 3 3 4 2 2 2 2 4" xfId="61565"/>
    <cellStyle name="40 % - Accent5 3 3 4 2 2 2 3" xfId="19376"/>
    <cellStyle name="40 % - Accent5 3 3 4 2 2 2 4" xfId="25866"/>
    <cellStyle name="40 % - Accent5 3 3 4 2 2 2 5" xfId="38846"/>
    <cellStyle name="40 % - Accent5 3 3 4 2 2 2 6" xfId="55075"/>
    <cellStyle name="40 % - Accent5 3 3 4 2 2 3" xfId="9638"/>
    <cellStyle name="40 % - Accent5 3 3 4 2 2 3 2" xfId="29111"/>
    <cellStyle name="40 % - Accent5 3 3 4 2 2 3 3" xfId="42091"/>
    <cellStyle name="40 % - Accent5 3 3 4 2 2 3 4" xfId="58320"/>
    <cellStyle name="40 % - Accent5 3 3 4 2 2 4" xfId="16131"/>
    <cellStyle name="40 % - Accent5 3 3 4 2 2 4 2" xfId="51830"/>
    <cellStyle name="40 % - Accent5 3 3 4 2 2 5" xfId="22621"/>
    <cellStyle name="40 % - Accent5 3 3 4 2 2 6" xfId="35601"/>
    <cellStyle name="40 % - Accent5 3 3 4 2 2 7" xfId="48584"/>
    <cellStyle name="40 % - Accent5 3 3 4 2 3" xfId="4728"/>
    <cellStyle name="40 % - Accent5 3 3 4 2 3 2" xfId="11260"/>
    <cellStyle name="40 % - Accent5 3 3 4 2 3 2 2" xfId="30733"/>
    <cellStyle name="40 % - Accent5 3 3 4 2 3 2 3" xfId="43713"/>
    <cellStyle name="40 % - Accent5 3 3 4 2 3 2 4" xfId="59942"/>
    <cellStyle name="40 % - Accent5 3 3 4 2 3 3" xfId="17753"/>
    <cellStyle name="40 % - Accent5 3 3 4 2 3 4" xfId="24243"/>
    <cellStyle name="40 % - Accent5 3 3 4 2 3 5" xfId="37223"/>
    <cellStyle name="40 % - Accent5 3 3 4 2 3 6" xfId="53452"/>
    <cellStyle name="40 % - Accent5 3 3 4 2 4" xfId="8015"/>
    <cellStyle name="40 % - Accent5 3 3 4 2 4 2" xfId="27488"/>
    <cellStyle name="40 % - Accent5 3 3 4 2 4 3" xfId="40468"/>
    <cellStyle name="40 % - Accent5 3 3 4 2 4 4" xfId="56697"/>
    <cellStyle name="40 % - Accent5 3 3 4 2 5" xfId="14508"/>
    <cellStyle name="40 % - Accent5 3 3 4 2 5 2" xfId="50207"/>
    <cellStyle name="40 % - Accent5 3 3 4 2 6" xfId="20998"/>
    <cellStyle name="40 % - Accent5 3 3 4 2 7" xfId="33978"/>
    <cellStyle name="40 % - Accent5 3 3 4 2 8" xfId="46961"/>
    <cellStyle name="40 % - Accent5 3 3 4 3" xfId="2158"/>
    <cellStyle name="40 % - Accent5 3 3 4 3 2" xfId="5403"/>
    <cellStyle name="40 % - Accent5 3 3 4 3 2 2" xfId="11935"/>
    <cellStyle name="40 % - Accent5 3 3 4 3 2 2 2" xfId="31408"/>
    <cellStyle name="40 % - Accent5 3 3 4 3 2 2 3" xfId="44388"/>
    <cellStyle name="40 % - Accent5 3 3 4 3 2 2 4" xfId="60617"/>
    <cellStyle name="40 % - Accent5 3 3 4 3 2 3" xfId="18428"/>
    <cellStyle name="40 % - Accent5 3 3 4 3 2 4" xfId="24918"/>
    <cellStyle name="40 % - Accent5 3 3 4 3 2 5" xfId="37898"/>
    <cellStyle name="40 % - Accent5 3 3 4 3 2 6" xfId="54127"/>
    <cellStyle name="40 % - Accent5 3 3 4 3 3" xfId="8690"/>
    <cellStyle name="40 % - Accent5 3 3 4 3 3 2" xfId="28163"/>
    <cellStyle name="40 % - Accent5 3 3 4 3 3 3" xfId="41143"/>
    <cellStyle name="40 % - Accent5 3 3 4 3 3 4" xfId="57372"/>
    <cellStyle name="40 % - Accent5 3 3 4 3 4" xfId="15183"/>
    <cellStyle name="40 % - Accent5 3 3 4 3 4 2" xfId="50882"/>
    <cellStyle name="40 % - Accent5 3 3 4 3 5" xfId="21673"/>
    <cellStyle name="40 % - Accent5 3 3 4 3 6" xfId="34653"/>
    <cellStyle name="40 % - Accent5 3 3 4 3 7" xfId="47636"/>
    <cellStyle name="40 % - Accent5 3 3 4 4" xfId="3780"/>
    <cellStyle name="40 % - Accent5 3 3 4 4 2" xfId="10312"/>
    <cellStyle name="40 % - Accent5 3 3 4 4 2 2" xfId="29785"/>
    <cellStyle name="40 % - Accent5 3 3 4 4 2 3" xfId="42765"/>
    <cellStyle name="40 % - Accent5 3 3 4 4 2 4" xfId="58994"/>
    <cellStyle name="40 % - Accent5 3 3 4 4 3" xfId="16805"/>
    <cellStyle name="40 % - Accent5 3 3 4 4 4" xfId="23295"/>
    <cellStyle name="40 % - Accent5 3 3 4 4 5" xfId="36275"/>
    <cellStyle name="40 % - Accent5 3 3 4 4 6" xfId="52504"/>
    <cellStyle name="40 % - Accent5 3 3 4 5" xfId="7067"/>
    <cellStyle name="40 % - Accent5 3 3 4 5 2" xfId="26540"/>
    <cellStyle name="40 % - Accent5 3 3 4 5 3" xfId="39520"/>
    <cellStyle name="40 % - Accent5 3 3 4 5 4" xfId="55749"/>
    <cellStyle name="40 % - Accent5 3 3 4 6" xfId="13560"/>
    <cellStyle name="40 % - Accent5 3 3 4 6 2" xfId="49259"/>
    <cellStyle name="40 % - Accent5 3 3 4 7" xfId="20050"/>
    <cellStyle name="40 % - Accent5 3 3 4 8" xfId="33030"/>
    <cellStyle name="40 % - Accent5 3 3 4 9" xfId="46013"/>
    <cellStyle name="40 % - Accent5 3 3 5" xfId="976"/>
    <cellStyle name="40 % - Accent5 3 3 5 2" xfId="2643"/>
    <cellStyle name="40 % - Accent5 3 3 5 2 2" xfId="5888"/>
    <cellStyle name="40 % - Accent5 3 3 5 2 2 2" xfId="12420"/>
    <cellStyle name="40 % - Accent5 3 3 5 2 2 2 2" xfId="31893"/>
    <cellStyle name="40 % - Accent5 3 3 5 2 2 2 3" xfId="44873"/>
    <cellStyle name="40 % - Accent5 3 3 5 2 2 2 4" xfId="61102"/>
    <cellStyle name="40 % - Accent5 3 3 5 2 2 3" xfId="18913"/>
    <cellStyle name="40 % - Accent5 3 3 5 2 2 4" xfId="25403"/>
    <cellStyle name="40 % - Accent5 3 3 5 2 2 5" xfId="38383"/>
    <cellStyle name="40 % - Accent5 3 3 5 2 2 6" xfId="54612"/>
    <cellStyle name="40 % - Accent5 3 3 5 2 3" xfId="9175"/>
    <cellStyle name="40 % - Accent5 3 3 5 2 3 2" xfId="28648"/>
    <cellStyle name="40 % - Accent5 3 3 5 2 3 3" xfId="41628"/>
    <cellStyle name="40 % - Accent5 3 3 5 2 3 4" xfId="57857"/>
    <cellStyle name="40 % - Accent5 3 3 5 2 4" xfId="15668"/>
    <cellStyle name="40 % - Accent5 3 3 5 2 4 2" xfId="51367"/>
    <cellStyle name="40 % - Accent5 3 3 5 2 5" xfId="22158"/>
    <cellStyle name="40 % - Accent5 3 3 5 2 6" xfId="35138"/>
    <cellStyle name="40 % - Accent5 3 3 5 2 7" xfId="48121"/>
    <cellStyle name="40 % - Accent5 3 3 5 3" xfId="4265"/>
    <cellStyle name="40 % - Accent5 3 3 5 3 2" xfId="10797"/>
    <cellStyle name="40 % - Accent5 3 3 5 3 2 2" xfId="30270"/>
    <cellStyle name="40 % - Accent5 3 3 5 3 2 3" xfId="43250"/>
    <cellStyle name="40 % - Accent5 3 3 5 3 2 4" xfId="59479"/>
    <cellStyle name="40 % - Accent5 3 3 5 3 3" xfId="17290"/>
    <cellStyle name="40 % - Accent5 3 3 5 3 4" xfId="23780"/>
    <cellStyle name="40 % - Accent5 3 3 5 3 5" xfId="36760"/>
    <cellStyle name="40 % - Accent5 3 3 5 3 6" xfId="52989"/>
    <cellStyle name="40 % - Accent5 3 3 5 4" xfId="7552"/>
    <cellStyle name="40 % - Accent5 3 3 5 4 2" xfId="27025"/>
    <cellStyle name="40 % - Accent5 3 3 5 4 3" xfId="40005"/>
    <cellStyle name="40 % - Accent5 3 3 5 4 4" xfId="56234"/>
    <cellStyle name="40 % - Accent5 3 3 5 5" xfId="14045"/>
    <cellStyle name="40 % - Accent5 3 3 5 5 2" xfId="49744"/>
    <cellStyle name="40 % - Accent5 3 3 5 6" xfId="20535"/>
    <cellStyle name="40 % - Accent5 3 3 5 7" xfId="33515"/>
    <cellStyle name="40 % - Accent5 3 3 5 8" xfId="46498"/>
    <cellStyle name="40 % - Accent5 3 3 6" xfId="1929"/>
    <cellStyle name="40 % - Accent5 3 3 6 2" xfId="5174"/>
    <cellStyle name="40 % - Accent5 3 3 6 2 2" xfId="11706"/>
    <cellStyle name="40 % - Accent5 3 3 6 2 2 2" xfId="31179"/>
    <cellStyle name="40 % - Accent5 3 3 6 2 2 3" xfId="44159"/>
    <cellStyle name="40 % - Accent5 3 3 6 2 2 4" xfId="60388"/>
    <cellStyle name="40 % - Accent5 3 3 6 2 3" xfId="18199"/>
    <cellStyle name="40 % - Accent5 3 3 6 2 4" xfId="24689"/>
    <cellStyle name="40 % - Accent5 3 3 6 2 5" xfId="37669"/>
    <cellStyle name="40 % - Accent5 3 3 6 2 6" xfId="53898"/>
    <cellStyle name="40 % - Accent5 3 3 6 3" xfId="8461"/>
    <cellStyle name="40 % - Accent5 3 3 6 3 2" xfId="27934"/>
    <cellStyle name="40 % - Accent5 3 3 6 3 3" xfId="40914"/>
    <cellStyle name="40 % - Accent5 3 3 6 3 4" xfId="57143"/>
    <cellStyle name="40 % - Accent5 3 3 6 4" xfId="14954"/>
    <cellStyle name="40 % - Accent5 3 3 6 4 2" xfId="50653"/>
    <cellStyle name="40 % - Accent5 3 3 6 5" xfId="21444"/>
    <cellStyle name="40 % - Accent5 3 3 6 6" xfId="34424"/>
    <cellStyle name="40 % - Accent5 3 3 6 7" xfId="47407"/>
    <cellStyle name="40 % - Accent5 3 3 7" xfId="3550"/>
    <cellStyle name="40 % - Accent5 3 3 7 2" xfId="10082"/>
    <cellStyle name="40 % - Accent5 3 3 7 2 2" xfId="29555"/>
    <cellStyle name="40 % - Accent5 3 3 7 2 3" xfId="42535"/>
    <cellStyle name="40 % - Accent5 3 3 7 2 4" xfId="58764"/>
    <cellStyle name="40 % - Accent5 3 3 7 3" xfId="16575"/>
    <cellStyle name="40 % - Accent5 3 3 7 4" xfId="23065"/>
    <cellStyle name="40 % - Accent5 3 3 7 5" xfId="36045"/>
    <cellStyle name="40 % - Accent5 3 3 7 6" xfId="52274"/>
    <cellStyle name="40 % - Accent5 3 3 8" xfId="6837"/>
    <cellStyle name="40 % - Accent5 3 3 8 2" xfId="26310"/>
    <cellStyle name="40 % - Accent5 3 3 8 3" xfId="39290"/>
    <cellStyle name="40 % - Accent5 3 3 8 4" xfId="55519"/>
    <cellStyle name="40 % - Accent5 3 3 9" xfId="13330"/>
    <cellStyle name="40 % - Accent5 3 3 9 2" xfId="49029"/>
    <cellStyle name="40 % - Accent5 3 4" xfId="212"/>
    <cellStyle name="40 % - Accent5 3 4 10" xfId="32756"/>
    <cellStyle name="40 % - Accent5 3 4 11" xfId="45739"/>
    <cellStyle name="40 % - Accent5 3 4 2" xfId="676"/>
    <cellStyle name="40 % - Accent5 3 4 2 10" xfId="46199"/>
    <cellStyle name="40 % - Accent5 3 4 2 2" xfId="1615"/>
    <cellStyle name="40 % - Accent5 3 4 2 2 2" xfId="3282"/>
    <cellStyle name="40 % - Accent5 3 4 2 2 2 2" xfId="6527"/>
    <cellStyle name="40 % - Accent5 3 4 2 2 2 2 2" xfId="13059"/>
    <cellStyle name="40 % - Accent5 3 4 2 2 2 2 2 2" xfId="32532"/>
    <cellStyle name="40 % - Accent5 3 4 2 2 2 2 2 3" xfId="45512"/>
    <cellStyle name="40 % - Accent5 3 4 2 2 2 2 2 4" xfId="61741"/>
    <cellStyle name="40 % - Accent5 3 4 2 2 2 2 3" xfId="19552"/>
    <cellStyle name="40 % - Accent5 3 4 2 2 2 2 4" xfId="26042"/>
    <cellStyle name="40 % - Accent5 3 4 2 2 2 2 5" xfId="39022"/>
    <cellStyle name="40 % - Accent5 3 4 2 2 2 2 6" xfId="55251"/>
    <cellStyle name="40 % - Accent5 3 4 2 2 2 3" xfId="9814"/>
    <cellStyle name="40 % - Accent5 3 4 2 2 2 3 2" xfId="29287"/>
    <cellStyle name="40 % - Accent5 3 4 2 2 2 3 3" xfId="42267"/>
    <cellStyle name="40 % - Accent5 3 4 2 2 2 3 4" xfId="58496"/>
    <cellStyle name="40 % - Accent5 3 4 2 2 2 4" xfId="16307"/>
    <cellStyle name="40 % - Accent5 3 4 2 2 2 4 2" xfId="52006"/>
    <cellStyle name="40 % - Accent5 3 4 2 2 2 5" xfId="22797"/>
    <cellStyle name="40 % - Accent5 3 4 2 2 2 6" xfId="35777"/>
    <cellStyle name="40 % - Accent5 3 4 2 2 2 7" xfId="48760"/>
    <cellStyle name="40 % - Accent5 3 4 2 2 3" xfId="4904"/>
    <cellStyle name="40 % - Accent5 3 4 2 2 3 2" xfId="11436"/>
    <cellStyle name="40 % - Accent5 3 4 2 2 3 2 2" xfId="30909"/>
    <cellStyle name="40 % - Accent5 3 4 2 2 3 2 3" xfId="43889"/>
    <cellStyle name="40 % - Accent5 3 4 2 2 3 2 4" xfId="60118"/>
    <cellStyle name="40 % - Accent5 3 4 2 2 3 3" xfId="17929"/>
    <cellStyle name="40 % - Accent5 3 4 2 2 3 4" xfId="24419"/>
    <cellStyle name="40 % - Accent5 3 4 2 2 3 5" xfId="37399"/>
    <cellStyle name="40 % - Accent5 3 4 2 2 3 6" xfId="53628"/>
    <cellStyle name="40 % - Accent5 3 4 2 2 4" xfId="8191"/>
    <cellStyle name="40 % - Accent5 3 4 2 2 4 2" xfId="27664"/>
    <cellStyle name="40 % - Accent5 3 4 2 2 4 3" xfId="40644"/>
    <cellStyle name="40 % - Accent5 3 4 2 2 4 4" xfId="56873"/>
    <cellStyle name="40 % - Accent5 3 4 2 2 5" xfId="14684"/>
    <cellStyle name="40 % - Accent5 3 4 2 2 5 2" xfId="50383"/>
    <cellStyle name="40 % - Accent5 3 4 2 2 6" xfId="21174"/>
    <cellStyle name="40 % - Accent5 3 4 2 2 7" xfId="34154"/>
    <cellStyle name="40 % - Accent5 3 4 2 2 8" xfId="47137"/>
    <cellStyle name="40 % - Accent5 3 4 2 3" xfId="1152"/>
    <cellStyle name="40 % - Accent5 3 4 2 3 2" xfId="2819"/>
    <cellStyle name="40 % - Accent5 3 4 2 3 2 2" xfId="6064"/>
    <cellStyle name="40 % - Accent5 3 4 2 3 2 2 2" xfId="12596"/>
    <cellStyle name="40 % - Accent5 3 4 2 3 2 2 2 2" xfId="32069"/>
    <cellStyle name="40 % - Accent5 3 4 2 3 2 2 2 3" xfId="45049"/>
    <cellStyle name="40 % - Accent5 3 4 2 3 2 2 2 4" xfId="61278"/>
    <cellStyle name="40 % - Accent5 3 4 2 3 2 2 3" xfId="19089"/>
    <cellStyle name="40 % - Accent5 3 4 2 3 2 2 4" xfId="25579"/>
    <cellStyle name="40 % - Accent5 3 4 2 3 2 2 5" xfId="38559"/>
    <cellStyle name="40 % - Accent5 3 4 2 3 2 2 6" xfId="54788"/>
    <cellStyle name="40 % - Accent5 3 4 2 3 2 3" xfId="9351"/>
    <cellStyle name="40 % - Accent5 3 4 2 3 2 3 2" xfId="28824"/>
    <cellStyle name="40 % - Accent5 3 4 2 3 2 3 3" xfId="41804"/>
    <cellStyle name="40 % - Accent5 3 4 2 3 2 3 4" xfId="58033"/>
    <cellStyle name="40 % - Accent5 3 4 2 3 2 4" xfId="15844"/>
    <cellStyle name="40 % - Accent5 3 4 2 3 2 4 2" xfId="51543"/>
    <cellStyle name="40 % - Accent5 3 4 2 3 2 5" xfId="22334"/>
    <cellStyle name="40 % - Accent5 3 4 2 3 2 6" xfId="35314"/>
    <cellStyle name="40 % - Accent5 3 4 2 3 2 7" xfId="48297"/>
    <cellStyle name="40 % - Accent5 3 4 2 3 3" xfId="4441"/>
    <cellStyle name="40 % - Accent5 3 4 2 3 3 2" xfId="10973"/>
    <cellStyle name="40 % - Accent5 3 4 2 3 3 2 2" xfId="30446"/>
    <cellStyle name="40 % - Accent5 3 4 2 3 3 2 3" xfId="43426"/>
    <cellStyle name="40 % - Accent5 3 4 2 3 3 2 4" xfId="59655"/>
    <cellStyle name="40 % - Accent5 3 4 2 3 3 3" xfId="17466"/>
    <cellStyle name="40 % - Accent5 3 4 2 3 3 4" xfId="23956"/>
    <cellStyle name="40 % - Accent5 3 4 2 3 3 5" xfId="36936"/>
    <cellStyle name="40 % - Accent5 3 4 2 3 3 6" xfId="53165"/>
    <cellStyle name="40 % - Accent5 3 4 2 3 4" xfId="7728"/>
    <cellStyle name="40 % - Accent5 3 4 2 3 4 2" xfId="27201"/>
    <cellStyle name="40 % - Accent5 3 4 2 3 4 3" xfId="40181"/>
    <cellStyle name="40 % - Accent5 3 4 2 3 4 4" xfId="56410"/>
    <cellStyle name="40 % - Accent5 3 4 2 3 5" xfId="14221"/>
    <cellStyle name="40 % - Accent5 3 4 2 3 5 2" xfId="49920"/>
    <cellStyle name="40 % - Accent5 3 4 2 3 6" xfId="20711"/>
    <cellStyle name="40 % - Accent5 3 4 2 3 7" xfId="33691"/>
    <cellStyle name="40 % - Accent5 3 4 2 3 8" xfId="46674"/>
    <cellStyle name="40 % - Accent5 3 4 2 4" xfId="2344"/>
    <cellStyle name="40 % - Accent5 3 4 2 4 2" xfId="5589"/>
    <cellStyle name="40 % - Accent5 3 4 2 4 2 2" xfId="12121"/>
    <cellStyle name="40 % - Accent5 3 4 2 4 2 2 2" xfId="31594"/>
    <cellStyle name="40 % - Accent5 3 4 2 4 2 2 3" xfId="44574"/>
    <cellStyle name="40 % - Accent5 3 4 2 4 2 2 4" xfId="60803"/>
    <cellStyle name="40 % - Accent5 3 4 2 4 2 3" xfId="18614"/>
    <cellStyle name="40 % - Accent5 3 4 2 4 2 4" xfId="25104"/>
    <cellStyle name="40 % - Accent5 3 4 2 4 2 5" xfId="38084"/>
    <cellStyle name="40 % - Accent5 3 4 2 4 2 6" xfId="54313"/>
    <cellStyle name="40 % - Accent5 3 4 2 4 3" xfId="8876"/>
    <cellStyle name="40 % - Accent5 3 4 2 4 3 2" xfId="28349"/>
    <cellStyle name="40 % - Accent5 3 4 2 4 3 3" xfId="41329"/>
    <cellStyle name="40 % - Accent5 3 4 2 4 3 4" xfId="57558"/>
    <cellStyle name="40 % - Accent5 3 4 2 4 4" xfId="15369"/>
    <cellStyle name="40 % - Accent5 3 4 2 4 4 2" xfId="51068"/>
    <cellStyle name="40 % - Accent5 3 4 2 4 5" xfId="21859"/>
    <cellStyle name="40 % - Accent5 3 4 2 4 6" xfId="34839"/>
    <cellStyle name="40 % - Accent5 3 4 2 4 7" xfId="47822"/>
    <cellStyle name="40 % - Accent5 3 4 2 5" xfId="3966"/>
    <cellStyle name="40 % - Accent5 3 4 2 5 2" xfId="10498"/>
    <cellStyle name="40 % - Accent5 3 4 2 5 2 2" xfId="29971"/>
    <cellStyle name="40 % - Accent5 3 4 2 5 2 3" xfId="42951"/>
    <cellStyle name="40 % - Accent5 3 4 2 5 2 4" xfId="59180"/>
    <cellStyle name="40 % - Accent5 3 4 2 5 3" xfId="16991"/>
    <cellStyle name="40 % - Accent5 3 4 2 5 4" xfId="23481"/>
    <cellStyle name="40 % - Accent5 3 4 2 5 5" xfId="36461"/>
    <cellStyle name="40 % - Accent5 3 4 2 5 6" xfId="52690"/>
    <cellStyle name="40 % - Accent5 3 4 2 6" xfId="7253"/>
    <cellStyle name="40 % - Accent5 3 4 2 6 2" xfId="26726"/>
    <cellStyle name="40 % - Accent5 3 4 2 6 3" xfId="39706"/>
    <cellStyle name="40 % - Accent5 3 4 2 6 4" xfId="55935"/>
    <cellStyle name="40 % - Accent5 3 4 2 7" xfId="13746"/>
    <cellStyle name="40 % - Accent5 3 4 2 7 2" xfId="49445"/>
    <cellStyle name="40 % - Accent5 3 4 2 8" xfId="20236"/>
    <cellStyle name="40 % - Accent5 3 4 2 9" xfId="33216"/>
    <cellStyle name="40 % - Accent5 3 4 3" xfId="446"/>
    <cellStyle name="40 % - Accent5 3 4 3 2" xfId="1395"/>
    <cellStyle name="40 % - Accent5 3 4 3 2 2" xfId="3062"/>
    <cellStyle name="40 % - Accent5 3 4 3 2 2 2" xfId="6307"/>
    <cellStyle name="40 % - Accent5 3 4 3 2 2 2 2" xfId="12839"/>
    <cellStyle name="40 % - Accent5 3 4 3 2 2 2 2 2" xfId="32312"/>
    <cellStyle name="40 % - Accent5 3 4 3 2 2 2 2 3" xfId="45292"/>
    <cellStyle name="40 % - Accent5 3 4 3 2 2 2 2 4" xfId="61521"/>
    <cellStyle name="40 % - Accent5 3 4 3 2 2 2 3" xfId="19332"/>
    <cellStyle name="40 % - Accent5 3 4 3 2 2 2 4" xfId="25822"/>
    <cellStyle name="40 % - Accent5 3 4 3 2 2 2 5" xfId="38802"/>
    <cellStyle name="40 % - Accent5 3 4 3 2 2 2 6" xfId="55031"/>
    <cellStyle name="40 % - Accent5 3 4 3 2 2 3" xfId="9594"/>
    <cellStyle name="40 % - Accent5 3 4 3 2 2 3 2" xfId="29067"/>
    <cellStyle name="40 % - Accent5 3 4 3 2 2 3 3" xfId="42047"/>
    <cellStyle name="40 % - Accent5 3 4 3 2 2 3 4" xfId="58276"/>
    <cellStyle name="40 % - Accent5 3 4 3 2 2 4" xfId="16087"/>
    <cellStyle name="40 % - Accent5 3 4 3 2 2 4 2" xfId="51786"/>
    <cellStyle name="40 % - Accent5 3 4 3 2 2 5" xfId="22577"/>
    <cellStyle name="40 % - Accent5 3 4 3 2 2 6" xfId="35557"/>
    <cellStyle name="40 % - Accent5 3 4 3 2 2 7" xfId="48540"/>
    <cellStyle name="40 % - Accent5 3 4 3 2 3" xfId="4684"/>
    <cellStyle name="40 % - Accent5 3 4 3 2 3 2" xfId="11216"/>
    <cellStyle name="40 % - Accent5 3 4 3 2 3 2 2" xfId="30689"/>
    <cellStyle name="40 % - Accent5 3 4 3 2 3 2 3" xfId="43669"/>
    <cellStyle name="40 % - Accent5 3 4 3 2 3 2 4" xfId="59898"/>
    <cellStyle name="40 % - Accent5 3 4 3 2 3 3" xfId="17709"/>
    <cellStyle name="40 % - Accent5 3 4 3 2 3 4" xfId="24199"/>
    <cellStyle name="40 % - Accent5 3 4 3 2 3 5" xfId="37179"/>
    <cellStyle name="40 % - Accent5 3 4 3 2 3 6" xfId="53408"/>
    <cellStyle name="40 % - Accent5 3 4 3 2 4" xfId="7971"/>
    <cellStyle name="40 % - Accent5 3 4 3 2 4 2" xfId="27444"/>
    <cellStyle name="40 % - Accent5 3 4 3 2 4 3" xfId="40424"/>
    <cellStyle name="40 % - Accent5 3 4 3 2 4 4" xfId="56653"/>
    <cellStyle name="40 % - Accent5 3 4 3 2 5" xfId="14464"/>
    <cellStyle name="40 % - Accent5 3 4 3 2 5 2" xfId="50163"/>
    <cellStyle name="40 % - Accent5 3 4 3 2 6" xfId="20954"/>
    <cellStyle name="40 % - Accent5 3 4 3 2 7" xfId="33934"/>
    <cellStyle name="40 % - Accent5 3 4 3 2 8" xfId="46917"/>
    <cellStyle name="40 % - Accent5 3 4 3 3" xfId="2114"/>
    <cellStyle name="40 % - Accent5 3 4 3 3 2" xfId="5359"/>
    <cellStyle name="40 % - Accent5 3 4 3 3 2 2" xfId="11891"/>
    <cellStyle name="40 % - Accent5 3 4 3 3 2 2 2" xfId="31364"/>
    <cellStyle name="40 % - Accent5 3 4 3 3 2 2 3" xfId="44344"/>
    <cellStyle name="40 % - Accent5 3 4 3 3 2 2 4" xfId="60573"/>
    <cellStyle name="40 % - Accent5 3 4 3 3 2 3" xfId="18384"/>
    <cellStyle name="40 % - Accent5 3 4 3 3 2 4" xfId="24874"/>
    <cellStyle name="40 % - Accent5 3 4 3 3 2 5" xfId="37854"/>
    <cellStyle name="40 % - Accent5 3 4 3 3 2 6" xfId="54083"/>
    <cellStyle name="40 % - Accent5 3 4 3 3 3" xfId="8646"/>
    <cellStyle name="40 % - Accent5 3 4 3 3 3 2" xfId="28119"/>
    <cellStyle name="40 % - Accent5 3 4 3 3 3 3" xfId="41099"/>
    <cellStyle name="40 % - Accent5 3 4 3 3 3 4" xfId="57328"/>
    <cellStyle name="40 % - Accent5 3 4 3 3 4" xfId="15139"/>
    <cellStyle name="40 % - Accent5 3 4 3 3 4 2" xfId="50838"/>
    <cellStyle name="40 % - Accent5 3 4 3 3 5" xfId="21629"/>
    <cellStyle name="40 % - Accent5 3 4 3 3 6" xfId="34609"/>
    <cellStyle name="40 % - Accent5 3 4 3 3 7" xfId="47592"/>
    <cellStyle name="40 % - Accent5 3 4 3 4" xfId="3736"/>
    <cellStyle name="40 % - Accent5 3 4 3 4 2" xfId="10268"/>
    <cellStyle name="40 % - Accent5 3 4 3 4 2 2" xfId="29741"/>
    <cellStyle name="40 % - Accent5 3 4 3 4 2 3" xfId="42721"/>
    <cellStyle name="40 % - Accent5 3 4 3 4 2 4" xfId="58950"/>
    <cellStyle name="40 % - Accent5 3 4 3 4 3" xfId="16761"/>
    <cellStyle name="40 % - Accent5 3 4 3 4 4" xfId="23251"/>
    <cellStyle name="40 % - Accent5 3 4 3 4 5" xfId="36231"/>
    <cellStyle name="40 % - Accent5 3 4 3 4 6" xfId="52460"/>
    <cellStyle name="40 % - Accent5 3 4 3 5" xfId="7023"/>
    <cellStyle name="40 % - Accent5 3 4 3 5 2" xfId="26496"/>
    <cellStyle name="40 % - Accent5 3 4 3 5 3" xfId="39476"/>
    <cellStyle name="40 % - Accent5 3 4 3 5 4" xfId="55705"/>
    <cellStyle name="40 % - Accent5 3 4 3 6" xfId="13516"/>
    <cellStyle name="40 % - Accent5 3 4 3 6 2" xfId="49215"/>
    <cellStyle name="40 % - Accent5 3 4 3 7" xfId="20006"/>
    <cellStyle name="40 % - Accent5 3 4 3 8" xfId="32986"/>
    <cellStyle name="40 % - Accent5 3 4 3 9" xfId="45969"/>
    <cellStyle name="40 % - Accent5 3 4 4" xfId="932"/>
    <cellStyle name="40 % - Accent5 3 4 4 2" xfId="2599"/>
    <cellStyle name="40 % - Accent5 3 4 4 2 2" xfId="5844"/>
    <cellStyle name="40 % - Accent5 3 4 4 2 2 2" xfId="12376"/>
    <cellStyle name="40 % - Accent5 3 4 4 2 2 2 2" xfId="31849"/>
    <cellStyle name="40 % - Accent5 3 4 4 2 2 2 3" xfId="44829"/>
    <cellStyle name="40 % - Accent5 3 4 4 2 2 2 4" xfId="61058"/>
    <cellStyle name="40 % - Accent5 3 4 4 2 2 3" xfId="18869"/>
    <cellStyle name="40 % - Accent5 3 4 4 2 2 4" xfId="25359"/>
    <cellStyle name="40 % - Accent5 3 4 4 2 2 5" xfId="38339"/>
    <cellStyle name="40 % - Accent5 3 4 4 2 2 6" xfId="54568"/>
    <cellStyle name="40 % - Accent5 3 4 4 2 3" xfId="9131"/>
    <cellStyle name="40 % - Accent5 3 4 4 2 3 2" xfId="28604"/>
    <cellStyle name="40 % - Accent5 3 4 4 2 3 3" xfId="41584"/>
    <cellStyle name="40 % - Accent5 3 4 4 2 3 4" xfId="57813"/>
    <cellStyle name="40 % - Accent5 3 4 4 2 4" xfId="15624"/>
    <cellStyle name="40 % - Accent5 3 4 4 2 4 2" xfId="51323"/>
    <cellStyle name="40 % - Accent5 3 4 4 2 5" xfId="22114"/>
    <cellStyle name="40 % - Accent5 3 4 4 2 6" xfId="35094"/>
    <cellStyle name="40 % - Accent5 3 4 4 2 7" xfId="48077"/>
    <cellStyle name="40 % - Accent5 3 4 4 3" xfId="4221"/>
    <cellStyle name="40 % - Accent5 3 4 4 3 2" xfId="10753"/>
    <cellStyle name="40 % - Accent5 3 4 4 3 2 2" xfId="30226"/>
    <cellStyle name="40 % - Accent5 3 4 4 3 2 3" xfId="43206"/>
    <cellStyle name="40 % - Accent5 3 4 4 3 2 4" xfId="59435"/>
    <cellStyle name="40 % - Accent5 3 4 4 3 3" xfId="17246"/>
    <cellStyle name="40 % - Accent5 3 4 4 3 4" xfId="23736"/>
    <cellStyle name="40 % - Accent5 3 4 4 3 5" xfId="36716"/>
    <cellStyle name="40 % - Accent5 3 4 4 3 6" xfId="52945"/>
    <cellStyle name="40 % - Accent5 3 4 4 4" xfId="7508"/>
    <cellStyle name="40 % - Accent5 3 4 4 4 2" xfId="26981"/>
    <cellStyle name="40 % - Accent5 3 4 4 4 3" xfId="39961"/>
    <cellStyle name="40 % - Accent5 3 4 4 4 4" xfId="56190"/>
    <cellStyle name="40 % - Accent5 3 4 4 5" xfId="14001"/>
    <cellStyle name="40 % - Accent5 3 4 4 5 2" xfId="49700"/>
    <cellStyle name="40 % - Accent5 3 4 4 6" xfId="20491"/>
    <cellStyle name="40 % - Accent5 3 4 4 7" xfId="33471"/>
    <cellStyle name="40 % - Accent5 3 4 4 8" xfId="46454"/>
    <cellStyle name="40 % - Accent5 3 4 5" xfId="1885"/>
    <cellStyle name="40 % - Accent5 3 4 5 2" xfId="5130"/>
    <cellStyle name="40 % - Accent5 3 4 5 2 2" xfId="11662"/>
    <cellStyle name="40 % - Accent5 3 4 5 2 2 2" xfId="31135"/>
    <cellStyle name="40 % - Accent5 3 4 5 2 2 3" xfId="44115"/>
    <cellStyle name="40 % - Accent5 3 4 5 2 2 4" xfId="60344"/>
    <cellStyle name="40 % - Accent5 3 4 5 2 3" xfId="18155"/>
    <cellStyle name="40 % - Accent5 3 4 5 2 4" xfId="24645"/>
    <cellStyle name="40 % - Accent5 3 4 5 2 5" xfId="37625"/>
    <cellStyle name="40 % - Accent5 3 4 5 2 6" xfId="53854"/>
    <cellStyle name="40 % - Accent5 3 4 5 3" xfId="8417"/>
    <cellStyle name="40 % - Accent5 3 4 5 3 2" xfId="27890"/>
    <cellStyle name="40 % - Accent5 3 4 5 3 3" xfId="40870"/>
    <cellStyle name="40 % - Accent5 3 4 5 3 4" xfId="57099"/>
    <cellStyle name="40 % - Accent5 3 4 5 4" xfId="14910"/>
    <cellStyle name="40 % - Accent5 3 4 5 4 2" xfId="50609"/>
    <cellStyle name="40 % - Accent5 3 4 5 5" xfId="21400"/>
    <cellStyle name="40 % - Accent5 3 4 5 6" xfId="34380"/>
    <cellStyle name="40 % - Accent5 3 4 5 7" xfId="47363"/>
    <cellStyle name="40 % - Accent5 3 4 6" xfId="3506"/>
    <cellStyle name="40 % - Accent5 3 4 6 2" xfId="10038"/>
    <cellStyle name="40 % - Accent5 3 4 6 2 2" xfId="29511"/>
    <cellStyle name="40 % - Accent5 3 4 6 2 3" xfId="42491"/>
    <cellStyle name="40 % - Accent5 3 4 6 2 4" xfId="58720"/>
    <cellStyle name="40 % - Accent5 3 4 6 3" xfId="16531"/>
    <cellStyle name="40 % - Accent5 3 4 6 4" xfId="23021"/>
    <cellStyle name="40 % - Accent5 3 4 6 5" xfId="36001"/>
    <cellStyle name="40 % - Accent5 3 4 6 6" xfId="52230"/>
    <cellStyle name="40 % - Accent5 3 4 7" xfId="6793"/>
    <cellStyle name="40 % - Accent5 3 4 7 2" xfId="26266"/>
    <cellStyle name="40 % - Accent5 3 4 7 3" xfId="39246"/>
    <cellStyle name="40 % - Accent5 3 4 7 4" xfId="55475"/>
    <cellStyle name="40 % - Accent5 3 4 8" xfId="13286"/>
    <cellStyle name="40 % - Accent5 3 4 8 2" xfId="48985"/>
    <cellStyle name="40 % - Accent5 3 4 9" xfId="19776"/>
    <cellStyle name="40 % - Accent5 3 5" xfId="300"/>
    <cellStyle name="40 % - Accent5 3 5 10" xfId="32844"/>
    <cellStyle name="40 % - Accent5 3 5 11" xfId="45827"/>
    <cellStyle name="40 % - Accent5 3 5 2" xfId="764"/>
    <cellStyle name="40 % - Accent5 3 5 2 10" xfId="46287"/>
    <cellStyle name="40 % - Accent5 3 5 2 2" xfId="1703"/>
    <cellStyle name="40 % - Accent5 3 5 2 2 2" xfId="3370"/>
    <cellStyle name="40 % - Accent5 3 5 2 2 2 2" xfId="6615"/>
    <cellStyle name="40 % - Accent5 3 5 2 2 2 2 2" xfId="13147"/>
    <cellStyle name="40 % - Accent5 3 5 2 2 2 2 2 2" xfId="32620"/>
    <cellStyle name="40 % - Accent5 3 5 2 2 2 2 2 3" xfId="45600"/>
    <cellStyle name="40 % - Accent5 3 5 2 2 2 2 2 4" xfId="61829"/>
    <cellStyle name="40 % - Accent5 3 5 2 2 2 2 3" xfId="19640"/>
    <cellStyle name="40 % - Accent5 3 5 2 2 2 2 4" xfId="26130"/>
    <cellStyle name="40 % - Accent5 3 5 2 2 2 2 5" xfId="39110"/>
    <cellStyle name="40 % - Accent5 3 5 2 2 2 2 6" xfId="55339"/>
    <cellStyle name="40 % - Accent5 3 5 2 2 2 3" xfId="9902"/>
    <cellStyle name="40 % - Accent5 3 5 2 2 2 3 2" xfId="29375"/>
    <cellStyle name="40 % - Accent5 3 5 2 2 2 3 3" xfId="42355"/>
    <cellStyle name="40 % - Accent5 3 5 2 2 2 3 4" xfId="58584"/>
    <cellStyle name="40 % - Accent5 3 5 2 2 2 4" xfId="16395"/>
    <cellStyle name="40 % - Accent5 3 5 2 2 2 4 2" xfId="52094"/>
    <cellStyle name="40 % - Accent5 3 5 2 2 2 5" xfId="22885"/>
    <cellStyle name="40 % - Accent5 3 5 2 2 2 6" xfId="35865"/>
    <cellStyle name="40 % - Accent5 3 5 2 2 2 7" xfId="48848"/>
    <cellStyle name="40 % - Accent5 3 5 2 2 3" xfId="4992"/>
    <cellStyle name="40 % - Accent5 3 5 2 2 3 2" xfId="11524"/>
    <cellStyle name="40 % - Accent5 3 5 2 2 3 2 2" xfId="30997"/>
    <cellStyle name="40 % - Accent5 3 5 2 2 3 2 3" xfId="43977"/>
    <cellStyle name="40 % - Accent5 3 5 2 2 3 2 4" xfId="60206"/>
    <cellStyle name="40 % - Accent5 3 5 2 2 3 3" xfId="18017"/>
    <cellStyle name="40 % - Accent5 3 5 2 2 3 4" xfId="24507"/>
    <cellStyle name="40 % - Accent5 3 5 2 2 3 5" xfId="37487"/>
    <cellStyle name="40 % - Accent5 3 5 2 2 3 6" xfId="53716"/>
    <cellStyle name="40 % - Accent5 3 5 2 2 4" xfId="8279"/>
    <cellStyle name="40 % - Accent5 3 5 2 2 4 2" xfId="27752"/>
    <cellStyle name="40 % - Accent5 3 5 2 2 4 3" xfId="40732"/>
    <cellStyle name="40 % - Accent5 3 5 2 2 4 4" xfId="56961"/>
    <cellStyle name="40 % - Accent5 3 5 2 2 5" xfId="14772"/>
    <cellStyle name="40 % - Accent5 3 5 2 2 5 2" xfId="50471"/>
    <cellStyle name="40 % - Accent5 3 5 2 2 6" xfId="21262"/>
    <cellStyle name="40 % - Accent5 3 5 2 2 7" xfId="34242"/>
    <cellStyle name="40 % - Accent5 3 5 2 2 8" xfId="47225"/>
    <cellStyle name="40 % - Accent5 3 5 2 3" xfId="1240"/>
    <cellStyle name="40 % - Accent5 3 5 2 3 2" xfId="2907"/>
    <cellStyle name="40 % - Accent5 3 5 2 3 2 2" xfId="6152"/>
    <cellStyle name="40 % - Accent5 3 5 2 3 2 2 2" xfId="12684"/>
    <cellStyle name="40 % - Accent5 3 5 2 3 2 2 2 2" xfId="32157"/>
    <cellStyle name="40 % - Accent5 3 5 2 3 2 2 2 3" xfId="45137"/>
    <cellStyle name="40 % - Accent5 3 5 2 3 2 2 2 4" xfId="61366"/>
    <cellStyle name="40 % - Accent5 3 5 2 3 2 2 3" xfId="19177"/>
    <cellStyle name="40 % - Accent5 3 5 2 3 2 2 4" xfId="25667"/>
    <cellStyle name="40 % - Accent5 3 5 2 3 2 2 5" xfId="38647"/>
    <cellStyle name="40 % - Accent5 3 5 2 3 2 2 6" xfId="54876"/>
    <cellStyle name="40 % - Accent5 3 5 2 3 2 3" xfId="9439"/>
    <cellStyle name="40 % - Accent5 3 5 2 3 2 3 2" xfId="28912"/>
    <cellStyle name="40 % - Accent5 3 5 2 3 2 3 3" xfId="41892"/>
    <cellStyle name="40 % - Accent5 3 5 2 3 2 3 4" xfId="58121"/>
    <cellStyle name="40 % - Accent5 3 5 2 3 2 4" xfId="15932"/>
    <cellStyle name="40 % - Accent5 3 5 2 3 2 4 2" xfId="51631"/>
    <cellStyle name="40 % - Accent5 3 5 2 3 2 5" xfId="22422"/>
    <cellStyle name="40 % - Accent5 3 5 2 3 2 6" xfId="35402"/>
    <cellStyle name="40 % - Accent5 3 5 2 3 2 7" xfId="48385"/>
    <cellStyle name="40 % - Accent5 3 5 2 3 3" xfId="4529"/>
    <cellStyle name="40 % - Accent5 3 5 2 3 3 2" xfId="11061"/>
    <cellStyle name="40 % - Accent5 3 5 2 3 3 2 2" xfId="30534"/>
    <cellStyle name="40 % - Accent5 3 5 2 3 3 2 3" xfId="43514"/>
    <cellStyle name="40 % - Accent5 3 5 2 3 3 2 4" xfId="59743"/>
    <cellStyle name="40 % - Accent5 3 5 2 3 3 3" xfId="17554"/>
    <cellStyle name="40 % - Accent5 3 5 2 3 3 4" xfId="24044"/>
    <cellStyle name="40 % - Accent5 3 5 2 3 3 5" xfId="37024"/>
    <cellStyle name="40 % - Accent5 3 5 2 3 3 6" xfId="53253"/>
    <cellStyle name="40 % - Accent5 3 5 2 3 4" xfId="7816"/>
    <cellStyle name="40 % - Accent5 3 5 2 3 4 2" xfId="27289"/>
    <cellStyle name="40 % - Accent5 3 5 2 3 4 3" xfId="40269"/>
    <cellStyle name="40 % - Accent5 3 5 2 3 4 4" xfId="56498"/>
    <cellStyle name="40 % - Accent5 3 5 2 3 5" xfId="14309"/>
    <cellStyle name="40 % - Accent5 3 5 2 3 5 2" xfId="50008"/>
    <cellStyle name="40 % - Accent5 3 5 2 3 6" xfId="20799"/>
    <cellStyle name="40 % - Accent5 3 5 2 3 7" xfId="33779"/>
    <cellStyle name="40 % - Accent5 3 5 2 3 8" xfId="46762"/>
    <cellStyle name="40 % - Accent5 3 5 2 4" xfId="2432"/>
    <cellStyle name="40 % - Accent5 3 5 2 4 2" xfId="5677"/>
    <cellStyle name="40 % - Accent5 3 5 2 4 2 2" xfId="12209"/>
    <cellStyle name="40 % - Accent5 3 5 2 4 2 2 2" xfId="31682"/>
    <cellStyle name="40 % - Accent5 3 5 2 4 2 2 3" xfId="44662"/>
    <cellStyle name="40 % - Accent5 3 5 2 4 2 2 4" xfId="60891"/>
    <cellStyle name="40 % - Accent5 3 5 2 4 2 3" xfId="18702"/>
    <cellStyle name="40 % - Accent5 3 5 2 4 2 4" xfId="25192"/>
    <cellStyle name="40 % - Accent5 3 5 2 4 2 5" xfId="38172"/>
    <cellStyle name="40 % - Accent5 3 5 2 4 2 6" xfId="54401"/>
    <cellStyle name="40 % - Accent5 3 5 2 4 3" xfId="8964"/>
    <cellStyle name="40 % - Accent5 3 5 2 4 3 2" xfId="28437"/>
    <cellStyle name="40 % - Accent5 3 5 2 4 3 3" xfId="41417"/>
    <cellStyle name="40 % - Accent5 3 5 2 4 3 4" xfId="57646"/>
    <cellStyle name="40 % - Accent5 3 5 2 4 4" xfId="15457"/>
    <cellStyle name="40 % - Accent5 3 5 2 4 4 2" xfId="51156"/>
    <cellStyle name="40 % - Accent5 3 5 2 4 5" xfId="21947"/>
    <cellStyle name="40 % - Accent5 3 5 2 4 6" xfId="34927"/>
    <cellStyle name="40 % - Accent5 3 5 2 4 7" xfId="47910"/>
    <cellStyle name="40 % - Accent5 3 5 2 5" xfId="4054"/>
    <cellStyle name="40 % - Accent5 3 5 2 5 2" xfId="10586"/>
    <cellStyle name="40 % - Accent5 3 5 2 5 2 2" xfId="30059"/>
    <cellStyle name="40 % - Accent5 3 5 2 5 2 3" xfId="43039"/>
    <cellStyle name="40 % - Accent5 3 5 2 5 2 4" xfId="59268"/>
    <cellStyle name="40 % - Accent5 3 5 2 5 3" xfId="17079"/>
    <cellStyle name="40 % - Accent5 3 5 2 5 4" xfId="23569"/>
    <cellStyle name="40 % - Accent5 3 5 2 5 5" xfId="36549"/>
    <cellStyle name="40 % - Accent5 3 5 2 5 6" xfId="52778"/>
    <cellStyle name="40 % - Accent5 3 5 2 6" xfId="7341"/>
    <cellStyle name="40 % - Accent5 3 5 2 6 2" xfId="26814"/>
    <cellStyle name="40 % - Accent5 3 5 2 6 3" xfId="39794"/>
    <cellStyle name="40 % - Accent5 3 5 2 6 4" xfId="56023"/>
    <cellStyle name="40 % - Accent5 3 5 2 7" xfId="13834"/>
    <cellStyle name="40 % - Accent5 3 5 2 7 2" xfId="49533"/>
    <cellStyle name="40 % - Accent5 3 5 2 8" xfId="20324"/>
    <cellStyle name="40 % - Accent5 3 5 2 9" xfId="33304"/>
    <cellStyle name="40 % - Accent5 3 5 3" xfId="534"/>
    <cellStyle name="40 % - Accent5 3 5 3 2" xfId="1483"/>
    <cellStyle name="40 % - Accent5 3 5 3 2 2" xfId="3150"/>
    <cellStyle name="40 % - Accent5 3 5 3 2 2 2" xfId="6395"/>
    <cellStyle name="40 % - Accent5 3 5 3 2 2 2 2" xfId="12927"/>
    <cellStyle name="40 % - Accent5 3 5 3 2 2 2 2 2" xfId="32400"/>
    <cellStyle name="40 % - Accent5 3 5 3 2 2 2 2 3" xfId="45380"/>
    <cellStyle name="40 % - Accent5 3 5 3 2 2 2 2 4" xfId="61609"/>
    <cellStyle name="40 % - Accent5 3 5 3 2 2 2 3" xfId="19420"/>
    <cellStyle name="40 % - Accent5 3 5 3 2 2 2 4" xfId="25910"/>
    <cellStyle name="40 % - Accent5 3 5 3 2 2 2 5" xfId="38890"/>
    <cellStyle name="40 % - Accent5 3 5 3 2 2 2 6" xfId="55119"/>
    <cellStyle name="40 % - Accent5 3 5 3 2 2 3" xfId="9682"/>
    <cellStyle name="40 % - Accent5 3 5 3 2 2 3 2" xfId="29155"/>
    <cellStyle name="40 % - Accent5 3 5 3 2 2 3 3" xfId="42135"/>
    <cellStyle name="40 % - Accent5 3 5 3 2 2 3 4" xfId="58364"/>
    <cellStyle name="40 % - Accent5 3 5 3 2 2 4" xfId="16175"/>
    <cellStyle name="40 % - Accent5 3 5 3 2 2 4 2" xfId="51874"/>
    <cellStyle name="40 % - Accent5 3 5 3 2 2 5" xfId="22665"/>
    <cellStyle name="40 % - Accent5 3 5 3 2 2 6" xfId="35645"/>
    <cellStyle name="40 % - Accent5 3 5 3 2 2 7" xfId="48628"/>
    <cellStyle name="40 % - Accent5 3 5 3 2 3" xfId="4772"/>
    <cellStyle name="40 % - Accent5 3 5 3 2 3 2" xfId="11304"/>
    <cellStyle name="40 % - Accent5 3 5 3 2 3 2 2" xfId="30777"/>
    <cellStyle name="40 % - Accent5 3 5 3 2 3 2 3" xfId="43757"/>
    <cellStyle name="40 % - Accent5 3 5 3 2 3 2 4" xfId="59986"/>
    <cellStyle name="40 % - Accent5 3 5 3 2 3 3" xfId="17797"/>
    <cellStyle name="40 % - Accent5 3 5 3 2 3 4" xfId="24287"/>
    <cellStyle name="40 % - Accent5 3 5 3 2 3 5" xfId="37267"/>
    <cellStyle name="40 % - Accent5 3 5 3 2 3 6" xfId="53496"/>
    <cellStyle name="40 % - Accent5 3 5 3 2 4" xfId="8059"/>
    <cellStyle name="40 % - Accent5 3 5 3 2 4 2" xfId="27532"/>
    <cellStyle name="40 % - Accent5 3 5 3 2 4 3" xfId="40512"/>
    <cellStyle name="40 % - Accent5 3 5 3 2 4 4" xfId="56741"/>
    <cellStyle name="40 % - Accent5 3 5 3 2 5" xfId="14552"/>
    <cellStyle name="40 % - Accent5 3 5 3 2 5 2" xfId="50251"/>
    <cellStyle name="40 % - Accent5 3 5 3 2 6" xfId="21042"/>
    <cellStyle name="40 % - Accent5 3 5 3 2 7" xfId="34022"/>
    <cellStyle name="40 % - Accent5 3 5 3 2 8" xfId="47005"/>
    <cellStyle name="40 % - Accent5 3 5 3 3" xfId="2202"/>
    <cellStyle name="40 % - Accent5 3 5 3 3 2" xfId="5447"/>
    <cellStyle name="40 % - Accent5 3 5 3 3 2 2" xfId="11979"/>
    <cellStyle name="40 % - Accent5 3 5 3 3 2 2 2" xfId="31452"/>
    <cellStyle name="40 % - Accent5 3 5 3 3 2 2 3" xfId="44432"/>
    <cellStyle name="40 % - Accent5 3 5 3 3 2 2 4" xfId="60661"/>
    <cellStyle name="40 % - Accent5 3 5 3 3 2 3" xfId="18472"/>
    <cellStyle name="40 % - Accent5 3 5 3 3 2 4" xfId="24962"/>
    <cellStyle name="40 % - Accent5 3 5 3 3 2 5" xfId="37942"/>
    <cellStyle name="40 % - Accent5 3 5 3 3 2 6" xfId="54171"/>
    <cellStyle name="40 % - Accent5 3 5 3 3 3" xfId="8734"/>
    <cellStyle name="40 % - Accent5 3 5 3 3 3 2" xfId="28207"/>
    <cellStyle name="40 % - Accent5 3 5 3 3 3 3" xfId="41187"/>
    <cellStyle name="40 % - Accent5 3 5 3 3 3 4" xfId="57416"/>
    <cellStyle name="40 % - Accent5 3 5 3 3 4" xfId="15227"/>
    <cellStyle name="40 % - Accent5 3 5 3 3 4 2" xfId="50926"/>
    <cellStyle name="40 % - Accent5 3 5 3 3 5" xfId="21717"/>
    <cellStyle name="40 % - Accent5 3 5 3 3 6" xfId="34697"/>
    <cellStyle name="40 % - Accent5 3 5 3 3 7" xfId="47680"/>
    <cellStyle name="40 % - Accent5 3 5 3 4" xfId="3824"/>
    <cellStyle name="40 % - Accent5 3 5 3 4 2" xfId="10356"/>
    <cellStyle name="40 % - Accent5 3 5 3 4 2 2" xfId="29829"/>
    <cellStyle name="40 % - Accent5 3 5 3 4 2 3" xfId="42809"/>
    <cellStyle name="40 % - Accent5 3 5 3 4 2 4" xfId="59038"/>
    <cellStyle name="40 % - Accent5 3 5 3 4 3" xfId="16849"/>
    <cellStyle name="40 % - Accent5 3 5 3 4 4" xfId="23339"/>
    <cellStyle name="40 % - Accent5 3 5 3 4 5" xfId="36319"/>
    <cellStyle name="40 % - Accent5 3 5 3 4 6" xfId="52548"/>
    <cellStyle name="40 % - Accent5 3 5 3 5" xfId="7111"/>
    <cellStyle name="40 % - Accent5 3 5 3 5 2" xfId="26584"/>
    <cellStyle name="40 % - Accent5 3 5 3 5 3" xfId="39564"/>
    <cellStyle name="40 % - Accent5 3 5 3 5 4" xfId="55793"/>
    <cellStyle name="40 % - Accent5 3 5 3 6" xfId="13604"/>
    <cellStyle name="40 % - Accent5 3 5 3 6 2" xfId="49303"/>
    <cellStyle name="40 % - Accent5 3 5 3 7" xfId="20094"/>
    <cellStyle name="40 % - Accent5 3 5 3 8" xfId="33074"/>
    <cellStyle name="40 % - Accent5 3 5 3 9" xfId="46057"/>
    <cellStyle name="40 % - Accent5 3 5 4" xfId="1020"/>
    <cellStyle name="40 % - Accent5 3 5 4 2" xfId="2687"/>
    <cellStyle name="40 % - Accent5 3 5 4 2 2" xfId="5932"/>
    <cellStyle name="40 % - Accent5 3 5 4 2 2 2" xfId="12464"/>
    <cellStyle name="40 % - Accent5 3 5 4 2 2 2 2" xfId="31937"/>
    <cellStyle name="40 % - Accent5 3 5 4 2 2 2 3" xfId="44917"/>
    <cellStyle name="40 % - Accent5 3 5 4 2 2 2 4" xfId="61146"/>
    <cellStyle name="40 % - Accent5 3 5 4 2 2 3" xfId="18957"/>
    <cellStyle name="40 % - Accent5 3 5 4 2 2 4" xfId="25447"/>
    <cellStyle name="40 % - Accent5 3 5 4 2 2 5" xfId="38427"/>
    <cellStyle name="40 % - Accent5 3 5 4 2 2 6" xfId="54656"/>
    <cellStyle name="40 % - Accent5 3 5 4 2 3" xfId="9219"/>
    <cellStyle name="40 % - Accent5 3 5 4 2 3 2" xfId="28692"/>
    <cellStyle name="40 % - Accent5 3 5 4 2 3 3" xfId="41672"/>
    <cellStyle name="40 % - Accent5 3 5 4 2 3 4" xfId="57901"/>
    <cellStyle name="40 % - Accent5 3 5 4 2 4" xfId="15712"/>
    <cellStyle name="40 % - Accent5 3 5 4 2 4 2" xfId="51411"/>
    <cellStyle name="40 % - Accent5 3 5 4 2 5" xfId="22202"/>
    <cellStyle name="40 % - Accent5 3 5 4 2 6" xfId="35182"/>
    <cellStyle name="40 % - Accent5 3 5 4 2 7" xfId="48165"/>
    <cellStyle name="40 % - Accent5 3 5 4 3" xfId="4309"/>
    <cellStyle name="40 % - Accent5 3 5 4 3 2" xfId="10841"/>
    <cellStyle name="40 % - Accent5 3 5 4 3 2 2" xfId="30314"/>
    <cellStyle name="40 % - Accent5 3 5 4 3 2 3" xfId="43294"/>
    <cellStyle name="40 % - Accent5 3 5 4 3 2 4" xfId="59523"/>
    <cellStyle name="40 % - Accent5 3 5 4 3 3" xfId="17334"/>
    <cellStyle name="40 % - Accent5 3 5 4 3 4" xfId="23824"/>
    <cellStyle name="40 % - Accent5 3 5 4 3 5" xfId="36804"/>
    <cellStyle name="40 % - Accent5 3 5 4 3 6" xfId="53033"/>
    <cellStyle name="40 % - Accent5 3 5 4 4" xfId="7596"/>
    <cellStyle name="40 % - Accent5 3 5 4 4 2" xfId="27069"/>
    <cellStyle name="40 % - Accent5 3 5 4 4 3" xfId="40049"/>
    <cellStyle name="40 % - Accent5 3 5 4 4 4" xfId="56278"/>
    <cellStyle name="40 % - Accent5 3 5 4 5" xfId="14089"/>
    <cellStyle name="40 % - Accent5 3 5 4 5 2" xfId="49788"/>
    <cellStyle name="40 % - Accent5 3 5 4 6" xfId="20579"/>
    <cellStyle name="40 % - Accent5 3 5 4 7" xfId="33559"/>
    <cellStyle name="40 % - Accent5 3 5 4 8" xfId="46542"/>
    <cellStyle name="40 % - Accent5 3 5 5" xfId="1973"/>
    <cellStyle name="40 % - Accent5 3 5 5 2" xfId="5218"/>
    <cellStyle name="40 % - Accent5 3 5 5 2 2" xfId="11750"/>
    <cellStyle name="40 % - Accent5 3 5 5 2 2 2" xfId="31223"/>
    <cellStyle name="40 % - Accent5 3 5 5 2 2 3" xfId="44203"/>
    <cellStyle name="40 % - Accent5 3 5 5 2 2 4" xfId="60432"/>
    <cellStyle name="40 % - Accent5 3 5 5 2 3" xfId="18243"/>
    <cellStyle name="40 % - Accent5 3 5 5 2 4" xfId="24733"/>
    <cellStyle name="40 % - Accent5 3 5 5 2 5" xfId="37713"/>
    <cellStyle name="40 % - Accent5 3 5 5 2 6" xfId="53942"/>
    <cellStyle name="40 % - Accent5 3 5 5 3" xfId="8505"/>
    <cellStyle name="40 % - Accent5 3 5 5 3 2" xfId="27978"/>
    <cellStyle name="40 % - Accent5 3 5 5 3 3" xfId="40958"/>
    <cellStyle name="40 % - Accent5 3 5 5 3 4" xfId="57187"/>
    <cellStyle name="40 % - Accent5 3 5 5 4" xfId="14998"/>
    <cellStyle name="40 % - Accent5 3 5 5 4 2" xfId="50697"/>
    <cellStyle name="40 % - Accent5 3 5 5 5" xfId="21488"/>
    <cellStyle name="40 % - Accent5 3 5 5 6" xfId="34468"/>
    <cellStyle name="40 % - Accent5 3 5 5 7" xfId="47451"/>
    <cellStyle name="40 % - Accent5 3 5 6" xfId="3594"/>
    <cellStyle name="40 % - Accent5 3 5 6 2" xfId="10126"/>
    <cellStyle name="40 % - Accent5 3 5 6 2 2" xfId="29599"/>
    <cellStyle name="40 % - Accent5 3 5 6 2 3" xfId="42579"/>
    <cellStyle name="40 % - Accent5 3 5 6 2 4" xfId="58808"/>
    <cellStyle name="40 % - Accent5 3 5 6 3" xfId="16619"/>
    <cellStyle name="40 % - Accent5 3 5 6 4" xfId="23109"/>
    <cellStyle name="40 % - Accent5 3 5 6 5" xfId="36089"/>
    <cellStyle name="40 % - Accent5 3 5 6 6" xfId="52318"/>
    <cellStyle name="40 % - Accent5 3 5 7" xfId="6881"/>
    <cellStyle name="40 % - Accent5 3 5 7 2" xfId="26354"/>
    <cellStyle name="40 % - Accent5 3 5 7 3" xfId="39334"/>
    <cellStyle name="40 % - Accent5 3 5 7 4" xfId="55563"/>
    <cellStyle name="40 % - Accent5 3 5 8" xfId="13374"/>
    <cellStyle name="40 % - Accent5 3 5 8 2" xfId="49073"/>
    <cellStyle name="40 % - Accent5 3 5 9" xfId="19864"/>
    <cellStyle name="40 % - Accent5 3 6" xfId="632"/>
    <cellStyle name="40 % - Accent5 3 6 10" xfId="46155"/>
    <cellStyle name="40 % - Accent5 3 6 2" xfId="1351"/>
    <cellStyle name="40 % - Accent5 3 6 2 2" xfId="3018"/>
    <cellStyle name="40 % - Accent5 3 6 2 2 2" xfId="6263"/>
    <cellStyle name="40 % - Accent5 3 6 2 2 2 2" xfId="12795"/>
    <cellStyle name="40 % - Accent5 3 6 2 2 2 2 2" xfId="32268"/>
    <cellStyle name="40 % - Accent5 3 6 2 2 2 2 3" xfId="45248"/>
    <cellStyle name="40 % - Accent5 3 6 2 2 2 2 4" xfId="61477"/>
    <cellStyle name="40 % - Accent5 3 6 2 2 2 3" xfId="19288"/>
    <cellStyle name="40 % - Accent5 3 6 2 2 2 4" xfId="25778"/>
    <cellStyle name="40 % - Accent5 3 6 2 2 2 5" xfId="38758"/>
    <cellStyle name="40 % - Accent5 3 6 2 2 2 6" xfId="54987"/>
    <cellStyle name="40 % - Accent5 3 6 2 2 3" xfId="9550"/>
    <cellStyle name="40 % - Accent5 3 6 2 2 3 2" xfId="29023"/>
    <cellStyle name="40 % - Accent5 3 6 2 2 3 3" xfId="42003"/>
    <cellStyle name="40 % - Accent5 3 6 2 2 3 4" xfId="58232"/>
    <cellStyle name="40 % - Accent5 3 6 2 2 4" xfId="16043"/>
    <cellStyle name="40 % - Accent5 3 6 2 2 4 2" xfId="51742"/>
    <cellStyle name="40 % - Accent5 3 6 2 2 5" xfId="22533"/>
    <cellStyle name="40 % - Accent5 3 6 2 2 6" xfId="35513"/>
    <cellStyle name="40 % - Accent5 3 6 2 2 7" xfId="48496"/>
    <cellStyle name="40 % - Accent5 3 6 2 3" xfId="4640"/>
    <cellStyle name="40 % - Accent5 3 6 2 3 2" xfId="11172"/>
    <cellStyle name="40 % - Accent5 3 6 2 3 2 2" xfId="30645"/>
    <cellStyle name="40 % - Accent5 3 6 2 3 2 3" xfId="43625"/>
    <cellStyle name="40 % - Accent5 3 6 2 3 2 4" xfId="59854"/>
    <cellStyle name="40 % - Accent5 3 6 2 3 3" xfId="17665"/>
    <cellStyle name="40 % - Accent5 3 6 2 3 4" xfId="24155"/>
    <cellStyle name="40 % - Accent5 3 6 2 3 5" xfId="37135"/>
    <cellStyle name="40 % - Accent5 3 6 2 3 6" xfId="53364"/>
    <cellStyle name="40 % - Accent5 3 6 2 4" xfId="7927"/>
    <cellStyle name="40 % - Accent5 3 6 2 4 2" xfId="27400"/>
    <cellStyle name="40 % - Accent5 3 6 2 4 3" xfId="40380"/>
    <cellStyle name="40 % - Accent5 3 6 2 4 4" xfId="56609"/>
    <cellStyle name="40 % - Accent5 3 6 2 5" xfId="14420"/>
    <cellStyle name="40 % - Accent5 3 6 2 5 2" xfId="50119"/>
    <cellStyle name="40 % - Accent5 3 6 2 6" xfId="20910"/>
    <cellStyle name="40 % - Accent5 3 6 2 7" xfId="33890"/>
    <cellStyle name="40 % - Accent5 3 6 2 8" xfId="46873"/>
    <cellStyle name="40 % - Accent5 3 6 3" xfId="887"/>
    <cellStyle name="40 % - Accent5 3 6 3 2" xfId="2555"/>
    <cellStyle name="40 % - Accent5 3 6 3 2 2" xfId="5800"/>
    <cellStyle name="40 % - Accent5 3 6 3 2 2 2" xfId="12332"/>
    <cellStyle name="40 % - Accent5 3 6 3 2 2 2 2" xfId="31805"/>
    <cellStyle name="40 % - Accent5 3 6 3 2 2 2 3" xfId="44785"/>
    <cellStyle name="40 % - Accent5 3 6 3 2 2 2 4" xfId="61014"/>
    <cellStyle name="40 % - Accent5 3 6 3 2 2 3" xfId="18825"/>
    <cellStyle name="40 % - Accent5 3 6 3 2 2 4" xfId="25315"/>
    <cellStyle name="40 % - Accent5 3 6 3 2 2 5" xfId="38295"/>
    <cellStyle name="40 % - Accent5 3 6 3 2 2 6" xfId="54524"/>
    <cellStyle name="40 % - Accent5 3 6 3 2 3" xfId="9087"/>
    <cellStyle name="40 % - Accent5 3 6 3 2 3 2" xfId="28560"/>
    <cellStyle name="40 % - Accent5 3 6 3 2 3 3" xfId="41540"/>
    <cellStyle name="40 % - Accent5 3 6 3 2 3 4" xfId="57769"/>
    <cellStyle name="40 % - Accent5 3 6 3 2 4" xfId="15580"/>
    <cellStyle name="40 % - Accent5 3 6 3 2 4 2" xfId="51279"/>
    <cellStyle name="40 % - Accent5 3 6 3 2 5" xfId="22070"/>
    <cellStyle name="40 % - Accent5 3 6 3 2 6" xfId="35050"/>
    <cellStyle name="40 % - Accent5 3 6 3 2 7" xfId="48033"/>
    <cellStyle name="40 % - Accent5 3 6 3 3" xfId="4177"/>
    <cellStyle name="40 % - Accent5 3 6 3 3 2" xfId="10709"/>
    <cellStyle name="40 % - Accent5 3 6 3 3 2 2" xfId="30182"/>
    <cellStyle name="40 % - Accent5 3 6 3 3 2 3" xfId="43162"/>
    <cellStyle name="40 % - Accent5 3 6 3 3 2 4" xfId="59391"/>
    <cellStyle name="40 % - Accent5 3 6 3 3 3" xfId="17202"/>
    <cellStyle name="40 % - Accent5 3 6 3 3 4" xfId="23692"/>
    <cellStyle name="40 % - Accent5 3 6 3 3 5" xfId="36672"/>
    <cellStyle name="40 % - Accent5 3 6 3 3 6" xfId="52901"/>
    <cellStyle name="40 % - Accent5 3 6 3 4" xfId="7464"/>
    <cellStyle name="40 % - Accent5 3 6 3 4 2" xfId="26937"/>
    <cellStyle name="40 % - Accent5 3 6 3 4 3" xfId="39917"/>
    <cellStyle name="40 % - Accent5 3 6 3 4 4" xfId="56146"/>
    <cellStyle name="40 % - Accent5 3 6 3 5" xfId="13957"/>
    <cellStyle name="40 % - Accent5 3 6 3 5 2" xfId="49656"/>
    <cellStyle name="40 % - Accent5 3 6 3 6" xfId="20447"/>
    <cellStyle name="40 % - Accent5 3 6 3 7" xfId="33427"/>
    <cellStyle name="40 % - Accent5 3 6 3 8" xfId="46410"/>
    <cellStyle name="40 % - Accent5 3 6 4" xfId="2300"/>
    <cellStyle name="40 % - Accent5 3 6 4 2" xfId="5545"/>
    <cellStyle name="40 % - Accent5 3 6 4 2 2" xfId="12077"/>
    <cellStyle name="40 % - Accent5 3 6 4 2 2 2" xfId="31550"/>
    <cellStyle name="40 % - Accent5 3 6 4 2 2 3" xfId="44530"/>
    <cellStyle name="40 % - Accent5 3 6 4 2 2 4" xfId="60759"/>
    <cellStyle name="40 % - Accent5 3 6 4 2 3" xfId="18570"/>
    <cellStyle name="40 % - Accent5 3 6 4 2 4" xfId="25060"/>
    <cellStyle name="40 % - Accent5 3 6 4 2 5" xfId="38040"/>
    <cellStyle name="40 % - Accent5 3 6 4 2 6" xfId="54269"/>
    <cellStyle name="40 % - Accent5 3 6 4 3" xfId="8832"/>
    <cellStyle name="40 % - Accent5 3 6 4 3 2" xfId="28305"/>
    <cellStyle name="40 % - Accent5 3 6 4 3 3" xfId="41285"/>
    <cellStyle name="40 % - Accent5 3 6 4 3 4" xfId="57514"/>
    <cellStyle name="40 % - Accent5 3 6 4 4" xfId="15325"/>
    <cellStyle name="40 % - Accent5 3 6 4 4 2" xfId="51024"/>
    <cellStyle name="40 % - Accent5 3 6 4 5" xfId="21815"/>
    <cellStyle name="40 % - Accent5 3 6 4 6" xfId="34795"/>
    <cellStyle name="40 % - Accent5 3 6 4 7" xfId="47778"/>
    <cellStyle name="40 % - Accent5 3 6 5" xfId="3922"/>
    <cellStyle name="40 % - Accent5 3 6 5 2" xfId="10454"/>
    <cellStyle name="40 % - Accent5 3 6 5 2 2" xfId="29927"/>
    <cellStyle name="40 % - Accent5 3 6 5 2 3" xfId="42907"/>
    <cellStyle name="40 % - Accent5 3 6 5 2 4" xfId="59136"/>
    <cellStyle name="40 % - Accent5 3 6 5 3" xfId="16947"/>
    <cellStyle name="40 % - Accent5 3 6 5 4" xfId="23437"/>
    <cellStyle name="40 % - Accent5 3 6 5 5" xfId="36417"/>
    <cellStyle name="40 % - Accent5 3 6 5 6" xfId="52646"/>
    <cellStyle name="40 % - Accent5 3 6 6" xfId="7209"/>
    <cellStyle name="40 % - Accent5 3 6 6 2" xfId="26682"/>
    <cellStyle name="40 % - Accent5 3 6 6 3" xfId="39662"/>
    <cellStyle name="40 % - Accent5 3 6 6 4" xfId="55891"/>
    <cellStyle name="40 % - Accent5 3 6 7" xfId="13702"/>
    <cellStyle name="40 % - Accent5 3 6 7 2" xfId="49401"/>
    <cellStyle name="40 % - Accent5 3 6 8" xfId="20192"/>
    <cellStyle name="40 % - Accent5 3 6 9" xfId="33172"/>
    <cellStyle name="40 % - Accent5 3 7" xfId="402"/>
    <cellStyle name="40 % - Accent5 3 7 10" xfId="45925"/>
    <cellStyle name="40 % - Accent5 3 7 2" xfId="1571"/>
    <cellStyle name="40 % - Accent5 3 7 2 2" xfId="3238"/>
    <cellStyle name="40 % - Accent5 3 7 2 2 2" xfId="6483"/>
    <cellStyle name="40 % - Accent5 3 7 2 2 2 2" xfId="13015"/>
    <cellStyle name="40 % - Accent5 3 7 2 2 2 2 2" xfId="32488"/>
    <cellStyle name="40 % - Accent5 3 7 2 2 2 2 3" xfId="45468"/>
    <cellStyle name="40 % - Accent5 3 7 2 2 2 2 4" xfId="61697"/>
    <cellStyle name="40 % - Accent5 3 7 2 2 2 3" xfId="19508"/>
    <cellStyle name="40 % - Accent5 3 7 2 2 2 4" xfId="25998"/>
    <cellStyle name="40 % - Accent5 3 7 2 2 2 5" xfId="38978"/>
    <cellStyle name="40 % - Accent5 3 7 2 2 2 6" xfId="55207"/>
    <cellStyle name="40 % - Accent5 3 7 2 2 3" xfId="9770"/>
    <cellStyle name="40 % - Accent5 3 7 2 2 3 2" xfId="29243"/>
    <cellStyle name="40 % - Accent5 3 7 2 2 3 3" xfId="42223"/>
    <cellStyle name="40 % - Accent5 3 7 2 2 3 4" xfId="58452"/>
    <cellStyle name="40 % - Accent5 3 7 2 2 4" xfId="16263"/>
    <cellStyle name="40 % - Accent5 3 7 2 2 4 2" xfId="51962"/>
    <cellStyle name="40 % - Accent5 3 7 2 2 5" xfId="22753"/>
    <cellStyle name="40 % - Accent5 3 7 2 2 6" xfId="35733"/>
    <cellStyle name="40 % - Accent5 3 7 2 2 7" xfId="48716"/>
    <cellStyle name="40 % - Accent5 3 7 2 3" xfId="4860"/>
    <cellStyle name="40 % - Accent5 3 7 2 3 2" xfId="11392"/>
    <cellStyle name="40 % - Accent5 3 7 2 3 2 2" xfId="30865"/>
    <cellStyle name="40 % - Accent5 3 7 2 3 2 3" xfId="43845"/>
    <cellStyle name="40 % - Accent5 3 7 2 3 2 4" xfId="60074"/>
    <cellStyle name="40 % - Accent5 3 7 2 3 3" xfId="17885"/>
    <cellStyle name="40 % - Accent5 3 7 2 3 4" xfId="24375"/>
    <cellStyle name="40 % - Accent5 3 7 2 3 5" xfId="37355"/>
    <cellStyle name="40 % - Accent5 3 7 2 3 6" xfId="53584"/>
    <cellStyle name="40 % - Accent5 3 7 2 4" xfId="8147"/>
    <cellStyle name="40 % - Accent5 3 7 2 4 2" xfId="27620"/>
    <cellStyle name="40 % - Accent5 3 7 2 4 3" xfId="40600"/>
    <cellStyle name="40 % - Accent5 3 7 2 4 4" xfId="56829"/>
    <cellStyle name="40 % - Accent5 3 7 2 5" xfId="14640"/>
    <cellStyle name="40 % - Accent5 3 7 2 5 2" xfId="50339"/>
    <cellStyle name="40 % - Accent5 3 7 2 6" xfId="21130"/>
    <cellStyle name="40 % - Accent5 3 7 2 7" xfId="34110"/>
    <cellStyle name="40 % - Accent5 3 7 2 8" xfId="47093"/>
    <cellStyle name="40 % - Accent5 3 7 3" xfId="1108"/>
    <cellStyle name="40 % - Accent5 3 7 3 2" xfId="2775"/>
    <cellStyle name="40 % - Accent5 3 7 3 2 2" xfId="6020"/>
    <cellStyle name="40 % - Accent5 3 7 3 2 2 2" xfId="12552"/>
    <cellStyle name="40 % - Accent5 3 7 3 2 2 2 2" xfId="32025"/>
    <cellStyle name="40 % - Accent5 3 7 3 2 2 2 3" xfId="45005"/>
    <cellStyle name="40 % - Accent5 3 7 3 2 2 2 4" xfId="61234"/>
    <cellStyle name="40 % - Accent5 3 7 3 2 2 3" xfId="19045"/>
    <cellStyle name="40 % - Accent5 3 7 3 2 2 4" xfId="25535"/>
    <cellStyle name="40 % - Accent5 3 7 3 2 2 5" xfId="38515"/>
    <cellStyle name="40 % - Accent5 3 7 3 2 2 6" xfId="54744"/>
    <cellStyle name="40 % - Accent5 3 7 3 2 3" xfId="9307"/>
    <cellStyle name="40 % - Accent5 3 7 3 2 3 2" xfId="28780"/>
    <cellStyle name="40 % - Accent5 3 7 3 2 3 3" xfId="41760"/>
    <cellStyle name="40 % - Accent5 3 7 3 2 3 4" xfId="57989"/>
    <cellStyle name="40 % - Accent5 3 7 3 2 4" xfId="15800"/>
    <cellStyle name="40 % - Accent5 3 7 3 2 4 2" xfId="51499"/>
    <cellStyle name="40 % - Accent5 3 7 3 2 5" xfId="22290"/>
    <cellStyle name="40 % - Accent5 3 7 3 2 6" xfId="35270"/>
    <cellStyle name="40 % - Accent5 3 7 3 2 7" xfId="48253"/>
    <cellStyle name="40 % - Accent5 3 7 3 3" xfId="4397"/>
    <cellStyle name="40 % - Accent5 3 7 3 3 2" xfId="10929"/>
    <cellStyle name="40 % - Accent5 3 7 3 3 2 2" xfId="30402"/>
    <cellStyle name="40 % - Accent5 3 7 3 3 2 3" xfId="43382"/>
    <cellStyle name="40 % - Accent5 3 7 3 3 2 4" xfId="59611"/>
    <cellStyle name="40 % - Accent5 3 7 3 3 3" xfId="17422"/>
    <cellStyle name="40 % - Accent5 3 7 3 3 4" xfId="23912"/>
    <cellStyle name="40 % - Accent5 3 7 3 3 5" xfId="36892"/>
    <cellStyle name="40 % - Accent5 3 7 3 3 6" xfId="53121"/>
    <cellStyle name="40 % - Accent5 3 7 3 4" xfId="7684"/>
    <cellStyle name="40 % - Accent5 3 7 3 4 2" xfId="27157"/>
    <cellStyle name="40 % - Accent5 3 7 3 4 3" xfId="40137"/>
    <cellStyle name="40 % - Accent5 3 7 3 4 4" xfId="56366"/>
    <cellStyle name="40 % - Accent5 3 7 3 5" xfId="14177"/>
    <cellStyle name="40 % - Accent5 3 7 3 5 2" xfId="49876"/>
    <cellStyle name="40 % - Accent5 3 7 3 6" xfId="20667"/>
    <cellStyle name="40 % - Accent5 3 7 3 7" xfId="33647"/>
    <cellStyle name="40 % - Accent5 3 7 3 8" xfId="46630"/>
    <cellStyle name="40 % - Accent5 3 7 4" xfId="2070"/>
    <cellStyle name="40 % - Accent5 3 7 4 2" xfId="5315"/>
    <cellStyle name="40 % - Accent5 3 7 4 2 2" xfId="11847"/>
    <cellStyle name="40 % - Accent5 3 7 4 2 2 2" xfId="31320"/>
    <cellStyle name="40 % - Accent5 3 7 4 2 2 3" xfId="44300"/>
    <cellStyle name="40 % - Accent5 3 7 4 2 2 4" xfId="60529"/>
    <cellStyle name="40 % - Accent5 3 7 4 2 3" xfId="18340"/>
    <cellStyle name="40 % - Accent5 3 7 4 2 4" xfId="24830"/>
    <cellStyle name="40 % - Accent5 3 7 4 2 5" xfId="37810"/>
    <cellStyle name="40 % - Accent5 3 7 4 2 6" xfId="54039"/>
    <cellStyle name="40 % - Accent5 3 7 4 3" xfId="8602"/>
    <cellStyle name="40 % - Accent5 3 7 4 3 2" xfId="28075"/>
    <cellStyle name="40 % - Accent5 3 7 4 3 3" xfId="41055"/>
    <cellStyle name="40 % - Accent5 3 7 4 3 4" xfId="57284"/>
    <cellStyle name="40 % - Accent5 3 7 4 4" xfId="15095"/>
    <cellStyle name="40 % - Accent5 3 7 4 4 2" xfId="50794"/>
    <cellStyle name="40 % - Accent5 3 7 4 5" xfId="21585"/>
    <cellStyle name="40 % - Accent5 3 7 4 6" xfId="34565"/>
    <cellStyle name="40 % - Accent5 3 7 4 7" xfId="47548"/>
    <cellStyle name="40 % - Accent5 3 7 5" xfId="3692"/>
    <cellStyle name="40 % - Accent5 3 7 5 2" xfId="10224"/>
    <cellStyle name="40 % - Accent5 3 7 5 2 2" xfId="29697"/>
    <cellStyle name="40 % - Accent5 3 7 5 2 3" xfId="42677"/>
    <cellStyle name="40 % - Accent5 3 7 5 2 4" xfId="58906"/>
    <cellStyle name="40 % - Accent5 3 7 5 3" xfId="16717"/>
    <cellStyle name="40 % - Accent5 3 7 5 4" xfId="23207"/>
    <cellStyle name="40 % - Accent5 3 7 5 5" xfId="36187"/>
    <cellStyle name="40 % - Accent5 3 7 5 6" xfId="52416"/>
    <cellStyle name="40 % - Accent5 3 7 6" xfId="6979"/>
    <cellStyle name="40 % - Accent5 3 7 6 2" xfId="26452"/>
    <cellStyle name="40 % - Accent5 3 7 6 3" xfId="39432"/>
    <cellStyle name="40 % - Accent5 3 7 6 4" xfId="55661"/>
    <cellStyle name="40 % - Accent5 3 7 7" xfId="13472"/>
    <cellStyle name="40 % - Accent5 3 7 7 2" xfId="49171"/>
    <cellStyle name="40 % - Accent5 3 7 8" xfId="19962"/>
    <cellStyle name="40 % - Accent5 3 7 9" xfId="32942"/>
    <cellStyle name="40 % - Accent5 3 8" xfId="1328"/>
    <cellStyle name="40 % - Accent5 3 8 2" xfId="2995"/>
    <cellStyle name="40 % - Accent5 3 8 2 2" xfId="6240"/>
    <cellStyle name="40 % - Accent5 3 8 2 2 2" xfId="12772"/>
    <cellStyle name="40 % - Accent5 3 8 2 2 2 2" xfId="32245"/>
    <cellStyle name="40 % - Accent5 3 8 2 2 2 3" xfId="45225"/>
    <cellStyle name="40 % - Accent5 3 8 2 2 2 4" xfId="61454"/>
    <cellStyle name="40 % - Accent5 3 8 2 2 3" xfId="19265"/>
    <cellStyle name="40 % - Accent5 3 8 2 2 4" xfId="25755"/>
    <cellStyle name="40 % - Accent5 3 8 2 2 5" xfId="38735"/>
    <cellStyle name="40 % - Accent5 3 8 2 2 6" xfId="54964"/>
    <cellStyle name="40 % - Accent5 3 8 2 3" xfId="9527"/>
    <cellStyle name="40 % - Accent5 3 8 2 3 2" xfId="29000"/>
    <cellStyle name="40 % - Accent5 3 8 2 3 3" xfId="41980"/>
    <cellStyle name="40 % - Accent5 3 8 2 3 4" xfId="58209"/>
    <cellStyle name="40 % - Accent5 3 8 2 4" xfId="16020"/>
    <cellStyle name="40 % - Accent5 3 8 2 4 2" xfId="51719"/>
    <cellStyle name="40 % - Accent5 3 8 2 5" xfId="22510"/>
    <cellStyle name="40 % - Accent5 3 8 2 6" xfId="35490"/>
    <cellStyle name="40 % - Accent5 3 8 2 7" xfId="48473"/>
    <cellStyle name="40 % - Accent5 3 8 3" xfId="4617"/>
    <cellStyle name="40 % - Accent5 3 8 3 2" xfId="11149"/>
    <cellStyle name="40 % - Accent5 3 8 3 2 2" xfId="30622"/>
    <cellStyle name="40 % - Accent5 3 8 3 2 3" xfId="43602"/>
    <cellStyle name="40 % - Accent5 3 8 3 2 4" xfId="59831"/>
    <cellStyle name="40 % - Accent5 3 8 3 3" xfId="17642"/>
    <cellStyle name="40 % - Accent5 3 8 3 4" xfId="24132"/>
    <cellStyle name="40 % - Accent5 3 8 3 5" xfId="37112"/>
    <cellStyle name="40 % - Accent5 3 8 3 6" xfId="53341"/>
    <cellStyle name="40 % - Accent5 3 8 4" xfId="7904"/>
    <cellStyle name="40 % - Accent5 3 8 4 2" xfId="27377"/>
    <cellStyle name="40 % - Accent5 3 8 4 3" xfId="40357"/>
    <cellStyle name="40 % - Accent5 3 8 4 4" xfId="56586"/>
    <cellStyle name="40 % - Accent5 3 8 5" xfId="14397"/>
    <cellStyle name="40 % - Accent5 3 8 5 2" xfId="50096"/>
    <cellStyle name="40 % - Accent5 3 8 6" xfId="20887"/>
    <cellStyle name="40 % - Accent5 3 8 7" xfId="33867"/>
    <cellStyle name="40 % - Accent5 3 8 8" xfId="46850"/>
    <cellStyle name="40 % - Accent5 3 9" xfId="864"/>
    <cellStyle name="40 % - Accent5 3 9 2" xfId="2532"/>
    <cellStyle name="40 % - Accent5 3 9 2 2" xfId="5777"/>
    <cellStyle name="40 % - Accent5 3 9 2 2 2" xfId="12309"/>
    <cellStyle name="40 % - Accent5 3 9 2 2 2 2" xfId="31782"/>
    <cellStyle name="40 % - Accent5 3 9 2 2 2 3" xfId="44762"/>
    <cellStyle name="40 % - Accent5 3 9 2 2 2 4" xfId="60991"/>
    <cellStyle name="40 % - Accent5 3 9 2 2 3" xfId="18802"/>
    <cellStyle name="40 % - Accent5 3 9 2 2 4" xfId="25292"/>
    <cellStyle name="40 % - Accent5 3 9 2 2 5" xfId="38272"/>
    <cellStyle name="40 % - Accent5 3 9 2 2 6" xfId="54501"/>
    <cellStyle name="40 % - Accent5 3 9 2 3" xfId="9064"/>
    <cellStyle name="40 % - Accent5 3 9 2 3 2" xfId="28537"/>
    <cellStyle name="40 % - Accent5 3 9 2 3 3" xfId="41517"/>
    <cellStyle name="40 % - Accent5 3 9 2 3 4" xfId="57746"/>
    <cellStyle name="40 % - Accent5 3 9 2 4" xfId="15557"/>
    <cellStyle name="40 % - Accent5 3 9 2 4 2" xfId="51256"/>
    <cellStyle name="40 % - Accent5 3 9 2 5" xfId="22047"/>
    <cellStyle name="40 % - Accent5 3 9 2 6" xfId="35027"/>
    <cellStyle name="40 % - Accent5 3 9 2 7" xfId="48010"/>
    <cellStyle name="40 % - Accent5 3 9 3" xfId="4154"/>
    <cellStyle name="40 % - Accent5 3 9 3 2" xfId="10686"/>
    <cellStyle name="40 % - Accent5 3 9 3 2 2" xfId="30159"/>
    <cellStyle name="40 % - Accent5 3 9 3 2 3" xfId="43139"/>
    <cellStyle name="40 % - Accent5 3 9 3 2 4" xfId="59368"/>
    <cellStyle name="40 % - Accent5 3 9 3 3" xfId="17179"/>
    <cellStyle name="40 % - Accent5 3 9 3 4" xfId="23669"/>
    <cellStyle name="40 % - Accent5 3 9 3 5" xfId="36649"/>
    <cellStyle name="40 % - Accent5 3 9 3 6" xfId="52878"/>
    <cellStyle name="40 % - Accent5 3 9 4" xfId="7441"/>
    <cellStyle name="40 % - Accent5 3 9 4 2" xfId="26914"/>
    <cellStyle name="40 % - Accent5 3 9 4 3" xfId="39894"/>
    <cellStyle name="40 % - Accent5 3 9 4 4" xfId="56123"/>
    <cellStyle name="40 % - Accent5 3 9 5" xfId="13934"/>
    <cellStyle name="40 % - Accent5 3 9 5 2" xfId="49633"/>
    <cellStyle name="40 % - Accent5 3 9 6" xfId="20424"/>
    <cellStyle name="40 % - Accent5 3 9 7" xfId="33404"/>
    <cellStyle name="40 % - Accent5 3 9 8" xfId="46387"/>
    <cellStyle name="40 % - Accent5 4" xfId="1795"/>
    <cellStyle name="40 % - Accent5 5" xfId="6704"/>
    <cellStyle name="40 % - Accent5 6" xfId="61920"/>
    <cellStyle name="40 % - Accent5 7" xfId="61938"/>
    <cellStyle name="40 % - Accent5 8" xfId="61950"/>
    <cellStyle name="40 % - Accent5 9" xfId="51"/>
    <cellStyle name="40 % - Accent6 2" xfId="95"/>
    <cellStyle name="40 % - Accent6 3" xfId="167"/>
    <cellStyle name="40 % - Accent6 3 10" xfId="1842"/>
    <cellStyle name="40 % - Accent6 3 10 2" xfId="5088"/>
    <cellStyle name="40 % - Accent6 3 10 2 2" xfId="11620"/>
    <cellStyle name="40 % - Accent6 3 10 2 2 2" xfId="31093"/>
    <cellStyle name="40 % - Accent6 3 10 2 2 3" xfId="44073"/>
    <cellStyle name="40 % - Accent6 3 10 2 2 4" xfId="60302"/>
    <cellStyle name="40 % - Accent6 3 10 2 3" xfId="18113"/>
    <cellStyle name="40 % - Accent6 3 10 2 4" xfId="24603"/>
    <cellStyle name="40 % - Accent6 3 10 2 5" xfId="37583"/>
    <cellStyle name="40 % - Accent6 3 10 2 6" xfId="53812"/>
    <cellStyle name="40 % - Accent6 3 10 3" xfId="8375"/>
    <cellStyle name="40 % - Accent6 3 10 3 2" xfId="27848"/>
    <cellStyle name="40 % - Accent6 3 10 3 3" xfId="40828"/>
    <cellStyle name="40 % - Accent6 3 10 3 4" xfId="57057"/>
    <cellStyle name="40 % - Accent6 3 10 4" xfId="14868"/>
    <cellStyle name="40 % - Accent6 3 10 4 2" xfId="50567"/>
    <cellStyle name="40 % - Accent6 3 10 5" xfId="21358"/>
    <cellStyle name="40 % - Accent6 3 10 6" xfId="34338"/>
    <cellStyle name="40 % - Accent6 3 10 7" xfId="47321"/>
    <cellStyle name="40 % - Accent6 3 11" xfId="3464"/>
    <cellStyle name="40 % - Accent6 3 11 2" xfId="9996"/>
    <cellStyle name="40 % - Accent6 3 11 2 2" xfId="29469"/>
    <cellStyle name="40 % - Accent6 3 11 2 3" xfId="42449"/>
    <cellStyle name="40 % - Accent6 3 11 2 4" xfId="58678"/>
    <cellStyle name="40 % - Accent6 3 11 3" xfId="16489"/>
    <cellStyle name="40 % - Accent6 3 11 4" xfId="22979"/>
    <cellStyle name="40 % - Accent6 3 11 5" xfId="35959"/>
    <cellStyle name="40 % - Accent6 3 11 6" xfId="52188"/>
    <cellStyle name="40 % - Accent6 3 12" xfId="6751"/>
    <cellStyle name="40 % - Accent6 3 12 2" xfId="26224"/>
    <cellStyle name="40 % - Accent6 3 12 3" xfId="39204"/>
    <cellStyle name="40 % - Accent6 3 12 4" xfId="55433"/>
    <cellStyle name="40 % - Accent6 3 13" xfId="13244"/>
    <cellStyle name="40 % - Accent6 3 13 2" xfId="48943"/>
    <cellStyle name="40 % - Accent6 3 14" xfId="19734"/>
    <cellStyle name="40 % - Accent6 3 15" xfId="32714"/>
    <cellStyle name="40 % - Accent6 3 16" xfId="45697"/>
    <cellStyle name="40 % - Accent6 3 2" xfId="191"/>
    <cellStyle name="40 % - Accent6 3 2 10" xfId="6773"/>
    <cellStyle name="40 % - Accent6 3 2 10 2" xfId="26246"/>
    <cellStyle name="40 % - Accent6 3 2 10 3" xfId="39226"/>
    <cellStyle name="40 % - Accent6 3 2 10 4" xfId="55455"/>
    <cellStyle name="40 % - Accent6 3 2 11" xfId="13266"/>
    <cellStyle name="40 % - Accent6 3 2 11 2" xfId="48965"/>
    <cellStyle name="40 % - Accent6 3 2 12" xfId="19756"/>
    <cellStyle name="40 % - Accent6 3 2 13" xfId="32736"/>
    <cellStyle name="40 % - Accent6 3 2 14" xfId="45719"/>
    <cellStyle name="40 % - Accent6 3 2 2" xfId="280"/>
    <cellStyle name="40 % - Accent6 3 2 2 10" xfId="19844"/>
    <cellStyle name="40 % - Accent6 3 2 2 11" xfId="32824"/>
    <cellStyle name="40 % - Accent6 3 2 2 12" xfId="45807"/>
    <cellStyle name="40 % - Accent6 3 2 2 2" xfId="368"/>
    <cellStyle name="40 % - Accent6 3 2 2 2 10" xfId="32912"/>
    <cellStyle name="40 % - Accent6 3 2 2 2 11" xfId="45895"/>
    <cellStyle name="40 % - Accent6 3 2 2 2 2" xfId="832"/>
    <cellStyle name="40 % - Accent6 3 2 2 2 2 10" xfId="46355"/>
    <cellStyle name="40 % - Accent6 3 2 2 2 2 2" xfId="1771"/>
    <cellStyle name="40 % - Accent6 3 2 2 2 2 2 2" xfId="3438"/>
    <cellStyle name="40 % - Accent6 3 2 2 2 2 2 2 2" xfId="6683"/>
    <cellStyle name="40 % - Accent6 3 2 2 2 2 2 2 2 2" xfId="13215"/>
    <cellStyle name="40 % - Accent6 3 2 2 2 2 2 2 2 2 2" xfId="32688"/>
    <cellStyle name="40 % - Accent6 3 2 2 2 2 2 2 2 2 3" xfId="45668"/>
    <cellStyle name="40 % - Accent6 3 2 2 2 2 2 2 2 2 4" xfId="61897"/>
    <cellStyle name="40 % - Accent6 3 2 2 2 2 2 2 2 3" xfId="19708"/>
    <cellStyle name="40 % - Accent6 3 2 2 2 2 2 2 2 4" xfId="26198"/>
    <cellStyle name="40 % - Accent6 3 2 2 2 2 2 2 2 5" xfId="39178"/>
    <cellStyle name="40 % - Accent6 3 2 2 2 2 2 2 2 6" xfId="55407"/>
    <cellStyle name="40 % - Accent6 3 2 2 2 2 2 2 3" xfId="9970"/>
    <cellStyle name="40 % - Accent6 3 2 2 2 2 2 2 3 2" xfId="29443"/>
    <cellStyle name="40 % - Accent6 3 2 2 2 2 2 2 3 3" xfId="42423"/>
    <cellStyle name="40 % - Accent6 3 2 2 2 2 2 2 3 4" xfId="58652"/>
    <cellStyle name="40 % - Accent6 3 2 2 2 2 2 2 4" xfId="16463"/>
    <cellStyle name="40 % - Accent6 3 2 2 2 2 2 2 4 2" xfId="52162"/>
    <cellStyle name="40 % - Accent6 3 2 2 2 2 2 2 5" xfId="22953"/>
    <cellStyle name="40 % - Accent6 3 2 2 2 2 2 2 6" xfId="35933"/>
    <cellStyle name="40 % - Accent6 3 2 2 2 2 2 2 7" xfId="48916"/>
    <cellStyle name="40 % - Accent6 3 2 2 2 2 2 3" xfId="5060"/>
    <cellStyle name="40 % - Accent6 3 2 2 2 2 2 3 2" xfId="11592"/>
    <cellStyle name="40 % - Accent6 3 2 2 2 2 2 3 2 2" xfId="31065"/>
    <cellStyle name="40 % - Accent6 3 2 2 2 2 2 3 2 3" xfId="44045"/>
    <cellStyle name="40 % - Accent6 3 2 2 2 2 2 3 2 4" xfId="60274"/>
    <cellStyle name="40 % - Accent6 3 2 2 2 2 2 3 3" xfId="18085"/>
    <cellStyle name="40 % - Accent6 3 2 2 2 2 2 3 4" xfId="24575"/>
    <cellStyle name="40 % - Accent6 3 2 2 2 2 2 3 5" xfId="37555"/>
    <cellStyle name="40 % - Accent6 3 2 2 2 2 2 3 6" xfId="53784"/>
    <cellStyle name="40 % - Accent6 3 2 2 2 2 2 4" xfId="8347"/>
    <cellStyle name="40 % - Accent6 3 2 2 2 2 2 4 2" xfId="27820"/>
    <cellStyle name="40 % - Accent6 3 2 2 2 2 2 4 3" xfId="40800"/>
    <cellStyle name="40 % - Accent6 3 2 2 2 2 2 4 4" xfId="57029"/>
    <cellStyle name="40 % - Accent6 3 2 2 2 2 2 5" xfId="14840"/>
    <cellStyle name="40 % - Accent6 3 2 2 2 2 2 5 2" xfId="50539"/>
    <cellStyle name="40 % - Accent6 3 2 2 2 2 2 6" xfId="21330"/>
    <cellStyle name="40 % - Accent6 3 2 2 2 2 2 7" xfId="34310"/>
    <cellStyle name="40 % - Accent6 3 2 2 2 2 2 8" xfId="47293"/>
    <cellStyle name="40 % - Accent6 3 2 2 2 2 3" xfId="1308"/>
    <cellStyle name="40 % - Accent6 3 2 2 2 2 3 2" xfId="2975"/>
    <cellStyle name="40 % - Accent6 3 2 2 2 2 3 2 2" xfId="6220"/>
    <cellStyle name="40 % - Accent6 3 2 2 2 2 3 2 2 2" xfId="12752"/>
    <cellStyle name="40 % - Accent6 3 2 2 2 2 3 2 2 2 2" xfId="32225"/>
    <cellStyle name="40 % - Accent6 3 2 2 2 2 3 2 2 2 3" xfId="45205"/>
    <cellStyle name="40 % - Accent6 3 2 2 2 2 3 2 2 2 4" xfId="61434"/>
    <cellStyle name="40 % - Accent6 3 2 2 2 2 3 2 2 3" xfId="19245"/>
    <cellStyle name="40 % - Accent6 3 2 2 2 2 3 2 2 4" xfId="25735"/>
    <cellStyle name="40 % - Accent6 3 2 2 2 2 3 2 2 5" xfId="38715"/>
    <cellStyle name="40 % - Accent6 3 2 2 2 2 3 2 2 6" xfId="54944"/>
    <cellStyle name="40 % - Accent6 3 2 2 2 2 3 2 3" xfId="9507"/>
    <cellStyle name="40 % - Accent6 3 2 2 2 2 3 2 3 2" xfId="28980"/>
    <cellStyle name="40 % - Accent6 3 2 2 2 2 3 2 3 3" xfId="41960"/>
    <cellStyle name="40 % - Accent6 3 2 2 2 2 3 2 3 4" xfId="58189"/>
    <cellStyle name="40 % - Accent6 3 2 2 2 2 3 2 4" xfId="16000"/>
    <cellStyle name="40 % - Accent6 3 2 2 2 2 3 2 4 2" xfId="51699"/>
    <cellStyle name="40 % - Accent6 3 2 2 2 2 3 2 5" xfId="22490"/>
    <cellStyle name="40 % - Accent6 3 2 2 2 2 3 2 6" xfId="35470"/>
    <cellStyle name="40 % - Accent6 3 2 2 2 2 3 2 7" xfId="48453"/>
    <cellStyle name="40 % - Accent6 3 2 2 2 2 3 3" xfId="4597"/>
    <cellStyle name="40 % - Accent6 3 2 2 2 2 3 3 2" xfId="11129"/>
    <cellStyle name="40 % - Accent6 3 2 2 2 2 3 3 2 2" xfId="30602"/>
    <cellStyle name="40 % - Accent6 3 2 2 2 2 3 3 2 3" xfId="43582"/>
    <cellStyle name="40 % - Accent6 3 2 2 2 2 3 3 2 4" xfId="59811"/>
    <cellStyle name="40 % - Accent6 3 2 2 2 2 3 3 3" xfId="17622"/>
    <cellStyle name="40 % - Accent6 3 2 2 2 2 3 3 4" xfId="24112"/>
    <cellStyle name="40 % - Accent6 3 2 2 2 2 3 3 5" xfId="37092"/>
    <cellStyle name="40 % - Accent6 3 2 2 2 2 3 3 6" xfId="53321"/>
    <cellStyle name="40 % - Accent6 3 2 2 2 2 3 4" xfId="7884"/>
    <cellStyle name="40 % - Accent6 3 2 2 2 2 3 4 2" xfId="27357"/>
    <cellStyle name="40 % - Accent6 3 2 2 2 2 3 4 3" xfId="40337"/>
    <cellStyle name="40 % - Accent6 3 2 2 2 2 3 4 4" xfId="56566"/>
    <cellStyle name="40 % - Accent6 3 2 2 2 2 3 5" xfId="14377"/>
    <cellStyle name="40 % - Accent6 3 2 2 2 2 3 5 2" xfId="50076"/>
    <cellStyle name="40 % - Accent6 3 2 2 2 2 3 6" xfId="20867"/>
    <cellStyle name="40 % - Accent6 3 2 2 2 2 3 7" xfId="33847"/>
    <cellStyle name="40 % - Accent6 3 2 2 2 2 3 8" xfId="46830"/>
    <cellStyle name="40 % - Accent6 3 2 2 2 2 4" xfId="2500"/>
    <cellStyle name="40 % - Accent6 3 2 2 2 2 4 2" xfId="5745"/>
    <cellStyle name="40 % - Accent6 3 2 2 2 2 4 2 2" xfId="12277"/>
    <cellStyle name="40 % - Accent6 3 2 2 2 2 4 2 2 2" xfId="31750"/>
    <cellStyle name="40 % - Accent6 3 2 2 2 2 4 2 2 3" xfId="44730"/>
    <cellStyle name="40 % - Accent6 3 2 2 2 2 4 2 2 4" xfId="60959"/>
    <cellStyle name="40 % - Accent6 3 2 2 2 2 4 2 3" xfId="18770"/>
    <cellStyle name="40 % - Accent6 3 2 2 2 2 4 2 4" xfId="25260"/>
    <cellStyle name="40 % - Accent6 3 2 2 2 2 4 2 5" xfId="38240"/>
    <cellStyle name="40 % - Accent6 3 2 2 2 2 4 2 6" xfId="54469"/>
    <cellStyle name="40 % - Accent6 3 2 2 2 2 4 3" xfId="9032"/>
    <cellStyle name="40 % - Accent6 3 2 2 2 2 4 3 2" xfId="28505"/>
    <cellStyle name="40 % - Accent6 3 2 2 2 2 4 3 3" xfId="41485"/>
    <cellStyle name="40 % - Accent6 3 2 2 2 2 4 3 4" xfId="57714"/>
    <cellStyle name="40 % - Accent6 3 2 2 2 2 4 4" xfId="15525"/>
    <cellStyle name="40 % - Accent6 3 2 2 2 2 4 4 2" xfId="51224"/>
    <cellStyle name="40 % - Accent6 3 2 2 2 2 4 5" xfId="22015"/>
    <cellStyle name="40 % - Accent6 3 2 2 2 2 4 6" xfId="34995"/>
    <cellStyle name="40 % - Accent6 3 2 2 2 2 4 7" xfId="47978"/>
    <cellStyle name="40 % - Accent6 3 2 2 2 2 5" xfId="4122"/>
    <cellStyle name="40 % - Accent6 3 2 2 2 2 5 2" xfId="10654"/>
    <cellStyle name="40 % - Accent6 3 2 2 2 2 5 2 2" xfId="30127"/>
    <cellStyle name="40 % - Accent6 3 2 2 2 2 5 2 3" xfId="43107"/>
    <cellStyle name="40 % - Accent6 3 2 2 2 2 5 2 4" xfId="59336"/>
    <cellStyle name="40 % - Accent6 3 2 2 2 2 5 3" xfId="17147"/>
    <cellStyle name="40 % - Accent6 3 2 2 2 2 5 4" xfId="23637"/>
    <cellStyle name="40 % - Accent6 3 2 2 2 2 5 5" xfId="36617"/>
    <cellStyle name="40 % - Accent6 3 2 2 2 2 5 6" xfId="52846"/>
    <cellStyle name="40 % - Accent6 3 2 2 2 2 6" xfId="7409"/>
    <cellStyle name="40 % - Accent6 3 2 2 2 2 6 2" xfId="26882"/>
    <cellStyle name="40 % - Accent6 3 2 2 2 2 6 3" xfId="39862"/>
    <cellStyle name="40 % - Accent6 3 2 2 2 2 6 4" xfId="56091"/>
    <cellStyle name="40 % - Accent6 3 2 2 2 2 7" xfId="13902"/>
    <cellStyle name="40 % - Accent6 3 2 2 2 2 7 2" xfId="49601"/>
    <cellStyle name="40 % - Accent6 3 2 2 2 2 8" xfId="20392"/>
    <cellStyle name="40 % - Accent6 3 2 2 2 2 9" xfId="33372"/>
    <cellStyle name="40 % - Accent6 3 2 2 2 3" xfId="602"/>
    <cellStyle name="40 % - Accent6 3 2 2 2 3 2" xfId="1551"/>
    <cellStyle name="40 % - Accent6 3 2 2 2 3 2 2" xfId="3218"/>
    <cellStyle name="40 % - Accent6 3 2 2 2 3 2 2 2" xfId="6463"/>
    <cellStyle name="40 % - Accent6 3 2 2 2 3 2 2 2 2" xfId="12995"/>
    <cellStyle name="40 % - Accent6 3 2 2 2 3 2 2 2 2 2" xfId="32468"/>
    <cellStyle name="40 % - Accent6 3 2 2 2 3 2 2 2 2 3" xfId="45448"/>
    <cellStyle name="40 % - Accent6 3 2 2 2 3 2 2 2 2 4" xfId="61677"/>
    <cellStyle name="40 % - Accent6 3 2 2 2 3 2 2 2 3" xfId="19488"/>
    <cellStyle name="40 % - Accent6 3 2 2 2 3 2 2 2 4" xfId="25978"/>
    <cellStyle name="40 % - Accent6 3 2 2 2 3 2 2 2 5" xfId="38958"/>
    <cellStyle name="40 % - Accent6 3 2 2 2 3 2 2 2 6" xfId="55187"/>
    <cellStyle name="40 % - Accent6 3 2 2 2 3 2 2 3" xfId="9750"/>
    <cellStyle name="40 % - Accent6 3 2 2 2 3 2 2 3 2" xfId="29223"/>
    <cellStyle name="40 % - Accent6 3 2 2 2 3 2 2 3 3" xfId="42203"/>
    <cellStyle name="40 % - Accent6 3 2 2 2 3 2 2 3 4" xfId="58432"/>
    <cellStyle name="40 % - Accent6 3 2 2 2 3 2 2 4" xfId="16243"/>
    <cellStyle name="40 % - Accent6 3 2 2 2 3 2 2 4 2" xfId="51942"/>
    <cellStyle name="40 % - Accent6 3 2 2 2 3 2 2 5" xfId="22733"/>
    <cellStyle name="40 % - Accent6 3 2 2 2 3 2 2 6" xfId="35713"/>
    <cellStyle name="40 % - Accent6 3 2 2 2 3 2 2 7" xfId="48696"/>
    <cellStyle name="40 % - Accent6 3 2 2 2 3 2 3" xfId="4840"/>
    <cellStyle name="40 % - Accent6 3 2 2 2 3 2 3 2" xfId="11372"/>
    <cellStyle name="40 % - Accent6 3 2 2 2 3 2 3 2 2" xfId="30845"/>
    <cellStyle name="40 % - Accent6 3 2 2 2 3 2 3 2 3" xfId="43825"/>
    <cellStyle name="40 % - Accent6 3 2 2 2 3 2 3 2 4" xfId="60054"/>
    <cellStyle name="40 % - Accent6 3 2 2 2 3 2 3 3" xfId="17865"/>
    <cellStyle name="40 % - Accent6 3 2 2 2 3 2 3 4" xfId="24355"/>
    <cellStyle name="40 % - Accent6 3 2 2 2 3 2 3 5" xfId="37335"/>
    <cellStyle name="40 % - Accent6 3 2 2 2 3 2 3 6" xfId="53564"/>
    <cellStyle name="40 % - Accent6 3 2 2 2 3 2 4" xfId="8127"/>
    <cellStyle name="40 % - Accent6 3 2 2 2 3 2 4 2" xfId="27600"/>
    <cellStyle name="40 % - Accent6 3 2 2 2 3 2 4 3" xfId="40580"/>
    <cellStyle name="40 % - Accent6 3 2 2 2 3 2 4 4" xfId="56809"/>
    <cellStyle name="40 % - Accent6 3 2 2 2 3 2 5" xfId="14620"/>
    <cellStyle name="40 % - Accent6 3 2 2 2 3 2 5 2" xfId="50319"/>
    <cellStyle name="40 % - Accent6 3 2 2 2 3 2 6" xfId="21110"/>
    <cellStyle name="40 % - Accent6 3 2 2 2 3 2 7" xfId="34090"/>
    <cellStyle name="40 % - Accent6 3 2 2 2 3 2 8" xfId="47073"/>
    <cellStyle name="40 % - Accent6 3 2 2 2 3 3" xfId="2270"/>
    <cellStyle name="40 % - Accent6 3 2 2 2 3 3 2" xfId="5515"/>
    <cellStyle name="40 % - Accent6 3 2 2 2 3 3 2 2" xfId="12047"/>
    <cellStyle name="40 % - Accent6 3 2 2 2 3 3 2 2 2" xfId="31520"/>
    <cellStyle name="40 % - Accent6 3 2 2 2 3 3 2 2 3" xfId="44500"/>
    <cellStyle name="40 % - Accent6 3 2 2 2 3 3 2 2 4" xfId="60729"/>
    <cellStyle name="40 % - Accent6 3 2 2 2 3 3 2 3" xfId="18540"/>
    <cellStyle name="40 % - Accent6 3 2 2 2 3 3 2 4" xfId="25030"/>
    <cellStyle name="40 % - Accent6 3 2 2 2 3 3 2 5" xfId="38010"/>
    <cellStyle name="40 % - Accent6 3 2 2 2 3 3 2 6" xfId="54239"/>
    <cellStyle name="40 % - Accent6 3 2 2 2 3 3 3" xfId="8802"/>
    <cellStyle name="40 % - Accent6 3 2 2 2 3 3 3 2" xfId="28275"/>
    <cellStyle name="40 % - Accent6 3 2 2 2 3 3 3 3" xfId="41255"/>
    <cellStyle name="40 % - Accent6 3 2 2 2 3 3 3 4" xfId="57484"/>
    <cellStyle name="40 % - Accent6 3 2 2 2 3 3 4" xfId="15295"/>
    <cellStyle name="40 % - Accent6 3 2 2 2 3 3 4 2" xfId="50994"/>
    <cellStyle name="40 % - Accent6 3 2 2 2 3 3 5" xfId="21785"/>
    <cellStyle name="40 % - Accent6 3 2 2 2 3 3 6" xfId="34765"/>
    <cellStyle name="40 % - Accent6 3 2 2 2 3 3 7" xfId="47748"/>
    <cellStyle name="40 % - Accent6 3 2 2 2 3 4" xfId="3892"/>
    <cellStyle name="40 % - Accent6 3 2 2 2 3 4 2" xfId="10424"/>
    <cellStyle name="40 % - Accent6 3 2 2 2 3 4 2 2" xfId="29897"/>
    <cellStyle name="40 % - Accent6 3 2 2 2 3 4 2 3" xfId="42877"/>
    <cellStyle name="40 % - Accent6 3 2 2 2 3 4 2 4" xfId="59106"/>
    <cellStyle name="40 % - Accent6 3 2 2 2 3 4 3" xfId="16917"/>
    <cellStyle name="40 % - Accent6 3 2 2 2 3 4 4" xfId="23407"/>
    <cellStyle name="40 % - Accent6 3 2 2 2 3 4 5" xfId="36387"/>
    <cellStyle name="40 % - Accent6 3 2 2 2 3 4 6" xfId="52616"/>
    <cellStyle name="40 % - Accent6 3 2 2 2 3 5" xfId="7179"/>
    <cellStyle name="40 % - Accent6 3 2 2 2 3 5 2" xfId="26652"/>
    <cellStyle name="40 % - Accent6 3 2 2 2 3 5 3" xfId="39632"/>
    <cellStyle name="40 % - Accent6 3 2 2 2 3 5 4" xfId="55861"/>
    <cellStyle name="40 % - Accent6 3 2 2 2 3 6" xfId="13672"/>
    <cellStyle name="40 % - Accent6 3 2 2 2 3 6 2" xfId="49371"/>
    <cellStyle name="40 % - Accent6 3 2 2 2 3 7" xfId="20162"/>
    <cellStyle name="40 % - Accent6 3 2 2 2 3 8" xfId="33142"/>
    <cellStyle name="40 % - Accent6 3 2 2 2 3 9" xfId="46125"/>
    <cellStyle name="40 % - Accent6 3 2 2 2 4" xfId="1088"/>
    <cellStyle name="40 % - Accent6 3 2 2 2 4 2" xfId="2755"/>
    <cellStyle name="40 % - Accent6 3 2 2 2 4 2 2" xfId="6000"/>
    <cellStyle name="40 % - Accent6 3 2 2 2 4 2 2 2" xfId="12532"/>
    <cellStyle name="40 % - Accent6 3 2 2 2 4 2 2 2 2" xfId="32005"/>
    <cellStyle name="40 % - Accent6 3 2 2 2 4 2 2 2 3" xfId="44985"/>
    <cellStyle name="40 % - Accent6 3 2 2 2 4 2 2 2 4" xfId="61214"/>
    <cellStyle name="40 % - Accent6 3 2 2 2 4 2 2 3" xfId="19025"/>
    <cellStyle name="40 % - Accent6 3 2 2 2 4 2 2 4" xfId="25515"/>
    <cellStyle name="40 % - Accent6 3 2 2 2 4 2 2 5" xfId="38495"/>
    <cellStyle name="40 % - Accent6 3 2 2 2 4 2 2 6" xfId="54724"/>
    <cellStyle name="40 % - Accent6 3 2 2 2 4 2 3" xfId="9287"/>
    <cellStyle name="40 % - Accent6 3 2 2 2 4 2 3 2" xfId="28760"/>
    <cellStyle name="40 % - Accent6 3 2 2 2 4 2 3 3" xfId="41740"/>
    <cellStyle name="40 % - Accent6 3 2 2 2 4 2 3 4" xfId="57969"/>
    <cellStyle name="40 % - Accent6 3 2 2 2 4 2 4" xfId="15780"/>
    <cellStyle name="40 % - Accent6 3 2 2 2 4 2 4 2" xfId="51479"/>
    <cellStyle name="40 % - Accent6 3 2 2 2 4 2 5" xfId="22270"/>
    <cellStyle name="40 % - Accent6 3 2 2 2 4 2 6" xfId="35250"/>
    <cellStyle name="40 % - Accent6 3 2 2 2 4 2 7" xfId="48233"/>
    <cellStyle name="40 % - Accent6 3 2 2 2 4 3" xfId="4377"/>
    <cellStyle name="40 % - Accent6 3 2 2 2 4 3 2" xfId="10909"/>
    <cellStyle name="40 % - Accent6 3 2 2 2 4 3 2 2" xfId="30382"/>
    <cellStyle name="40 % - Accent6 3 2 2 2 4 3 2 3" xfId="43362"/>
    <cellStyle name="40 % - Accent6 3 2 2 2 4 3 2 4" xfId="59591"/>
    <cellStyle name="40 % - Accent6 3 2 2 2 4 3 3" xfId="17402"/>
    <cellStyle name="40 % - Accent6 3 2 2 2 4 3 4" xfId="23892"/>
    <cellStyle name="40 % - Accent6 3 2 2 2 4 3 5" xfId="36872"/>
    <cellStyle name="40 % - Accent6 3 2 2 2 4 3 6" xfId="53101"/>
    <cellStyle name="40 % - Accent6 3 2 2 2 4 4" xfId="7664"/>
    <cellStyle name="40 % - Accent6 3 2 2 2 4 4 2" xfId="27137"/>
    <cellStyle name="40 % - Accent6 3 2 2 2 4 4 3" xfId="40117"/>
    <cellStyle name="40 % - Accent6 3 2 2 2 4 4 4" xfId="56346"/>
    <cellStyle name="40 % - Accent6 3 2 2 2 4 5" xfId="14157"/>
    <cellStyle name="40 % - Accent6 3 2 2 2 4 5 2" xfId="49856"/>
    <cellStyle name="40 % - Accent6 3 2 2 2 4 6" xfId="20647"/>
    <cellStyle name="40 % - Accent6 3 2 2 2 4 7" xfId="33627"/>
    <cellStyle name="40 % - Accent6 3 2 2 2 4 8" xfId="46610"/>
    <cellStyle name="40 % - Accent6 3 2 2 2 5" xfId="2041"/>
    <cellStyle name="40 % - Accent6 3 2 2 2 5 2" xfId="5286"/>
    <cellStyle name="40 % - Accent6 3 2 2 2 5 2 2" xfId="11818"/>
    <cellStyle name="40 % - Accent6 3 2 2 2 5 2 2 2" xfId="31291"/>
    <cellStyle name="40 % - Accent6 3 2 2 2 5 2 2 3" xfId="44271"/>
    <cellStyle name="40 % - Accent6 3 2 2 2 5 2 2 4" xfId="60500"/>
    <cellStyle name="40 % - Accent6 3 2 2 2 5 2 3" xfId="18311"/>
    <cellStyle name="40 % - Accent6 3 2 2 2 5 2 4" xfId="24801"/>
    <cellStyle name="40 % - Accent6 3 2 2 2 5 2 5" xfId="37781"/>
    <cellStyle name="40 % - Accent6 3 2 2 2 5 2 6" xfId="54010"/>
    <cellStyle name="40 % - Accent6 3 2 2 2 5 3" xfId="8573"/>
    <cellStyle name="40 % - Accent6 3 2 2 2 5 3 2" xfId="28046"/>
    <cellStyle name="40 % - Accent6 3 2 2 2 5 3 3" xfId="41026"/>
    <cellStyle name="40 % - Accent6 3 2 2 2 5 3 4" xfId="57255"/>
    <cellStyle name="40 % - Accent6 3 2 2 2 5 4" xfId="15066"/>
    <cellStyle name="40 % - Accent6 3 2 2 2 5 4 2" xfId="50765"/>
    <cellStyle name="40 % - Accent6 3 2 2 2 5 5" xfId="21556"/>
    <cellStyle name="40 % - Accent6 3 2 2 2 5 6" xfId="34536"/>
    <cellStyle name="40 % - Accent6 3 2 2 2 5 7" xfId="47519"/>
    <cellStyle name="40 % - Accent6 3 2 2 2 6" xfId="3662"/>
    <cellStyle name="40 % - Accent6 3 2 2 2 6 2" xfId="10194"/>
    <cellStyle name="40 % - Accent6 3 2 2 2 6 2 2" xfId="29667"/>
    <cellStyle name="40 % - Accent6 3 2 2 2 6 2 3" xfId="42647"/>
    <cellStyle name="40 % - Accent6 3 2 2 2 6 2 4" xfId="58876"/>
    <cellStyle name="40 % - Accent6 3 2 2 2 6 3" xfId="16687"/>
    <cellStyle name="40 % - Accent6 3 2 2 2 6 4" xfId="23177"/>
    <cellStyle name="40 % - Accent6 3 2 2 2 6 5" xfId="36157"/>
    <cellStyle name="40 % - Accent6 3 2 2 2 6 6" xfId="52386"/>
    <cellStyle name="40 % - Accent6 3 2 2 2 7" xfId="6949"/>
    <cellStyle name="40 % - Accent6 3 2 2 2 7 2" xfId="26422"/>
    <cellStyle name="40 % - Accent6 3 2 2 2 7 3" xfId="39402"/>
    <cellStyle name="40 % - Accent6 3 2 2 2 7 4" xfId="55631"/>
    <cellStyle name="40 % - Accent6 3 2 2 2 8" xfId="13442"/>
    <cellStyle name="40 % - Accent6 3 2 2 2 8 2" xfId="49141"/>
    <cellStyle name="40 % - Accent6 3 2 2 2 9" xfId="19932"/>
    <cellStyle name="40 % - Accent6 3 2 2 3" xfId="744"/>
    <cellStyle name="40 % - Accent6 3 2 2 3 10" xfId="46267"/>
    <cellStyle name="40 % - Accent6 3 2 2 3 2" xfId="1683"/>
    <cellStyle name="40 % - Accent6 3 2 2 3 2 2" xfId="3350"/>
    <cellStyle name="40 % - Accent6 3 2 2 3 2 2 2" xfId="6595"/>
    <cellStyle name="40 % - Accent6 3 2 2 3 2 2 2 2" xfId="13127"/>
    <cellStyle name="40 % - Accent6 3 2 2 3 2 2 2 2 2" xfId="32600"/>
    <cellStyle name="40 % - Accent6 3 2 2 3 2 2 2 2 3" xfId="45580"/>
    <cellStyle name="40 % - Accent6 3 2 2 3 2 2 2 2 4" xfId="61809"/>
    <cellStyle name="40 % - Accent6 3 2 2 3 2 2 2 3" xfId="19620"/>
    <cellStyle name="40 % - Accent6 3 2 2 3 2 2 2 4" xfId="26110"/>
    <cellStyle name="40 % - Accent6 3 2 2 3 2 2 2 5" xfId="39090"/>
    <cellStyle name="40 % - Accent6 3 2 2 3 2 2 2 6" xfId="55319"/>
    <cellStyle name="40 % - Accent6 3 2 2 3 2 2 3" xfId="9882"/>
    <cellStyle name="40 % - Accent6 3 2 2 3 2 2 3 2" xfId="29355"/>
    <cellStyle name="40 % - Accent6 3 2 2 3 2 2 3 3" xfId="42335"/>
    <cellStyle name="40 % - Accent6 3 2 2 3 2 2 3 4" xfId="58564"/>
    <cellStyle name="40 % - Accent6 3 2 2 3 2 2 4" xfId="16375"/>
    <cellStyle name="40 % - Accent6 3 2 2 3 2 2 4 2" xfId="52074"/>
    <cellStyle name="40 % - Accent6 3 2 2 3 2 2 5" xfId="22865"/>
    <cellStyle name="40 % - Accent6 3 2 2 3 2 2 6" xfId="35845"/>
    <cellStyle name="40 % - Accent6 3 2 2 3 2 2 7" xfId="48828"/>
    <cellStyle name="40 % - Accent6 3 2 2 3 2 3" xfId="4972"/>
    <cellStyle name="40 % - Accent6 3 2 2 3 2 3 2" xfId="11504"/>
    <cellStyle name="40 % - Accent6 3 2 2 3 2 3 2 2" xfId="30977"/>
    <cellStyle name="40 % - Accent6 3 2 2 3 2 3 2 3" xfId="43957"/>
    <cellStyle name="40 % - Accent6 3 2 2 3 2 3 2 4" xfId="60186"/>
    <cellStyle name="40 % - Accent6 3 2 2 3 2 3 3" xfId="17997"/>
    <cellStyle name="40 % - Accent6 3 2 2 3 2 3 4" xfId="24487"/>
    <cellStyle name="40 % - Accent6 3 2 2 3 2 3 5" xfId="37467"/>
    <cellStyle name="40 % - Accent6 3 2 2 3 2 3 6" xfId="53696"/>
    <cellStyle name="40 % - Accent6 3 2 2 3 2 4" xfId="8259"/>
    <cellStyle name="40 % - Accent6 3 2 2 3 2 4 2" xfId="27732"/>
    <cellStyle name="40 % - Accent6 3 2 2 3 2 4 3" xfId="40712"/>
    <cellStyle name="40 % - Accent6 3 2 2 3 2 4 4" xfId="56941"/>
    <cellStyle name="40 % - Accent6 3 2 2 3 2 5" xfId="14752"/>
    <cellStyle name="40 % - Accent6 3 2 2 3 2 5 2" xfId="50451"/>
    <cellStyle name="40 % - Accent6 3 2 2 3 2 6" xfId="21242"/>
    <cellStyle name="40 % - Accent6 3 2 2 3 2 7" xfId="34222"/>
    <cellStyle name="40 % - Accent6 3 2 2 3 2 8" xfId="47205"/>
    <cellStyle name="40 % - Accent6 3 2 2 3 3" xfId="1220"/>
    <cellStyle name="40 % - Accent6 3 2 2 3 3 2" xfId="2887"/>
    <cellStyle name="40 % - Accent6 3 2 2 3 3 2 2" xfId="6132"/>
    <cellStyle name="40 % - Accent6 3 2 2 3 3 2 2 2" xfId="12664"/>
    <cellStyle name="40 % - Accent6 3 2 2 3 3 2 2 2 2" xfId="32137"/>
    <cellStyle name="40 % - Accent6 3 2 2 3 3 2 2 2 3" xfId="45117"/>
    <cellStyle name="40 % - Accent6 3 2 2 3 3 2 2 2 4" xfId="61346"/>
    <cellStyle name="40 % - Accent6 3 2 2 3 3 2 2 3" xfId="19157"/>
    <cellStyle name="40 % - Accent6 3 2 2 3 3 2 2 4" xfId="25647"/>
    <cellStyle name="40 % - Accent6 3 2 2 3 3 2 2 5" xfId="38627"/>
    <cellStyle name="40 % - Accent6 3 2 2 3 3 2 2 6" xfId="54856"/>
    <cellStyle name="40 % - Accent6 3 2 2 3 3 2 3" xfId="9419"/>
    <cellStyle name="40 % - Accent6 3 2 2 3 3 2 3 2" xfId="28892"/>
    <cellStyle name="40 % - Accent6 3 2 2 3 3 2 3 3" xfId="41872"/>
    <cellStyle name="40 % - Accent6 3 2 2 3 3 2 3 4" xfId="58101"/>
    <cellStyle name="40 % - Accent6 3 2 2 3 3 2 4" xfId="15912"/>
    <cellStyle name="40 % - Accent6 3 2 2 3 3 2 4 2" xfId="51611"/>
    <cellStyle name="40 % - Accent6 3 2 2 3 3 2 5" xfId="22402"/>
    <cellStyle name="40 % - Accent6 3 2 2 3 3 2 6" xfId="35382"/>
    <cellStyle name="40 % - Accent6 3 2 2 3 3 2 7" xfId="48365"/>
    <cellStyle name="40 % - Accent6 3 2 2 3 3 3" xfId="4509"/>
    <cellStyle name="40 % - Accent6 3 2 2 3 3 3 2" xfId="11041"/>
    <cellStyle name="40 % - Accent6 3 2 2 3 3 3 2 2" xfId="30514"/>
    <cellStyle name="40 % - Accent6 3 2 2 3 3 3 2 3" xfId="43494"/>
    <cellStyle name="40 % - Accent6 3 2 2 3 3 3 2 4" xfId="59723"/>
    <cellStyle name="40 % - Accent6 3 2 2 3 3 3 3" xfId="17534"/>
    <cellStyle name="40 % - Accent6 3 2 2 3 3 3 4" xfId="24024"/>
    <cellStyle name="40 % - Accent6 3 2 2 3 3 3 5" xfId="37004"/>
    <cellStyle name="40 % - Accent6 3 2 2 3 3 3 6" xfId="53233"/>
    <cellStyle name="40 % - Accent6 3 2 2 3 3 4" xfId="7796"/>
    <cellStyle name="40 % - Accent6 3 2 2 3 3 4 2" xfId="27269"/>
    <cellStyle name="40 % - Accent6 3 2 2 3 3 4 3" xfId="40249"/>
    <cellStyle name="40 % - Accent6 3 2 2 3 3 4 4" xfId="56478"/>
    <cellStyle name="40 % - Accent6 3 2 2 3 3 5" xfId="14289"/>
    <cellStyle name="40 % - Accent6 3 2 2 3 3 5 2" xfId="49988"/>
    <cellStyle name="40 % - Accent6 3 2 2 3 3 6" xfId="20779"/>
    <cellStyle name="40 % - Accent6 3 2 2 3 3 7" xfId="33759"/>
    <cellStyle name="40 % - Accent6 3 2 2 3 3 8" xfId="46742"/>
    <cellStyle name="40 % - Accent6 3 2 2 3 4" xfId="2412"/>
    <cellStyle name="40 % - Accent6 3 2 2 3 4 2" xfId="5657"/>
    <cellStyle name="40 % - Accent6 3 2 2 3 4 2 2" xfId="12189"/>
    <cellStyle name="40 % - Accent6 3 2 2 3 4 2 2 2" xfId="31662"/>
    <cellStyle name="40 % - Accent6 3 2 2 3 4 2 2 3" xfId="44642"/>
    <cellStyle name="40 % - Accent6 3 2 2 3 4 2 2 4" xfId="60871"/>
    <cellStyle name="40 % - Accent6 3 2 2 3 4 2 3" xfId="18682"/>
    <cellStyle name="40 % - Accent6 3 2 2 3 4 2 4" xfId="25172"/>
    <cellStyle name="40 % - Accent6 3 2 2 3 4 2 5" xfId="38152"/>
    <cellStyle name="40 % - Accent6 3 2 2 3 4 2 6" xfId="54381"/>
    <cellStyle name="40 % - Accent6 3 2 2 3 4 3" xfId="8944"/>
    <cellStyle name="40 % - Accent6 3 2 2 3 4 3 2" xfId="28417"/>
    <cellStyle name="40 % - Accent6 3 2 2 3 4 3 3" xfId="41397"/>
    <cellStyle name="40 % - Accent6 3 2 2 3 4 3 4" xfId="57626"/>
    <cellStyle name="40 % - Accent6 3 2 2 3 4 4" xfId="15437"/>
    <cellStyle name="40 % - Accent6 3 2 2 3 4 4 2" xfId="51136"/>
    <cellStyle name="40 % - Accent6 3 2 2 3 4 5" xfId="21927"/>
    <cellStyle name="40 % - Accent6 3 2 2 3 4 6" xfId="34907"/>
    <cellStyle name="40 % - Accent6 3 2 2 3 4 7" xfId="47890"/>
    <cellStyle name="40 % - Accent6 3 2 2 3 5" xfId="4034"/>
    <cellStyle name="40 % - Accent6 3 2 2 3 5 2" xfId="10566"/>
    <cellStyle name="40 % - Accent6 3 2 2 3 5 2 2" xfId="30039"/>
    <cellStyle name="40 % - Accent6 3 2 2 3 5 2 3" xfId="43019"/>
    <cellStyle name="40 % - Accent6 3 2 2 3 5 2 4" xfId="59248"/>
    <cellStyle name="40 % - Accent6 3 2 2 3 5 3" xfId="17059"/>
    <cellStyle name="40 % - Accent6 3 2 2 3 5 4" xfId="23549"/>
    <cellStyle name="40 % - Accent6 3 2 2 3 5 5" xfId="36529"/>
    <cellStyle name="40 % - Accent6 3 2 2 3 5 6" xfId="52758"/>
    <cellStyle name="40 % - Accent6 3 2 2 3 6" xfId="7321"/>
    <cellStyle name="40 % - Accent6 3 2 2 3 6 2" xfId="26794"/>
    <cellStyle name="40 % - Accent6 3 2 2 3 6 3" xfId="39774"/>
    <cellStyle name="40 % - Accent6 3 2 2 3 6 4" xfId="56003"/>
    <cellStyle name="40 % - Accent6 3 2 2 3 7" xfId="13814"/>
    <cellStyle name="40 % - Accent6 3 2 2 3 7 2" xfId="49513"/>
    <cellStyle name="40 % - Accent6 3 2 2 3 8" xfId="20304"/>
    <cellStyle name="40 % - Accent6 3 2 2 3 9" xfId="33284"/>
    <cellStyle name="40 % - Accent6 3 2 2 4" xfId="514"/>
    <cellStyle name="40 % - Accent6 3 2 2 4 2" xfId="1463"/>
    <cellStyle name="40 % - Accent6 3 2 2 4 2 2" xfId="3130"/>
    <cellStyle name="40 % - Accent6 3 2 2 4 2 2 2" xfId="6375"/>
    <cellStyle name="40 % - Accent6 3 2 2 4 2 2 2 2" xfId="12907"/>
    <cellStyle name="40 % - Accent6 3 2 2 4 2 2 2 2 2" xfId="32380"/>
    <cellStyle name="40 % - Accent6 3 2 2 4 2 2 2 2 3" xfId="45360"/>
    <cellStyle name="40 % - Accent6 3 2 2 4 2 2 2 2 4" xfId="61589"/>
    <cellStyle name="40 % - Accent6 3 2 2 4 2 2 2 3" xfId="19400"/>
    <cellStyle name="40 % - Accent6 3 2 2 4 2 2 2 4" xfId="25890"/>
    <cellStyle name="40 % - Accent6 3 2 2 4 2 2 2 5" xfId="38870"/>
    <cellStyle name="40 % - Accent6 3 2 2 4 2 2 2 6" xfId="55099"/>
    <cellStyle name="40 % - Accent6 3 2 2 4 2 2 3" xfId="9662"/>
    <cellStyle name="40 % - Accent6 3 2 2 4 2 2 3 2" xfId="29135"/>
    <cellStyle name="40 % - Accent6 3 2 2 4 2 2 3 3" xfId="42115"/>
    <cellStyle name="40 % - Accent6 3 2 2 4 2 2 3 4" xfId="58344"/>
    <cellStyle name="40 % - Accent6 3 2 2 4 2 2 4" xfId="16155"/>
    <cellStyle name="40 % - Accent6 3 2 2 4 2 2 4 2" xfId="51854"/>
    <cellStyle name="40 % - Accent6 3 2 2 4 2 2 5" xfId="22645"/>
    <cellStyle name="40 % - Accent6 3 2 2 4 2 2 6" xfId="35625"/>
    <cellStyle name="40 % - Accent6 3 2 2 4 2 2 7" xfId="48608"/>
    <cellStyle name="40 % - Accent6 3 2 2 4 2 3" xfId="4752"/>
    <cellStyle name="40 % - Accent6 3 2 2 4 2 3 2" xfId="11284"/>
    <cellStyle name="40 % - Accent6 3 2 2 4 2 3 2 2" xfId="30757"/>
    <cellStyle name="40 % - Accent6 3 2 2 4 2 3 2 3" xfId="43737"/>
    <cellStyle name="40 % - Accent6 3 2 2 4 2 3 2 4" xfId="59966"/>
    <cellStyle name="40 % - Accent6 3 2 2 4 2 3 3" xfId="17777"/>
    <cellStyle name="40 % - Accent6 3 2 2 4 2 3 4" xfId="24267"/>
    <cellStyle name="40 % - Accent6 3 2 2 4 2 3 5" xfId="37247"/>
    <cellStyle name="40 % - Accent6 3 2 2 4 2 3 6" xfId="53476"/>
    <cellStyle name="40 % - Accent6 3 2 2 4 2 4" xfId="8039"/>
    <cellStyle name="40 % - Accent6 3 2 2 4 2 4 2" xfId="27512"/>
    <cellStyle name="40 % - Accent6 3 2 2 4 2 4 3" xfId="40492"/>
    <cellStyle name="40 % - Accent6 3 2 2 4 2 4 4" xfId="56721"/>
    <cellStyle name="40 % - Accent6 3 2 2 4 2 5" xfId="14532"/>
    <cellStyle name="40 % - Accent6 3 2 2 4 2 5 2" xfId="50231"/>
    <cellStyle name="40 % - Accent6 3 2 2 4 2 6" xfId="21022"/>
    <cellStyle name="40 % - Accent6 3 2 2 4 2 7" xfId="34002"/>
    <cellStyle name="40 % - Accent6 3 2 2 4 2 8" xfId="46985"/>
    <cellStyle name="40 % - Accent6 3 2 2 4 3" xfId="2182"/>
    <cellStyle name="40 % - Accent6 3 2 2 4 3 2" xfId="5427"/>
    <cellStyle name="40 % - Accent6 3 2 2 4 3 2 2" xfId="11959"/>
    <cellStyle name="40 % - Accent6 3 2 2 4 3 2 2 2" xfId="31432"/>
    <cellStyle name="40 % - Accent6 3 2 2 4 3 2 2 3" xfId="44412"/>
    <cellStyle name="40 % - Accent6 3 2 2 4 3 2 2 4" xfId="60641"/>
    <cellStyle name="40 % - Accent6 3 2 2 4 3 2 3" xfId="18452"/>
    <cellStyle name="40 % - Accent6 3 2 2 4 3 2 4" xfId="24942"/>
    <cellStyle name="40 % - Accent6 3 2 2 4 3 2 5" xfId="37922"/>
    <cellStyle name="40 % - Accent6 3 2 2 4 3 2 6" xfId="54151"/>
    <cellStyle name="40 % - Accent6 3 2 2 4 3 3" xfId="8714"/>
    <cellStyle name="40 % - Accent6 3 2 2 4 3 3 2" xfId="28187"/>
    <cellStyle name="40 % - Accent6 3 2 2 4 3 3 3" xfId="41167"/>
    <cellStyle name="40 % - Accent6 3 2 2 4 3 3 4" xfId="57396"/>
    <cellStyle name="40 % - Accent6 3 2 2 4 3 4" xfId="15207"/>
    <cellStyle name="40 % - Accent6 3 2 2 4 3 4 2" xfId="50906"/>
    <cellStyle name="40 % - Accent6 3 2 2 4 3 5" xfId="21697"/>
    <cellStyle name="40 % - Accent6 3 2 2 4 3 6" xfId="34677"/>
    <cellStyle name="40 % - Accent6 3 2 2 4 3 7" xfId="47660"/>
    <cellStyle name="40 % - Accent6 3 2 2 4 4" xfId="3804"/>
    <cellStyle name="40 % - Accent6 3 2 2 4 4 2" xfId="10336"/>
    <cellStyle name="40 % - Accent6 3 2 2 4 4 2 2" xfId="29809"/>
    <cellStyle name="40 % - Accent6 3 2 2 4 4 2 3" xfId="42789"/>
    <cellStyle name="40 % - Accent6 3 2 2 4 4 2 4" xfId="59018"/>
    <cellStyle name="40 % - Accent6 3 2 2 4 4 3" xfId="16829"/>
    <cellStyle name="40 % - Accent6 3 2 2 4 4 4" xfId="23319"/>
    <cellStyle name="40 % - Accent6 3 2 2 4 4 5" xfId="36299"/>
    <cellStyle name="40 % - Accent6 3 2 2 4 4 6" xfId="52528"/>
    <cellStyle name="40 % - Accent6 3 2 2 4 5" xfId="7091"/>
    <cellStyle name="40 % - Accent6 3 2 2 4 5 2" xfId="26564"/>
    <cellStyle name="40 % - Accent6 3 2 2 4 5 3" xfId="39544"/>
    <cellStyle name="40 % - Accent6 3 2 2 4 5 4" xfId="55773"/>
    <cellStyle name="40 % - Accent6 3 2 2 4 6" xfId="13584"/>
    <cellStyle name="40 % - Accent6 3 2 2 4 6 2" xfId="49283"/>
    <cellStyle name="40 % - Accent6 3 2 2 4 7" xfId="20074"/>
    <cellStyle name="40 % - Accent6 3 2 2 4 8" xfId="33054"/>
    <cellStyle name="40 % - Accent6 3 2 2 4 9" xfId="46037"/>
    <cellStyle name="40 % - Accent6 3 2 2 5" xfId="1000"/>
    <cellStyle name="40 % - Accent6 3 2 2 5 2" xfId="2667"/>
    <cellStyle name="40 % - Accent6 3 2 2 5 2 2" xfId="5912"/>
    <cellStyle name="40 % - Accent6 3 2 2 5 2 2 2" xfId="12444"/>
    <cellStyle name="40 % - Accent6 3 2 2 5 2 2 2 2" xfId="31917"/>
    <cellStyle name="40 % - Accent6 3 2 2 5 2 2 2 3" xfId="44897"/>
    <cellStyle name="40 % - Accent6 3 2 2 5 2 2 2 4" xfId="61126"/>
    <cellStyle name="40 % - Accent6 3 2 2 5 2 2 3" xfId="18937"/>
    <cellStyle name="40 % - Accent6 3 2 2 5 2 2 4" xfId="25427"/>
    <cellStyle name="40 % - Accent6 3 2 2 5 2 2 5" xfId="38407"/>
    <cellStyle name="40 % - Accent6 3 2 2 5 2 2 6" xfId="54636"/>
    <cellStyle name="40 % - Accent6 3 2 2 5 2 3" xfId="9199"/>
    <cellStyle name="40 % - Accent6 3 2 2 5 2 3 2" xfId="28672"/>
    <cellStyle name="40 % - Accent6 3 2 2 5 2 3 3" xfId="41652"/>
    <cellStyle name="40 % - Accent6 3 2 2 5 2 3 4" xfId="57881"/>
    <cellStyle name="40 % - Accent6 3 2 2 5 2 4" xfId="15692"/>
    <cellStyle name="40 % - Accent6 3 2 2 5 2 4 2" xfId="51391"/>
    <cellStyle name="40 % - Accent6 3 2 2 5 2 5" xfId="22182"/>
    <cellStyle name="40 % - Accent6 3 2 2 5 2 6" xfId="35162"/>
    <cellStyle name="40 % - Accent6 3 2 2 5 2 7" xfId="48145"/>
    <cellStyle name="40 % - Accent6 3 2 2 5 3" xfId="4289"/>
    <cellStyle name="40 % - Accent6 3 2 2 5 3 2" xfId="10821"/>
    <cellStyle name="40 % - Accent6 3 2 2 5 3 2 2" xfId="30294"/>
    <cellStyle name="40 % - Accent6 3 2 2 5 3 2 3" xfId="43274"/>
    <cellStyle name="40 % - Accent6 3 2 2 5 3 2 4" xfId="59503"/>
    <cellStyle name="40 % - Accent6 3 2 2 5 3 3" xfId="17314"/>
    <cellStyle name="40 % - Accent6 3 2 2 5 3 4" xfId="23804"/>
    <cellStyle name="40 % - Accent6 3 2 2 5 3 5" xfId="36784"/>
    <cellStyle name="40 % - Accent6 3 2 2 5 3 6" xfId="53013"/>
    <cellStyle name="40 % - Accent6 3 2 2 5 4" xfId="7576"/>
    <cellStyle name="40 % - Accent6 3 2 2 5 4 2" xfId="27049"/>
    <cellStyle name="40 % - Accent6 3 2 2 5 4 3" xfId="40029"/>
    <cellStyle name="40 % - Accent6 3 2 2 5 4 4" xfId="56258"/>
    <cellStyle name="40 % - Accent6 3 2 2 5 5" xfId="14069"/>
    <cellStyle name="40 % - Accent6 3 2 2 5 5 2" xfId="49768"/>
    <cellStyle name="40 % - Accent6 3 2 2 5 6" xfId="20559"/>
    <cellStyle name="40 % - Accent6 3 2 2 5 7" xfId="33539"/>
    <cellStyle name="40 % - Accent6 3 2 2 5 8" xfId="46522"/>
    <cellStyle name="40 % - Accent6 3 2 2 6" xfId="1953"/>
    <cellStyle name="40 % - Accent6 3 2 2 6 2" xfId="5198"/>
    <cellStyle name="40 % - Accent6 3 2 2 6 2 2" xfId="11730"/>
    <cellStyle name="40 % - Accent6 3 2 2 6 2 2 2" xfId="31203"/>
    <cellStyle name="40 % - Accent6 3 2 2 6 2 2 3" xfId="44183"/>
    <cellStyle name="40 % - Accent6 3 2 2 6 2 2 4" xfId="60412"/>
    <cellStyle name="40 % - Accent6 3 2 2 6 2 3" xfId="18223"/>
    <cellStyle name="40 % - Accent6 3 2 2 6 2 4" xfId="24713"/>
    <cellStyle name="40 % - Accent6 3 2 2 6 2 5" xfId="37693"/>
    <cellStyle name="40 % - Accent6 3 2 2 6 2 6" xfId="53922"/>
    <cellStyle name="40 % - Accent6 3 2 2 6 3" xfId="8485"/>
    <cellStyle name="40 % - Accent6 3 2 2 6 3 2" xfId="27958"/>
    <cellStyle name="40 % - Accent6 3 2 2 6 3 3" xfId="40938"/>
    <cellStyle name="40 % - Accent6 3 2 2 6 3 4" xfId="57167"/>
    <cellStyle name="40 % - Accent6 3 2 2 6 4" xfId="14978"/>
    <cellStyle name="40 % - Accent6 3 2 2 6 4 2" xfId="50677"/>
    <cellStyle name="40 % - Accent6 3 2 2 6 5" xfId="21468"/>
    <cellStyle name="40 % - Accent6 3 2 2 6 6" xfId="34448"/>
    <cellStyle name="40 % - Accent6 3 2 2 6 7" xfId="47431"/>
    <cellStyle name="40 % - Accent6 3 2 2 7" xfId="3574"/>
    <cellStyle name="40 % - Accent6 3 2 2 7 2" xfId="10106"/>
    <cellStyle name="40 % - Accent6 3 2 2 7 2 2" xfId="29579"/>
    <cellStyle name="40 % - Accent6 3 2 2 7 2 3" xfId="42559"/>
    <cellStyle name="40 % - Accent6 3 2 2 7 2 4" xfId="58788"/>
    <cellStyle name="40 % - Accent6 3 2 2 7 3" xfId="16599"/>
    <cellStyle name="40 % - Accent6 3 2 2 7 4" xfId="23089"/>
    <cellStyle name="40 % - Accent6 3 2 2 7 5" xfId="36069"/>
    <cellStyle name="40 % - Accent6 3 2 2 7 6" xfId="52298"/>
    <cellStyle name="40 % - Accent6 3 2 2 8" xfId="6861"/>
    <cellStyle name="40 % - Accent6 3 2 2 8 2" xfId="26334"/>
    <cellStyle name="40 % - Accent6 3 2 2 8 3" xfId="39314"/>
    <cellStyle name="40 % - Accent6 3 2 2 8 4" xfId="55543"/>
    <cellStyle name="40 % - Accent6 3 2 2 9" xfId="13354"/>
    <cellStyle name="40 % - Accent6 3 2 2 9 2" xfId="49053"/>
    <cellStyle name="40 % - Accent6 3 2 3" xfId="236"/>
    <cellStyle name="40 % - Accent6 3 2 3 10" xfId="32780"/>
    <cellStyle name="40 % - Accent6 3 2 3 11" xfId="45763"/>
    <cellStyle name="40 % - Accent6 3 2 3 2" xfId="700"/>
    <cellStyle name="40 % - Accent6 3 2 3 2 10" xfId="46223"/>
    <cellStyle name="40 % - Accent6 3 2 3 2 2" xfId="1639"/>
    <cellStyle name="40 % - Accent6 3 2 3 2 2 2" xfId="3306"/>
    <cellStyle name="40 % - Accent6 3 2 3 2 2 2 2" xfId="6551"/>
    <cellStyle name="40 % - Accent6 3 2 3 2 2 2 2 2" xfId="13083"/>
    <cellStyle name="40 % - Accent6 3 2 3 2 2 2 2 2 2" xfId="32556"/>
    <cellStyle name="40 % - Accent6 3 2 3 2 2 2 2 2 3" xfId="45536"/>
    <cellStyle name="40 % - Accent6 3 2 3 2 2 2 2 2 4" xfId="61765"/>
    <cellStyle name="40 % - Accent6 3 2 3 2 2 2 2 3" xfId="19576"/>
    <cellStyle name="40 % - Accent6 3 2 3 2 2 2 2 4" xfId="26066"/>
    <cellStyle name="40 % - Accent6 3 2 3 2 2 2 2 5" xfId="39046"/>
    <cellStyle name="40 % - Accent6 3 2 3 2 2 2 2 6" xfId="55275"/>
    <cellStyle name="40 % - Accent6 3 2 3 2 2 2 3" xfId="9838"/>
    <cellStyle name="40 % - Accent6 3 2 3 2 2 2 3 2" xfId="29311"/>
    <cellStyle name="40 % - Accent6 3 2 3 2 2 2 3 3" xfId="42291"/>
    <cellStyle name="40 % - Accent6 3 2 3 2 2 2 3 4" xfId="58520"/>
    <cellStyle name="40 % - Accent6 3 2 3 2 2 2 4" xfId="16331"/>
    <cellStyle name="40 % - Accent6 3 2 3 2 2 2 4 2" xfId="52030"/>
    <cellStyle name="40 % - Accent6 3 2 3 2 2 2 5" xfId="22821"/>
    <cellStyle name="40 % - Accent6 3 2 3 2 2 2 6" xfId="35801"/>
    <cellStyle name="40 % - Accent6 3 2 3 2 2 2 7" xfId="48784"/>
    <cellStyle name="40 % - Accent6 3 2 3 2 2 3" xfId="4928"/>
    <cellStyle name="40 % - Accent6 3 2 3 2 2 3 2" xfId="11460"/>
    <cellStyle name="40 % - Accent6 3 2 3 2 2 3 2 2" xfId="30933"/>
    <cellStyle name="40 % - Accent6 3 2 3 2 2 3 2 3" xfId="43913"/>
    <cellStyle name="40 % - Accent6 3 2 3 2 2 3 2 4" xfId="60142"/>
    <cellStyle name="40 % - Accent6 3 2 3 2 2 3 3" xfId="17953"/>
    <cellStyle name="40 % - Accent6 3 2 3 2 2 3 4" xfId="24443"/>
    <cellStyle name="40 % - Accent6 3 2 3 2 2 3 5" xfId="37423"/>
    <cellStyle name="40 % - Accent6 3 2 3 2 2 3 6" xfId="53652"/>
    <cellStyle name="40 % - Accent6 3 2 3 2 2 4" xfId="8215"/>
    <cellStyle name="40 % - Accent6 3 2 3 2 2 4 2" xfId="27688"/>
    <cellStyle name="40 % - Accent6 3 2 3 2 2 4 3" xfId="40668"/>
    <cellStyle name="40 % - Accent6 3 2 3 2 2 4 4" xfId="56897"/>
    <cellStyle name="40 % - Accent6 3 2 3 2 2 5" xfId="14708"/>
    <cellStyle name="40 % - Accent6 3 2 3 2 2 5 2" xfId="50407"/>
    <cellStyle name="40 % - Accent6 3 2 3 2 2 6" xfId="21198"/>
    <cellStyle name="40 % - Accent6 3 2 3 2 2 7" xfId="34178"/>
    <cellStyle name="40 % - Accent6 3 2 3 2 2 8" xfId="47161"/>
    <cellStyle name="40 % - Accent6 3 2 3 2 3" xfId="1176"/>
    <cellStyle name="40 % - Accent6 3 2 3 2 3 2" xfId="2843"/>
    <cellStyle name="40 % - Accent6 3 2 3 2 3 2 2" xfId="6088"/>
    <cellStyle name="40 % - Accent6 3 2 3 2 3 2 2 2" xfId="12620"/>
    <cellStyle name="40 % - Accent6 3 2 3 2 3 2 2 2 2" xfId="32093"/>
    <cellStyle name="40 % - Accent6 3 2 3 2 3 2 2 2 3" xfId="45073"/>
    <cellStyle name="40 % - Accent6 3 2 3 2 3 2 2 2 4" xfId="61302"/>
    <cellStyle name="40 % - Accent6 3 2 3 2 3 2 2 3" xfId="19113"/>
    <cellStyle name="40 % - Accent6 3 2 3 2 3 2 2 4" xfId="25603"/>
    <cellStyle name="40 % - Accent6 3 2 3 2 3 2 2 5" xfId="38583"/>
    <cellStyle name="40 % - Accent6 3 2 3 2 3 2 2 6" xfId="54812"/>
    <cellStyle name="40 % - Accent6 3 2 3 2 3 2 3" xfId="9375"/>
    <cellStyle name="40 % - Accent6 3 2 3 2 3 2 3 2" xfId="28848"/>
    <cellStyle name="40 % - Accent6 3 2 3 2 3 2 3 3" xfId="41828"/>
    <cellStyle name="40 % - Accent6 3 2 3 2 3 2 3 4" xfId="58057"/>
    <cellStyle name="40 % - Accent6 3 2 3 2 3 2 4" xfId="15868"/>
    <cellStyle name="40 % - Accent6 3 2 3 2 3 2 4 2" xfId="51567"/>
    <cellStyle name="40 % - Accent6 3 2 3 2 3 2 5" xfId="22358"/>
    <cellStyle name="40 % - Accent6 3 2 3 2 3 2 6" xfId="35338"/>
    <cellStyle name="40 % - Accent6 3 2 3 2 3 2 7" xfId="48321"/>
    <cellStyle name="40 % - Accent6 3 2 3 2 3 3" xfId="4465"/>
    <cellStyle name="40 % - Accent6 3 2 3 2 3 3 2" xfId="10997"/>
    <cellStyle name="40 % - Accent6 3 2 3 2 3 3 2 2" xfId="30470"/>
    <cellStyle name="40 % - Accent6 3 2 3 2 3 3 2 3" xfId="43450"/>
    <cellStyle name="40 % - Accent6 3 2 3 2 3 3 2 4" xfId="59679"/>
    <cellStyle name="40 % - Accent6 3 2 3 2 3 3 3" xfId="17490"/>
    <cellStyle name="40 % - Accent6 3 2 3 2 3 3 4" xfId="23980"/>
    <cellStyle name="40 % - Accent6 3 2 3 2 3 3 5" xfId="36960"/>
    <cellStyle name="40 % - Accent6 3 2 3 2 3 3 6" xfId="53189"/>
    <cellStyle name="40 % - Accent6 3 2 3 2 3 4" xfId="7752"/>
    <cellStyle name="40 % - Accent6 3 2 3 2 3 4 2" xfId="27225"/>
    <cellStyle name="40 % - Accent6 3 2 3 2 3 4 3" xfId="40205"/>
    <cellStyle name="40 % - Accent6 3 2 3 2 3 4 4" xfId="56434"/>
    <cellStyle name="40 % - Accent6 3 2 3 2 3 5" xfId="14245"/>
    <cellStyle name="40 % - Accent6 3 2 3 2 3 5 2" xfId="49944"/>
    <cellStyle name="40 % - Accent6 3 2 3 2 3 6" xfId="20735"/>
    <cellStyle name="40 % - Accent6 3 2 3 2 3 7" xfId="33715"/>
    <cellStyle name="40 % - Accent6 3 2 3 2 3 8" xfId="46698"/>
    <cellStyle name="40 % - Accent6 3 2 3 2 4" xfId="2368"/>
    <cellStyle name="40 % - Accent6 3 2 3 2 4 2" xfId="5613"/>
    <cellStyle name="40 % - Accent6 3 2 3 2 4 2 2" xfId="12145"/>
    <cellStyle name="40 % - Accent6 3 2 3 2 4 2 2 2" xfId="31618"/>
    <cellStyle name="40 % - Accent6 3 2 3 2 4 2 2 3" xfId="44598"/>
    <cellStyle name="40 % - Accent6 3 2 3 2 4 2 2 4" xfId="60827"/>
    <cellStyle name="40 % - Accent6 3 2 3 2 4 2 3" xfId="18638"/>
    <cellStyle name="40 % - Accent6 3 2 3 2 4 2 4" xfId="25128"/>
    <cellStyle name="40 % - Accent6 3 2 3 2 4 2 5" xfId="38108"/>
    <cellStyle name="40 % - Accent6 3 2 3 2 4 2 6" xfId="54337"/>
    <cellStyle name="40 % - Accent6 3 2 3 2 4 3" xfId="8900"/>
    <cellStyle name="40 % - Accent6 3 2 3 2 4 3 2" xfId="28373"/>
    <cellStyle name="40 % - Accent6 3 2 3 2 4 3 3" xfId="41353"/>
    <cellStyle name="40 % - Accent6 3 2 3 2 4 3 4" xfId="57582"/>
    <cellStyle name="40 % - Accent6 3 2 3 2 4 4" xfId="15393"/>
    <cellStyle name="40 % - Accent6 3 2 3 2 4 4 2" xfId="51092"/>
    <cellStyle name="40 % - Accent6 3 2 3 2 4 5" xfId="21883"/>
    <cellStyle name="40 % - Accent6 3 2 3 2 4 6" xfId="34863"/>
    <cellStyle name="40 % - Accent6 3 2 3 2 4 7" xfId="47846"/>
    <cellStyle name="40 % - Accent6 3 2 3 2 5" xfId="3990"/>
    <cellStyle name="40 % - Accent6 3 2 3 2 5 2" xfId="10522"/>
    <cellStyle name="40 % - Accent6 3 2 3 2 5 2 2" xfId="29995"/>
    <cellStyle name="40 % - Accent6 3 2 3 2 5 2 3" xfId="42975"/>
    <cellStyle name="40 % - Accent6 3 2 3 2 5 2 4" xfId="59204"/>
    <cellStyle name="40 % - Accent6 3 2 3 2 5 3" xfId="17015"/>
    <cellStyle name="40 % - Accent6 3 2 3 2 5 4" xfId="23505"/>
    <cellStyle name="40 % - Accent6 3 2 3 2 5 5" xfId="36485"/>
    <cellStyle name="40 % - Accent6 3 2 3 2 5 6" xfId="52714"/>
    <cellStyle name="40 % - Accent6 3 2 3 2 6" xfId="7277"/>
    <cellStyle name="40 % - Accent6 3 2 3 2 6 2" xfId="26750"/>
    <cellStyle name="40 % - Accent6 3 2 3 2 6 3" xfId="39730"/>
    <cellStyle name="40 % - Accent6 3 2 3 2 6 4" xfId="55959"/>
    <cellStyle name="40 % - Accent6 3 2 3 2 7" xfId="13770"/>
    <cellStyle name="40 % - Accent6 3 2 3 2 7 2" xfId="49469"/>
    <cellStyle name="40 % - Accent6 3 2 3 2 8" xfId="20260"/>
    <cellStyle name="40 % - Accent6 3 2 3 2 9" xfId="33240"/>
    <cellStyle name="40 % - Accent6 3 2 3 3" xfId="470"/>
    <cellStyle name="40 % - Accent6 3 2 3 3 2" xfId="1419"/>
    <cellStyle name="40 % - Accent6 3 2 3 3 2 2" xfId="3086"/>
    <cellStyle name="40 % - Accent6 3 2 3 3 2 2 2" xfId="6331"/>
    <cellStyle name="40 % - Accent6 3 2 3 3 2 2 2 2" xfId="12863"/>
    <cellStyle name="40 % - Accent6 3 2 3 3 2 2 2 2 2" xfId="32336"/>
    <cellStyle name="40 % - Accent6 3 2 3 3 2 2 2 2 3" xfId="45316"/>
    <cellStyle name="40 % - Accent6 3 2 3 3 2 2 2 2 4" xfId="61545"/>
    <cellStyle name="40 % - Accent6 3 2 3 3 2 2 2 3" xfId="19356"/>
    <cellStyle name="40 % - Accent6 3 2 3 3 2 2 2 4" xfId="25846"/>
    <cellStyle name="40 % - Accent6 3 2 3 3 2 2 2 5" xfId="38826"/>
    <cellStyle name="40 % - Accent6 3 2 3 3 2 2 2 6" xfId="55055"/>
    <cellStyle name="40 % - Accent6 3 2 3 3 2 2 3" xfId="9618"/>
    <cellStyle name="40 % - Accent6 3 2 3 3 2 2 3 2" xfId="29091"/>
    <cellStyle name="40 % - Accent6 3 2 3 3 2 2 3 3" xfId="42071"/>
    <cellStyle name="40 % - Accent6 3 2 3 3 2 2 3 4" xfId="58300"/>
    <cellStyle name="40 % - Accent6 3 2 3 3 2 2 4" xfId="16111"/>
    <cellStyle name="40 % - Accent6 3 2 3 3 2 2 4 2" xfId="51810"/>
    <cellStyle name="40 % - Accent6 3 2 3 3 2 2 5" xfId="22601"/>
    <cellStyle name="40 % - Accent6 3 2 3 3 2 2 6" xfId="35581"/>
    <cellStyle name="40 % - Accent6 3 2 3 3 2 2 7" xfId="48564"/>
    <cellStyle name="40 % - Accent6 3 2 3 3 2 3" xfId="4708"/>
    <cellStyle name="40 % - Accent6 3 2 3 3 2 3 2" xfId="11240"/>
    <cellStyle name="40 % - Accent6 3 2 3 3 2 3 2 2" xfId="30713"/>
    <cellStyle name="40 % - Accent6 3 2 3 3 2 3 2 3" xfId="43693"/>
    <cellStyle name="40 % - Accent6 3 2 3 3 2 3 2 4" xfId="59922"/>
    <cellStyle name="40 % - Accent6 3 2 3 3 2 3 3" xfId="17733"/>
    <cellStyle name="40 % - Accent6 3 2 3 3 2 3 4" xfId="24223"/>
    <cellStyle name="40 % - Accent6 3 2 3 3 2 3 5" xfId="37203"/>
    <cellStyle name="40 % - Accent6 3 2 3 3 2 3 6" xfId="53432"/>
    <cellStyle name="40 % - Accent6 3 2 3 3 2 4" xfId="7995"/>
    <cellStyle name="40 % - Accent6 3 2 3 3 2 4 2" xfId="27468"/>
    <cellStyle name="40 % - Accent6 3 2 3 3 2 4 3" xfId="40448"/>
    <cellStyle name="40 % - Accent6 3 2 3 3 2 4 4" xfId="56677"/>
    <cellStyle name="40 % - Accent6 3 2 3 3 2 5" xfId="14488"/>
    <cellStyle name="40 % - Accent6 3 2 3 3 2 5 2" xfId="50187"/>
    <cellStyle name="40 % - Accent6 3 2 3 3 2 6" xfId="20978"/>
    <cellStyle name="40 % - Accent6 3 2 3 3 2 7" xfId="33958"/>
    <cellStyle name="40 % - Accent6 3 2 3 3 2 8" xfId="46941"/>
    <cellStyle name="40 % - Accent6 3 2 3 3 3" xfId="2138"/>
    <cellStyle name="40 % - Accent6 3 2 3 3 3 2" xfId="5383"/>
    <cellStyle name="40 % - Accent6 3 2 3 3 3 2 2" xfId="11915"/>
    <cellStyle name="40 % - Accent6 3 2 3 3 3 2 2 2" xfId="31388"/>
    <cellStyle name="40 % - Accent6 3 2 3 3 3 2 2 3" xfId="44368"/>
    <cellStyle name="40 % - Accent6 3 2 3 3 3 2 2 4" xfId="60597"/>
    <cellStyle name="40 % - Accent6 3 2 3 3 3 2 3" xfId="18408"/>
    <cellStyle name="40 % - Accent6 3 2 3 3 3 2 4" xfId="24898"/>
    <cellStyle name="40 % - Accent6 3 2 3 3 3 2 5" xfId="37878"/>
    <cellStyle name="40 % - Accent6 3 2 3 3 3 2 6" xfId="54107"/>
    <cellStyle name="40 % - Accent6 3 2 3 3 3 3" xfId="8670"/>
    <cellStyle name="40 % - Accent6 3 2 3 3 3 3 2" xfId="28143"/>
    <cellStyle name="40 % - Accent6 3 2 3 3 3 3 3" xfId="41123"/>
    <cellStyle name="40 % - Accent6 3 2 3 3 3 3 4" xfId="57352"/>
    <cellStyle name="40 % - Accent6 3 2 3 3 3 4" xfId="15163"/>
    <cellStyle name="40 % - Accent6 3 2 3 3 3 4 2" xfId="50862"/>
    <cellStyle name="40 % - Accent6 3 2 3 3 3 5" xfId="21653"/>
    <cellStyle name="40 % - Accent6 3 2 3 3 3 6" xfId="34633"/>
    <cellStyle name="40 % - Accent6 3 2 3 3 3 7" xfId="47616"/>
    <cellStyle name="40 % - Accent6 3 2 3 3 4" xfId="3760"/>
    <cellStyle name="40 % - Accent6 3 2 3 3 4 2" xfId="10292"/>
    <cellStyle name="40 % - Accent6 3 2 3 3 4 2 2" xfId="29765"/>
    <cellStyle name="40 % - Accent6 3 2 3 3 4 2 3" xfId="42745"/>
    <cellStyle name="40 % - Accent6 3 2 3 3 4 2 4" xfId="58974"/>
    <cellStyle name="40 % - Accent6 3 2 3 3 4 3" xfId="16785"/>
    <cellStyle name="40 % - Accent6 3 2 3 3 4 4" xfId="23275"/>
    <cellStyle name="40 % - Accent6 3 2 3 3 4 5" xfId="36255"/>
    <cellStyle name="40 % - Accent6 3 2 3 3 4 6" xfId="52484"/>
    <cellStyle name="40 % - Accent6 3 2 3 3 5" xfId="7047"/>
    <cellStyle name="40 % - Accent6 3 2 3 3 5 2" xfId="26520"/>
    <cellStyle name="40 % - Accent6 3 2 3 3 5 3" xfId="39500"/>
    <cellStyle name="40 % - Accent6 3 2 3 3 5 4" xfId="55729"/>
    <cellStyle name="40 % - Accent6 3 2 3 3 6" xfId="13540"/>
    <cellStyle name="40 % - Accent6 3 2 3 3 6 2" xfId="49239"/>
    <cellStyle name="40 % - Accent6 3 2 3 3 7" xfId="20030"/>
    <cellStyle name="40 % - Accent6 3 2 3 3 8" xfId="33010"/>
    <cellStyle name="40 % - Accent6 3 2 3 3 9" xfId="45993"/>
    <cellStyle name="40 % - Accent6 3 2 3 4" xfId="956"/>
    <cellStyle name="40 % - Accent6 3 2 3 4 2" xfId="2623"/>
    <cellStyle name="40 % - Accent6 3 2 3 4 2 2" xfId="5868"/>
    <cellStyle name="40 % - Accent6 3 2 3 4 2 2 2" xfId="12400"/>
    <cellStyle name="40 % - Accent6 3 2 3 4 2 2 2 2" xfId="31873"/>
    <cellStyle name="40 % - Accent6 3 2 3 4 2 2 2 3" xfId="44853"/>
    <cellStyle name="40 % - Accent6 3 2 3 4 2 2 2 4" xfId="61082"/>
    <cellStyle name="40 % - Accent6 3 2 3 4 2 2 3" xfId="18893"/>
    <cellStyle name="40 % - Accent6 3 2 3 4 2 2 4" xfId="25383"/>
    <cellStyle name="40 % - Accent6 3 2 3 4 2 2 5" xfId="38363"/>
    <cellStyle name="40 % - Accent6 3 2 3 4 2 2 6" xfId="54592"/>
    <cellStyle name="40 % - Accent6 3 2 3 4 2 3" xfId="9155"/>
    <cellStyle name="40 % - Accent6 3 2 3 4 2 3 2" xfId="28628"/>
    <cellStyle name="40 % - Accent6 3 2 3 4 2 3 3" xfId="41608"/>
    <cellStyle name="40 % - Accent6 3 2 3 4 2 3 4" xfId="57837"/>
    <cellStyle name="40 % - Accent6 3 2 3 4 2 4" xfId="15648"/>
    <cellStyle name="40 % - Accent6 3 2 3 4 2 4 2" xfId="51347"/>
    <cellStyle name="40 % - Accent6 3 2 3 4 2 5" xfId="22138"/>
    <cellStyle name="40 % - Accent6 3 2 3 4 2 6" xfId="35118"/>
    <cellStyle name="40 % - Accent6 3 2 3 4 2 7" xfId="48101"/>
    <cellStyle name="40 % - Accent6 3 2 3 4 3" xfId="4245"/>
    <cellStyle name="40 % - Accent6 3 2 3 4 3 2" xfId="10777"/>
    <cellStyle name="40 % - Accent6 3 2 3 4 3 2 2" xfId="30250"/>
    <cellStyle name="40 % - Accent6 3 2 3 4 3 2 3" xfId="43230"/>
    <cellStyle name="40 % - Accent6 3 2 3 4 3 2 4" xfId="59459"/>
    <cellStyle name="40 % - Accent6 3 2 3 4 3 3" xfId="17270"/>
    <cellStyle name="40 % - Accent6 3 2 3 4 3 4" xfId="23760"/>
    <cellStyle name="40 % - Accent6 3 2 3 4 3 5" xfId="36740"/>
    <cellStyle name="40 % - Accent6 3 2 3 4 3 6" xfId="52969"/>
    <cellStyle name="40 % - Accent6 3 2 3 4 4" xfId="7532"/>
    <cellStyle name="40 % - Accent6 3 2 3 4 4 2" xfId="27005"/>
    <cellStyle name="40 % - Accent6 3 2 3 4 4 3" xfId="39985"/>
    <cellStyle name="40 % - Accent6 3 2 3 4 4 4" xfId="56214"/>
    <cellStyle name="40 % - Accent6 3 2 3 4 5" xfId="14025"/>
    <cellStyle name="40 % - Accent6 3 2 3 4 5 2" xfId="49724"/>
    <cellStyle name="40 % - Accent6 3 2 3 4 6" xfId="20515"/>
    <cellStyle name="40 % - Accent6 3 2 3 4 7" xfId="33495"/>
    <cellStyle name="40 % - Accent6 3 2 3 4 8" xfId="46478"/>
    <cellStyle name="40 % - Accent6 3 2 3 5" xfId="1909"/>
    <cellStyle name="40 % - Accent6 3 2 3 5 2" xfId="5154"/>
    <cellStyle name="40 % - Accent6 3 2 3 5 2 2" xfId="11686"/>
    <cellStyle name="40 % - Accent6 3 2 3 5 2 2 2" xfId="31159"/>
    <cellStyle name="40 % - Accent6 3 2 3 5 2 2 3" xfId="44139"/>
    <cellStyle name="40 % - Accent6 3 2 3 5 2 2 4" xfId="60368"/>
    <cellStyle name="40 % - Accent6 3 2 3 5 2 3" xfId="18179"/>
    <cellStyle name="40 % - Accent6 3 2 3 5 2 4" xfId="24669"/>
    <cellStyle name="40 % - Accent6 3 2 3 5 2 5" xfId="37649"/>
    <cellStyle name="40 % - Accent6 3 2 3 5 2 6" xfId="53878"/>
    <cellStyle name="40 % - Accent6 3 2 3 5 3" xfId="8441"/>
    <cellStyle name="40 % - Accent6 3 2 3 5 3 2" xfId="27914"/>
    <cellStyle name="40 % - Accent6 3 2 3 5 3 3" xfId="40894"/>
    <cellStyle name="40 % - Accent6 3 2 3 5 3 4" xfId="57123"/>
    <cellStyle name="40 % - Accent6 3 2 3 5 4" xfId="14934"/>
    <cellStyle name="40 % - Accent6 3 2 3 5 4 2" xfId="50633"/>
    <cellStyle name="40 % - Accent6 3 2 3 5 5" xfId="21424"/>
    <cellStyle name="40 % - Accent6 3 2 3 5 6" xfId="34404"/>
    <cellStyle name="40 % - Accent6 3 2 3 5 7" xfId="47387"/>
    <cellStyle name="40 % - Accent6 3 2 3 6" xfId="3530"/>
    <cellStyle name="40 % - Accent6 3 2 3 6 2" xfId="10062"/>
    <cellStyle name="40 % - Accent6 3 2 3 6 2 2" xfId="29535"/>
    <cellStyle name="40 % - Accent6 3 2 3 6 2 3" xfId="42515"/>
    <cellStyle name="40 % - Accent6 3 2 3 6 2 4" xfId="58744"/>
    <cellStyle name="40 % - Accent6 3 2 3 6 3" xfId="16555"/>
    <cellStyle name="40 % - Accent6 3 2 3 6 4" xfId="23045"/>
    <cellStyle name="40 % - Accent6 3 2 3 6 5" xfId="36025"/>
    <cellStyle name="40 % - Accent6 3 2 3 6 6" xfId="52254"/>
    <cellStyle name="40 % - Accent6 3 2 3 7" xfId="6817"/>
    <cellStyle name="40 % - Accent6 3 2 3 7 2" xfId="26290"/>
    <cellStyle name="40 % - Accent6 3 2 3 7 3" xfId="39270"/>
    <cellStyle name="40 % - Accent6 3 2 3 7 4" xfId="55499"/>
    <cellStyle name="40 % - Accent6 3 2 3 8" xfId="13310"/>
    <cellStyle name="40 % - Accent6 3 2 3 8 2" xfId="49009"/>
    <cellStyle name="40 % - Accent6 3 2 3 9" xfId="19800"/>
    <cellStyle name="40 % - Accent6 3 2 4" xfId="324"/>
    <cellStyle name="40 % - Accent6 3 2 4 10" xfId="32868"/>
    <cellStyle name="40 % - Accent6 3 2 4 11" xfId="45851"/>
    <cellStyle name="40 % - Accent6 3 2 4 2" xfId="788"/>
    <cellStyle name="40 % - Accent6 3 2 4 2 10" xfId="46311"/>
    <cellStyle name="40 % - Accent6 3 2 4 2 2" xfId="1727"/>
    <cellStyle name="40 % - Accent6 3 2 4 2 2 2" xfId="3394"/>
    <cellStyle name="40 % - Accent6 3 2 4 2 2 2 2" xfId="6639"/>
    <cellStyle name="40 % - Accent6 3 2 4 2 2 2 2 2" xfId="13171"/>
    <cellStyle name="40 % - Accent6 3 2 4 2 2 2 2 2 2" xfId="32644"/>
    <cellStyle name="40 % - Accent6 3 2 4 2 2 2 2 2 3" xfId="45624"/>
    <cellStyle name="40 % - Accent6 3 2 4 2 2 2 2 2 4" xfId="61853"/>
    <cellStyle name="40 % - Accent6 3 2 4 2 2 2 2 3" xfId="19664"/>
    <cellStyle name="40 % - Accent6 3 2 4 2 2 2 2 4" xfId="26154"/>
    <cellStyle name="40 % - Accent6 3 2 4 2 2 2 2 5" xfId="39134"/>
    <cellStyle name="40 % - Accent6 3 2 4 2 2 2 2 6" xfId="55363"/>
    <cellStyle name="40 % - Accent6 3 2 4 2 2 2 3" xfId="9926"/>
    <cellStyle name="40 % - Accent6 3 2 4 2 2 2 3 2" xfId="29399"/>
    <cellStyle name="40 % - Accent6 3 2 4 2 2 2 3 3" xfId="42379"/>
    <cellStyle name="40 % - Accent6 3 2 4 2 2 2 3 4" xfId="58608"/>
    <cellStyle name="40 % - Accent6 3 2 4 2 2 2 4" xfId="16419"/>
    <cellStyle name="40 % - Accent6 3 2 4 2 2 2 4 2" xfId="52118"/>
    <cellStyle name="40 % - Accent6 3 2 4 2 2 2 5" xfId="22909"/>
    <cellStyle name="40 % - Accent6 3 2 4 2 2 2 6" xfId="35889"/>
    <cellStyle name="40 % - Accent6 3 2 4 2 2 2 7" xfId="48872"/>
    <cellStyle name="40 % - Accent6 3 2 4 2 2 3" xfId="5016"/>
    <cellStyle name="40 % - Accent6 3 2 4 2 2 3 2" xfId="11548"/>
    <cellStyle name="40 % - Accent6 3 2 4 2 2 3 2 2" xfId="31021"/>
    <cellStyle name="40 % - Accent6 3 2 4 2 2 3 2 3" xfId="44001"/>
    <cellStyle name="40 % - Accent6 3 2 4 2 2 3 2 4" xfId="60230"/>
    <cellStyle name="40 % - Accent6 3 2 4 2 2 3 3" xfId="18041"/>
    <cellStyle name="40 % - Accent6 3 2 4 2 2 3 4" xfId="24531"/>
    <cellStyle name="40 % - Accent6 3 2 4 2 2 3 5" xfId="37511"/>
    <cellStyle name="40 % - Accent6 3 2 4 2 2 3 6" xfId="53740"/>
    <cellStyle name="40 % - Accent6 3 2 4 2 2 4" xfId="8303"/>
    <cellStyle name="40 % - Accent6 3 2 4 2 2 4 2" xfId="27776"/>
    <cellStyle name="40 % - Accent6 3 2 4 2 2 4 3" xfId="40756"/>
    <cellStyle name="40 % - Accent6 3 2 4 2 2 4 4" xfId="56985"/>
    <cellStyle name="40 % - Accent6 3 2 4 2 2 5" xfId="14796"/>
    <cellStyle name="40 % - Accent6 3 2 4 2 2 5 2" xfId="50495"/>
    <cellStyle name="40 % - Accent6 3 2 4 2 2 6" xfId="21286"/>
    <cellStyle name="40 % - Accent6 3 2 4 2 2 7" xfId="34266"/>
    <cellStyle name="40 % - Accent6 3 2 4 2 2 8" xfId="47249"/>
    <cellStyle name="40 % - Accent6 3 2 4 2 3" xfId="1264"/>
    <cellStyle name="40 % - Accent6 3 2 4 2 3 2" xfId="2931"/>
    <cellStyle name="40 % - Accent6 3 2 4 2 3 2 2" xfId="6176"/>
    <cellStyle name="40 % - Accent6 3 2 4 2 3 2 2 2" xfId="12708"/>
    <cellStyle name="40 % - Accent6 3 2 4 2 3 2 2 2 2" xfId="32181"/>
    <cellStyle name="40 % - Accent6 3 2 4 2 3 2 2 2 3" xfId="45161"/>
    <cellStyle name="40 % - Accent6 3 2 4 2 3 2 2 2 4" xfId="61390"/>
    <cellStyle name="40 % - Accent6 3 2 4 2 3 2 2 3" xfId="19201"/>
    <cellStyle name="40 % - Accent6 3 2 4 2 3 2 2 4" xfId="25691"/>
    <cellStyle name="40 % - Accent6 3 2 4 2 3 2 2 5" xfId="38671"/>
    <cellStyle name="40 % - Accent6 3 2 4 2 3 2 2 6" xfId="54900"/>
    <cellStyle name="40 % - Accent6 3 2 4 2 3 2 3" xfId="9463"/>
    <cellStyle name="40 % - Accent6 3 2 4 2 3 2 3 2" xfId="28936"/>
    <cellStyle name="40 % - Accent6 3 2 4 2 3 2 3 3" xfId="41916"/>
    <cellStyle name="40 % - Accent6 3 2 4 2 3 2 3 4" xfId="58145"/>
    <cellStyle name="40 % - Accent6 3 2 4 2 3 2 4" xfId="15956"/>
    <cellStyle name="40 % - Accent6 3 2 4 2 3 2 4 2" xfId="51655"/>
    <cellStyle name="40 % - Accent6 3 2 4 2 3 2 5" xfId="22446"/>
    <cellStyle name="40 % - Accent6 3 2 4 2 3 2 6" xfId="35426"/>
    <cellStyle name="40 % - Accent6 3 2 4 2 3 2 7" xfId="48409"/>
    <cellStyle name="40 % - Accent6 3 2 4 2 3 3" xfId="4553"/>
    <cellStyle name="40 % - Accent6 3 2 4 2 3 3 2" xfId="11085"/>
    <cellStyle name="40 % - Accent6 3 2 4 2 3 3 2 2" xfId="30558"/>
    <cellStyle name="40 % - Accent6 3 2 4 2 3 3 2 3" xfId="43538"/>
    <cellStyle name="40 % - Accent6 3 2 4 2 3 3 2 4" xfId="59767"/>
    <cellStyle name="40 % - Accent6 3 2 4 2 3 3 3" xfId="17578"/>
    <cellStyle name="40 % - Accent6 3 2 4 2 3 3 4" xfId="24068"/>
    <cellStyle name="40 % - Accent6 3 2 4 2 3 3 5" xfId="37048"/>
    <cellStyle name="40 % - Accent6 3 2 4 2 3 3 6" xfId="53277"/>
    <cellStyle name="40 % - Accent6 3 2 4 2 3 4" xfId="7840"/>
    <cellStyle name="40 % - Accent6 3 2 4 2 3 4 2" xfId="27313"/>
    <cellStyle name="40 % - Accent6 3 2 4 2 3 4 3" xfId="40293"/>
    <cellStyle name="40 % - Accent6 3 2 4 2 3 4 4" xfId="56522"/>
    <cellStyle name="40 % - Accent6 3 2 4 2 3 5" xfId="14333"/>
    <cellStyle name="40 % - Accent6 3 2 4 2 3 5 2" xfId="50032"/>
    <cellStyle name="40 % - Accent6 3 2 4 2 3 6" xfId="20823"/>
    <cellStyle name="40 % - Accent6 3 2 4 2 3 7" xfId="33803"/>
    <cellStyle name="40 % - Accent6 3 2 4 2 3 8" xfId="46786"/>
    <cellStyle name="40 % - Accent6 3 2 4 2 4" xfId="2456"/>
    <cellStyle name="40 % - Accent6 3 2 4 2 4 2" xfId="5701"/>
    <cellStyle name="40 % - Accent6 3 2 4 2 4 2 2" xfId="12233"/>
    <cellStyle name="40 % - Accent6 3 2 4 2 4 2 2 2" xfId="31706"/>
    <cellStyle name="40 % - Accent6 3 2 4 2 4 2 2 3" xfId="44686"/>
    <cellStyle name="40 % - Accent6 3 2 4 2 4 2 2 4" xfId="60915"/>
    <cellStyle name="40 % - Accent6 3 2 4 2 4 2 3" xfId="18726"/>
    <cellStyle name="40 % - Accent6 3 2 4 2 4 2 4" xfId="25216"/>
    <cellStyle name="40 % - Accent6 3 2 4 2 4 2 5" xfId="38196"/>
    <cellStyle name="40 % - Accent6 3 2 4 2 4 2 6" xfId="54425"/>
    <cellStyle name="40 % - Accent6 3 2 4 2 4 3" xfId="8988"/>
    <cellStyle name="40 % - Accent6 3 2 4 2 4 3 2" xfId="28461"/>
    <cellStyle name="40 % - Accent6 3 2 4 2 4 3 3" xfId="41441"/>
    <cellStyle name="40 % - Accent6 3 2 4 2 4 3 4" xfId="57670"/>
    <cellStyle name="40 % - Accent6 3 2 4 2 4 4" xfId="15481"/>
    <cellStyle name="40 % - Accent6 3 2 4 2 4 4 2" xfId="51180"/>
    <cellStyle name="40 % - Accent6 3 2 4 2 4 5" xfId="21971"/>
    <cellStyle name="40 % - Accent6 3 2 4 2 4 6" xfId="34951"/>
    <cellStyle name="40 % - Accent6 3 2 4 2 4 7" xfId="47934"/>
    <cellStyle name="40 % - Accent6 3 2 4 2 5" xfId="4078"/>
    <cellStyle name="40 % - Accent6 3 2 4 2 5 2" xfId="10610"/>
    <cellStyle name="40 % - Accent6 3 2 4 2 5 2 2" xfId="30083"/>
    <cellStyle name="40 % - Accent6 3 2 4 2 5 2 3" xfId="43063"/>
    <cellStyle name="40 % - Accent6 3 2 4 2 5 2 4" xfId="59292"/>
    <cellStyle name="40 % - Accent6 3 2 4 2 5 3" xfId="17103"/>
    <cellStyle name="40 % - Accent6 3 2 4 2 5 4" xfId="23593"/>
    <cellStyle name="40 % - Accent6 3 2 4 2 5 5" xfId="36573"/>
    <cellStyle name="40 % - Accent6 3 2 4 2 5 6" xfId="52802"/>
    <cellStyle name="40 % - Accent6 3 2 4 2 6" xfId="7365"/>
    <cellStyle name="40 % - Accent6 3 2 4 2 6 2" xfId="26838"/>
    <cellStyle name="40 % - Accent6 3 2 4 2 6 3" xfId="39818"/>
    <cellStyle name="40 % - Accent6 3 2 4 2 6 4" xfId="56047"/>
    <cellStyle name="40 % - Accent6 3 2 4 2 7" xfId="13858"/>
    <cellStyle name="40 % - Accent6 3 2 4 2 7 2" xfId="49557"/>
    <cellStyle name="40 % - Accent6 3 2 4 2 8" xfId="20348"/>
    <cellStyle name="40 % - Accent6 3 2 4 2 9" xfId="33328"/>
    <cellStyle name="40 % - Accent6 3 2 4 3" xfId="558"/>
    <cellStyle name="40 % - Accent6 3 2 4 3 2" xfId="1507"/>
    <cellStyle name="40 % - Accent6 3 2 4 3 2 2" xfId="3174"/>
    <cellStyle name="40 % - Accent6 3 2 4 3 2 2 2" xfId="6419"/>
    <cellStyle name="40 % - Accent6 3 2 4 3 2 2 2 2" xfId="12951"/>
    <cellStyle name="40 % - Accent6 3 2 4 3 2 2 2 2 2" xfId="32424"/>
    <cellStyle name="40 % - Accent6 3 2 4 3 2 2 2 2 3" xfId="45404"/>
    <cellStyle name="40 % - Accent6 3 2 4 3 2 2 2 2 4" xfId="61633"/>
    <cellStyle name="40 % - Accent6 3 2 4 3 2 2 2 3" xfId="19444"/>
    <cellStyle name="40 % - Accent6 3 2 4 3 2 2 2 4" xfId="25934"/>
    <cellStyle name="40 % - Accent6 3 2 4 3 2 2 2 5" xfId="38914"/>
    <cellStyle name="40 % - Accent6 3 2 4 3 2 2 2 6" xfId="55143"/>
    <cellStyle name="40 % - Accent6 3 2 4 3 2 2 3" xfId="9706"/>
    <cellStyle name="40 % - Accent6 3 2 4 3 2 2 3 2" xfId="29179"/>
    <cellStyle name="40 % - Accent6 3 2 4 3 2 2 3 3" xfId="42159"/>
    <cellStyle name="40 % - Accent6 3 2 4 3 2 2 3 4" xfId="58388"/>
    <cellStyle name="40 % - Accent6 3 2 4 3 2 2 4" xfId="16199"/>
    <cellStyle name="40 % - Accent6 3 2 4 3 2 2 4 2" xfId="51898"/>
    <cellStyle name="40 % - Accent6 3 2 4 3 2 2 5" xfId="22689"/>
    <cellStyle name="40 % - Accent6 3 2 4 3 2 2 6" xfId="35669"/>
    <cellStyle name="40 % - Accent6 3 2 4 3 2 2 7" xfId="48652"/>
    <cellStyle name="40 % - Accent6 3 2 4 3 2 3" xfId="4796"/>
    <cellStyle name="40 % - Accent6 3 2 4 3 2 3 2" xfId="11328"/>
    <cellStyle name="40 % - Accent6 3 2 4 3 2 3 2 2" xfId="30801"/>
    <cellStyle name="40 % - Accent6 3 2 4 3 2 3 2 3" xfId="43781"/>
    <cellStyle name="40 % - Accent6 3 2 4 3 2 3 2 4" xfId="60010"/>
    <cellStyle name="40 % - Accent6 3 2 4 3 2 3 3" xfId="17821"/>
    <cellStyle name="40 % - Accent6 3 2 4 3 2 3 4" xfId="24311"/>
    <cellStyle name="40 % - Accent6 3 2 4 3 2 3 5" xfId="37291"/>
    <cellStyle name="40 % - Accent6 3 2 4 3 2 3 6" xfId="53520"/>
    <cellStyle name="40 % - Accent6 3 2 4 3 2 4" xfId="8083"/>
    <cellStyle name="40 % - Accent6 3 2 4 3 2 4 2" xfId="27556"/>
    <cellStyle name="40 % - Accent6 3 2 4 3 2 4 3" xfId="40536"/>
    <cellStyle name="40 % - Accent6 3 2 4 3 2 4 4" xfId="56765"/>
    <cellStyle name="40 % - Accent6 3 2 4 3 2 5" xfId="14576"/>
    <cellStyle name="40 % - Accent6 3 2 4 3 2 5 2" xfId="50275"/>
    <cellStyle name="40 % - Accent6 3 2 4 3 2 6" xfId="21066"/>
    <cellStyle name="40 % - Accent6 3 2 4 3 2 7" xfId="34046"/>
    <cellStyle name="40 % - Accent6 3 2 4 3 2 8" xfId="47029"/>
    <cellStyle name="40 % - Accent6 3 2 4 3 3" xfId="2226"/>
    <cellStyle name="40 % - Accent6 3 2 4 3 3 2" xfId="5471"/>
    <cellStyle name="40 % - Accent6 3 2 4 3 3 2 2" xfId="12003"/>
    <cellStyle name="40 % - Accent6 3 2 4 3 3 2 2 2" xfId="31476"/>
    <cellStyle name="40 % - Accent6 3 2 4 3 3 2 2 3" xfId="44456"/>
    <cellStyle name="40 % - Accent6 3 2 4 3 3 2 2 4" xfId="60685"/>
    <cellStyle name="40 % - Accent6 3 2 4 3 3 2 3" xfId="18496"/>
    <cellStyle name="40 % - Accent6 3 2 4 3 3 2 4" xfId="24986"/>
    <cellStyle name="40 % - Accent6 3 2 4 3 3 2 5" xfId="37966"/>
    <cellStyle name="40 % - Accent6 3 2 4 3 3 2 6" xfId="54195"/>
    <cellStyle name="40 % - Accent6 3 2 4 3 3 3" xfId="8758"/>
    <cellStyle name="40 % - Accent6 3 2 4 3 3 3 2" xfId="28231"/>
    <cellStyle name="40 % - Accent6 3 2 4 3 3 3 3" xfId="41211"/>
    <cellStyle name="40 % - Accent6 3 2 4 3 3 3 4" xfId="57440"/>
    <cellStyle name="40 % - Accent6 3 2 4 3 3 4" xfId="15251"/>
    <cellStyle name="40 % - Accent6 3 2 4 3 3 4 2" xfId="50950"/>
    <cellStyle name="40 % - Accent6 3 2 4 3 3 5" xfId="21741"/>
    <cellStyle name="40 % - Accent6 3 2 4 3 3 6" xfId="34721"/>
    <cellStyle name="40 % - Accent6 3 2 4 3 3 7" xfId="47704"/>
    <cellStyle name="40 % - Accent6 3 2 4 3 4" xfId="3848"/>
    <cellStyle name="40 % - Accent6 3 2 4 3 4 2" xfId="10380"/>
    <cellStyle name="40 % - Accent6 3 2 4 3 4 2 2" xfId="29853"/>
    <cellStyle name="40 % - Accent6 3 2 4 3 4 2 3" xfId="42833"/>
    <cellStyle name="40 % - Accent6 3 2 4 3 4 2 4" xfId="59062"/>
    <cellStyle name="40 % - Accent6 3 2 4 3 4 3" xfId="16873"/>
    <cellStyle name="40 % - Accent6 3 2 4 3 4 4" xfId="23363"/>
    <cellStyle name="40 % - Accent6 3 2 4 3 4 5" xfId="36343"/>
    <cellStyle name="40 % - Accent6 3 2 4 3 4 6" xfId="52572"/>
    <cellStyle name="40 % - Accent6 3 2 4 3 5" xfId="7135"/>
    <cellStyle name="40 % - Accent6 3 2 4 3 5 2" xfId="26608"/>
    <cellStyle name="40 % - Accent6 3 2 4 3 5 3" xfId="39588"/>
    <cellStyle name="40 % - Accent6 3 2 4 3 5 4" xfId="55817"/>
    <cellStyle name="40 % - Accent6 3 2 4 3 6" xfId="13628"/>
    <cellStyle name="40 % - Accent6 3 2 4 3 6 2" xfId="49327"/>
    <cellStyle name="40 % - Accent6 3 2 4 3 7" xfId="20118"/>
    <cellStyle name="40 % - Accent6 3 2 4 3 8" xfId="33098"/>
    <cellStyle name="40 % - Accent6 3 2 4 3 9" xfId="46081"/>
    <cellStyle name="40 % - Accent6 3 2 4 4" xfId="1044"/>
    <cellStyle name="40 % - Accent6 3 2 4 4 2" xfId="2711"/>
    <cellStyle name="40 % - Accent6 3 2 4 4 2 2" xfId="5956"/>
    <cellStyle name="40 % - Accent6 3 2 4 4 2 2 2" xfId="12488"/>
    <cellStyle name="40 % - Accent6 3 2 4 4 2 2 2 2" xfId="31961"/>
    <cellStyle name="40 % - Accent6 3 2 4 4 2 2 2 3" xfId="44941"/>
    <cellStyle name="40 % - Accent6 3 2 4 4 2 2 2 4" xfId="61170"/>
    <cellStyle name="40 % - Accent6 3 2 4 4 2 2 3" xfId="18981"/>
    <cellStyle name="40 % - Accent6 3 2 4 4 2 2 4" xfId="25471"/>
    <cellStyle name="40 % - Accent6 3 2 4 4 2 2 5" xfId="38451"/>
    <cellStyle name="40 % - Accent6 3 2 4 4 2 2 6" xfId="54680"/>
    <cellStyle name="40 % - Accent6 3 2 4 4 2 3" xfId="9243"/>
    <cellStyle name="40 % - Accent6 3 2 4 4 2 3 2" xfId="28716"/>
    <cellStyle name="40 % - Accent6 3 2 4 4 2 3 3" xfId="41696"/>
    <cellStyle name="40 % - Accent6 3 2 4 4 2 3 4" xfId="57925"/>
    <cellStyle name="40 % - Accent6 3 2 4 4 2 4" xfId="15736"/>
    <cellStyle name="40 % - Accent6 3 2 4 4 2 4 2" xfId="51435"/>
    <cellStyle name="40 % - Accent6 3 2 4 4 2 5" xfId="22226"/>
    <cellStyle name="40 % - Accent6 3 2 4 4 2 6" xfId="35206"/>
    <cellStyle name="40 % - Accent6 3 2 4 4 2 7" xfId="48189"/>
    <cellStyle name="40 % - Accent6 3 2 4 4 3" xfId="4333"/>
    <cellStyle name="40 % - Accent6 3 2 4 4 3 2" xfId="10865"/>
    <cellStyle name="40 % - Accent6 3 2 4 4 3 2 2" xfId="30338"/>
    <cellStyle name="40 % - Accent6 3 2 4 4 3 2 3" xfId="43318"/>
    <cellStyle name="40 % - Accent6 3 2 4 4 3 2 4" xfId="59547"/>
    <cellStyle name="40 % - Accent6 3 2 4 4 3 3" xfId="17358"/>
    <cellStyle name="40 % - Accent6 3 2 4 4 3 4" xfId="23848"/>
    <cellStyle name="40 % - Accent6 3 2 4 4 3 5" xfId="36828"/>
    <cellStyle name="40 % - Accent6 3 2 4 4 3 6" xfId="53057"/>
    <cellStyle name="40 % - Accent6 3 2 4 4 4" xfId="7620"/>
    <cellStyle name="40 % - Accent6 3 2 4 4 4 2" xfId="27093"/>
    <cellStyle name="40 % - Accent6 3 2 4 4 4 3" xfId="40073"/>
    <cellStyle name="40 % - Accent6 3 2 4 4 4 4" xfId="56302"/>
    <cellStyle name="40 % - Accent6 3 2 4 4 5" xfId="14113"/>
    <cellStyle name="40 % - Accent6 3 2 4 4 5 2" xfId="49812"/>
    <cellStyle name="40 % - Accent6 3 2 4 4 6" xfId="20603"/>
    <cellStyle name="40 % - Accent6 3 2 4 4 7" xfId="33583"/>
    <cellStyle name="40 % - Accent6 3 2 4 4 8" xfId="46566"/>
    <cellStyle name="40 % - Accent6 3 2 4 5" xfId="1997"/>
    <cellStyle name="40 % - Accent6 3 2 4 5 2" xfId="5242"/>
    <cellStyle name="40 % - Accent6 3 2 4 5 2 2" xfId="11774"/>
    <cellStyle name="40 % - Accent6 3 2 4 5 2 2 2" xfId="31247"/>
    <cellStyle name="40 % - Accent6 3 2 4 5 2 2 3" xfId="44227"/>
    <cellStyle name="40 % - Accent6 3 2 4 5 2 2 4" xfId="60456"/>
    <cellStyle name="40 % - Accent6 3 2 4 5 2 3" xfId="18267"/>
    <cellStyle name="40 % - Accent6 3 2 4 5 2 4" xfId="24757"/>
    <cellStyle name="40 % - Accent6 3 2 4 5 2 5" xfId="37737"/>
    <cellStyle name="40 % - Accent6 3 2 4 5 2 6" xfId="53966"/>
    <cellStyle name="40 % - Accent6 3 2 4 5 3" xfId="8529"/>
    <cellStyle name="40 % - Accent6 3 2 4 5 3 2" xfId="28002"/>
    <cellStyle name="40 % - Accent6 3 2 4 5 3 3" xfId="40982"/>
    <cellStyle name="40 % - Accent6 3 2 4 5 3 4" xfId="57211"/>
    <cellStyle name="40 % - Accent6 3 2 4 5 4" xfId="15022"/>
    <cellStyle name="40 % - Accent6 3 2 4 5 4 2" xfId="50721"/>
    <cellStyle name="40 % - Accent6 3 2 4 5 5" xfId="21512"/>
    <cellStyle name="40 % - Accent6 3 2 4 5 6" xfId="34492"/>
    <cellStyle name="40 % - Accent6 3 2 4 5 7" xfId="47475"/>
    <cellStyle name="40 % - Accent6 3 2 4 6" xfId="3618"/>
    <cellStyle name="40 % - Accent6 3 2 4 6 2" xfId="10150"/>
    <cellStyle name="40 % - Accent6 3 2 4 6 2 2" xfId="29623"/>
    <cellStyle name="40 % - Accent6 3 2 4 6 2 3" xfId="42603"/>
    <cellStyle name="40 % - Accent6 3 2 4 6 2 4" xfId="58832"/>
    <cellStyle name="40 % - Accent6 3 2 4 6 3" xfId="16643"/>
    <cellStyle name="40 % - Accent6 3 2 4 6 4" xfId="23133"/>
    <cellStyle name="40 % - Accent6 3 2 4 6 5" xfId="36113"/>
    <cellStyle name="40 % - Accent6 3 2 4 6 6" xfId="52342"/>
    <cellStyle name="40 % - Accent6 3 2 4 7" xfId="6905"/>
    <cellStyle name="40 % - Accent6 3 2 4 7 2" xfId="26378"/>
    <cellStyle name="40 % - Accent6 3 2 4 7 3" xfId="39358"/>
    <cellStyle name="40 % - Accent6 3 2 4 7 4" xfId="55587"/>
    <cellStyle name="40 % - Accent6 3 2 4 8" xfId="13398"/>
    <cellStyle name="40 % - Accent6 3 2 4 8 2" xfId="49097"/>
    <cellStyle name="40 % - Accent6 3 2 4 9" xfId="19888"/>
    <cellStyle name="40 % - Accent6 3 2 5" xfId="656"/>
    <cellStyle name="40 % - Accent6 3 2 5 10" xfId="46179"/>
    <cellStyle name="40 % - Accent6 3 2 5 2" xfId="1595"/>
    <cellStyle name="40 % - Accent6 3 2 5 2 2" xfId="3262"/>
    <cellStyle name="40 % - Accent6 3 2 5 2 2 2" xfId="6507"/>
    <cellStyle name="40 % - Accent6 3 2 5 2 2 2 2" xfId="13039"/>
    <cellStyle name="40 % - Accent6 3 2 5 2 2 2 2 2" xfId="32512"/>
    <cellStyle name="40 % - Accent6 3 2 5 2 2 2 2 3" xfId="45492"/>
    <cellStyle name="40 % - Accent6 3 2 5 2 2 2 2 4" xfId="61721"/>
    <cellStyle name="40 % - Accent6 3 2 5 2 2 2 3" xfId="19532"/>
    <cellStyle name="40 % - Accent6 3 2 5 2 2 2 4" xfId="26022"/>
    <cellStyle name="40 % - Accent6 3 2 5 2 2 2 5" xfId="39002"/>
    <cellStyle name="40 % - Accent6 3 2 5 2 2 2 6" xfId="55231"/>
    <cellStyle name="40 % - Accent6 3 2 5 2 2 3" xfId="9794"/>
    <cellStyle name="40 % - Accent6 3 2 5 2 2 3 2" xfId="29267"/>
    <cellStyle name="40 % - Accent6 3 2 5 2 2 3 3" xfId="42247"/>
    <cellStyle name="40 % - Accent6 3 2 5 2 2 3 4" xfId="58476"/>
    <cellStyle name="40 % - Accent6 3 2 5 2 2 4" xfId="16287"/>
    <cellStyle name="40 % - Accent6 3 2 5 2 2 4 2" xfId="51986"/>
    <cellStyle name="40 % - Accent6 3 2 5 2 2 5" xfId="22777"/>
    <cellStyle name="40 % - Accent6 3 2 5 2 2 6" xfId="35757"/>
    <cellStyle name="40 % - Accent6 3 2 5 2 2 7" xfId="48740"/>
    <cellStyle name="40 % - Accent6 3 2 5 2 3" xfId="4884"/>
    <cellStyle name="40 % - Accent6 3 2 5 2 3 2" xfId="11416"/>
    <cellStyle name="40 % - Accent6 3 2 5 2 3 2 2" xfId="30889"/>
    <cellStyle name="40 % - Accent6 3 2 5 2 3 2 3" xfId="43869"/>
    <cellStyle name="40 % - Accent6 3 2 5 2 3 2 4" xfId="60098"/>
    <cellStyle name="40 % - Accent6 3 2 5 2 3 3" xfId="17909"/>
    <cellStyle name="40 % - Accent6 3 2 5 2 3 4" xfId="24399"/>
    <cellStyle name="40 % - Accent6 3 2 5 2 3 5" xfId="37379"/>
    <cellStyle name="40 % - Accent6 3 2 5 2 3 6" xfId="53608"/>
    <cellStyle name="40 % - Accent6 3 2 5 2 4" xfId="8171"/>
    <cellStyle name="40 % - Accent6 3 2 5 2 4 2" xfId="27644"/>
    <cellStyle name="40 % - Accent6 3 2 5 2 4 3" xfId="40624"/>
    <cellStyle name="40 % - Accent6 3 2 5 2 4 4" xfId="56853"/>
    <cellStyle name="40 % - Accent6 3 2 5 2 5" xfId="14664"/>
    <cellStyle name="40 % - Accent6 3 2 5 2 5 2" xfId="50363"/>
    <cellStyle name="40 % - Accent6 3 2 5 2 6" xfId="21154"/>
    <cellStyle name="40 % - Accent6 3 2 5 2 7" xfId="34134"/>
    <cellStyle name="40 % - Accent6 3 2 5 2 8" xfId="47117"/>
    <cellStyle name="40 % - Accent6 3 2 5 3" xfId="1132"/>
    <cellStyle name="40 % - Accent6 3 2 5 3 2" xfId="2799"/>
    <cellStyle name="40 % - Accent6 3 2 5 3 2 2" xfId="6044"/>
    <cellStyle name="40 % - Accent6 3 2 5 3 2 2 2" xfId="12576"/>
    <cellStyle name="40 % - Accent6 3 2 5 3 2 2 2 2" xfId="32049"/>
    <cellStyle name="40 % - Accent6 3 2 5 3 2 2 2 3" xfId="45029"/>
    <cellStyle name="40 % - Accent6 3 2 5 3 2 2 2 4" xfId="61258"/>
    <cellStyle name="40 % - Accent6 3 2 5 3 2 2 3" xfId="19069"/>
    <cellStyle name="40 % - Accent6 3 2 5 3 2 2 4" xfId="25559"/>
    <cellStyle name="40 % - Accent6 3 2 5 3 2 2 5" xfId="38539"/>
    <cellStyle name="40 % - Accent6 3 2 5 3 2 2 6" xfId="54768"/>
    <cellStyle name="40 % - Accent6 3 2 5 3 2 3" xfId="9331"/>
    <cellStyle name="40 % - Accent6 3 2 5 3 2 3 2" xfId="28804"/>
    <cellStyle name="40 % - Accent6 3 2 5 3 2 3 3" xfId="41784"/>
    <cellStyle name="40 % - Accent6 3 2 5 3 2 3 4" xfId="58013"/>
    <cellStyle name="40 % - Accent6 3 2 5 3 2 4" xfId="15824"/>
    <cellStyle name="40 % - Accent6 3 2 5 3 2 4 2" xfId="51523"/>
    <cellStyle name="40 % - Accent6 3 2 5 3 2 5" xfId="22314"/>
    <cellStyle name="40 % - Accent6 3 2 5 3 2 6" xfId="35294"/>
    <cellStyle name="40 % - Accent6 3 2 5 3 2 7" xfId="48277"/>
    <cellStyle name="40 % - Accent6 3 2 5 3 3" xfId="4421"/>
    <cellStyle name="40 % - Accent6 3 2 5 3 3 2" xfId="10953"/>
    <cellStyle name="40 % - Accent6 3 2 5 3 3 2 2" xfId="30426"/>
    <cellStyle name="40 % - Accent6 3 2 5 3 3 2 3" xfId="43406"/>
    <cellStyle name="40 % - Accent6 3 2 5 3 3 2 4" xfId="59635"/>
    <cellStyle name="40 % - Accent6 3 2 5 3 3 3" xfId="17446"/>
    <cellStyle name="40 % - Accent6 3 2 5 3 3 4" xfId="23936"/>
    <cellStyle name="40 % - Accent6 3 2 5 3 3 5" xfId="36916"/>
    <cellStyle name="40 % - Accent6 3 2 5 3 3 6" xfId="53145"/>
    <cellStyle name="40 % - Accent6 3 2 5 3 4" xfId="7708"/>
    <cellStyle name="40 % - Accent6 3 2 5 3 4 2" xfId="27181"/>
    <cellStyle name="40 % - Accent6 3 2 5 3 4 3" xfId="40161"/>
    <cellStyle name="40 % - Accent6 3 2 5 3 4 4" xfId="56390"/>
    <cellStyle name="40 % - Accent6 3 2 5 3 5" xfId="14201"/>
    <cellStyle name="40 % - Accent6 3 2 5 3 5 2" xfId="49900"/>
    <cellStyle name="40 % - Accent6 3 2 5 3 6" xfId="20691"/>
    <cellStyle name="40 % - Accent6 3 2 5 3 7" xfId="33671"/>
    <cellStyle name="40 % - Accent6 3 2 5 3 8" xfId="46654"/>
    <cellStyle name="40 % - Accent6 3 2 5 4" xfId="2324"/>
    <cellStyle name="40 % - Accent6 3 2 5 4 2" xfId="5569"/>
    <cellStyle name="40 % - Accent6 3 2 5 4 2 2" xfId="12101"/>
    <cellStyle name="40 % - Accent6 3 2 5 4 2 2 2" xfId="31574"/>
    <cellStyle name="40 % - Accent6 3 2 5 4 2 2 3" xfId="44554"/>
    <cellStyle name="40 % - Accent6 3 2 5 4 2 2 4" xfId="60783"/>
    <cellStyle name="40 % - Accent6 3 2 5 4 2 3" xfId="18594"/>
    <cellStyle name="40 % - Accent6 3 2 5 4 2 4" xfId="25084"/>
    <cellStyle name="40 % - Accent6 3 2 5 4 2 5" xfId="38064"/>
    <cellStyle name="40 % - Accent6 3 2 5 4 2 6" xfId="54293"/>
    <cellStyle name="40 % - Accent6 3 2 5 4 3" xfId="8856"/>
    <cellStyle name="40 % - Accent6 3 2 5 4 3 2" xfId="28329"/>
    <cellStyle name="40 % - Accent6 3 2 5 4 3 3" xfId="41309"/>
    <cellStyle name="40 % - Accent6 3 2 5 4 3 4" xfId="57538"/>
    <cellStyle name="40 % - Accent6 3 2 5 4 4" xfId="15349"/>
    <cellStyle name="40 % - Accent6 3 2 5 4 4 2" xfId="51048"/>
    <cellStyle name="40 % - Accent6 3 2 5 4 5" xfId="21839"/>
    <cellStyle name="40 % - Accent6 3 2 5 4 6" xfId="34819"/>
    <cellStyle name="40 % - Accent6 3 2 5 4 7" xfId="47802"/>
    <cellStyle name="40 % - Accent6 3 2 5 5" xfId="3946"/>
    <cellStyle name="40 % - Accent6 3 2 5 5 2" xfId="10478"/>
    <cellStyle name="40 % - Accent6 3 2 5 5 2 2" xfId="29951"/>
    <cellStyle name="40 % - Accent6 3 2 5 5 2 3" xfId="42931"/>
    <cellStyle name="40 % - Accent6 3 2 5 5 2 4" xfId="59160"/>
    <cellStyle name="40 % - Accent6 3 2 5 5 3" xfId="16971"/>
    <cellStyle name="40 % - Accent6 3 2 5 5 4" xfId="23461"/>
    <cellStyle name="40 % - Accent6 3 2 5 5 5" xfId="36441"/>
    <cellStyle name="40 % - Accent6 3 2 5 5 6" xfId="52670"/>
    <cellStyle name="40 % - Accent6 3 2 5 6" xfId="7233"/>
    <cellStyle name="40 % - Accent6 3 2 5 6 2" xfId="26706"/>
    <cellStyle name="40 % - Accent6 3 2 5 6 3" xfId="39686"/>
    <cellStyle name="40 % - Accent6 3 2 5 6 4" xfId="55915"/>
    <cellStyle name="40 % - Accent6 3 2 5 7" xfId="13726"/>
    <cellStyle name="40 % - Accent6 3 2 5 7 2" xfId="49425"/>
    <cellStyle name="40 % - Accent6 3 2 5 8" xfId="20216"/>
    <cellStyle name="40 % - Accent6 3 2 5 9" xfId="33196"/>
    <cellStyle name="40 % - Accent6 3 2 6" xfId="426"/>
    <cellStyle name="40 % - Accent6 3 2 6 2" xfId="1375"/>
    <cellStyle name="40 % - Accent6 3 2 6 2 2" xfId="3042"/>
    <cellStyle name="40 % - Accent6 3 2 6 2 2 2" xfId="6287"/>
    <cellStyle name="40 % - Accent6 3 2 6 2 2 2 2" xfId="12819"/>
    <cellStyle name="40 % - Accent6 3 2 6 2 2 2 2 2" xfId="32292"/>
    <cellStyle name="40 % - Accent6 3 2 6 2 2 2 2 3" xfId="45272"/>
    <cellStyle name="40 % - Accent6 3 2 6 2 2 2 2 4" xfId="61501"/>
    <cellStyle name="40 % - Accent6 3 2 6 2 2 2 3" xfId="19312"/>
    <cellStyle name="40 % - Accent6 3 2 6 2 2 2 4" xfId="25802"/>
    <cellStyle name="40 % - Accent6 3 2 6 2 2 2 5" xfId="38782"/>
    <cellStyle name="40 % - Accent6 3 2 6 2 2 2 6" xfId="55011"/>
    <cellStyle name="40 % - Accent6 3 2 6 2 2 3" xfId="9574"/>
    <cellStyle name="40 % - Accent6 3 2 6 2 2 3 2" xfId="29047"/>
    <cellStyle name="40 % - Accent6 3 2 6 2 2 3 3" xfId="42027"/>
    <cellStyle name="40 % - Accent6 3 2 6 2 2 3 4" xfId="58256"/>
    <cellStyle name="40 % - Accent6 3 2 6 2 2 4" xfId="16067"/>
    <cellStyle name="40 % - Accent6 3 2 6 2 2 4 2" xfId="51766"/>
    <cellStyle name="40 % - Accent6 3 2 6 2 2 5" xfId="22557"/>
    <cellStyle name="40 % - Accent6 3 2 6 2 2 6" xfId="35537"/>
    <cellStyle name="40 % - Accent6 3 2 6 2 2 7" xfId="48520"/>
    <cellStyle name="40 % - Accent6 3 2 6 2 3" xfId="4664"/>
    <cellStyle name="40 % - Accent6 3 2 6 2 3 2" xfId="11196"/>
    <cellStyle name="40 % - Accent6 3 2 6 2 3 2 2" xfId="30669"/>
    <cellStyle name="40 % - Accent6 3 2 6 2 3 2 3" xfId="43649"/>
    <cellStyle name="40 % - Accent6 3 2 6 2 3 2 4" xfId="59878"/>
    <cellStyle name="40 % - Accent6 3 2 6 2 3 3" xfId="17689"/>
    <cellStyle name="40 % - Accent6 3 2 6 2 3 4" xfId="24179"/>
    <cellStyle name="40 % - Accent6 3 2 6 2 3 5" xfId="37159"/>
    <cellStyle name="40 % - Accent6 3 2 6 2 3 6" xfId="53388"/>
    <cellStyle name="40 % - Accent6 3 2 6 2 4" xfId="7951"/>
    <cellStyle name="40 % - Accent6 3 2 6 2 4 2" xfId="27424"/>
    <cellStyle name="40 % - Accent6 3 2 6 2 4 3" xfId="40404"/>
    <cellStyle name="40 % - Accent6 3 2 6 2 4 4" xfId="56633"/>
    <cellStyle name="40 % - Accent6 3 2 6 2 5" xfId="14444"/>
    <cellStyle name="40 % - Accent6 3 2 6 2 5 2" xfId="50143"/>
    <cellStyle name="40 % - Accent6 3 2 6 2 6" xfId="20934"/>
    <cellStyle name="40 % - Accent6 3 2 6 2 7" xfId="33914"/>
    <cellStyle name="40 % - Accent6 3 2 6 2 8" xfId="46897"/>
    <cellStyle name="40 % - Accent6 3 2 6 3" xfId="2094"/>
    <cellStyle name="40 % - Accent6 3 2 6 3 2" xfId="5339"/>
    <cellStyle name="40 % - Accent6 3 2 6 3 2 2" xfId="11871"/>
    <cellStyle name="40 % - Accent6 3 2 6 3 2 2 2" xfId="31344"/>
    <cellStyle name="40 % - Accent6 3 2 6 3 2 2 3" xfId="44324"/>
    <cellStyle name="40 % - Accent6 3 2 6 3 2 2 4" xfId="60553"/>
    <cellStyle name="40 % - Accent6 3 2 6 3 2 3" xfId="18364"/>
    <cellStyle name="40 % - Accent6 3 2 6 3 2 4" xfId="24854"/>
    <cellStyle name="40 % - Accent6 3 2 6 3 2 5" xfId="37834"/>
    <cellStyle name="40 % - Accent6 3 2 6 3 2 6" xfId="54063"/>
    <cellStyle name="40 % - Accent6 3 2 6 3 3" xfId="8626"/>
    <cellStyle name="40 % - Accent6 3 2 6 3 3 2" xfId="28099"/>
    <cellStyle name="40 % - Accent6 3 2 6 3 3 3" xfId="41079"/>
    <cellStyle name="40 % - Accent6 3 2 6 3 3 4" xfId="57308"/>
    <cellStyle name="40 % - Accent6 3 2 6 3 4" xfId="15119"/>
    <cellStyle name="40 % - Accent6 3 2 6 3 4 2" xfId="50818"/>
    <cellStyle name="40 % - Accent6 3 2 6 3 5" xfId="21609"/>
    <cellStyle name="40 % - Accent6 3 2 6 3 6" xfId="34589"/>
    <cellStyle name="40 % - Accent6 3 2 6 3 7" xfId="47572"/>
    <cellStyle name="40 % - Accent6 3 2 6 4" xfId="3716"/>
    <cellStyle name="40 % - Accent6 3 2 6 4 2" xfId="10248"/>
    <cellStyle name="40 % - Accent6 3 2 6 4 2 2" xfId="29721"/>
    <cellStyle name="40 % - Accent6 3 2 6 4 2 3" xfId="42701"/>
    <cellStyle name="40 % - Accent6 3 2 6 4 2 4" xfId="58930"/>
    <cellStyle name="40 % - Accent6 3 2 6 4 3" xfId="16741"/>
    <cellStyle name="40 % - Accent6 3 2 6 4 4" xfId="23231"/>
    <cellStyle name="40 % - Accent6 3 2 6 4 5" xfId="36211"/>
    <cellStyle name="40 % - Accent6 3 2 6 4 6" xfId="52440"/>
    <cellStyle name="40 % - Accent6 3 2 6 5" xfId="7003"/>
    <cellStyle name="40 % - Accent6 3 2 6 5 2" xfId="26476"/>
    <cellStyle name="40 % - Accent6 3 2 6 5 3" xfId="39456"/>
    <cellStyle name="40 % - Accent6 3 2 6 5 4" xfId="55685"/>
    <cellStyle name="40 % - Accent6 3 2 6 6" xfId="13496"/>
    <cellStyle name="40 % - Accent6 3 2 6 6 2" xfId="49195"/>
    <cellStyle name="40 % - Accent6 3 2 6 7" xfId="19986"/>
    <cellStyle name="40 % - Accent6 3 2 6 8" xfId="32966"/>
    <cellStyle name="40 % - Accent6 3 2 6 9" xfId="45949"/>
    <cellStyle name="40 % - Accent6 3 2 7" xfId="912"/>
    <cellStyle name="40 % - Accent6 3 2 7 2" xfId="2579"/>
    <cellStyle name="40 % - Accent6 3 2 7 2 2" xfId="5824"/>
    <cellStyle name="40 % - Accent6 3 2 7 2 2 2" xfId="12356"/>
    <cellStyle name="40 % - Accent6 3 2 7 2 2 2 2" xfId="31829"/>
    <cellStyle name="40 % - Accent6 3 2 7 2 2 2 3" xfId="44809"/>
    <cellStyle name="40 % - Accent6 3 2 7 2 2 2 4" xfId="61038"/>
    <cellStyle name="40 % - Accent6 3 2 7 2 2 3" xfId="18849"/>
    <cellStyle name="40 % - Accent6 3 2 7 2 2 4" xfId="25339"/>
    <cellStyle name="40 % - Accent6 3 2 7 2 2 5" xfId="38319"/>
    <cellStyle name="40 % - Accent6 3 2 7 2 2 6" xfId="54548"/>
    <cellStyle name="40 % - Accent6 3 2 7 2 3" xfId="9111"/>
    <cellStyle name="40 % - Accent6 3 2 7 2 3 2" xfId="28584"/>
    <cellStyle name="40 % - Accent6 3 2 7 2 3 3" xfId="41564"/>
    <cellStyle name="40 % - Accent6 3 2 7 2 3 4" xfId="57793"/>
    <cellStyle name="40 % - Accent6 3 2 7 2 4" xfId="15604"/>
    <cellStyle name="40 % - Accent6 3 2 7 2 4 2" xfId="51303"/>
    <cellStyle name="40 % - Accent6 3 2 7 2 5" xfId="22094"/>
    <cellStyle name="40 % - Accent6 3 2 7 2 6" xfId="35074"/>
    <cellStyle name="40 % - Accent6 3 2 7 2 7" xfId="48057"/>
    <cellStyle name="40 % - Accent6 3 2 7 3" xfId="4201"/>
    <cellStyle name="40 % - Accent6 3 2 7 3 2" xfId="10733"/>
    <cellStyle name="40 % - Accent6 3 2 7 3 2 2" xfId="30206"/>
    <cellStyle name="40 % - Accent6 3 2 7 3 2 3" xfId="43186"/>
    <cellStyle name="40 % - Accent6 3 2 7 3 2 4" xfId="59415"/>
    <cellStyle name="40 % - Accent6 3 2 7 3 3" xfId="17226"/>
    <cellStyle name="40 % - Accent6 3 2 7 3 4" xfId="23716"/>
    <cellStyle name="40 % - Accent6 3 2 7 3 5" xfId="36696"/>
    <cellStyle name="40 % - Accent6 3 2 7 3 6" xfId="52925"/>
    <cellStyle name="40 % - Accent6 3 2 7 4" xfId="7488"/>
    <cellStyle name="40 % - Accent6 3 2 7 4 2" xfId="26961"/>
    <cellStyle name="40 % - Accent6 3 2 7 4 3" xfId="39941"/>
    <cellStyle name="40 % - Accent6 3 2 7 4 4" xfId="56170"/>
    <cellStyle name="40 % - Accent6 3 2 7 5" xfId="13981"/>
    <cellStyle name="40 % - Accent6 3 2 7 5 2" xfId="49680"/>
    <cellStyle name="40 % - Accent6 3 2 7 6" xfId="20471"/>
    <cellStyle name="40 % - Accent6 3 2 7 7" xfId="33451"/>
    <cellStyle name="40 % - Accent6 3 2 7 8" xfId="46434"/>
    <cellStyle name="40 % - Accent6 3 2 8" xfId="1865"/>
    <cellStyle name="40 % - Accent6 3 2 8 2" xfId="5110"/>
    <cellStyle name="40 % - Accent6 3 2 8 2 2" xfId="11642"/>
    <cellStyle name="40 % - Accent6 3 2 8 2 2 2" xfId="31115"/>
    <cellStyle name="40 % - Accent6 3 2 8 2 2 3" xfId="44095"/>
    <cellStyle name="40 % - Accent6 3 2 8 2 2 4" xfId="60324"/>
    <cellStyle name="40 % - Accent6 3 2 8 2 3" xfId="18135"/>
    <cellStyle name="40 % - Accent6 3 2 8 2 4" xfId="24625"/>
    <cellStyle name="40 % - Accent6 3 2 8 2 5" xfId="37605"/>
    <cellStyle name="40 % - Accent6 3 2 8 2 6" xfId="53834"/>
    <cellStyle name="40 % - Accent6 3 2 8 3" xfId="8397"/>
    <cellStyle name="40 % - Accent6 3 2 8 3 2" xfId="27870"/>
    <cellStyle name="40 % - Accent6 3 2 8 3 3" xfId="40850"/>
    <cellStyle name="40 % - Accent6 3 2 8 3 4" xfId="57079"/>
    <cellStyle name="40 % - Accent6 3 2 8 4" xfId="14890"/>
    <cellStyle name="40 % - Accent6 3 2 8 4 2" xfId="50589"/>
    <cellStyle name="40 % - Accent6 3 2 8 5" xfId="21380"/>
    <cellStyle name="40 % - Accent6 3 2 8 6" xfId="34360"/>
    <cellStyle name="40 % - Accent6 3 2 8 7" xfId="47343"/>
    <cellStyle name="40 % - Accent6 3 2 9" xfId="3486"/>
    <cellStyle name="40 % - Accent6 3 2 9 2" xfId="10018"/>
    <cellStyle name="40 % - Accent6 3 2 9 2 2" xfId="29491"/>
    <cellStyle name="40 % - Accent6 3 2 9 2 3" xfId="42471"/>
    <cellStyle name="40 % - Accent6 3 2 9 2 4" xfId="58700"/>
    <cellStyle name="40 % - Accent6 3 2 9 3" xfId="16511"/>
    <cellStyle name="40 % - Accent6 3 2 9 4" xfId="23001"/>
    <cellStyle name="40 % - Accent6 3 2 9 5" xfId="35981"/>
    <cellStyle name="40 % - Accent6 3 2 9 6" xfId="52210"/>
    <cellStyle name="40 % - Accent6 3 3" xfId="258"/>
    <cellStyle name="40 % - Accent6 3 3 10" xfId="19822"/>
    <cellStyle name="40 % - Accent6 3 3 11" xfId="32802"/>
    <cellStyle name="40 % - Accent6 3 3 12" xfId="45785"/>
    <cellStyle name="40 % - Accent6 3 3 2" xfId="346"/>
    <cellStyle name="40 % - Accent6 3 3 2 10" xfId="32890"/>
    <cellStyle name="40 % - Accent6 3 3 2 11" xfId="45873"/>
    <cellStyle name="40 % - Accent6 3 3 2 2" xfId="810"/>
    <cellStyle name="40 % - Accent6 3 3 2 2 10" xfId="46333"/>
    <cellStyle name="40 % - Accent6 3 3 2 2 2" xfId="1749"/>
    <cellStyle name="40 % - Accent6 3 3 2 2 2 2" xfId="3416"/>
    <cellStyle name="40 % - Accent6 3 3 2 2 2 2 2" xfId="6661"/>
    <cellStyle name="40 % - Accent6 3 3 2 2 2 2 2 2" xfId="13193"/>
    <cellStyle name="40 % - Accent6 3 3 2 2 2 2 2 2 2" xfId="32666"/>
    <cellStyle name="40 % - Accent6 3 3 2 2 2 2 2 2 3" xfId="45646"/>
    <cellStyle name="40 % - Accent6 3 3 2 2 2 2 2 2 4" xfId="61875"/>
    <cellStyle name="40 % - Accent6 3 3 2 2 2 2 2 3" xfId="19686"/>
    <cellStyle name="40 % - Accent6 3 3 2 2 2 2 2 4" xfId="26176"/>
    <cellStyle name="40 % - Accent6 3 3 2 2 2 2 2 5" xfId="39156"/>
    <cellStyle name="40 % - Accent6 3 3 2 2 2 2 2 6" xfId="55385"/>
    <cellStyle name="40 % - Accent6 3 3 2 2 2 2 3" xfId="9948"/>
    <cellStyle name="40 % - Accent6 3 3 2 2 2 2 3 2" xfId="29421"/>
    <cellStyle name="40 % - Accent6 3 3 2 2 2 2 3 3" xfId="42401"/>
    <cellStyle name="40 % - Accent6 3 3 2 2 2 2 3 4" xfId="58630"/>
    <cellStyle name="40 % - Accent6 3 3 2 2 2 2 4" xfId="16441"/>
    <cellStyle name="40 % - Accent6 3 3 2 2 2 2 4 2" xfId="52140"/>
    <cellStyle name="40 % - Accent6 3 3 2 2 2 2 5" xfId="22931"/>
    <cellStyle name="40 % - Accent6 3 3 2 2 2 2 6" xfId="35911"/>
    <cellStyle name="40 % - Accent6 3 3 2 2 2 2 7" xfId="48894"/>
    <cellStyle name="40 % - Accent6 3 3 2 2 2 3" xfId="5038"/>
    <cellStyle name="40 % - Accent6 3 3 2 2 2 3 2" xfId="11570"/>
    <cellStyle name="40 % - Accent6 3 3 2 2 2 3 2 2" xfId="31043"/>
    <cellStyle name="40 % - Accent6 3 3 2 2 2 3 2 3" xfId="44023"/>
    <cellStyle name="40 % - Accent6 3 3 2 2 2 3 2 4" xfId="60252"/>
    <cellStyle name="40 % - Accent6 3 3 2 2 2 3 3" xfId="18063"/>
    <cellStyle name="40 % - Accent6 3 3 2 2 2 3 4" xfId="24553"/>
    <cellStyle name="40 % - Accent6 3 3 2 2 2 3 5" xfId="37533"/>
    <cellStyle name="40 % - Accent6 3 3 2 2 2 3 6" xfId="53762"/>
    <cellStyle name="40 % - Accent6 3 3 2 2 2 4" xfId="8325"/>
    <cellStyle name="40 % - Accent6 3 3 2 2 2 4 2" xfId="27798"/>
    <cellStyle name="40 % - Accent6 3 3 2 2 2 4 3" xfId="40778"/>
    <cellStyle name="40 % - Accent6 3 3 2 2 2 4 4" xfId="57007"/>
    <cellStyle name="40 % - Accent6 3 3 2 2 2 5" xfId="14818"/>
    <cellStyle name="40 % - Accent6 3 3 2 2 2 5 2" xfId="50517"/>
    <cellStyle name="40 % - Accent6 3 3 2 2 2 6" xfId="21308"/>
    <cellStyle name="40 % - Accent6 3 3 2 2 2 7" xfId="34288"/>
    <cellStyle name="40 % - Accent6 3 3 2 2 2 8" xfId="47271"/>
    <cellStyle name="40 % - Accent6 3 3 2 2 3" xfId="1286"/>
    <cellStyle name="40 % - Accent6 3 3 2 2 3 2" xfId="2953"/>
    <cellStyle name="40 % - Accent6 3 3 2 2 3 2 2" xfId="6198"/>
    <cellStyle name="40 % - Accent6 3 3 2 2 3 2 2 2" xfId="12730"/>
    <cellStyle name="40 % - Accent6 3 3 2 2 3 2 2 2 2" xfId="32203"/>
    <cellStyle name="40 % - Accent6 3 3 2 2 3 2 2 2 3" xfId="45183"/>
    <cellStyle name="40 % - Accent6 3 3 2 2 3 2 2 2 4" xfId="61412"/>
    <cellStyle name="40 % - Accent6 3 3 2 2 3 2 2 3" xfId="19223"/>
    <cellStyle name="40 % - Accent6 3 3 2 2 3 2 2 4" xfId="25713"/>
    <cellStyle name="40 % - Accent6 3 3 2 2 3 2 2 5" xfId="38693"/>
    <cellStyle name="40 % - Accent6 3 3 2 2 3 2 2 6" xfId="54922"/>
    <cellStyle name="40 % - Accent6 3 3 2 2 3 2 3" xfId="9485"/>
    <cellStyle name="40 % - Accent6 3 3 2 2 3 2 3 2" xfId="28958"/>
    <cellStyle name="40 % - Accent6 3 3 2 2 3 2 3 3" xfId="41938"/>
    <cellStyle name="40 % - Accent6 3 3 2 2 3 2 3 4" xfId="58167"/>
    <cellStyle name="40 % - Accent6 3 3 2 2 3 2 4" xfId="15978"/>
    <cellStyle name="40 % - Accent6 3 3 2 2 3 2 4 2" xfId="51677"/>
    <cellStyle name="40 % - Accent6 3 3 2 2 3 2 5" xfId="22468"/>
    <cellStyle name="40 % - Accent6 3 3 2 2 3 2 6" xfId="35448"/>
    <cellStyle name="40 % - Accent6 3 3 2 2 3 2 7" xfId="48431"/>
    <cellStyle name="40 % - Accent6 3 3 2 2 3 3" xfId="4575"/>
    <cellStyle name="40 % - Accent6 3 3 2 2 3 3 2" xfId="11107"/>
    <cellStyle name="40 % - Accent6 3 3 2 2 3 3 2 2" xfId="30580"/>
    <cellStyle name="40 % - Accent6 3 3 2 2 3 3 2 3" xfId="43560"/>
    <cellStyle name="40 % - Accent6 3 3 2 2 3 3 2 4" xfId="59789"/>
    <cellStyle name="40 % - Accent6 3 3 2 2 3 3 3" xfId="17600"/>
    <cellStyle name="40 % - Accent6 3 3 2 2 3 3 4" xfId="24090"/>
    <cellStyle name="40 % - Accent6 3 3 2 2 3 3 5" xfId="37070"/>
    <cellStyle name="40 % - Accent6 3 3 2 2 3 3 6" xfId="53299"/>
    <cellStyle name="40 % - Accent6 3 3 2 2 3 4" xfId="7862"/>
    <cellStyle name="40 % - Accent6 3 3 2 2 3 4 2" xfId="27335"/>
    <cellStyle name="40 % - Accent6 3 3 2 2 3 4 3" xfId="40315"/>
    <cellStyle name="40 % - Accent6 3 3 2 2 3 4 4" xfId="56544"/>
    <cellStyle name="40 % - Accent6 3 3 2 2 3 5" xfId="14355"/>
    <cellStyle name="40 % - Accent6 3 3 2 2 3 5 2" xfId="50054"/>
    <cellStyle name="40 % - Accent6 3 3 2 2 3 6" xfId="20845"/>
    <cellStyle name="40 % - Accent6 3 3 2 2 3 7" xfId="33825"/>
    <cellStyle name="40 % - Accent6 3 3 2 2 3 8" xfId="46808"/>
    <cellStyle name="40 % - Accent6 3 3 2 2 4" xfId="2478"/>
    <cellStyle name="40 % - Accent6 3 3 2 2 4 2" xfId="5723"/>
    <cellStyle name="40 % - Accent6 3 3 2 2 4 2 2" xfId="12255"/>
    <cellStyle name="40 % - Accent6 3 3 2 2 4 2 2 2" xfId="31728"/>
    <cellStyle name="40 % - Accent6 3 3 2 2 4 2 2 3" xfId="44708"/>
    <cellStyle name="40 % - Accent6 3 3 2 2 4 2 2 4" xfId="60937"/>
    <cellStyle name="40 % - Accent6 3 3 2 2 4 2 3" xfId="18748"/>
    <cellStyle name="40 % - Accent6 3 3 2 2 4 2 4" xfId="25238"/>
    <cellStyle name="40 % - Accent6 3 3 2 2 4 2 5" xfId="38218"/>
    <cellStyle name="40 % - Accent6 3 3 2 2 4 2 6" xfId="54447"/>
    <cellStyle name="40 % - Accent6 3 3 2 2 4 3" xfId="9010"/>
    <cellStyle name="40 % - Accent6 3 3 2 2 4 3 2" xfId="28483"/>
    <cellStyle name="40 % - Accent6 3 3 2 2 4 3 3" xfId="41463"/>
    <cellStyle name="40 % - Accent6 3 3 2 2 4 3 4" xfId="57692"/>
    <cellStyle name="40 % - Accent6 3 3 2 2 4 4" xfId="15503"/>
    <cellStyle name="40 % - Accent6 3 3 2 2 4 4 2" xfId="51202"/>
    <cellStyle name="40 % - Accent6 3 3 2 2 4 5" xfId="21993"/>
    <cellStyle name="40 % - Accent6 3 3 2 2 4 6" xfId="34973"/>
    <cellStyle name="40 % - Accent6 3 3 2 2 4 7" xfId="47956"/>
    <cellStyle name="40 % - Accent6 3 3 2 2 5" xfId="4100"/>
    <cellStyle name="40 % - Accent6 3 3 2 2 5 2" xfId="10632"/>
    <cellStyle name="40 % - Accent6 3 3 2 2 5 2 2" xfId="30105"/>
    <cellStyle name="40 % - Accent6 3 3 2 2 5 2 3" xfId="43085"/>
    <cellStyle name="40 % - Accent6 3 3 2 2 5 2 4" xfId="59314"/>
    <cellStyle name="40 % - Accent6 3 3 2 2 5 3" xfId="17125"/>
    <cellStyle name="40 % - Accent6 3 3 2 2 5 4" xfId="23615"/>
    <cellStyle name="40 % - Accent6 3 3 2 2 5 5" xfId="36595"/>
    <cellStyle name="40 % - Accent6 3 3 2 2 5 6" xfId="52824"/>
    <cellStyle name="40 % - Accent6 3 3 2 2 6" xfId="7387"/>
    <cellStyle name="40 % - Accent6 3 3 2 2 6 2" xfId="26860"/>
    <cellStyle name="40 % - Accent6 3 3 2 2 6 3" xfId="39840"/>
    <cellStyle name="40 % - Accent6 3 3 2 2 6 4" xfId="56069"/>
    <cellStyle name="40 % - Accent6 3 3 2 2 7" xfId="13880"/>
    <cellStyle name="40 % - Accent6 3 3 2 2 7 2" xfId="49579"/>
    <cellStyle name="40 % - Accent6 3 3 2 2 8" xfId="20370"/>
    <cellStyle name="40 % - Accent6 3 3 2 2 9" xfId="33350"/>
    <cellStyle name="40 % - Accent6 3 3 2 3" xfId="580"/>
    <cellStyle name="40 % - Accent6 3 3 2 3 2" xfId="1529"/>
    <cellStyle name="40 % - Accent6 3 3 2 3 2 2" xfId="3196"/>
    <cellStyle name="40 % - Accent6 3 3 2 3 2 2 2" xfId="6441"/>
    <cellStyle name="40 % - Accent6 3 3 2 3 2 2 2 2" xfId="12973"/>
    <cellStyle name="40 % - Accent6 3 3 2 3 2 2 2 2 2" xfId="32446"/>
    <cellStyle name="40 % - Accent6 3 3 2 3 2 2 2 2 3" xfId="45426"/>
    <cellStyle name="40 % - Accent6 3 3 2 3 2 2 2 2 4" xfId="61655"/>
    <cellStyle name="40 % - Accent6 3 3 2 3 2 2 2 3" xfId="19466"/>
    <cellStyle name="40 % - Accent6 3 3 2 3 2 2 2 4" xfId="25956"/>
    <cellStyle name="40 % - Accent6 3 3 2 3 2 2 2 5" xfId="38936"/>
    <cellStyle name="40 % - Accent6 3 3 2 3 2 2 2 6" xfId="55165"/>
    <cellStyle name="40 % - Accent6 3 3 2 3 2 2 3" xfId="9728"/>
    <cellStyle name="40 % - Accent6 3 3 2 3 2 2 3 2" xfId="29201"/>
    <cellStyle name="40 % - Accent6 3 3 2 3 2 2 3 3" xfId="42181"/>
    <cellStyle name="40 % - Accent6 3 3 2 3 2 2 3 4" xfId="58410"/>
    <cellStyle name="40 % - Accent6 3 3 2 3 2 2 4" xfId="16221"/>
    <cellStyle name="40 % - Accent6 3 3 2 3 2 2 4 2" xfId="51920"/>
    <cellStyle name="40 % - Accent6 3 3 2 3 2 2 5" xfId="22711"/>
    <cellStyle name="40 % - Accent6 3 3 2 3 2 2 6" xfId="35691"/>
    <cellStyle name="40 % - Accent6 3 3 2 3 2 2 7" xfId="48674"/>
    <cellStyle name="40 % - Accent6 3 3 2 3 2 3" xfId="4818"/>
    <cellStyle name="40 % - Accent6 3 3 2 3 2 3 2" xfId="11350"/>
    <cellStyle name="40 % - Accent6 3 3 2 3 2 3 2 2" xfId="30823"/>
    <cellStyle name="40 % - Accent6 3 3 2 3 2 3 2 3" xfId="43803"/>
    <cellStyle name="40 % - Accent6 3 3 2 3 2 3 2 4" xfId="60032"/>
    <cellStyle name="40 % - Accent6 3 3 2 3 2 3 3" xfId="17843"/>
    <cellStyle name="40 % - Accent6 3 3 2 3 2 3 4" xfId="24333"/>
    <cellStyle name="40 % - Accent6 3 3 2 3 2 3 5" xfId="37313"/>
    <cellStyle name="40 % - Accent6 3 3 2 3 2 3 6" xfId="53542"/>
    <cellStyle name="40 % - Accent6 3 3 2 3 2 4" xfId="8105"/>
    <cellStyle name="40 % - Accent6 3 3 2 3 2 4 2" xfId="27578"/>
    <cellStyle name="40 % - Accent6 3 3 2 3 2 4 3" xfId="40558"/>
    <cellStyle name="40 % - Accent6 3 3 2 3 2 4 4" xfId="56787"/>
    <cellStyle name="40 % - Accent6 3 3 2 3 2 5" xfId="14598"/>
    <cellStyle name="40 % - Accent6 3 3 2 3 2 5 2" xfId="50297"/>
    <cellStyle name="40 % - Accent6 3 3 2 3 2 6" xfId="21088"/>
    <cellStyle name="40 % - Accent6 3 3 2 3 2 7" xfId="34068"/>
    <cellStyle name="40 % - Accent6 3 3 2 3 2 8" xfId="47051"/>
    <cellStyle name="40 % - Accent6 3 3 2 3 3" xfId="2248"/>
    <cellStyle name="40 % - Accent6 3 3 2 3 3 2" xfId="5493"/>
    <cellStyle name="40 % - Accent6 3 3 2 3 3 2 2" xfId="12025"/>
    <cellStyle name="40 % - Accent6 3 3 2 3 3 2 2 2" xfId="31498"/>
    <cellStyle name="40 % - Accent6 3 3 2 3 3 2 2 3" xfId="44478"/>
    <cellStyle name="40 % - Accent6 3 3 2 3 3 2 2 4" xfId="60707"/>
    <cellStyle name="40 % - Accent6 3 3 2 3 3 2 3" xfId="18518"/>
    <cellStyle name="40 % - Accent6 3 3 2 3 3 2 4" xfId="25008"/>
    <cellStyle name="40 % - Accent6 3 3 2 3 3 2 5" xfId="37988"/>
    <cellStyle name="40 % - Accent6 3 3 2 3 3 2 6" xfId="54217"/>
    <cellStyle name="40 % - Accent6 3 3 2 3 3 3" xfId="8780"/>
    <cellStyle name="40 % - Accent6 3 3 2 3 3 3 2" xfId="28253"/>
    <cellStyle name="40 % - Accent6 3 3 2 3 3 3 3" xfId="41233"/>
    <cellStyle name="40 % - Accent6 3 3 2 3 3 3 4" xfId="57462"/>
    <cellStyle name="40 % - Accent6 3 3 2 3 3 4" xfId="15273"/>
    <cellStyle name="40 % - Accent6 3 3 2 3 3 4 2" xfId="50972"/>
    <cellStyle name="40 % - Accent6 3 3 2 3 3 5" xfId="21763"/>
    <cellStyle name="40 % - Accent6 3 3 2 3 3 6" xfId="34743"/>
    <cellStyle name="40 % - Accent6 3 3 2 3 3 7" xfId="47726"/>
    <cellStyle name="40 % - Accent6 3 3 2 3 4" xfId="3870"/>
    <cellStyle name="40 % - Accent6 3 3 2 3 4 2" xfId="10402"/>
    <cellStyle name="40 % - Accent6 3 3 2 3 4 2 2" xfId="29875"/>
    <cellStyle name="40 % - Accent6 3 3 2 3 4 2 3" xfId="42855"/>
    <cellStyle name="40 % - Accent6 3 3 2 3 4 2 4" xfId="59084"/>
    <cellStyle name="40 % - Accent6 3 3 2 3 4 3" xfId="16895"/>
    <cellStyle name="40 % - Accent6 3 3 2 3 4 4" xfId="23385"/>
    <cellStyle name="40 % - Accent6 3 3 2 3 4 5" xfId="36365"/>
    <cellStyle name="40 % - Accent6 3 3 2 3 4 6" xfId="52594"/>
    <cellStyle name="40 % - Accent6 3 3 2 3 5" xfId="7157"/>
    <cellStyle name="40 % - Accent6 3 3 2 3 5 2" xfId="26630"/>
    <cellStyle name="40 % - Accent6 3 3 2 3 5 3" xfId="39610"/>
    <cellStyle name="40 % - Accent6 3 3 2 3 5 4" xfId="55839"/>
    <cellStyle name="40 % - Accent6 3 3 2 3 6" xfId="13650"/>
    <cellStyle name="40 % - Accent6 3 3 2 3 6 2" xfId="49349"/>
    <cellStyle name="40 % - Accent6 3 3 2 3 7" xfId="20140"/>
    <cellStyle name="40 % - Accent6 3 3 2 3 8" xfId="33120"/>
    <cellStyle name="40 % - Accent6 3 3 2 3 9" xfId="46103"/>
    <cellStyle name="40 % - Accent6 3 3 2 4" xfId="1066"/>
    <cellStyle name="40 % - Accent6 3 3 2 4 2" xfId="2733"/>
    <cellStyle name="40 % - Accent6 3 3 2 4 2 2" xfId="5978"/>
    <cellStyle name="40 % - Accent6 3 3 2 4 2 2 2" xfId="12510"/>
    <cellStyle name="40 % - Accent6 3 3 2 4 2 2 2 2" xfId="31983"/>
    <cellStyle name="40 % - Accent6 3 3 2 4 2 2 2 3" xfId="44963"/>
    <cellStyle name="40 % - Accent6 3 3 2 4 2 2 2 4" xfId="61192"/>
    <cellStyle name="40 % - Accent6 3 3 2 4 2 2 3" xfId="19003"/>
    <cellStyle name="40 % - Accent6 3 3 2 4 2 2 4" xfId="25493"/>
    <cellStyle name="40 % - Accent6 3 3 2 4 2 2 5" xfId="38473"/>
    <cellStyle name="40 % - Accent6 3 3 2 4 2 2 6" xfId="54702"/>
    <cellStyle name="40 % - Accent6 3 3 2 4 2 3" xfId="9265"/>
    <cellStyle name="40 % - Accent6 3 3 2 4 2 3 2" xfId="28738"/>
    <cellStyle name="40 % - Accent6 3 3 2 4 2 3 3" xfId="41718"/>
    <cellStyle name="40 % - Accent6 3 3 2 4 2 3 4" xfId="57947"/>
    <cellStyle name="40 % - Accent6 3 3 2 4 2 4" xfId="15758"/>
    <cellStyle name="40 % - Accent6 3 3 2 4 2 4 2" xfId="51457"/>
    <cellStyle name="40 % - Accent6 3 3 2 4 2 5" xfId="22248"/>
    <cellStyle name="40 % - Accent6 3 3 2 4 2 6" xfId="35228"/>
    <cellStyle name="40 % - Accent6 3 3 2 4 2 7" xfId="48211"/>
    <cellStyle name="40 % - Accent6 3 3 2 4 3" xfId="4355"/>
    <cellStyle name="40 % - Accent6 3 3 2 4 3 2" xfId="10887"/>
    <cellStyle name="40 % - Accent6 3 3 2 4 3 2 2" xfId="30360"/>
    <cellStyle name="40 % - Accent6 3 3 2 4 3 2 3" xfId="43340"/>
    <cellStyle name="40 % - Accent6 3 3 2 4 3 2 4" xfId="59569"/>
    <cellStyle name="40 % - Accent6 3 3 2 4 3 3" xfId="17380"/>
    <cellStyle name="40 % - Accent6 3 3 2 4 3 4" xfId="23870"/>
    <cellStyle name="40 % - Accent6 3 3 2 4 3 5" xfId="36850"/>
    <cellStyle name="40 % - Accent6 3 3 2 4 3 6" xfId="53079"/>
    <cellStyle name="40 % - Accent6 3 3 2 4 4" xfId="7642"/>
    <cellStyle name="40 % - Accent6 3 3 2 4 4 2" xfId="27115"/>
    <cellStyle name="40 % - Accent6 3 3 2 4 4 3" xfId="40095"/>
    <cellStyle name="40 % - Accent6 3 3 2 4 4 4" xfId="56324"/>
    <cellStyle name="40 % - Accent6 3 3 2 4 5" xfId="14135"/>
    <cellStyle name="40 % - Accent6 3 3 2 4 5 2" xfId="49834"/>
    <cellStyle name="40 % - Accent6 3 3 2 4 6" xfId="20625"/>
    <cellStyle name="40 % - Accent6 3 3 2 4 7" xfId="33605"/>
    <cellStyle name="40 % - Accent6 3 3 2 4 8" xfId="46588"/>
    <cellStyle name="40 % - Accent6 3 3 2 5" xfId="2019"/>
    <cellStyle name="40 % - Accent6 3 3 2 5 2" xfId="5264"/>
    <cellStyle name="40 % - Accent6 3 3 2 5 2 2" xfId="11796"/>
    <cellStyle name="40 % - Accent6 3 3 2 5 2 2 2" xfId="31269"/>
    <cellStyle name="40 % - Accent6 3 3 2 5 2 2 3" xfId="44249"/>
    <cellStyle name="40 % - Accent6 3 3 2 5 2 2 4" xfId="60478"/>
    <cellStyle name="40 % - Accent6 3 3 2 5 2 3" xfId="18289"/>
    <cellStyle name="40 % - Accent6 3 3 2 5 2 4" xfId="24779"/>
    <cellStyle name="40 % - Accent6 3 3 2 5 2 5" xfId="37759"/>
    <cellStyle name="40 % - Accent6 3 3 2 5 2 6" xfId="53988"/>
    <cellStyle name="40 % - Accent6 3 3 2 5 3" xfId="8551"/>
    <cellStyle name="40 % - Accent6 3 3 2 5 3 2" xfId="28024"/>
    <cellStyle name="40 % - Accent6 3 3 2 5 3 3" xfId="41004"/>
    <cellStyle name="40 % - Accent6 3 3 2 5 3 4" xfId="57233"/>
    <cellStyle name="40 % - Accent6 3 3 2 5 4" xfId="15044"/>
    <cellStyle name="40 % - Accent6 3 3 2 5 4 2" xfId="50743"/>
    <cellStyle name="40 % - Accent6 3 3 2 5 5" xfId="21534"/>
    <cellStyle name="40 % - Accent6 3 3 2 5 6" xfId="34514"/>
    <cellStyle name="40 % - Accent6 3 3 2 5 7" xfId="47497"/>
    <cellStyle name="40 % - Accent6 3 3 2 6" xfId="3640"/>
    <cellStyle name="40 % - Accent6 3 3 2 6 2" xfId="10172"/>
    <cellStyle name="40 % - Accent6 3 3 2 6 2 2" xfId="29645"/>
    <cellStyle name="40 % - Accent6 3 3 2 6 2 3" xfId="42625"/>
    <cellStyle name="40 % - Accent6 3 3 2 6 2 4" xfId="58854"/>
    <cellStyle name="40 % - Accent6 3 3 2 6 3" xfId="16665"/>
    <cellStyle name="40 % - Accent6 3 3 2 6 4" xfId="23155"/>
    <cellStyle name="40 % - Accent6 3 3 2 6 5" xfId="36135"/>
    <cellStyle name="40 % - Accent6 3 3 2 6 6" xfId="52364"/>
    <cellStyle name="40 % - Accent6 3 3 2 7" xfId="6927"/>
    <cellStyle name="40 % - Accent6 3 3 2 7 2" xfId="26400"/>
    <cellStyle name="40 % - Accent6 3 3 2 7 3" xfId="39380"/>
    <cellStyle name="40 % - Accent6 3 3 2 7 4" xfId="55609"/>
    <cellStyle name="40 % - Accent6 3 3 2 8" xfId="13420"/>
    <cellStyle name="40 % - Accent6 3 3 2 8 2" xfId="49119"/>
    <cellStyle name="40 % - Accent6 3 3 2 9" xfId="19910"/>
    <cellStyle name="40 % - Accent6 3 3 3" xfId="722"/>
    <cellStyle name="40 % - Accent6 3 3 3 10" xfId="46245"/>
    <cellStyle name="40 % - Accent6 3 3 3 2" xfId="1661"/>
    <cellStyle name="40 % - Accent6 3 3 3 2 2" xfId="3328"/>
    <cellStyle name="40 % - Accent6 3 3 3 2 2 2" xfId="6573"/>
    <cellStyle name="40 % - Accent6 3 3 3 2 2 2 2" xfId="13105"/>
    <cellStyle name="40 % - Accent6 3 3 3 2 2 2 2 2" xfId="32578"/>
    <cellStyle name="40 % - Accent6 3 3 3 2 2 2 2 3" xfId="45558"/>
    <cellStyle name="40 % - Accent6 3 3 3 2 2 2 2 4" xfId="61787"/>
    <cellStyle name="40 % - Accent6 3 3 3 2 2 2 3" xfId="19598"/>
    <cellStyle name="40 % - Accent6 3 3 3 2 2 2 4" xfId="26088"/>
    <cellStyle name="40 % - Accent6 3 3 3 2 2 2 5" xfId="39068"/>
    <cellStyle name="40 % - Accent6 3 3 3 2 2 2 6" xfId="55297"/>
    <cellStyle name="40 % - Accent6 3 3 3 2 2 3" xfId="9860"/>
    <cellStyle name="40 % - Accent6 3 3 3 2 2 3 2" xfId="29333"/>
    <cellStyle name="40 % - Accent6 3 3 3 2 2 3 3" xfId="42313"/>
    <cellStyle name="40 % - Accent6 3 3 3 2 2 3 4" xfId="58542"/>
    <cellStyle name="40 % - Accent6 3 3 3 2 2 4" xfId="16353"/>
    <cellStyle name="40 % - Accent6 3 3 3 2 2 4 2" xfId="52052"/>
    <cellStyle name="40 % - Accent6 3 3 3 2 2 5" xfId="22843"/>
    <cellStyle name="40 % - Accent6 3 3 3 2 2 6" xfId="35823"/>
    <cellStyle name="40 % - Accent6 3 3 3 2 2 7" xfId="48806"/>
    <cellStyle name="40 % - Accent6 3 3 3 2 3" xfId="4950"/>
    <cellStyle name="40 % - Accent6 3 3 3 2 3 2" xfId="11482"/>
    <cellStyle name="40 % - Accent6 3 3 3 2 3 2 2" xfId="30955"/>
    <cellStyle name="40 % - Accent6 3 3 3 2 3 2 3" xfId="43935"/>
    <cellStyle name="40 % - Accent6 3 3 3 2 3 2 4" xfId="60164"/>
    <cellStyle name="40 % - Accent6 3 3 3 2 3 3" xfId="17975"/>
    <cellStyle name="40 % - Accent6 3 3 3 2 3 4" xfId="24465"/>
    <cellStyle name="40 % - Accent6 3 3 3 2 3 5" xfId="37445"/>
    <cellStyle name="40 % - Accent6 3 3 3 2 3 6" xfId="53674"/>
    <cellStyle name="40 % - Accent6 3 3 3 2 4" xfId="8237"/>
    <cellStyle name="40 % - Accent6 3 3 3 2 4 2" xfId="27710"/>
    <cellStyle name="40 % - Accent6 3 3 3 2 4 3" xfId="40690"/>
    <cellStyle name="40 % - Accent6 3 3 3 2 4 4" xfId="56919"/>
    <cellStyle name="40 % - Accent6 3 3 3 2 5" xfId="14730"/>
    <cellStyle name="40 % - Accent6 3 3 3 2 5 2" xfId="50429"/>
    <cellStyle name="40 % - Accent6 3 3 3 2 6" xfId="21220"/>
    <cellStyle name="40 % - Accent6 3 3 3 2 7" xfId="34200"/>
    <cellStyle name="40 % - Accent6 3 3 3 2 8" xfId="47183"/>
    <cellStyle name="40 % - Accent6 3 3 3 3" xfId="1198"/>
    <cellStyle name="40 % - Accent6 3 3 3 3 2" xfId="2865"/>
    <cellStyle name="40 % - Accent6 3 3 3 3 2 2" xfId="6110"/>
    <cellStyle name="40 % - Accent6 3 3 3 3 2 2 2" xfId="12642"/>
    <cellStyle name="40 % - Accent6 3 3 3 3 2 2 2 2" xfId="32115"/>
    <cellStyle name="40 % - Accent6 3 3 3 3 2 2 2 3" xfId="45095"/>
    <cellStyle name="40 % - Accent6 3 3 3 3 2 2 2 4" xfId="61324"/>
    <cellStyle name="40 % - Accent6 3 3 3 3 2 2 3" xfId="19135"/>
    <cellStyle name="40 % - Accent6 3 3 3 3 2 2 4" xfId="25625"/>
    <cellStyle name="40 % - Accent6 3 3 3 3 2 2 5" xfId="38605"/>
    <cellStyle name="40 % - Accent6 3 3 3 3 2 2 6" xfId="54834"/>
    <cellStyle name="40 % - Accent6 3 3 3 3 2 3" xfId="9397"/>
    <cellStyle name="40 % - Accent6 3 3 3 3 2 3 2" xfId="28870"/>
    <cellStyle name="40 % - Accent6 3 3 3 3 2 3 3" xfId="41850"/>
    <cellStyle name="40 % - Accent6 3 3 3 3 2 3 4" xfId="58079"/>
    <cellStyle name="40 % - Accent6 3 3 3 3 2 4" xfId="15890"/>
    <cellStyle name="40 % - Accent6 3 3 3 3 2 4 2" xfId="51589"/>
    <cellStyle name="40 % - Accent6 3 3 3 3 2 5" xfId="22380"/>
    <cellStyle name="40 % - Accent6 3 3 3 3 2 6" xfId="35360"/>
    <cellStyle name="40 % - Accent6 3 3 3 3 2 7" xfId="48343"/>
    <cellStyle name="40 % - Accent6 3 3 3 3 3" xfId="4487"/>
    <cellStyle name="40 % - Accent6 3 3 3 3 3 2" xfId="11019"/>
    <cellStyle name="40 % - Accent6 3 3 3 3 3 2 2" xfId="30492"/>
    <cellStyle name="40 % - Accent6 3 3 3 3 3 2 3" xfId="43472"/>
    <cellStyle name="40 % - Accent6 3 3 3 3 3 2 4" xfId="59701"/>
    <cellStyle name="40 % - Accent6 3 3 3 3 3 3" xfId="17512"/>
    <cellStyle name="40 % - Accent6 3 3 3 3 3 4" xfId="24002"/>
    <cellStyle name="40 % - Accent6 3 3 3 3 3 5" xfId="36982"/>
    <cellStyle name="40 % - Accent6 3 3 3 3 3 6" xfId="53211"/>
    <cellStyle name="40 % - Accent6 3 3 3 3 4" xfId="7774"/>
    <cellStyle name="40 % - Accent6 3 3 3 3 4 2" xfId="27247"/>
    <cellStyle name="40 % - Accent6 3 3 3 3 4 3" xfId="40227"/>
    <cellStyle name="40 % - Accent6 3 3 3 3 4 4" xfId="56456"/>
    <cellStyle name="40 % - Accent6 3 3 3 3 5" xfId="14267"/>
    <cellStyle name="40 % - Accent6 3 3 3 3 5 2" xfId="49966"/>
    <cellStyle name="40 % - Accent6 3 3 3 3 6" xfId="20757"/>
    <cellStyle name="40 % - Accent6 3 3 3 3 7" xfId="33737"/>
    <cellStyle name="40 % - Accent6 3 3 3 3 8" xfId="46720"/>
    <cellStyle name="40 % - Accent6 3 3 3 4" xfId="2390"/>
    <cellStyle name="40 % - Accent6 3 3 3 4 2" xfId="5635"/>
    <cellStyle name="40 % - Accent6 3 3 3 4 2 2" xfId="12167"/>
    <cellStyle name="40 % - Accent6 3 3 3 4 2 2 2" xfId="31640"/>
    <cellStyle name="40 % - Accent6 3 3 3 4 2 2 3" xfId="44620"/>
    <cellStyle name="40 % - Accent6 3 3 3 4 2 2 4" xfId="60849"/>
    <cellStyle name="40 % - Accent6 3 3 3 4 2 3" xfId="18660"/>
    <cellStyle name="40 % - Accent6 3 3 3 4 2 4" xfId="25150"/>
    <cellStyle name="40 % - Accent6 3 3 3 4 2 5" xfId="38130"/>
    <cellStyle name="40 % - Accent6 3 3 3 4 2 6" xfId="54359"/>
    <cellStyle name="40 % - Accent6 3 3 3 4 3" xfId="8922"/>
    <cellStyle name="40 % - Accent6 3 3 3 4 3 2" xfId="28395"/>
    <cellStyle name="40 % - Accent6 3 3 3 4 3 3" xfId="41375"/>
    <cellStyle name="40 % - Accent6 3 3 3 4 3 4" xfId="57604"/>
    <cellStyle name="40 % - Accent6 3 3 3 4 4" xfId="15415"/>
    <cellStyle name="40 % - Accent6 3 3 3 4 4 2" xfId="51114"/>
    <cellStyle name="40 % - Accent6 3 3 3 4 5" xfId="21905"/>
    <cellStyle name="40 % - Accent6 3 3 3 4 6" xfId="34885"/>
    <cellStyle name="40 % - Accent6 3 3 3 4 7" xfId="47868"/>
    <cellStyle name="40 % - Accent6 3 3 3 5" xfId="4012"/>
    <cellStyle name="40 % - Accent6 3 3 3 5 2" xfId="10544"/>
    <cellStyle name="40 % - Accent6 3 3 3 5 2 2" xfId="30017"/>
    <cellStyle name="40 % - Accent6 3 3 3 5 2 3" xfId="42997"/>
    <cellStyle name="40 % - Accent6 3 3 3 5 2 4" xfId="59226"/>
    <cellStyle name="40 % - Accent6 3 3 3 5 3" xfId="17037"/>
    <cellStyle name="40 % - Accent6 3 3 3 5 4" xfId="23527"/>
    <cellStyle name="40 % - Accent6 3 3 3 5 5" xfId="36507"/>
    <cellStyle name="40 % - Accent6 3 3 3 5 6" xfId="52736"/>
    <cellStyle name="40 % - Accent6 3 3 3 6" xfId="7299"/>
    <cellStyle name="40 % - Accent6 3 3 3 6 2" xfId="26772"/>
    <cellStyle name="40 % - Accent6 3 3 3 6 3" xfId="39752"/>
    <cellStyle name="40 % - Accent6 3 3 3 6 4" xfId="55981"/>
    <cellStyle name="40 % - Accent6 3 3 3 7" xfId="13792"/>
    <cellStyle name="40 % - Accent6 3 3 3 7 2" xfId="49491"/>
    <cellStyle name="40 % - Accent6 3 3 3 8" xfId="20282"/>
    <cellStyle name="40 % - Accent6 3 3 3 9" xfId="33262"/>
    <cellStyle name="40 % - Accent6 3 3 4" xfId="492"/>
    <cellStyle name="40 % - Accent6 3 3 4 2" xfId="1441"/>
    <cellStyle name="40 % - Accent6 3 3 4 2 2" xfId="3108"/>
    <cellStyle name="40 % - Accent6 3 3 4 2 2 2" xfId="6353"/>
    <cellStyle name="40 % - Accent6 3 3 4 2 2 2 2" xfId="12885"/>
    <cellStyle name="40 % - Accent6 3 3 4 2 2 2 2 2" xfId="32358"/>
    <cellStyle name="40 % - Accent6 3 3 4 2 2 2 2 3" xfId="45338"/>
    <cellStyle name="40 % - Accent6 3 3 4 2 2 2 2 4" xfId="61567"/>
    <cellStyle name="40 % - Accent6 3 3 4 2 2 2 3" xfId="19378"/>
    <cellStyle name="40 % - Accent6 3 3 4 2 2 2 4" xfId="25868"/>
    <cellStyle name="40 % - Accent6 3 3 4 2 2 2 5" xfId="38848"/>
    <cellStyle name="40 % - Accent6 3 3 4 2 2 2 6" xfId="55077"/>
    <cellStyle name="40 % - Accent6 3 3 4 2 2 3" xfId="9640"/>
    <cellStyle name="40 % - Accent6 3 3 4 2 2 3 2" xfId="29113"/>
    <cellStyle name="40 % - Accent6 3 3 4 2 2 3 3" xfId="42093"/>
    <cellStyle name="40 % - Accent6 3 3 4 2 2 3 4" xfId="58322"/>
    <cellStyle name="40 % - Accent6 3 3 4 2 2 4" xfId="16133"/>
    <cellStyle name="40 % - Accent6 3 3 4 2 2 4 2" xfId="51832"/>
    <cellStyle name="40 % - Accent6 3 3 4 2 2 5" xfId="22623"/>
    <cellStyle name="40 % - Accent6 3 3 4 2 2 6" xfId="35603"/>
    <cellStyle name="40 % - Accent6 3 3 4 2 2 7" xfId="48586"/>
    <cellStyle name="40 % - Accent6 3 3 4 2 3" xfId="4730"/>
    <cellStyle name="40 % - Accent6 3 3 4 2 3 2" xfId="11262"/>
    <cellStyle name="40 % - Accent6 3 3 4 2 3 2 2" xfId="30735"/>
    <cellStyle name="40 % - Accent6 3 3 4 2 3 2 3" xfId="43715"/>
    <cellStyle name="40 % - Accent6 3 3 4 2 3 2 4" xfId="59944"/>
    <cellStyle name="40 % - Accent6 3 3 4 2 3 3" xfId="17755"/>
    <cellStyle name="40 % - Accent6 3 3 4 2 3 4" xfId="24245"/>
    <cellStyle name="40 % - Accent6 3 3 4 2 3 5" xfId="37225"/>
    <cellStyle name="40 % - Accent6 3 3 4 2 3 6" xfId="53454"/>
    <cellStyle name="40 % - Accent6 3 3 4 2 4" xfId="8017"/>
    <cellStyle name="40 % - Accent6 3 3 4 2 4 2" xfId="27490"/>
    <cellStyle name="40 % - Accent6 3 3 4 2 4 3" xfId="40470"/>
    <cellStyle name="40 % - Accent6 3 3 4 2 4 4" xfId="56699"/>
    <cellStyle name="40 % - Accent6 3 3 4 2 5" xfId="14510"/>
    <cellStyle name="40 % - Accent6 3 3 4 2 5 2" xfId="50209"/>
    <cellStyle name="40 % - Accent6 3 3 4 2 6" xfId="21000"/>
    <cellStyle name="40 % - Accent6 3 3 4 2 7" xfId="33980"/>
    <cellStyle name="40 % - Accent6 3 3 4 2 8" xfId="46963"/>
    <cellStyle name="40 % - Accent6 3 3 4 3" xfId="2160"/>
    <cellStyle name="40 % - Accent6 3 3 4 3 2" xfId="5405"/>
    <cellStyle name="40 % - Accent6 3 3 4 3 2 2" xfId="11937"/>
    <cellStyle name="40 % - Accent6 3 3 4 3 2 2 2" xfId="31410"/>
    <cellStyle name="40 % - Accent6 3 3 4 3 2 2 3" xfId="44390"/>
    <cellStyle name="40 % - Accent6 3 3 4 3 2 2 4" xfId="60619"/>
    <cellStyle name="40 % - Accent6 3 3 4 3 2 3" xfId="18430"/>
    <cellStyle name="40 % - Accent6 3 3 4 3 2 4" xfId="24920"/>
    <cellStyle name="40 % - Accent6 3 3 4 3 2 5" xfId="37900"/>
    <cellStyle name="40 % - Accent6 3 3 4 3 2 6" xfId="54129"/>
    <cellStyle name="40 % - Accent6 3 3 4 3 3" xfId="8692"/>
    <cellStyle name="40 % - Accent6 3 3 4 3 3 2" xfId="28165"/>
    <cellStyle name="40 % - Accent6 3 3 4 3 3 3" xfId="41145"/>
    <cellStyle name="40 % - Accent6 3 3 4 3 3 4" xfId="57374"/>
    <cellStyle name="40 % - Accent6 3 3 4 3 4" xfId="15185"/>
    <cellStyle name="40 % - Accent6 3 3 4 3 4 2" xfId="50884"/>
    <cellStyle name="40 % - Accent6 3 3 4 3 5" xfId="21675"/>
    <cellStyle name="40 % - Accent6 3 3 4 3 6" xfId="34655"/>
    <cellStyle name="40 % - Accent6 3 3 4 3 7" xfId="47638"/>
    <cellStyle name="40 % - Accent6 3 3 4 4" xfId="3782"/>
    <cellStyle name="40 % - Accent6 3 3 4 4 2" xfId="10314"/>
    <cellStyle name="40 % - Accent6 3 3 4 4 2 2" xfId="29787"/>
    <cellStyle name="40 % - Accent6 3 3 4 4 2 3" xfId="42767"/>
    <cellStyle name="40 % - Accent6 3 3 4 4 2 4" xfId="58996"/>
    <cellStyle name="40 % - Accent6 3 3 4 4 3" xfId="16807"/>
    <cellStyle name="40 % - Accent6 3 3 4 4 4" xfId="23297"/>
    <cellStyle name="40 % - Accent6 3 3 4 4 5" xfId="36277"/>
    <cellStyle name="40 % - Accent6 3 3 4 4 6" xfId="52506"/>
    <cellStyle name="40 % - Accent6 3 3 4 5" xfId="7069"/>
    <cellStyle name="40 % - Accent6 3 3 4 5 2" xfId="26542"/>
    <cellStyle name="40 % - Accent6 3 3 4 5 3" xfId="39522"/>
    <cellStyle name="40 % - Accent6 3 3 4 5 4" xfId="55751"/>
    <cellStyle name="40 % - Accent6 3 3 4 6" xfId="13562"/>
    <cellStyle name="40 % - Accent6 3 3 4 6 2" xfId="49261"/>
    <cellStyle name="40 % - Accent6 3 3 4 7" xfId="20052"/>
    <cellStyle name="40 % - Accent6 3 3 4 8" xfId="33032"/>
    <cellStyle name="40 % - Accent6 3 3 4 9" xfId="46015"/>
    <cellStyle name="40 % - Accent6 3 3 5" xfId="978"/>
    <cellStyle name="40 % - Accent6 3 3 5 2" xfId="2645"/>
    <cellStyle name="40 % - Accent6 3 3 5 2 2" xfId="5890"/>
    <cellStyle name="40 % - Accent6 3 3 5 2 2 2" xfId="12422"/>
    <cellStyle name="40 % - Accent6 3 3 5 2 2 2 2" xfId="31895"/>
    <cellStyle name="40 % - Accent6 3 3 5 2 2 2 3" xfId="44875"/>
    <cellStyle name="40 % - Accent6 3 3 5 2 2 2 4" xfId="61104"/>
    <cellStyle name="40 % - Accent6 3 3 5 2 2 3" xfId="18915"/>
    <cellStyle name="40 % - Accent6 3 3 5 2 2 4" xfId="25405"/>
    <cellStyle name="40 % - Accent6 3 3 5 2 2 5" xfId="38385"/>
    <cellStyle name="40 % - Accent6 3 3 5 2 2 6" xfId="54614"/>
    <cellStyle name="40 % - Accent6 3 3 5 2 3" xfId="9177"/>
    <cellStyle name="40 % - Accent6 3 3 5 2 3 2" xfId="28650"/>
    <cellStyle name="40 % - Accent6 3 3 5 2 3 3" xfId="41630"/>
    <cellStyle name="40 % - Accent6 3 3 5 2 3 4" xfId="57859"/>
    <cellStyle name="40 % - Accent6 3 3 5 2 4" xfId="15670"/>
    <cellStyle name="40 % - Accent6 3 3 5 2 4 2" xfId="51369"/>
    <cellStyle name="40 % - Accent6 3 3 5 2 5" xfId="22160"/>
    <cellStyle name="40 % - Accent6 3 3 5 2 6" xfId="35140"/>
    <cellStyle name="40 % - Accent6 3 3 5 2 7" xfId="48123"/>
    <cellStyle name="40 % - Accent6 3 3 5 3" xfId="4267"/>
    <cellStyle name="40 % - Accent6 3 3 5 3 2" xfId="10799"/>
    <cellStyle name="40 % - Accent6 3 3 5 3 2 2" xfId="30272"/>
    <cellStyle name="40 % - Accent6 3 3 5 3 2 3" xfId="43252"/>
    <cellStyle name="40 % - Accent6 3 3 5 3 2 4" xfId="59481"/>
    <cellStyle name="40 % - Accent6 3 3 5 3 3" xfId="17292"/>
    <cellStyle name="40 % - Accent6 3 3 5 3 4" xfId="23782"/>
    <cellStyle name="40 % - Accent6 3 3 5 3 5" xfId="36762"/>
    <cellStyle name="40 % - Accent6 3 3 5 3 6" xfId="52991"/>
    <cellStyle name="40 % - Accent6 3 3 5 4" xfId="7554"/>
    <cellStyle name="40 % - Accent6 3 3 5 4 2" xfId="27027"/>
    <cellStyle name="40 % - Accent6 3 3 5 4 3" xfId="40007"/>
    <cellStyle name="40 % - Accent6 3 3 5 4 4" xfId="56236"/>
    <cellStyle name="40 % - Accent6 3 3 5 5" xfId="14047"/>
    <cellStyle name="40 % - Accent6 3 3 5 5 2" xfId="49746"/>
    <cellStyle name="40 % - Accent6 3 3 5 6" xfId="20537"/>
    <cellStyle name="40 % - Accent6 3 3 5 7" xfId="33517"/>
    <cellStyle name="40 % - Accent6 3 3 5 8" xfId="46500"/>
    <cellStyle name="40 % - Accent6 3 3 6" xfId="1931"/>
    <cellStyle name="40 % - Accent6 3 3 6 2" xfId="5176"/>
    <cellStyle name="40 % - Accent6 3 3 6 2 2" xfId="11708"/>
    <cellStyle name="40 % - Accent6 3 3 6 2 2 2" xfId="31181"/>
    <cellStyle name="40 % - Accent6 3 3 6 2 2 3" xfId="44161"/>
    <cellStyle name="40 % - Accent6 3 3 6 2 2 4" xfId="60390"/>
    <cellStyle name="40 % - Accent6 3 3 6 2 3" xfId="18201"/>
    <cellStyle name="40 % - Accent6 3 3 6 2 4" xfId="24691"/>
    <cellStyle name="40 % - Accent6 3 3 6 2 5" xfId="37671"/>
    <cellStyle name="40 % - Accent6 3 3 6 2 6" xfId="53900"/>
    <cellStyle name="40 % - Accent6 3 3 6 3" xfId="8463"/>
    <cellStyle name="40 % - Accent6 3 3 6 3 2" xfId="27936"/>
    <cellStyle name="40 % - Accent6 3 3 6 3 3" xfId="40916"/>
    <cellStyle name="40 % - Accent6 3 3 6 3 4" xfId="57145"/>
    <cellStyle name="40 % - Accent6 3 3 6 4" xfId="14956"/>
    <cellStyle name="40 % - Accent6 3 3 6 4 2" xfId="50655"/>
    <cellStyle name="40 % - Accent6 3 3 6 5" xfId="21446"/>
    <cellStyle name="40 % - Accent6 3 3 6 6" xfId="34426"/>
    <cellStyle name="40 % - Accent6 3 3 6 7" xfId="47409"/>
    <cellStyle name="40 % - Accent6 3 3 7" xfId="3552"/>
    <cellStyle name="40 % - Accent6 3 3 7 2" xfId="10084"/>
    <cellStyle name="40 % - Accent6 3 3 7 2 2" xfId="29557"/>
    <cellStyle name="40 % - Accent6 3 3 7 2 3" xfId="42537"/>
    <cellStyle name="40 % - Accent6 3 3 7 2 4" xfId="58766"/>
    <cellStyle name="40 % - Accent6 3 3 7 3" xfId="16577"/>
    <cellStyle name="40 % - Accent6 3 3 7 4" xfId="23067"/>
    <cellStyle name="40 % - Accent6 3 3 7 5" xfId="36047"/>
    <cellStyle name="40 % - Accent6 3 3 7 6" xfId="52276"/>
    <cellStyle name="40 % - Accent6 3 3 8" xfId="6839"/>
    <cellStyle name="40 % - Accent6 3 3 8 2" xfId="26312"/>
    <cellStyle name="40 % - Accent6 3 3 8 3" xfId="39292"/>
    <cellStyle name="40 % - Accent6 3 3 8 4" xfId="55521"/>
    <cellStyle name="40 % - Accent6 3 3 9" xfId="13332"/>
    <cellStyle name="40 % - Accent6 3 3 9 2" xfId="49031"/>
    <cellStyle name="40 % - Accent6 3 4" xfId="214"/>
    <cellStyle name="40 % - Accent6 3 4 10" xfId="32758"/>
    <cellStyle name="40 % - Accent6 3 4 11" xfId="45741"/>
    <cellStyle name="40 % - Accent6 3 4 2" xfId="678"/>
    <cellStyle name="40 % - Accent6 3 4 2 10" xfId="46201"/>
    <cellStyle name="40 % - Accent6 3 4 2 2" xfId="1617"/>
    <cellStyle name="40 % - Accent6 3 4 2 2 2" xfId="3284"/>
    <cellStyle name="40 % - Accent6 3 4 2 2 2 2" xfId="6529"/>
    <cellStyle name="40 % - Accent6 3 4 2 2 2 2 2" xfId="13061"/>
    <cellStyle name="40 % - Accent6 3 4 2 2 2 2 2 2" xfId="32534"/>
    <cellStyle name="40 % - Accent6 3 4 2 2 2 2 2 3" xfId="45514"/>
    <cellStyle name="40 % - Accent6 3 4 2 2 2 2 2 4" xfId="61743"/>
    <cellStyle name="40 % - Accent6 3 4 2 2 2 2 3" xfId="19554"/>
    <cellStyle name="40 % - Accent6 3 4 2 2 2 2 4" xfId="26044"/>
    <cellStyle name="40 % - Accent6 3 4 2 2 2 2 5" xfId="39024"/>
    <cellStyle name="40 % - Accent6 3 4 2 2 2 2 6" xfId="55253"/>
    <cellStyle name="40 % - Accent6 3 4 2 2 2 3" xfId="9816"/>
    <cellStyle name="40 % - Accent6 3 4 2 2 2 3 2" xfId="29289"/>
    <cellStyle name="40 % - Accent6 3 4 2 2 2 3 3" xfId="42269"/>
    <cellStyle name="40 % - Accent6 3 4 2 2 2 3 4" xfId="58498"/>
    <cellStyle name="40 % - Accent6 3 4 2 2 2 4" xfId="16309"/>
    <cellStyle name="40 % - Accent6 3 4 2 2 2 4 2" xfId="52008"/>
    <cellStyle name="40 % - Accent6 3 4 2 2 2 5" xfId="22799"/>
    <cellStyle name="40 % - Accent6 3 4 2 2 2 6" xfId="35779"/>
    <cellStyle name="40 % - Accent6 3 4 2 2 2 7" xfId="48762"/>
    <cellStyle name="40 % - Accent6 3 4 2 2 3" xfId="4906"/>
    <cellStyle name="40 % - Accent6 3 4 2 2 3 2" xfId="11438"/>
    <cellStyle name="40 % - Accent6 3 4 2 2 3 2 2" xfId="30911"/>
    <cellStyle name="40 % - Accent6 3 4 2 2 3 2 3" xfId="43891"/>
    <cellStyle name="40 % - Accent6 3 4 2 2 3 2 4" xfId="60120"/>
    <cellStyle name="40 % - Accent6 3 4 2 2 3 3" xfId="17931"/>
    <cellStyle name="40 % - Accent6 3 4 2 2 3 4" xfId="24421"/>
    <cellStyle name="40 % - Accent6 3 4 2 2 3 5" xfId="37401"/>
    <cellStyle name="40 % - Accent6 3 4 2 2 3 6" xfId="53630"/>
    <cellStyle name="40 % - Accent6 3 4 2 2 4" xfId="8193"/>
    <cellStyle name="40 % - Accent6 3 4 2 2 4 2" xfId="27666"/>
    <cellStyle name="40 % - Accent6 3 4 2 2 4 3" xfId="40646"/>
    <cellStyle name="40 % - Accent6 3 4 2 2 4 4" xfId="56875"/>
    <cellStyle name="40 % - Accent6 3 4 2 2 5" xfId="14686"/>
    <cellStyle name="40 % - Accent6 3 4 2 2 5 2" xfId="50385"/>
    <cellStyle name="40 % - Accent6 3 4 2 2 6" xfId="21176"/>
    <cellStyle name="40 % - Accent6 3 4 2 2 7" xfId="34156"/>
    <cellStyle name="40 % - Accent6 3 4 2 2 8" xfId="47139"/>
    <cellStyle name="40 % - Accent6 3 4 2 3" xfId="1154"/>
    <cellStyle name="40 % - Accent6 3 4 2 3 2" xfId="2821"/>
    <cellStyle name="40 % - Accent6 3 4 2 3 2 2" xfId="6066"/>
    <cellStyle name="40 % - Accent6 3 4 2 3 2 2 2" xfId="12598"/>
    <cellStyle name="40 % - Accent6 3 4 2 3 2 2 2 2" xfId="32071"/>
    <cellStyle name="40 % - Accent6 3 4 2 3 2 2 2 3" xfId="45051"/>
    <cellStyle name="40 % - Accent6 3 4 2 3 2 2 2 4" xfId="61280"/>
    <cellStyle name="40 % - Accent6 3 4 2 3 2 2 3" xfId="19091"/>
    <cellStyle name="40 % - Accent6 3 4 2 3 2 2 4" xfId="25581"/>
    <cellStyle name="40 % - Accent6 3 4 2 3 2 2 5" xfId="38561"/>
    <cellStyle name="40 % - Accent6 3 4 2 3 2 2 6" xfId="54790"/>
    <cellStyle name="40 % - Accent6 3 4 2 3 2 3" xfId="9353"/>
    <cellStyle name="40 % - Accent6 3 4 2 3 2 3 2" xfId="28826"/>
    <cellStyle name="40 % - Accent6 3 4 2 3 2 3 3" xfId="41806"/>
    <cellStyle name="40 % - Accent6 3 4 2 3 2 3 4" xfId="58035"/>
    <cellStyle name="40 % - Accent6 3 4 2 3 2 4" xfId="15846"/>
    <cellStyle name="40 % - Accent6 3 4 2 3 2 4 2" xfId="51545"/>
    <cellStyle name="40 % - Accent6 3 4 2 3 2 5" xfId="22336"/>
    <cellStyle name="40 % - Accent6 3 4 2 3 2 6" xfId="35316"/>
    <cellStyle name="40 % - Accent6 3 4 2 3 2 7" xfId="48299"/>
    <cellStyle name="40 % - Accent6 3 4 2 3 3" xfId="4443"/>
    <cellStyle name="40 % - Accent6 3 4 2 3 3 2" xfId="10975"/>
    <cellStyle name="40 % - Accent6 3 4 2 3 3 2 2" xfId="30448"/>
    <cellStyle name="40 % - Accent6 3 4 2 3 3 2 3" xfId="43428"/>
    <cellStyle name="40 % - Accent6 3 4 2 3 3 2 4" xfId="59657"/>
    <cellStyle name="40 % - Accent6 3 4 2 3 3 3" xfId="17468"/>
    <cellStyle name="40 % - Accent6 3 4 2 3 3 4" xfId="23958"/>
    <cellStyle name="40 % - Accent6 3 4 2 3 3 5" xfId="36938"/>
    <cellStyle name="40 % - Accent6 3 4 2 3 3 6" xfId="53167"/>
    <cellStyle name="40 % - Accent6 3 4 2 3 4" xfId="7730"/>
    <cellStyle name="40 % - Accent6 3 4 2 3 4 2" xfId="27203"/>
    <cellStyle name="40 % - Accent6 3 4 2 3 4 3" xfId="40183"/>
    <cellStyle name="40 % - Accent6 3 4 2 3 4 4" xfId="56412"/>
    <cellStyle name="40 % - Accent6 3 4 2 3 5" xfId="14223"/>
    <cellStyle name="40 % - Accent6 3 4 2 3 5 2" xfId="49922"/>
    <cellStyle name="40 % - Accent6 3 4 2 3 6" xfId="20713"/>
    <cellStyle name="40 % - Accent6 3 4 2 3 7" xfId="33693"/>
    <cellStyle name="40 % - Accent6 3 4 2 3 8" xfId="46676"/>
    <cellStyle name="40 % - Accent6 3 4 2 4" xfId="2346"/>
    <cellStyle name="40 % - Accent6 3 4 2 4 2" xfId="5591"/>
    <cellStyle name="40 % - Accent6 3 4 2 4 2 2" xfId="12123"/>
    <cellStyle name="40 % - Accent6 3 4 2 4 2 2 2" xfId="31596"/>
    <cellStyle name="40 % - Accent6 3 4 2 4 2 2 3" xfId="44576"/>
    <cellStyle name="40 % - Accent6 3 4 2 4 2 2 4" xfId="60805"/>
    <cellStyle name="40 % - Accent6 3 4 2 4 2 3" xfId="18616"/>
    <cellStyle name="40 % - Accent6 3 4 2 4 2 4" xfId="25106"/>
    <cellStyle name="40 % - Accent6 3 4 2 4 2 5" xfId="38086"/>
    <cellStyle name="40 % - Accent6 3 4 2 4 2 6" xfId="54315"/>
    <cellStyle name="40 % - Accent6 3 4 2 4 3" xfId="8878"/>
    <cellStyle name="40 % - Accent6 3 4 2 4 3 2" xfId="28351"/>
    <cellStyle name="40 % - Accent6 3 4 2 4 3 3" xfId="41331"/>
    <cellStyle name="40 % - Accent6 3 4 2 4 3 4" xfId="57560"/>
    <cellStyle name="40 % - Accent6 3 4 2 4 4" xfId="15371"/>
    <cellStyle name="40 % - Accent6 3 4 2 4 4 2" xfId="51070"/>
    <cellStyle name="40 % - Accent6 3 4 2 4 5" xfId="21861"/>
    <cellStyle name="40 % - Accent6 3 4 2 4 6" xfId="34841"/>
    <cellStyle name="40 % - Accent6 3 4 2 4 7" xfId="47824"/>
    <cellStyle name="40 % - Accent6 3 4 2 5" xfId="3968"/>
    <cellStyle name="40 % - Accent6 3 4 2 5 2" xfId="10500"/>
    <cellStyle name="40 % - Accent6 3 4 2 5 2 2" xfId="29973"/>
    <cellStyle name="40 % - Accent6 3 4 2 5 2 3" xfId="42953"/>
    <cellStyle name="40 % - Accent6 3 4 2 5 2 4" xfId="59182"/>
    <cellStyle name="40 % - Accent6 3 4 2 5 3" xfId="16993"/>
    <cellStyle name="40 % - Accent6 3 4 2 5 4" xfId="23483"/>
    <cellStyle name="40 % - Accent6 3 4 2 5 5" xfId="36463"/>
    <cellStyle name="40 % - Accent6 3 4 2 5 6" xfId="52692"/>
    <cellStyle name="40 % - Accent6 3 4 2 6" xfId="7255"/>
    <cellStyle name="40 % - Accent6 3 4 2 6 2" xfId="26728"/>
    <cellStyle name="40 % - Accent6 3 4 2 6 3" xfId="39708"/>
    <cellStyle name="40 % - Accent6 3 4 2 6 4" xfId="55937"/>
    <cellStyle name="40 % - Accent6 3 4 2 7" xfId="13748"/>
    <cellStyle name="40 % - Accent6 3 4 2 7 2" xfId="49447"/>
    <cellStyle name="40 % - Accent6 3 4 2 8" xfId="20238"/>
    <cellStyle name="40 % - Accent6 3 4 2 9" xfId="33218"/>
    <cellStyle name="40 % - Accent6 3 4 3" xfId="448"/>
    <cellStyle name="40 % - Accent6 3 4 3 2" xfId="1397"/>
    <cellStyle name="40 % - Accent6 3 4 3 2 2" xfId="3064"/>
    <cellStyle name="40 % - Accent6 3 4 3 2 2 2" xfId="6309"/>
    <cellStyle name="40 % - Accent6 3 4 3 2 2 2 2" xfId="12841"/>
    <cellStyle name="40 % - Accent6 3 4 3 2 2 2 2 2" xfId="32314"/>
    <cellStyle name="40 % - Accent6 3 4 3 2 2 2 2 3" xfId="45294"/>
    <cellStyle name="40 % - Accent6 3 4 3 2 2 2 2 4" xfId="61523"/>
    <cellStyle name="40 % - Accent6 3 4 3 2 2 2 3" xfId="19334"/>
    <cellStyle name="40 % - Accent6 3 4 3 2 2 2 4" xfId="25824"/>
    <cellStyle name="40 % - Accent6 3 4 3 2 2 2 5" xfId="38804"/>
    <cellStyle name="40 % - Accent6 3 4 3 2 2 2 6" xfId="55033"/>
    <cellStyle name="40 % - Accent6 3 4 3 2 2 3" xfId="9596"/>
    <cellStyle name="40 % - Accent6 3 4 3 2 2 3 2" xfId="29069"/>
    <cellStyle name="40 % - Accent6 3 4 3 2 2 3 3" xfId="42049"/>
    <cellStyle name="40 % - Accent6 3 4 3 2 2 3 4" xfId="58278"/>
    <cellStyle name="40 % - Accent6 3 4 3 2 2 4" xfId="16089"/>
    <cellStyle name="40 % - Accent6 3 4 3 2 2 4 2" xfId="51788"/>
    <cellStyle name="40 % - Accent6 3 4 3 2 2 5" xfId="22579"/>
    <cellStyle name="40 % - Accent6 3 4 3 2 2 6" xfId="35559"/>
    <cellStyle name="40 % - Accent6 3 4 3 2 2 7" xfId="48542"/>
    <cellStyle name="40 % - Accent6 3 4 3 2 3" xfId="4686"/>
    <cellStyle name="40 % - Accent6 3 4 3 2 3 2" xfId="11218"/>
    <cellStyle name="40 % - Accent6 3 4 3 2 3 2 2" xfId="30691"/>
    <cellStyle name="40 % - Accent6 3 4 3 2 3 2 3" xfId="43671"/>
    <cellStyle name="40 % - Accent6 3 4 3 2 3 2 4" xfId="59900"/>
    <cellStyle name="40 % - Accent6 3 4 3 2 3 3" xfId="17711"/>
    <cellStyle name="40 % - Accent6 3 4 3 2 3 4" xfId="24201"/>
    <cellStyle name="40 % - Accent6 3 4 3 2 3 5" xfId="37181"/>
    <cellStyle name="40 % - Accent6 3 4 3 2 3 6" xfId="53410"/>
    <cellStyle name="40 % - Accent6 3 4 3 2 4" xfId="7973"/>
    <cellStyle name="40 % - Accent6 3 4 3 2 4 2" xfId="27446"/>
    <cellStyle name="40 % - Accent6 3 4 3 2 4 3" xfId="40426"/>
    <cellStyle name="40 % - Accent6 3 4 3 2 4 4" xfId="56655"/>
    <cellStyle name="40 % - Accent6 3 4 3 2 5" xfId="14466"/>
    <cellStyle name="40 % - Accent6 3 4 3 2 5 2" xfId="50165"/>
    <cellStyle name="40 % - Accent6 3 4 3 2 6" xfId="20956"/>
    <cellStyle name="40 % - Accent6 3 4 3 2 7" xfId="33936"/>
    <cellStyle name="40 % - Accent6 3 4 3 2 8" xfId="46919"/>
    <cellStyle name="40 % - Accent6 3 4 3 3" xfId="2116"/>
    <cellStyle name="40 % - Accent6 3 4 3 3 2" xfId="5361"/>
    <cellStyle name="40 % - Accent6 3 4 3 3 2 2" xfId="11893"/>
    <cellStyle name="40 % - Accent6 3 4 3 3 2 2 2" xfId="31366"/>
    <cellStyle name="40 % - Accent6 3 4 3 3 2 2 3" xfId="44346"/>
    <cellStyle name="40 % - Accent6 3 4 3 3 2 2 4" xfId="60575"/>
    <cellStyle name="40 % - Accent6 3 4 3 3 2 3" xfId="18386"/>
    <cellStyle name="40 % - Accent6 3 4 3 3 2 4" xfId="24876"/>
    <cellStyle name="40 % - Accent6 3 4 3 3 2 5" xfId="37856"/>
    <cellStyle name="40 % - Accent6 3 4 3 3 2 6" xfId="54085"/>
    <cellStyle name="40 % - Accent6 3 4 3 3 3" xfId="8648"/>
    <cellStyle name="40 % - Accent6 3 4 3 3 3 2" xfId="28121"/>
    <cellStyle name="40 % - Accent6 3 4 3 3 3 3" xfId="41101"/>
    <cellStyle name="40 % - Accent6 3 4 3 3 3 4" xfId="57330"/>
    <cellStyle name="40 % - Accent6 3 4 3 3 4" xfId="15141"/>
    <cellStyle name="40 % - Accent6 3 4 3 3 4 2" xfId="50840"/>
    <cellStyle name="40 % - Accent6 3 4 3 3 5" xfId="21631"/>
    <cellStyle name="40 % - Accent6 3 4 3 3 6" xfId="34611"/>
    <cellStyle name="40 % - Accent6 3 4 3 3 7" xfId="47594"/>
    <cellStyle name="40 % - Accent6 3 4 3 4" xfId="3738"/>
    <cellStyle name="40 % - Accent6 3 4 3 4 2" xfId="10270"/>
    <cellStyle name="40 % - Accent6 3 4 3 4 2 2" xfId="29743"/>
    <cellStyle name="40 % - Accent6 3 4 3 4 2 3" xfId="42723"/>
    <cellStyle name="40 % - Accent6 3 4 3 4 2 4" xfId="58952"/>
    <cellStyle name="40 % - Accent6 3 4 3 4 3" xfId="16763"/>
    <cellStyle name="40 % - Accent6 3 4 3 4 4" xfId="23253"/>
    <cellStyle name="40 % - Accent6 3 4 3 4 5" xfId="36233"/>
    <cellStyle name="40 % - Accent6 3 4 3 4 6" xfId="52462"/>
    <cellStyle name="40 % - Accent6 3 4 3 5" xfId="7025"/>
    <cellStyle name="40 % - Accent6 3 4 3 5 2" xfId="26498"/>
    <cellStyle name="40 % - Accent6 3 4 3 5 3" xfId="39478"/>
    <cellStyle name="40 % - Accent6 3 4 3 5 4" xfId="55707"/>
    <cellStyle name="40 % - Accent6 3 4 3 6" xfId="13518"/>
    <cellStyle name="40 % - Accent6 3 4 3 6 2" xfId="49217"/>
    <cellStyle name="40 % - Accent6 3 4 3 7" xfId="20008"/>
    <cellStyle name="40 % - Accent6 3 4 3 8" xfId="32988"/>
    <cellStyle name="40 % - Accent6 3 4 3 9" xfId="45971"/>
    <cellStyle name="40 % - Accent6 3 4 4" xfId="934"/>
    <cellStyle name="40 % - Accent6 3 4 4 2" xfId="2601"/>
    <cellStyle name="40 % - Accent6 3 4 4 2 2" xfId="5846"/>
    <cellStyle name="40 % - Accent6 3 4 4 2 2 2" xfId="12378"/>
    <cellStyle name="40 % - Accent6 3 4 4 2 2 2 2" xfId="31851"/>
    <cellStyle name="40 % - Accent6 3 4 4 2 2 2 3" xfId="44831"/>
    <cellStyle name="40 % - Accent6 3 4 4 2 2 2 4" xfId="61060"/>
    <cellStyle name="40 % - Accent6 3 4 4 2 2 3" xfId="18871"/>
    <cellStyle name="40 % - Accent6 3 4 4 2 2 4" xfId="25361"/>
    <cellStyle name="40 % - Accent6 3 4 4 2 2 5" xfId="38341"/>
    <cellStyle name="40 % - Accent6 3 4 4 2 2 6" xfId="54570"/>
    <cellStyle name="40 % - Accent6 3 4 4 2 3" xfId="9133"/>
    <cellStyle name="40 % - Accent6 3 4 4 2 3 2" xfId="28606"/>
    <cellStyle name="40 % - Accent6 3 4 4 2 3 3" xfId="41586"/>
    <cellStyle name="40 % - Accent6 3 4 4 2 3 4" xfId="57815"/>
    <cellStyle name="40 % - Accent6 3 4 4 2 4" xfId="15626"/>
    <cellStyle name="40 % - Accent6 3 4 4 2 4 2" xfId="51325"/>
    <cellStyle name="40 % - Accent6 3 4 4 2 5" xfId="22116"/>
    <cellStyle name="40 % - Accent6 3 4 4 2 6" xfId="35096"/>
    <cellStyle name="40 % - Accent6 3 4 4 2 7" xfId="48079"/>
    <cellStyle name="40 % - Accent6 3 4 4 3" xfId="4223"/>
    <cellStyle name="40 % - Accent6 3 4 4 3 2" xfId="10755"/>
    <cellStyle name="40 % - Accent6 3 4 4 3 2 2" xfId="30228"/>
    <cellStyle name="40 % - Accent6 3 4 4 3 2 3" xfId="43208"/>
    <cellStyle name="40 % - Accent6 3 4 4 3 2 4" xfId="59437"/>
    <cellStyle name="40 % - Accent6 3 4 4 3 3" xfId="17248"/>
    <cellStyle name="40 % - Accent6 3 4 4 3 4" xfId="23738"/>
    <cellStyle name="40 % - Accent6 3 4 4 3 5" xfId="36718"/>
    <cellStyle name="40 % - Accent6 3 4 4 3 6" xfId="52947"/>
    <cellStyle name="40 % - Accent6 3 4 4 4" xfId="7510"/>
    <cellStyle name="40 % - Accent6 3 4 4 4 2" xfId="26983"/>
    <cellStyle name="40 % - Accent6 3 4 4 4 3" xfId="39963"/>
    <cellStyle name="40 % - Accent6 3 4 4 4 4" xfId="56192"/>
    <cellStyle name="40 % - Accent6 3 4 4 5" xfId="14003"/>
    <cellStyle name="40 % - Accent6 3 4 4 5 2" xfId="49702"/>
    <cellStyle name="40 % - Accent6 3 4 4 6" xfId="20493"/>
    <cellStyle name="40 % - Accent6 3 4 4 7" xfId="33473"/>
    <cellStyle name="40 % - Accent6 3 4 4 8" xfId="46456"/>
    <cellStyle name="40 % - Accent6 3 4 5" xfId="1887"/>
    <cellStyle name="40 % - Accent6 3 4 5 2" xfId="5132"/>
    <cellStyle name="40 % - Accent6 3 4 5 2 2" xfId="11664"/>
    <cellStyle name="40 % - Accent6 3 4 5 2 2 2" xfId="31137"/>
    <cellStyle name="40 % - Accent6 3 4 5 2 2 3" xfId="44117"/>
    <cellStyle name="40 % - Accent6 3 4 5 2 2 4" xfId="60346"/>
    <cellStyle name="40 % - Accent6 3 4 5 2 3" xfId="18157"/>
    <cellStyle name="40 % - Accent6 3 4 5 2 4" xfId="24647"/>
    <cellStyle name="40 % - Accent6 3 4 5 2 5" xfId="37627"/>
    <cellStyle name="40 % - Accent6 3 4 5 2 6" xfId="53856"/>
    <cellStyle name="40 % - Accent6 3 4 5 3" xfId="8419"/>
    <cellStyle name="40 % - Accent6 3 4 5 3 2" xfId="27892"/>
    <cellStyle name="40 % - Accent6 3 4 5 3 3" xfId="40872"/>
    <cellStyle name="40 % - Accent6 3 4 5 3 4" xfId="57101"/>
    <cellStyle name="40 % - Accent6 3 4 5 4" xfId="14912"/>
    <cellStyle name="40 % - Accent6 3 4 5 4 2" xfId="50611"/>
    <cellStyle name="40 % - Accent6 3 4 5 5" xfId="21402"/>
    <cellStyle name="40 % - Accent6 3 4 5 6" xfId="34382"/>
    <cellStyle name="40 % - Accent6 3 4 5 7" xfId="47365"/>
    <cellStyle name="40 % - Accent6 3 4 6" xfId="3508"/>
    <cellStyle name="40 % - Accent6 3 4 6 2" xfId="10040"/>
    <cellStyle name="40 % - Accent6 3 4 6 2 2" xfId="29513"/>
    <cellStyle name="40 % - Accent6 3 4 6 2 3" xfId="42493"/>
    <cellStyle name="40 % - Accent6 3 4 6 2 4" xfId="58722"/>
    <cellStyle name="40 % - Accent6 3 4 6 3" xfId="16533"/>
    <cellStyle name="40 % - Accent6 3 4 6 4" xfId="23023"/>
    <cellStyle name="40 % - Accent6 3 4 6 5" xfId="36003"/>
    <cellStyle name="40 % - Accent6 3 4 6 6" xfId="52232"/>
    <cellStyle name="40 % - Accent6 3 4 7" xfId="6795"/>
    <cellStyle name="40 % - Accent6 3 4 7 2" xfId="26268"/>
    <cellStyle name="40 % - Accent6 3 4 7 3" xfId="39248"/>
    <cellStyle name="40 % - Accent6 3 4 7 4" xfId="55477"/>
    <cellStyle name="40 % - Accent6 3 4 8" xfId="13288"/>
    <cellStyle name="40 % - Accent6 3 4 8 2" xfId="48987"/>
    <cellStyle name="40 % - Accent6 3 4 9" xfId="19778"/>
    <cellStyle name="40 % - Accent6 3 5" xfId="302"/>
    <cellStyle name="40 % - Accent6 3 5 10" xfId="32846"/>
    <cellStyle name="40 % - Accent6 3 5 11" xfId="45829"/>
    <cellStyle name="40 % - Accent6 3 5 2" xfId="766"/>
    <cellStyle name="40 % - Accent6 3 5 2 10" xfId="46289"/>
    <cellStyle name="40 % - Accent6 3 5 2 2" xfId="1705"/>
    <cellStyle name="40 % - Accent6 3 5 2 2 2" xfId="3372"/>
    <cellStyle name="40 % - Accent6 3 5 2 2 2 2" xfId="6617"/>
    <cellStyle name="40 % - Accent6 3 5 2 2 2 2 2" xfId="13149"/>
    <cellStyle name="40 % - Accent6 3 5 2 2 2 2 2 2" xfId="32622"/>
    <cellStyle name="40 % - Accent6 3 5 2 2 2 2 2 3" xfId="45602"/>
    <cellStyle name="40 % - Accent6 3 5 2 2 2 2 2 4" xfId="61831"/>
    <cellStyle name="40 % - Accent6 3 5 2 2 2 2 3" xfId="19642"/>
    <cellStyle name="40 % - Accent6 3 5 2 2 2 2 4" xfId="26132"/>
    <cellStyle name="40 % - Accent6 3 5 2 2 2 2 5" xfId="39112"/>
    <cellStyle name="40 % - Accent6 3 5 2 2 2 2 6" xfId="55341"/>
    <cellStyle name="40 % - Accent6 3 5 2 2 2 3" xfId="9904"/>
    <cellStyle name="40 % - Accent6 3 5 2 2 2 3 2" xfId="29377"/>
    <cellStyle name="40 % - Accent6 3 5 2 2 2 3 3" xfId="42357"/>
    <cellStyle name="40 % - Accent6 3 5 2 2 2 3 4" xfId="58586"/>
    <cellStyle name="40 % - Accent6 3 5 2 2 2 4" xfId="16397"/>
    <cellStyle name="40 % - Accent6 3 5 2 2 2 4 2" xfId="52096"/>
    <cellStyle name="40 % - Accent6 3 5 2 2 2 5" xfId="22887"/>
    <cellStyle name="40 % - Accent6 3 5 2 2 2 6" xfId="35867"/>
    <cellStyle name="40 % - Accent6 3 5 2 2 2 7" xfId="48850"/>
    <cellStyle name="40 % - Accent6 3 5 2 2 3" xfId="4994"/>
    <cellStyle name="40 % - Accent6 3 5 2 2 3 2" xfId="11526"/>
    <cellStyle name="40 % - Accent6 3 5 2 2 3 2 2" xfId="30999"/>
    <cellStyle name="40 % - Accent6 3 5 2 2 3 2 3" xfId="43979"/>
    <cellStyle name="40 % - Accent6 3 5 2 2 3 2 4" xfId="60208"/>
    <cellStyle name="40 % - Accent6 3 5 2 2 3 3" xfId="18019"/>
    <cellStyle name="40 % - Accent6 3 5 2 2 3 4" xfId="24509"/>
    <cellStyle name="40 % - Accent6 3 5 2 2 3 5" xfId="37489"/>
    <cellStyle name="40 % - Accent6 3 5 2 2 3 6" xfId="53718"/>
    <cellStyle name="40 % - Accent6 3 5 2 2 4" xfId="8281"/>
    <cellStyle name="40 % - Accent6 3 5 2 2 4 2" xfId="27754"/>
    <cellStyle name="40 % - Accent6 3 5 2 2 4 3" xfId="40734"/>
    <cellStyle name="40 % - Accent6 3 5 2 2 4 4" xfId="56963"/>
    <cellStyle name="40 % - Accent6 3 5 2 2 5" xfId="14774"/>
    <cellStyle name="40 % - Accent6 3 5 2 2 5 2" xfId="50473"/>
    <cellStyle name="40 % - Accent6 3 5 2 2 6" xfId="21264"/>
    <cellStyle name="40 % - Accent6 3 5 2 2 7" xfId="34244"/>
    <cellStyle name="40 % - Accent6 3 5 2 2 8" xfId="47227"/>
    <cellStyle name="40 % - Accent6 3 5 2 3" xfId="1242"/>
    <cellStyle name="40 % - Accent6 3 5 2 3 2" xfId="2909"/>
    <cellStyle name="40 % - Accent6 3 5 2 3 2 2" xfId="6154"/>
    <cellStyle name="40 % - Accent6 3 5 2 3 2 2 2" xfId="12686"/>
    <cellStyle name="40 % - Accent6 3 5 2 3 2 2 2 2" xfId="32159"/>
    <cellStyle name="40 % - Accent6 3 5 2 3 2 2 2 3" xfId="45139"/>
    <cellStyle name="40 % - Accent6 3 5 2 3 2 2 2 4" xfId="61368"/>
    <cellStyle name="40 % - Accent6 3 5 2 3 2 2 3" xfId="19179"/>
    <cellStyle name="40 % - Accent6 3 5 2 3 2 2 4" xfId="25669"/>
    <cellStyle name="40 % - Accent6 3 5 2 3 2 2 5" xfId="38649"/>
    <cellStyle name="40 % - Accent6 3 5 2 3 2 2 6" xfId="54878"/>
    <cellStyle name="40 % - Accent6 3 5 2 3 2 3" xfId="9441"/>
    <cellStyle name="40 % - Accent6 3 5 2 3 2 3 2" xfId="28914"/>
    <cellStyle name="40 % - Accent6 3 5 2 3 2 3 3" xfId="41894"/>
    <cellStyle name="40 % - Accent6 3 5 2 3 2 3 4" xfId="58123"/>
    <cellStyle name="40 % - Accent6 3 5 2 3 2 4" xfId="15934"/>
    <cellStyle name="40 % - Accent6 3 5 2 3 2 4 2" xfId="51633"/>
    <cellStyle name="40 % - Accent6 3 5 2 3 2 5" xfId="22424"/>
    <cellStyle name="40 % - Accent6 3 5 2 3 2 6" xfId="35404"/>
    <cellStyle name="40 % - Accent6 3 5 2 3 2 7" xfId="48387"/>
    <cellStyle name="40 % - Accent6 3 5 2 3 3" xfId="4531"/>
    <cellStyle name="40 % - Accent6 3 5 2 3 3 2" xfId="11063"/>
    <cellStyle name="40 % - Accent6 3 5 2 3 3 2 2" xfId="30536"/>
    <cellStyle name="40 % - Accent6 3 5 2 3 3 2 3" xfId="43516"/>
    <cellStyle name="40 % - Accent6 3 5 2 3 3 2 4" xfId="59745"/>
    <cellStyle name="40 % - Accent6 3 5 2 3 3 3" xfId="17556"/>
    <cellStyle name="40 % - Accent6 3 5 2 3 3 4" xfId="24046"/>
    <cellStyle name="40 % - Accent6 3 5 2 3 3 5" xfId="37026"/>
    <cellStyle name="40 % - Accent6 3 5 2 3 3 6" xfId="53255"/>
    <cellStyle name="40 % - Accent6 3 5 2 3 4" xfId="7818"/>
    <cellStyle name="40 % - Accent6 3 5 2 3 4 2" xfId="27291"/>
    <cellStyle name="40 % - Accent6 3 5 2 3 4 3" xfId="40271"/>
    <cellStyle name="40 % - Accent6 3 5 2 3 4 4" xfId="56500"/>
    <cellStyle name="40 % - Accent6 3 5 2 3 5" xfId="14311"/>
    <cellStyle name="40 % - Accent6 3 5 2 3 5 2" xfId="50010"/>
    <cellStyle name="40 % - Accent6 3 5 2 3 6" xfId="20801"/>
    <cellStyle name="40 % - Accent6 3 5 2 3 7" xfId="33781"/>
    <cellStyle name="40 % - Accent6 3 5 2 3 8" xfId="46764"/>
    <cellStyle name="40 % - Accent6 3 5 2 4" xfId="2434"/>
    <cellStyle name="40 % - Accent6 3 5 2 4 2" xfId="5679"/>
    <cellStyle name="40 % - Accent6 3 5 2 4 2 2" xfId="12211"/>
    <cellStyle name="40 % - Accent6 3 5 2 4 2 2 2" xfId="31684"/>
    <cellStyle name="40 % - Accent6 3 5 2 4 2 2 3" xfId="44664"/>
    <cellStyle name="40 % - Accent6 3 5 2 4 2 2 4" xfId="60893"/>
    <cellStyle name="40 % - Accent6 3 5 2 4 2 3" xfId="18704"/>
    <cellStyle name="40 % - Accent6 3 5 2 4 2 4" xfId="25194"/>
    <cellStyle name="40 % - Accent6 3 5 2 4 2 5" xfId="38174"/>
    <cellStyle name="40 % - Accent6 3 5 2 4 2 6" xfId="54403"/>
    <cellStyle name="40 % - Accent6 3 5 2 4 3" xfId="8966"/>
    <cellStyle name="40 % - Accent6 3 5 2 4 3 2" xfId="28439"/>
    <cellStyle name="40 % - Accent6 3 5 2 4 3 3" xfId="41419"/>
    <cellStyle name="40 % - Accent6 3 5 2 4 3 4" xfId="57648"/>
    <cellStyle name="40 % - Accent6 3 5 2 4 4" xfId="15459"/>
    <cellStyle name="40 % - Accent6 3 5 2 4 4 2" xfId="51158"/>
    <cellStyle name="40 % - Accent6 3 5 2 4 5" xfId="21949"/>
    <cellStyle name="40 % - Accent6 3 5 2 4 6" xfId="34929"/>
    <cellStyle name="40 % - Accent6 3 5 2 4 7" xfId="47912"/>
    <cellStyle name="40 % - Accent6 3 5 2 5" xfId="4056"/>
    <cellStyle name="40 % - Accent6 3 5 2 5 2" xfId="10588"/>
    <cellStyle name="40 % - Accent6 3 5 2 5 2 2" xfId="30061"/>
    <cellStyle name="40 % - Accent6 3 5 2 5 2 3" xfId="43041"/>
    <cellStyle name="40 % - Accent6 3 5 2 5 2 4" xfId="59270"/>
    <cellStyle name="40 % - Accent6 3 5 2 5 3" xfId="17081"/>
    <cellStyle name="40 % - Accent6 3 5 2 5 4" xfId="23571"/>
    <cellStyle name="40 % - Accent6 3 5 2 5 5" xfId="36551"/>
    <cellStyle name="40 % - Accent6 3 5 2 5 6" xfId="52780"/>
    <cellStyle name="40 % - Accent6 3 5 2 6" xfId="7343"/>
    <cellStyle name="40 % - Accent6 3 5 2 6 2" xfId="26816"/>
    <cellStyle name="40 % - Accent6 3 5 2 6 3" xfId="39796"/>
    <cellStyle name="40 % - Accent6 3 5 2 6 4" xfId="56025"/>
    <cellStyle name="40 % - Accent6 3 5 2 7" xfId="13836"/>
    <cellStyle name="40 % - Accent6 3 5 2 7 2" xfId="49535"/>
    <cellStyle name="40 % - Accent6 3 5 2 8" xfId="20326"/>
    <cellStyle name="40 % - Accent6 3 5 2 9" xfId="33306"/>
    <cellStyle name="40 % - Accent6 3 5 3" xfId="536"/>
    <cellStyle name="40 % - Accent6 3 5 3 2" xfId="1485"/>
    <cellStyle name="40 % - Accent6 3 5 3 2 2" xfId="3152"/>
    <cellStyle name="40 % - Accent6 3 5 3 2 2 2" xfId="6397"/>
    <cellStyle name="40 % - Accent6 3 5 3 2 2 2 2" xfId="12929"/>
    <cellStyle name="40 % - Accent6 3 5 3 2 2 2 2 2" xfId="32402"/>
    <cellStyle name="40 % - Accent6 3 5 3 2 2 2 2 3" xfId="45382"/>
    <cellStyle name="40 % - Accent6 3 5 3 2 2 2 2 4" xfId="61611"/>
    <cellStyle name="40 % - Accent6 3 5 3 2 2 2 3" xfId="19422"/>
    <cellStyle name="40 % - Accent6 3 5 3 2 2 2 4" xfId="25912"/>
    <cellStyle name="40 % - Accent6 3 5 3 2 2 2 5" xfId="38892"/>
    <cellStyle name="40 % - Accent6 3 5 3 2 2 2 6" xfId="55121"/>
    <cellStyle name="40 % - Accent6 3 5 3 2 2 3" xfId="9684"/>
    <cellStyle name="40 % - Accent6 3 5 3 2 2 3 2" xfId="29157"/>
    <cellStyle name="40 % - Accent6 3 5 3 2 2 3 3" xfId="42137"/>
    <cellStyle name="40 % - Accent6 3 5 3 2 2 3 4" xfId="58366"/>
    <cellStyle name="40 % - Accent6 3 5 3 2 2 4" xfId="16177"/>
    <cellStyle name="40 % - Accent6 3 5 3 2 2 4 2" xfId="51876"/>
    <cellStyle name="40 % - Accent6 3 5 3 2 2 5" xfId="22667"/>
    <cellStyle name="40 % - Accent6 3 5 3 2 2 6" xfId="35647"/>
    <cellStyle name="40 % - Accent6 3 5 3 2 2 7" xfId="48630"/>
    <cellStyle name="40 % - Accent6 3 5 3 2 3" xfId="4774"/>
    <cellStyle name="40 % - Accent6 3 5 3 2 3 2" xfId="11306"/>
    <cellStyle name="40 % - Accent6 3 5 3 2 3 2 2" xfId="30779"/>
    <cellStyle name="40 % - Accent6 3 5 3 2 3 2 3" xfId="43759"/>
    <cellStyle name="40 % - Accent6 3 5 3 2 3 2 4" xfId="59988"/>
    <cellStyle name="40 % - Accent6 3 5 3 2 3 3" xfId="17799"/>
    <cellStyle name="40 % - Accent6 3 5 3 2 3 4" xfId="24289"/>
    <cellStyle name="40 % - Accent6 3 5 3 2 3 5" xfId="37269"/>
    <cellStyle name="40 % - Accent6 3 5 3 2 3 6" xfId="53498"/>
    <cellStyle name="40 % - Accent6 3 5 3 2 4" xfId="8061"/>
    <cellStyle name="40 % - Accent6 3 5 3 2 4 2" xfId="27534"/>
    <cellStyle name="40 % - Accent6 3 5 3 2 4 3" xfId="40514"/>
    <cellStyle name="40 % - Accent6 3 5 3 2 4 4" xfId="56743"/>
    <cellStyle name="40 % - Accent6 3 5 3 2 5" xfId="14554"/>
    <cellStyle name="40 % - Accent6 3 5 3 2 5 2" xfId="50253"/>
    <cellStyle name="40 % - Accent6 3 5 3 2 6" xfId="21044"/>
    <cellStyle name="40 % - Accent6 3 5 3 2 7" xfId="34024"/>
    <cellStyle name="40 % - Accent6 3 5 3 2 8" xfId="47007"/>
    <cellStyle name="40 % - Accent6 3 5 3 3" xfId="2204"/>
    <cellStyle name="40 % - Accent6 3 5 3 3 2" xfId="5449"/>
    <cellStyle name="40 % - Accent6 3 5 3 3 2 2" xfId="11981"/>
    <cellStyle name="40 % - Accent6 3 5 3 3 2 2 2" xfId="31454"/>
    <cellStyle name="40 % - Accent6 3 5 3 3 2 2 3" xfId="44434"/>
    <cellStyle name="40 % - Accent6 3 5 3 3 2 2 4" xfId="60663"/>
    <cellStyle name="40 % - Accent6 3 5 3 3 2 3" xfId="18474"/>
    <cellStyle name="40 % - Accent6 3 5 3 3 2 4" xfId="24964"/>
    <cellStyle name="40 % - Accent6 3 5 3 3 2 5" xfId="37944"/>
    <cellStyle name="40 % - Accent6 3 5 3 3 2 6" xfId="54173"/>
    <cellStyle name="40 % - Accent6 3 5 3 3 3" xfId="8736"/>
    <cellStyle name="40 % - Accent6 3 5 3 3 3 2" xfId="28209"/>
    <cellStyle name="40 % - Accent6 3 5 3 3 3 3" xfId="41189"/>
    <cellStyle name="40 % - Accent6 3 5 3 3 3 4" xfId="57418"/>
    <cellStyle name="40 % - Accent6 3 5 3 3 4" xfId="15229"/>
    <cellStyle name="40 % - Accent6 3 5 3 3 4 2" xfId="50928"/>
    <cellStyle name="40 % - Accent6 3 5 3 3 5" xfId="21719"/>
    <cellStyle name="40 % - Accent6 3 5 3 3 6" xfId="34699"/>
    <cellStyle name="40 % - Accent6 3 5 3 3 7" xfId="47682"/>
    <cellStyle name="40 % - Accent6 3 5 3 4" xfId="3826"/>
    <cellStyle name="40 % - Accent6 3 5 3 4 2" xfId="10358"/>
    <cellStyle name="40 % - Accent6 3 5 3 4 2 2" xfId="29831"/>
    <cellStyle name="40 % - Accent6 3 5 3 4 2 3" xfId="42811"/>
    <cellStyle name="40 % - Accent6 3 5 3 4 2 4" xfId="59040"/>
    <cellStyle name="40 % - Accent6 3 5 3 4 3" xfId="16851"/>
    <cellStyle name="40 % - Accent6 3 5 3 4 4" xfId="23341"/>
    <cellStyle name="40 % - Accent6 3 5 3 4 5" xfId="36321"/>
    <cellStyle name="40 % - Accent6 3 5 3 4 6" xfId="52550"/>
    <cellStyle name="40 % - Accent6 3 5 3 5" xfId="7113"/>
    <cellStyle name="40 % - Accent6 3 5 3 5 2" xfId="26586"/>
    <cellStyle name="40 % - Accent6 3 5 3 5 3" xfId="39566"/>
    <cellStyle name="40 % - Accent6 3 5 3 5 4" xfId="55795"/>
    <cellStyle name="40 % - Accent6 3 5 3 6" xfId="13606"/>
    <cellStyle name="40 % - Accent6 3 5 3 6 2" xfId="49305"/>
    <cellStyle name="40 % - Accent6 3 5 3 7" xfId="20096"/>
    <cellStyle name="40 % - Accent6 3 5 3 8" xfId="33076"/>
    <cellStyle name="40 % - Accent6 3 5 3 9" xfId="46059"/>
    <cellStyle name="40 % - Accent6 3 5 4" xfId="1022"/>
    <cellStyle name="40 % - Accent6 3 5 4 2" xfId="2689"/>
    <cellStyle name="40 % - Accent6 3 5 4 2 2" xfId="5934"/>
    <cellStyle name="40 % - Accent6 3 5 4 2 2 2" xfId="12466"/>
    <cellStyle name="40 % - Accent6 3 5 4 2 2 2 2" xfId="31939"/>
    <cellStyle name="40 % - Accent6 3 5 4 2 2 2 3" xfId="44919"/>
    <cellStyle name="40 % - Accent6 3 5 4 2 2 2 4" xfId="61148"/>
    <cellStyle name="40 % - Accent6 3 5 4 2 2 3" xfId="18959"/>
    <cellStyle name="40 % - Accent6 3 5 4 2 2 4" xfId="25449"/>
    <cellStyle name="40 % - Accent6 3 5 4 2 2 5" xfId="38429"/>
    <cellStyle name="40 % - Accent6 3 5 4 2 2 6" xfId="54658"/>
    <cellStyle name="40 % - Accent6 3 5 4 2 3" xfId="9221"/>
    <cellStyle name="40 % - Accent6 3 5 4 2 3 2" xfId="28694"/>
    <cellStyle name="40 % - Accent6 3 5 4 2 3 3" xfId="41674"/>
    <cellStyle name="40 % - Accent6 3 5 4 2 3 4" xfId="57903"/>
    <cellStyle name="40 % - Accent6 3 5 4 2 4" xfId="15714"/>
    <cellStyle name="40 % - Accent6 3 5 4 2 4 2" xfId="51413"/>
    <cellStyle name="40 % - Accent6 3 5 4 2 5" xfId="22204"/>
    <cellStyle name="40 % - Accent6 3 5 4 2 6" xfId="35184"/>
    <cellStyle name="40 % - Accent6 3 5 4 2 7" xfId="48167"/>
    <cellStyle name="40 % - Accent6 3 5 4 3" xfId="4311"/>
    <cellStyle name="40 % - Accent6 3 5 4 3 2" xfId="10843"/>
    <cellStyle name="40 % - Accent6 3 5 4 3 2 2" xfId="30316"/>
    <cellStyle name="40 % - Accent6 3 5 4 3 2 3" xfId="43296"/>
    <cellStyle name="40 % - Accent6 3 5 4 3 2 4" xfId="59525"/>
    <cellStyle name="40 % - Accent6 3 5 4 3 3" xfId="17336"/>
    <cellStyle name="40 % - Accent6 3 5 4 3 4" xfId="23826"/>
    <cellStyle name="40 % - Accent6 3 5 4 3 5" xfId="36806"/>
    <cellStyle name="40 % - Accent6 3 5 4 3 6" xfId="53035"/>
    <cellStyle name="40 % - Accent6 3 5 4 4" xfId="7598"/>
    <cellStyle name="40 % - Accent6 3 5 4 4 2" xfId="27071"/>
    <cellStyle name="40 % - Accent6 3 5 4 4 3" xfId="40051"/>
    <cellStyle name="40 % - Accent6 3 5 4 4 4" xfId="56280"/>
    <cellStyle name="40 % - Accent6 3 5 4 5" xfId="14091"/>
    <cellStyle name="40 % - Accent6 3 5 4 5 2" xfId="49790"/>
    <cellStyle name="40 % - Accent6 3 5 4 6" xfId="20581"/>
    <cellStyle name="40 % - Accent6 3 5 4 7" xfId="33561"/>
    <cellStyle name="40 % - Accent6 3 5 4 8" xfId="46544"/>
    <cellStyle name="40 % - Accent6 3 5 5" xfId="1975"/>
    <cellStyle name="40 % - Accent6 3 5 5 2" xfId="5220"/>
    <cellStyle name="40 % - Accent6 3 5 5 2 2" xfId="11752"/>
    <cellStyle name="40 % - Accent6 3 5 5 2 2 2" xfId="31225"/>
    <cellStyle name="40 % - Accent6 3 5 5 2 2 3" xfId="44205"/>
    <cellStyle name="40 % - Accent6 3 5 5 2 2 4" xfId="60434"/>
    <cellStyle name="40 % - Accent6 3 5 5 2 3" xfId="18245"/>
    <cellStyle name="40 % - Accent6 3 5 5 2 4" xfId="24735"/>
    <cellStyle name="40 % - Accent6 3 5 5 2 5" xfId="37715"/>
    <cellStyle name="40 % - Accent6 3 5 5 2 6" xfId="53944"/>
    <cellStyle name="40 % - Accent6 3 5 5 3" xfId="8507"/>
    <cellStyle name="40 % - Accent6 3 5 5 3 2" xfId="27980"/>
    <cellStyle name="40 % - Accent6 3 5 5 3 3" xfId="40960"/>
    <cellStyle name="40 % - Accent6 3 5 5 3 4" xfId="57189"/>
    <cellStyle name="40 % - Accent6 3 5 5 4" xfId="15000"/>
    <cellStyle name="40 % - Accent6 3 5 5 4 2" xfId="50699"/>
    <cellStyle name="40 % - Accent6 3 5 5 5" xfId="21490"/>
    <cellStyle name="40 % - Accent6 3 5 5 6" xfId="34470"/>
    <cellStyle name="40 % - Accent6 3 5 5 7" xfId="47453"/>
    <cellStyle name="40 % - Accent6 3 5 6" xfId="3596"/>
    <cellStyle name="40 % - Accent6 3 5 6 2" xfId="10128"/>
    <cellStyle name="40 % - Accent6 3 5 6 2 2" xfId="29601"/>
    <cellStyle name="40 % - Accent6 3 5 6 2 3" xfId="42581"/>
    <cellStyle name="40 % - Accent6 3 5 6 2 4" xfId="58810"/>
    <cellStyle name="40 % - Accent6 3 5 6 3" xfId="16621"/>
    <cellStyle name="40 % - Accent6 3 5 6 4" xfId="23111"/>
    <cellStyle name="40 % - Accent6 3 5 6 5" xfId="36091"/>
    <cellStyle name="40 % - Accent6 3 5 6 6" xfId="52320"/>
    <cellStyle name="40 % - Accent6 3 5 7" xfId="6883"/>
    <cellStyle name="40 % - Accent6 3 5 7 2" xfId="26356"/>
    <cellStyle name="40 % - Accent6 3 5 7 3" xfId="39336"/>
    <cellStyle name="40 % - Accent6 3 5 7 4" xfId="55565"/>
    <cellStyle name="40 % - Accent6 3 5 8" xfId="13376"/>
    <cellStyle name="40 % - Accent6 3 5 8 2" xfId="49075"/>
    <cellStyle name="40 % - Accent6 3 5 9" xfId="19866"/>
    <cellStyle name="40 % - Accent6 3 6" xfId="634"/>
    <cellStyle name="40 % - Accent6 3 6 10" xfId="46157"/>
    <cellStyle name="40 % - Accent6 3 6 2" xfId="1353"/>
    <cellStyle name="40 % - Accent6 3 6 2 2" xfId="3020"/>
    <cellStyle name="40 % - Accent6 3 6 2 2 2" xfId="6265"/>
    <cellStyle name="40 % - Accent6 3 6 2 2 2 2" xfId="12797"/>
    <cellStyle name="40 % - Accent6 3 6 2 2 2 2 2" xfId="32270"/>
    <cellStyle name="40 % - Accent6 3 6 2 2 2 2 3" xfId="45250"/>
    <cellStyle name="40 % - Accent6 3 6 2 2 2 2 4" xfId="61479"/>
    <cellStyle name="40 % - Accent6 3 6 2 2 2 3" xfId="19290"/>
    <cellStyle name="40 % - Accent6 3 6 2 2 2 4" xfId="25780"/>
    <cellStyle name="40 % - Accent6 3 6 2 2 2 5" xfId="38760"/>
    <cellStyle name="40 % - Accent6 3 6 2 2 2 6" xfId="54989"/>
    <cellStyle name="40 % - Accent6 3 6 2 2 3" xfId="9552"/>
    <cellStyle name="40 % - Accent6 3 6 2 2 3 2" xfId="29025"/>
    <cellStyle name="40 % - Accent6 3 6 2 2 3 3" xfId="42005"/>
    <cellStyle name="40 % - Accent6 3 6 2 2 3 4" xfId="58234"/>
    <cellStyle name="40 % - Accent6 3 6 2 2 4" xfId="16045"/>
    <cellStyle name="40 % - Accent6 3 6 2 2 4 2" xfId="51744"/>
    <cellStyle name="40 % - Accent6 3 6 2 2 5" xfId="22535"/>
    <cellStyle name="40 % - Accent6 3 6 2 2 6" xfId="35515"/>
    <cellStyle name="40 % - Accent6 3 6 2 2 7" xfId="48498"/>
    <cellStyle name="40 % - Accent6 3 6 2 3" xfId="4642"/>
    <cellStyle name="40 % - Accent6 3 6 2 3 2" xfId="11174"/>
    <cellStyle name="40 % - Accent6 3 6 2 3 2 2" xfId="30647"/>
    <cellStyle name="40 % - Accent6 3 6 2 3 2 3" xfId="43627"/>
    <cellStyle name="40 % - Accent6 3 6 2 3 2 4" xfId="59856"/>
    <cellStyle name="40 % - Accent6 3 6 2 3 3" xfId="17667"/>
    <cellStyle name="40 % - Accent6 3 6 2 3 4" xfId="24157"/>
    <cellStyle name="40 % - Accent6 3 6 2 3 5" xfId="37137"/>
    <cellStyle name="40 % - Accent6 3 6 2 3 6" xfId="53366"/>
    <cellStyle name="40 % - Accent6 3 6 2 4" xfId="7929"/>
    <cellStyle name="40 % - Accent6 3 6 2 4 2" xfId="27402"/>
    <cellStyle name="40 % - Accent6 3 6 2 4 3" xfId="40382"/>
    <cellStyle name="40 % - Accent6 3 6 2 4 4" xfId="56611"/>
    <cellStyle name="40 % - Accent6 3 6 2 5" xfId="14422"/>
    <cellStyle name="40 % - Accent6 3 6 2 5 2" xfId="50121"/>
    <cellStyle name="40 % - Accent6 3 6 2 6" xfId="20912"/>
    <cellStyle name="40 % - Accent6 3 6 2 7" xfId="33892"/>
    <cellStyle name="40 % - Accent6 3 6 2 8" xfId="46875"/>
    <cellStyle name="40 % - Accent6 3 6 3" xfId="889"/>
    <cellStyle name="40 % - Accent6 3 6 3 2" xfId="2557"/>
    <cellStyle name="40 % - Accent6 3 6 3 2 2" xfId="5802"/>
    <cellStyle name="40 % - Accent6 3 6 3 2 2 2" xfId="12334"/>
    <cellStyle name="40 % - Accent6 3 6 3 2 2 2 2" xfId="31807"/>
    <cellStyle name="40 % - Accent6 3 6 3 2 2 2 3" xfId="44787"/>
    <cellStyle name="40 % - Accent6 3 6 3 2 2 2 4" xfId="61016"/>
    <cellStyle name="40 % - Accent6 3 6 3 2 2 3" xfId="18827"/>
    <cellStyle name="40 % - Accent6 3 6 3 2 2 4" xfId="25317"/>
    <cellStyle name="40 % - Accent6 3 6 3 2 2 5" xfId="38297"/>
    <cellStyle name="40 % - Accent6 3 6 3 2 2 6" xfId="54526"/>
    <cellStyle name="40 % - Accent6 3 6 3 2 3" xfId="9089"/>
    <cellStyle name="40 % - Accent6 3 6 3 2 3 2" xfId="28562"/>
    <cellStyle name="40 % - Accent6 3 6 3 2 3 3" xfId="41542"/>
    <cellStyle name="40 % - Accent6 3 6 3 2 3 4" xfId="57771"/>
    <cellStyle name="40 % - Accent6 3 6 3 2 4" xfId="15582"/>
    <cellStyle name="40 % - Accent6 3 6 3 2 4 2" xfId="51281"/>
    <cellStyle name="40 % - Accent6 3 6 3 2 5" xfId="22072"/>
    <cellStyle name="40 % - Accent6 3 6 3 2 6" xfId="35052"/>
    <cellStyle name="40 % - Accent6 3 6 3 2 7" xfId="48035"/>
    <cellStyle name="40 % - Accent6 3 6 3 3" xfId="4179"/>
    <cellStyle name="40 % - Accent6 3 6 3 3 2" xfId="10711"/>
    <cellStyle name="40 % - Accent6 3 6 3 3 2 2" xfId="30184"/>
    <cellStyle name="40 % - Accent6 3 6 3 3 2 3" xfId="43164"/>
    <cellStyle name="40 % - Accent6 3 6 3 3 2 4" xfId="59393"/>
    <cellStyle name="40 % - Accent6 3 6 3 3 3" xfId="17204"/>
    <cellStyle name="40 % - Accent6 3 6 3 3 4" xfId="23694"/>
    <cellStyle name="40 % - Accent6 3 6 3 3 5" xfId="36674"/>
    <cellStyle name="40 % - Accent6 3 6 3 3 6" xfId="52903"/>
    <cellStyle name="40 % - Accent6 3 6 3 4" xfId="7466"/>
    <cellStyle name="40 % - Accent6 3 6 3 4 2" xfId="26939"/>
    <cellStyle name="40 % - Accent6 3 6 3 4 3" xfId="39919"/>
    <cellStyle name="40 % - Accent6 3 6 3 4 4" xfId="56148"/>
    <cellStyle name="40 % - Accent6 3 6 3 5" xfId="13959"/>
    <cellStyle name="40 % - Accent6 3 6 3 5 2" xfId="49658"/>
    <cellStyle name="40 % - Accent6 3 6 3 6" xfId="20449"/>
    <cellStyle name="40 % - Accent6 3 6 3 7" xfId="33429"/>
    <cellStyle name="40 % - Accent6 3 6 3 8" xfId="46412"/>
    <cellStyle name="40 % - Accent6 3 6 4" xfId="2302"/>
    <cellStyle name="40 % - Accent6 3 6 4 2" xfId="5547"/>
    <cellStyle name="40 % - Accent6 3 6 4 2 2" xfId="12079"/>
    <cellStyle name="40 % - Accent6 3 6 4 2 2 2" xfId="31552"/>
    <cellStyle name="40 % - Accent6 3 6 4 2 2 3" xfId="44532"/>
    <cellStyle name="40 % - Accent6 3 6 4 2 2 4" xfId="60761"/>
    <cellStyle name="40 % - Accent6 3 6 4 2 3" xfId="18572"/>
    <cellStyle name="40 % - Accent6 3 6 4 2 4" xfId="25062"/>
    <cellStyle name="40 % - Accent6 3 6 4 2 5" xfId="38042"/>
    <cellStyle name="40 % - Accent6 3 6 4 2 6" xfId="54271"/>
    <cellStyle name="40 % - Accent6 3 6 4 3" xfId="8834"/>
    <cellStyle name="40 % - Accent6 3 6 4 3 2" xfId="28307"/>
    <cellStyle name="40 % - Accent6 3 6 4 3 3" xfId="41287"/>
    <cellStyle name="40 % - Accent6 3 6 4 3 4" xfId="57516"/>
    <cellStyle name="40 % - Accent6 3 6 4 4" xfId="15327"/>
    <cellStyle name="40 % - Accent6 3 6 4 4 2" xfId="51026"/>
    <cellStyle name="40 % - Accent6 3 6 4 5" xfId="21817"/>
    <cellStyle name="40 % - Accent6 3 6 4 6" xfId="34797"/>
    <cellStyle name="40 % - Accent6 3 6 4 7" xfId="47780"/>
    <cellStyle name="40 % - Accent6 3 6 5" xfId="3924"/>
    <cellStyle name="40 % - Accent6 3 6 5 2" xfId="10456"/>
    <cellStyle name="40 % - Accent6 3 6 5 2 2" xfId="29929"/>
    <cellStyle name="40 % - Accent6 3 6 5 2 3" xfId="42909"/>
    <cellStyle name="40 % - Accent6 3 6 5 2 4" xfId="59138"/>
    <cellStyle name="40 % - Accent6 3 6 5 3" xfId="16949"/>
    <cellStyle name="40 % - Accent6 3 6 5 4" xfId="23439"/>
    <cellStyle name="40 % - Accent6 3 6 5 5" xfId="36419"/>
    <cellStyle name="40 % - Accent6 3 6 5 6" xfId="52648"/>
    <cellStyle name="40 % - Accent6 3 6 6" xfId="7211"/>
    <cellStyle name="40 % - Accent6 3 6 6 2" xfId="26684"/>
    <cellStyle name="40 % - Accent6 3 6 6 3" xfId="39664"/>
    <cellStyle name="40 % - Accent6 3 6 6 4" xfId="55893"/>
    <cellStyle name="40 % - Accent6 3 6 7" xfId="13704"/>
    <cellStyle name="40 % - Accent6 3 6 7 2" xfId="49403"/>
    <cellStyle name="40 % - Accent6 3 6 8" xfId="20194"/>
    <cellStyle name="40 % - Accent6 3 6 9" xfId="33174"/>
    <cellStyle name="40 % - Accent6 3 7" xfId="404"/>
    <cellStyle name="40 % - Accent6 3 7 10" xfId="45927"/>
    <cellStyle name="40 % - Accent6 3 7 2" xfId="1573"/>
    <cellStyle name="40 % - Accent6 3 7 2 2" xfId="3240"/>
    <cellStyle name="40 % - Accent6 3 7 2 2 2" xfId="6485"/>
    <cellStyle name="40 % - Accent6 3 7 2 2 2 2" xfId="13017"/>
    <cellStyle name="40 % - Accent6 3 7 2 2 2 2 2" xfId="32490"/>
    <cellStyle name="40 % - Accent6 3 7 2 2 2 2 3" xfId="45470"/>
    <cellStyle name="40 % - Accent6 3 7 2 2 2 2 4" xfId="61699"/>
    <cellStyle name="40 % - Accent6 3 7 2 2 2 3" xfId="19510"/>
    <cellStyle name="40 % - Accent6 3 7 2 2 2 4" xfId="26000"/>
    <cellStyle name="40 % - Accent6 3 7 2 2 2 5" xfId="38980"/>
    <cellStyle name="40 % - Accent6 3 7 2 2 2 6" xfId="55209"/>
    <cellStyle name="40 % - Accent6 3 7 2 2 3" xfId="9772"/>
    <cellStyle name="40 % - Accent6 3 7 2 2 3 2" xfId="29245"/>
    <cellStyle name="40 % - Accent6 3 7 2 2 3 3" xfId="42225"/>
    <cellStyle name="40 % - Accent6 3 7 2 2 3 4" xfId="58454"/>
    <cellStyle name="40 % - Accent6 3 7 2 2 4" xfId="16265"/>
    <cellStyle name="40 % - Accent6 3 7 2 2 4 2" xfId="51964"/>
    <cellStyle name="40 % - Accent6 3 7 2 2 5" xfId="22755"/>
    <cellStyle name="40 % - Accent6 3 7 2 2 6" xfId="35735"/>
    <cellStyle name="40 % - Accent6 3 7 2 2 7" xfId="48718"/>
    <cellStyle name="40 % - Accent6 3 7 2 3" xfId="4862"/>
    <cellStyle name="40 % - Accent6 3 7 2 3 2" xfId="11394"/>
    <cellStyle name="40 % - Accent6 3 7 2 3 2 2" xfId="30867"/>
    <cellStyle name="40 % - Accent6 3 7 2 3 2 3" xfId="43847"/>
    <cellStyle name="40 % - Accent6 3 7 2 3 2 4" xfId="60076"/>
    <cellStyle name="40 % - Accent6 3 7 2 3 3" xfId="17887"/>
    <cellStyle name="40 % - Accent6 3 7 2 3 4" xfId="24377"/>
    <cellStyle name="40 % - Accent6 3 7 2 3 5" xfId="37357"/>
    <cellStyle name="40 % - Accent6 3 7 2 3 6" xfId="53586"/>
    <cellStyle name="40 % - Accent6 3 7 2 4" xfId="8149"/>
    <cellStyle name="40 % - Accent6 3 7 2 4 2" xfId="27622"/>
    <cellStyle name="40 % - Accent6 3 7 2 4 3" xfId="40602"/>
    <cellStyle name="40 % - Accent6 3 7 2 4 4" xfId="56831"/>
    <cellStyle name="40 % - Accent6 3 7 2 5" xfId="14642"/>
    <cellStyle name="40 % - Accent6 3 7 2 5 2" xfId="50341"/>
    <cellStyle name="40 % - Accent6 3 7 2 6" xfId="21132"/>
    <cellStyle name="40 % - Accent6 3 7 2 7" xfId="34112"/>
    <cellStyle name="40 % - Accent6 3 7 2 8" xfId="47095"/>
    <cellStyle name="40 % - Accent6 3 7 3" xfId="1110"/>
    <cellStyle name="40 % - Accent6 3 7 3 2" xfId="2777"/>
    <cellStyle name="40 % - Accent6 3 7 3 2 2" xfId="6022"/>
    <cellStyle name="40 % - Accent6 3 7 3 2 2 2" xfId="12554"/>
    <cellStyle name="40 % - Accent6 3 7 3 2 2 2 2" xfId="32027"/>
    <cellStyle name="40 % - Accent6 3 7 3 2 2 2 3" xfId="45007"/>
    <cellStyle name="40 % - Accent6 3 7 3 2 2 2 4" xfId="61236"/>
    <cellStyle name="40 % - Accent6 3 7 3 2 2 3" xfId="19047"/>
    <cellStyle name="40 % - Accent6 3 7 3 2 2 4" xfId="25537"/>
    <cellStyle name="40 % - Accent6 3 7 3 2 2 5" xfId="38517"/>
    <cellStyle name="40 % - Accent6 3 7 3 2 2 6" xfId="54746"/>
    <cellStyle name="40 % - Accent6 3 7 3 2 3" xfId="9309"/>
    <cellStyle name="40 % - Accent6 3 7 3 2 3 2" xfId="28782"/>
    <cellStyle name="40 % - Accent6 3 7 3 2 3 3" xfId="41762"/>
    <cellStyle name="40 % - Accent6 3 7 3 2 3 4" xfId="57991"/>
    <cellStyle name="40 % - Accent6 3 7 3 2 4" xfId="15802"/>
    <cellStyle name="40 % - Accent6 3 7 3 2 4 2" xfId="51501"/>
    <cellStyle name="40 % - Accent6 3 7 3 2 5" xfId="22292"/>
    <cellStyle name="40 % - Accent6 3 7 3 2 6" xfId="35272"/>
    <cellStyle name="40 % - Accent6 3 7 3 2 7" xfId="48255"/>
    <cellStyle name="40 % - Accent6 3 7 3 3" xfId="4399"/>
    <cellStyle name="40 % - Accent6 3 7 3 3 2" xfId="10931"/>
    <cellStyle name="40 % - Accent6 3 7 3 3 2 2" xfId="30404"/>
    <cellStyle name="40 % - Accent6 3 7 3 3 2 3" xfId="43384"/>
    <cellStyle name="40 % - Accent6 3 7 3 3 2 4" xfId="59613"/>
    <cellStyle name="40 % - Accent6 3 7 3 3 3" xfId="17424"/>
    <cellStyle name="40 % - Accent6 3 7 3 3 4" xfId="23914"/>
    <cellStyle name="40 % - Accent6 3 7 3 3 5" xfId="36894"/>
    <cellStyle name="40 % - Accent6 3 7 3 3 6" xfId="53123"/>
    <cellStyle name="40 % - Accent6 3 7 3 4" xfId="7686"/>
    <cellStyle name="40 % - Accent6 3 7 3 4 2" xfId="27159"/>
    <cellStyle name="40 % - Accent6 3 7 3 4 3" xfId="40139"/>
    <cellStyle name="40 % - Accent6 3 7 3 4 4" xfId="56368"/>
    <cellStyle name="40 % - Accent6 3 7 3 5" xfId="14179"/>
    <cellStyle name="40 % - Accent6 3 7 3 5 2" xfId="49878"/>
    <cellStyle name="40 % - Accent6 3 7 3 6" xfId="20669"/>
    <cellStyle name="40 % - Accent6 3 7 3 7" xfId="33649"/>
    <cellStyle name="40 % - Accent6 3 7 3 8" xfId="46632"/>
    <cellStyle name="40 % - Accent6 3 7 4" xfId="2072"/>
    <cellStyle name="40 % - Accent6 3 7 4 2" xfId="5317"/>
    <cellStyle name="40 % - Accent6 3 7 4 2 2" xfId="11849"/>
    <cellStyle name="40 % - Accent6 3 7 4 2 2 2" xfId="31322"/>
    <cellStyle name="40 % - Accent6 3 7 4 2 2 3" xfId="44302"/>
    <cellStyle name="40 % - Accent6 3 7 4 2 2 4" xfId="60531"/>
    <cellStyle name="40 % - Accent6 3 7 4 2 3" xfId="18342"/>
    <cellStyle name="40 % - Accent6 3 7 4 2 4" xfId="24832"/>
    <cellStyle name="40 % - Accent6 3 7 4 2 5" xfId="37812"/>
    <cellStyle name="40 % - Accent6 3 7 4 2 6" xfId="54041"/>
    <cellStyle name="40 % - Accent6 3 7 4 3" xfId="8604"/>
    <cellStyle name="40 % - Accent6 3 7 4 3 2" xfId="28077"/>
    <cellStyle name="40 % - Accent6 3 7 4 3 3" xfId="41057"/>
    <cellStyle name="40 % - Accent6 3 7 4 3 4" xfId="57286"/>
    <cellStyle name="40 % - Accent6 3 7 4 4" xfId="15097"/>
    <cellStyle name="40 % - Accent6 3 7 4 4 2" xfId="50796"/>
    <cellStyle name="40 % - Accent6 3 7 4 5" xfId="21587"/>
    <cellStyle name="40 % - Accent6 3 7 4 6" xfId="34567"/>
    <cellStyle name="40 % - Accent6 3 7 4 7" xfId="47550"/>
    <cellStyle name="40 % - Accent6 3 7 5" xfId="3694"/>
    <cellStyle name="40 % - Accent6 3 7 5 2" xfId="10226"/>
    <cellStyle name="40 % - Accent6 3 7 5 2 2" xfId="29699"/>
    <cellStyle name="40 % - Accent6 3 7 5 2 3" xfId="42679"/>
    <cellStyle name="40 % - Accent6 3 7 5 2 4" xfId="58908"/>
    <cellStyle name="40 % - Accent6 3 7 5 3" xfId="16719"/>
    <cellStyle name="40 % - Accent6 3 7 5 4" xfId="23209"/>
    <cellStyle name="40 % - Accent6 3 7 5 5" xfId="36189"/>
    <cellStyle name="40 % - Accent6 3 7 5 6" xfId="52418"/>
    <cellStyle name="40 % - Accent6 3 7 6" xfId="6981"/>
    <cellStyle name="40 % - Accent6 3 7 6 2" xfId="26454"/>
    <cellStyle name="40 % - Accent6 3 7 6 3" xfId="39434"/>
    <cellStyle name="40 % - Accent6 3 7 6 4" xfId="55663"/>
    <cellStyle name="40 % - Accent6 3 7 7" xfId="13474"/>
    <cellStyle name="40 % - Accent6 3 7 7 2" xfId="49173"/>
    <cellStyle name="40 % - Accent6 3 7 8" xfId="19964"/>
    <cellStyle name="40 % - Accent6 3 7 9" xfId="32944"/>
    <cellStyle name="40 % - Accent6 3 8" xfId="1330"/>
    <cellStyle name="40 % - Accent6 3 8 2" xfId="2997"/>
    <cellStyle name="40 % - Accent6 3 8 2 2" xfId="6242"/>
    <cellStyle name="40 % - Accent6 3 8 2 2 2" xfId="12774"/>
    <cellStyle name="40 % - Accent6 3 8 2 2 2 2" xfId="32247"/>
    <cellStyle name="40 % - Accent6 3 8 2 2 2 3" xfId="45227"/>
    <cellStyle name="40 % - Accent6 3 8 2 2 2 4" xfId="61456"/>
    <cellStyle name="40 % - Accent6 3 8 2 2 3" xfId="19267"/>
    <cellStyle name="40 % - Accent6 3 8 2 2 4" xfId="25757"/>
    <cellStyle name="40 % - Accent6 3 8 2 2 5" xfId="38737"/>
    <cellStyle name="40 % - Accent6 3 8 2 2 6" xfId="54966"/>
    <cellStyle name="40 % - Accent6 3 8 2 3" xfId="9529"/>
    <cellStyle name="40 % - Accent6 3 8 2 3 2" xfId="29002"/>
    <cellStyle name="40 % - Accent6 3 8 2 3 3" xfId="41982"/>
    <cellStyle name="40 % - Accent6 3 8 2 3 4" xfId="58211"/>
    <cellStyle name="40 % - Accent6 3 8 2 4" xfId="16022"/>
    <cellStyle name="40 % - Accent6 3 8 2 4 2" xfId="51721"/>
    <cellStyle name="40 % - Accent6 3 8 2 5" xfId="22512"/>
    <cellStyle name="40 % - Accent6 3 8 2 6" xfId="35492"/>
    <cellStyle name="40 % - Accent6 3 8 2 7" xfId="48475"/>
    <cellStyle name="40 % - Accent6 3 8 3" xfId="4619"/>
    <cellStyle name="40 % - Accent6 3 8 3 2" xfId="11151"/>
    <cellStyle name="40 % - Accent6 3 8 3 2 2" xfId="30624"/>
    <cellStyle name="40 % - Accent6 3 8 3 2 3" xfId="43604"/>
    <cellStyle name="40 % - Accent6 3 8 3 2 4" xfId="59833"/>
    <cellStyle name="40 % - Accent6 3 8 3 3" xfId="17644"/>
    <cellStyle name="40 % - Accent6 3 8 3 4" xfId="24134"/>
    <cellStyle name="40 % - Accent6 3 8 3 5" xfId="37114"/>
    <cellStyle name="40 % - Accent6 3 8 3 6" xfId="53343"/>
    <cellStyle name="40 % - Accent6 3 8 4" xfId="7906"/>
    <cellStyle name="40 % - Accent6 3 8 4 2" xfId="27379"/>
    <cellStyle name="40 % - Accent6 3 8 4 3" xfId="40359"/>
    <cellStyle name="40 % - Accent6 3 8 4 4" xfId="56588"/>
    <cellStyle name="40 % - Accent6 3 8 5" xfId="14399"/>
    <cellStyle name="40 % - Accent6 3 8 5 2" xfId="50098"/>
    <cellStyle name="40 % - Accent6 3 8 6" xfId="20889"/>
    <cellStyle name="40 % - Accent6 3 8 7" xfId="33869"/>
    <cellStyle name="40 % - Accent6 3 8 8" xfId="46852"/>
    <cellStyle name="40 % - Accent6 3 9" xfId="866"/>
    <cellStyle name="40 % - Accent6 3 9 2" xfId="2534"/>
    <cellStyle name="40 % - Accent6 3 9 2 2" xfId="5779"/>
    <cellStyle name="40 % - Accent6 3 9 2 2 2" xfId="12311"/>
    <cellStyle name="40 % - Accent6 3 9 2 2 2 2" xfId="31784"/>
    <cellStyle name="40 % - Accent6 3 9 2 2 2 3" xfId="44764"/>
    <cellStyle name="40 % - Accent6 3 9 2 2 2 4" xfId="60993"/>
    <cellStyle name="40 % - Accent6 3 9 2 2 3" xfId="18804"/>
    <cellStyle name="40 % - Accent6 3 9 2 2 4" xfId="25294"/>
    <cellStyle name="40 % - Accent6 3 9 2 2 5" xfId="38274"/>
    <cellStyle name="40 % - Accent6 3 9 2 2 6" xfId="54503"/>
    <cellStyle name="40 % - Accent6 3 9 2 3" xfId="9066"/>
    <cellStyle name="40 % - Accent6 3 9 2 3 2" xfId="28539"/>
    <cellStyle name="40 % - Accent6 3 9 2 3 3" xfId="41519"/>
    <cellStyle name="40 % - Accent6 3 9 2 3 4" xfId="57748"/>
    <cellStyle name="40 % - Accent6 3 9 2 4" xfId="15559"/>
    <cellStyle name="40 % - Accent6 3 9 2 4 2" xfId="51258"/>
    <cellStyle name="40 % - Accent6 3 9 2 5" xfId="22049"/>
    <cellStyle name="40 % - Accent6 3 9 2 6" xfId="35029"/>
    <cellStyle name="40 % - Accent6 3 9 2 7" xfId="48012"/>
    <cellStyle name="40 % - Accent6 3 9 3" xfId="4156"/>
    <cellStyle name="40 % - Accent6 3 9 3 2" xfId="10688"/>
    <cellStyle name="40 % - Accent6 3 9 3 2 2" xfId="30161"/>
    <cellStyle name="40 % - Accent6 3 9 3 2 3" xfId="43141"/>
    <cellStyle name="40 % - Accent6 3 9 3 2 4" xfId="59370"/>
    <cellStyle name="40 % - Accent6 3 9 3 3" xfId="17181"/>
    <cellStyle name="40 % - Accent6 3 9 3 4" xfId="23671"/>
    <cellStyle name="40 % - Accent6 3 9 3 5" xfId="36651"/>
    <cellStyle name="40 % - Accent6 3 9 3 6" xfId="52880"/>
    <cellStyle name="40 % - Accent6 3 9 4" xfId="7443"/>
    <cellStyle name="40 % - Accent6 3 9 4 2" xfId="26916"/>
    <cellStyle name="40 % - Accent6 3 9 4 3" xfId="39896"/>
    <cellStyle name="40 % - Accent6 3 9 4 4" xfId="56125"/>
    <cellStyle name="40 % - Accent6 3 9 5" xfId="13936"/>
    <cellStyle name="40 % - Accent6 3 9 5 2" xfId="49635"/>
    <cellStyle name="40 % - Accent6 3 9 6" xfId="20426"/>
    <cellStyle name="40 % - Accent6 3 9 7" xfId="33406"/>
    <cellStyle name="40 % - Accent6 3 9 8" xfId="46389"/>
    <cellStyle name="40 % - Accent6 4" xfId="1796"/>
    <cellStyle name="40 % - Accent6 5" xfId="6705"/>
    <cellStyle name="40 % - Accent6 6" xfId="61922"/>
    <cellStyle name="40 % - Accent6 7" xfId="61940"/>
    <cellStyle name="40 % - Accent6 8" xfId="61952"/>
    <cellStyle name="40 % - Accent6 9" xfId="52"/>
    <cellStyle name="40% - Accent1" xfId="62038" builtinId="31" customBuiltin="1"/>
    <cellStyle name="40% - Accent2" xfId="62042" builtinId="35" customBuiltin="1"/>
    <cellStyle name="40% - Accent3" xfId="62046" builtinId="39" customBuiltin="1"/>
    <cellStyle name="40% - Accent4" xfId="62050" builtinId="43" customBuiltin="1"/>
    <cellStyle name="40% - Accent5" xfId="62054" builtinId="47" customBuiltin="1"/>
    <cellStyle name="40% - Accent6" xfId="62058" builtinId="51" customBuiltin="1"/>
    <cellStyle name="60 % - Accent1 2" xfId="96"/>
    <cellStyle name="60 % - Accent1 3" xfId="148"/>
    <cellStyle name="60 % - Accent1 4" xfId="1797"/>
    <cellStyle name="60 % - Accent1 5" xfId="6706"/>
    <cellStyle name="60 % - Accent1 6" xfId="53"/>
    <cellStyle name="60 % - Accent2 2" xfId="97"/>
    <cellStyle name="60 % - Accent2 3" xfId="152"/>
    <cellStyle name="60 % - Accent2 4" xfId="1798"/>
    <cellStyle name="60 % - Accent2 5" xfId="6707"/>
    <cellStyle name="60 % - Accent2 6" xfId="54"/>
    <cellStyle name="60 % - Accent3 2" xfId="98"/>
    <cellStyle name="60 % - Accent3 3" xfId="156"/>
    <cellStyle name="60 % - Accent3 4" xfId="1799"/>
    <cellStyle name="60 % - Accent3 5" xfId="6708"/>
    <cellStyle name="60 % - Accent3 6" xfId="55"/>
    <cellStyle name="60 % - Accent4 2" xfId="99"/>
    <cellStyle name="60 % - Accent4 3" xfId="160"/>
    <cellStyle name="60 % - Accent4 4" xfId="1800"/>
    <cellStyle name="60 % - Accent4 5" xfId="6709"/>
    <cellStyle name="60 % - Accent4 6" xfId="56"/>
    <cellStyle name="60 % - Accent5 2" xfId="100"/>
    <cellStyle name="60 % - Accent5 3" xfId="164"/>
    <cellStyle name="60 % - Accent5 4" xfId="1801"/>
    <cellStyle name="60 % - Accent5 5" xfId="6710"/>
    <cellStyle name="60 % - Accent5 6" xfId="57"/>
    <cellStyle name="60 % - Accent6 2" xfId="101"/>
    <cellStyle name="60 % - Accent6 3" xfId="168"/>
    <cellStyle name="60 % - Accent6 4" xfId="1802"/>
    <cellStyle name="60 % - Accent6 5" xfId="6711"/>
    <cellStyle name="60 % - Accent6 6" xfId="58"/>
    <cellStyle name="60% - Accent1" xfId="62039" builtinId="32" customBuiltin="1"/>
    <cellStyle name="60% - Accent2" xfId="62043" builtinId="36" customBuiltin="1"/>
    <cellStyle name="60% - Accent3" xfId="62047" builtinId="40" customBuiltin="1"/>
    <cellStyle name="60% - Accent4" xfId="62051" builtinId="44" customBuiltin="1"/>
    <cellStyle name="60% - Accent5" xfId="62055" builtinId="48" customBuiltin="1"/>
    <cellStyle name="60% - Accent6" xfId="62059" builtinId="52" customBuiltin="1"/>
    <cellStyle name="Accent1" xfId="62036" builtinId="29" customBuiltin="1"/>
    <cellStyle name="Accent1 2" xfId="102"/>
    <cellStyle name="Accent1 3" xfId="145"/>
    <cellStyle name="Accent1 4" xfId="1803"/>
    <cellStyle name="Accent1 5" xfId="6712"/>
    <cellStyle name="Accent1 6" xfId="59"/>
    <cellStyle name="Accent2" xfId="62040" builtinId="33" customBuiltin="1"/>
    <cellStyle name="Accent2 2" xfId="103"/>
    <cellStyle name="Accent2 3" xfId="149"/>
    <cellStyle name="Accent2 4" xfId="1804"/>
    <cellStyle name="Accent2 5" xfId="6713"/>
    <cellStyle name="Accent2 6" xfId="60"/>
    <cellStyle name="Accent3" xfId="62044" builtinId="37" customBuiltin="1"/>
    <cellStyle name="Accent3 2" xfId="104"/>
    <cellStyle name="Accent3 3" xfId="153"/>
    <cellStyle name="Accent3 4" xfId="1805"/>
    <cellStyle name="Accent3 5" xfId="6714"/>
    <cellStyle name="Accent3 6" xfId="61"/>
    <cellStyle name="Accent4" xfId="62048" builtinId="41" customBuiltin="1"/>
    <cellStyle name="Accent4 2" xfId="105"/>
    <cellStyle name="Accent4 3" xfId="157"/>
    <cellStyle name="Accent4 4" xfId="1806"/>
    <cellStyle name="Accent4 5" xfId="6715"/>
    <cellStyle name="Accent4 6" xfId="62"/>
    <cellStyle name="Accent5" xfId="62052" builtinId="45" customBuiltin="1"/>
    <cellStyle name="Accent5 2" xfId="106"/>
    <cellStyle name="Accent5 3" xfId="161"/>
    <cellStyle name="Accent5 4" xfId="1807"/>
    <cellStyle name="Accent5 5" xfId="6716"/>
    <cellStyle name="Accent5 6" xfId="63"/>
    <cellStyle name="Accent6" xfId="62056" builtinId="49" customBuiltin="1"/>
    <cellStyle name="Accent6 2" xfId="107"/>
    <cellStyle name="Accent6 3" xfId="165"/>
    <cellStyle name="Accent6 4" xfId="1808"/>
    <cellStyle name="Accent6 5" xfId="6717"/>
    <cellStyle name="Accent6 6" xfId="64"/>
    <cellStyle name="Avertissement 2" xfId="108"/>
    <cellStyle name="Avertissement 3" xfId="141"/>
    <cellStyle name="Avertissement 4" xfId="1809"/>
    <cellStyle name="Avertissement 5" xfId="6718"/>
    <cellStyle name="Avertissement 6" xfId="65"/>
    <cellStyle name="Bad" xfId="62025" builtinId="27" customBuiltin="1"/>
    <cellStyle name="Calcul 2" xfId="109"/>
    <cellStyle name="Calcul 3" xfId="138"/>
    <cellStyle name="Calcul 4" xfId="1810"/>
    <cellStyle name="Calcul 5" xfId="6719"/>
    <cellStyle name="Calcul 6" xfId="66"/>
    <cellStyle name="Calculation" xfId="62029" builtinId="22" customBuiltin="1"/>
    <cellStyle name="Cellule liée 2" xfId="110"/>
    <cellStyle name="Cellule liée 3" xfId="139"/>
    <cellStyle name="Cellule liée 4" xfId="1811"/>
    <cellStyle name="Cellule liée 5" xfId="6720"/>
    <cellStyle name="Cellule liée 6" xfId="67"/>
    <cellStyle name="Check Cell" xfId="62031" builtinId="23" customBuiltin="1"/>
    <cellStyle name="Commentaire 2" xfId="111"/>
    <cellStyle name="Commentaire 2 2" xfId="61954"/>
    <cellStyle name="Commentaire 3" xfId="142"/>
    <cellStyle name="Commentaire 3 10" xfId="1830"/>
    <cellStyle name="Commentaire 3 10 2" xfId="5076"/>
    <cellStyle name="Commentaire 3 10 2 2" xfId="11608"/>
    <cellStyle name="Commentaire 3 10 2 2 2" xfId="31081"/>
    <cellStyle name="Commentaire 3 10 2 2 3" xfId="44061"/>
    <cellStyle name="Commentaire 3 10 2 2 4" xfId="60290"/>
    <cellStyle name="Commentaire 3 10 2 3" xfId="18101"/>
    <cellStyle name="Commentaire 3 10 2 4" xfId="24591"/>
    <cellStyle name="Commentaire 3 10 2 5" xfId="37571"/>
    <cellStyle name="Commentaire 3 10 2 6" xfId="53800"/>
    <cellStyle name="Commentaire 3 10 3" xfId="8363"/>
    <cellStyle name="Commentaire 3 10 3 2" xfId="27836"/>
    <cellStyle name="Commentaire 3 10 3 3" xfId="40816"/>
    <cellStyle name="Commentaire 3 10 3 4" xfId="57045"/>
    <cellStyle name="Commentaire 3 10 4" xfId="14856"/>
    <cellStyle name="Commentaire 3 10 4 2" xfId="50555"/>
    <cellStyle name="Commentaire 3 10 5" xfId="21346"/>
    <cellStyle name="Commentaire 3 10 6" xfId="34326"/>
    <cellStyle name="Commentaire 3 10 7" xfId="47309"/>
    <cellStyle name="Commentaire 3 11" xfId="3452"/>
    <cellStyle name="Commentaire 3 11 2" xfId="9984"/>
    <cellStyle name="Commentaire 3 11 2 2" xfId="29457"/>
    <cellStyle name="Commentaire 3 11 2 3" xfId="42437"/>
    <cellStyle name="Commentaire 3 11 2 4" xfId="58666"/>
    <cellStyle name="Commentaire 3 11 3" xfId="16477"/>
    <cellStyle name="Commentaire 3 11 4" xfId="22967"/>
    <cellStyle name="Commentaire 3 11 5" xfId="35947"/>
    <cellStyle name="Commentaire 3 11 6" xfId="52176"/>
    <cellStyle name="Commentaire 3 12" xfId="6739"/>
    <cellStyle name="Commentaire 3 12 2" xfId="26212"/>
    <cellStyle name="Commentaire 3 12 3" xfId="39192"/>
    <cellStyle name="Commentaire 3 12 4" xfId="55421"/>
    <cellStyle name="Commentaire 3 13" xfId="13232"/>
    <cellStyle name="Commentaire 3 13 2" xfId="48931"/>
    <cellStyle name="Commentaire 3 14" xfId="19722"/>
    <cellStyle name="Commentaire 3 15" xfId="32702"/>
    <cellStyle name="Commentaire 3 16" xfId="45685"/>
    <cellStyle name="Commentaire 3 2" xfId="179"/>
    <cellStyle name="Commentaire 3 2 10" xfId="6761"/>
    <cellStyle name="Commentaire 3 2 10 2" xfId="26234"/>
    <cellStyle name="Commentaire 3 2 10 3" xfId="39214"/>
    <cellStyle name="Commentaire 3 2 10 4" xfId="55443"/>
    <cellStyle name="Commentaire 3 2 11" xfId="13254"/>
    <cellStyle name="Commentaire 3 2 11 2" xfId="48953"/>
    <cellStyle name="Commentaire 3 2 12" xfId="19744"/>
    <cellStyle name="Commentaire 3 2 13" xfId="32724"/>
    <cellStyle name="Commentaire 3 2 14" xfId="45707"/>
    <cellStyle name="Commentaire 3 2 2" xfId="268"/>
    <cellStyle name="Commentaire 3 2 2 10" xfId="19832"/>
    <cellStyle name="Commentaire 3 2 2 11" xfId="32812"/>
    <cellStyle name="Commentaire 3 2 2 12" xfId="45795"/>
    <cellStyle name="Commentaire 3 2 2 2" xfId="356"/>
    <cellStyle name="Commentaire 3 2 2 2 10" xfId="32900"/>
    <cellStyle name="Commentaire 3 2 2 2 11" xfId="45883"/>
    <cellStyle name="Commentaire 3 2 2 2 2" xfId="820"/>
    <cellStyle name="Commentaire 3 2 2 2 2 10" xfId="46343"/>
    <cellStyle name="Commentaire 3 2 2 2 2 2" xfId="1759"/>
    <cellStyle name="Commentaire 3 2 2 2 2 2 2" xfId="3426"/>
    <cellStyle name="Commentaire 3 2 2 2 2 2 2 2" xfId="6671"/>
    <cellStyle name="Commentaire 3 2 2 2 2 2 2 2 2" xfId="13203"/>
    <cellStyle name="Commentaire 3 2 2 2 2 2 2 2 2 2" xfId="32676"/>
    <cellStyle name="Commentaire 3 2 2 2 2 2 2 2 2 3" xfId="45656"/>
    <cellStyle name="Commentaire 3 2 2 2 2 2 2 2 2 4" xfId="61885"/>
    <cellStyle name="Commentaire 3 2 2 2 2 2 2 2 3" xfId="19696"/>
    <cellStyle name="Commentaire 3 2 2 2 2 2 2 2 4" xfId="26186"/>
    <cellStyle name="Commentaire 3 2 2 2 2 2 2 2 5" xfId="39166"/>
    <cellStyle name="Commentaire 3 2 2 2 2 2 2 2 6" xfId="55395"/>
    <cellStyle name="Commentaire 3 2 2 2 2 2 2 3" xfId="9958"/>
    <cellStyle name="Commentaire 3 2 2 2 2 2 2 3 2" xfId="29431"/>
    <cellStyle name="Commentaire 3 2 2 2 2 2 2 3 3" xfId="42411"/>
    <cellStyle name="Commentaire 3 2 2 2 2 2 2 3 4" xfId="58640"/>
    <cellStyle name="Commentaire 3 2 2 2 2 2 2 4" xfId="16451"/>
    <cellStyle name="Commentaire 3 2 2 2 2 2 2 4 2" xfId="52150"/>
    <cellStyle name="Commentaire 3 2 2 2 2 2 2 5" xfId="22941"/>
    <cellStyle name="Commentaire 3 2 2 2 2 2 2 6" xfId="35921"/>
    <cellStyle name="Commentaire 3 2 2 2 2 2 2 7" xfId="48904"/>
    <cellStyle name="Commentaire 3 2 2 2 2 2 3" xfId="5048"/>
    <cellStyle name="Commentaire 3 2 2 2 2 2 3 2" xfId="11580"/>
    <cellStyle name="Commentaire 3 2 2 2 2 2 3 2 2" xfId="31053"/>
    <cellStyle name="Commentaire 3 2 2 2 2 2 3 2 3" xfId="44033"/>
    <cellStyle name="Commentaire 3 2 2 2 2 2 3 2 4" xfId="60262"/>
    <cellStyle name="Commentaire 3 2 2 2 2 2 3 3" xfId="18073"/>
    <cellStyle name="Commentaire 3 2 2 2 2 2 3 4" xfId="24563"/>
    <cellStyle name="Commentaire 3 2 2 2 2 2 3 5" xfId="37543"/>
    <cellStyle name="Commentaire 3 2 2 2 2 2 3 6" xfId="53772"/>
    <cellStyle name="Commentaire 3 2 2 2 2 2 4" xfId="8335"/>
    <cellStyle name="Commentaire 3 2 2 2 2 2 4 2" xfId="27808"/>
    <cellStyle name="Commentaire 3 2 2 2 2 2 4 3" xfId="40788"/>
    <cellStyle name="Commentaire 3 2 2 2 2 2 4 4" xfId="57017"/>
    <cellStyle name="Commentaire 3 2 2 2 2 2 5" xfId="14828"/>
    <cellStyle name="Commentaire 3 2 2 2 2 2 5 2" xfId="50527"/>
    <cellStyle name="Commentaire 3 2 2 2 2 2 6" xfId="21318"/>
    <cellStyle name="Commentaire 3 2 2 2 2 2 7" xfId="34298"/>
    <cellStyle name="Commentaire 3 2 2 2 2 2 8" xfId="47281"/>
    <cellStyle name="Commentaire 3 2 2 2 2 3" xfId="1296"/>
    <cellStyle name="Commentaire 3 2 2 2 2 3 2" xfId="2963"/>
    <cellStyle name="Commentaire 3 2 2 2 2 3 2 2" xfId="6208"/>
    <cellStyle name="Commentaire 3 2 2 2 2 3 2 2 2" xfId="12740"/>
    <cellStyle name="Commentaire 3 2 2 2 2 3 2 2 2 2" xfId="32213"/>
    <cellStyle name="Commentaire 3 2 2 2 2 3 2 2 2 3" xfId="45193"/>
    <cellStyle name="Commentaire 3 2 2 2 2 3 2 2 2 4" xfId="61422"/>
    <cellStyle name="Commentaire 3 2 2 2 2 3 2 2 3" xfId="19233"/>
    <cellStyle name="Commentaire 3 2 2 2 2 3 2 2 4" xfId="25723"/>
    <cellStyle name="Commentaire 3 2 2 2 2 3 2 2 5" xfId="38703"/>
    <cellStyle name="Commentaire 3 2 2 2 2 3 2 2 6" xfId="54932"/>
    <cellStyle name="Commentaire 3 2 2 2 2 3 2 3" xfId="9495"/>
    <cellStyle name="Commentaire 3 2 2 2 2 3 2 3 2" xfId="28968"/>
    <cellStyle name="Commentaire 3 2 2 2 2 3 2 3 3" xfId="41948"/>
    <cellStyle name="Commentaire 3 2 2 2 2 3 2 3 4" xfId="58177"/>
    <cellStyle name="Commentaire 3 2 2 2 2 3 2 4" xfId="15988"/>
    <cellStyle name="Commentaire 3 2 2 2 2 3 2 4 2" xfId="51687"/>
    <cellStyle name="Commentaire 3 2 2 2 2 3 2 5" xfId="22478"/>
    <cellStyle name="Commentaire 3 2 2 2 2 3 2 6" xfId="35458"/>
    <cellStyle name="Commentaire 3 2 2 2 2 3 2 7" xfId="48441"/>
    <cellStyle name="Commentaire 3 2 2 2 2 3 3" xfId="4585"/>
    <cellStyle name="Commentaire 3 2 2 2 2 3 3 2" xfId="11117"/>
    <cellStyle name="Commentaire 3 2 2 2 2 3 3 2 2" xfId="30590"/>
    <cellStyle name="Commentaire 3 2 2 2 2 3 3 2 3" xfId="43570"/>
    <cellStyle name="Commentaire 3 2 2 2 2 3 3 2 4" xfId="59799"/>
    <cellStyle name="Commentaire 3 2 2 2 2 3 3 3" xfId="17610"/>
    <cellStyle name="Commentaire 3 2 2 2 2 3 3 4" xfId="24100"/>
    <cellStyle name="Commentaire 3 2 2 2 2 3 3 5" xfId="37080"/>
    <cellStyle name="Commentaire 3 2 2 2 2 3 3 6" xfId="53309"/>
    <cellStyle name="Commentaire 3 2 2 2 2 3 4" xfId="7872"/>
    <cellStyle name="Commentaire 3 2 2 2 2 3 4 2" xfId="27345"/>
    <cellStyle name="Commentaire 3 2 2 2 2 3 4 3" xfId="40325"/>
    <cellStyle name="Commentaire 3 2 2 2 2 3 4 4" xfId="56554"/>
    <cellStyle name="Commentaire 3 2 2 2 2 3 5" xfId="14365"/>
    <cellStyle name="Commentaire 3 2 2 2 2 3 5 2" xfId="50064"/>
    <cellStyle name="Commentaire 3 2 2 2 2 3 6" xfId="20855"/>
    <cellStyle name="Commentaire 3 2 2 2 2 3 7" xfId="33835"/>
    <cellStyle name="Commentaire 3 2 2 2 2 3 8" xfId="46818"/>
    <cellStyle name="Commentaire 3 2 2 2 2 4" xfId="2488"/>
    <cellStyle name="Commentaire 3 2 2 2 2 4 2" xfId="5733"/>
    <cellStyle name="Commentaire 3 2 2 2 2 4 2 2" xfId="12265"/>
    <cellStyle name="Commentaire 3 2 2 2 2 4 2 2 2" xfId="31738"/>
    <cellStyle name="Commentaire 3 2 2 2 2 4 2 2 3" xfId="44718"/>
    <cellStyle name="Commentaire 3 2 2 2 2 4 2 2 4" xfId="60947"/>
    <cellStyle name="Commentaire 3 2 2 2 2 4 2 3" xfId="18758"/>
    <cellStyle name="Commentaire 3 2 2 2 2 4 2 4" xfId="25248"/>
    <cellStyle name="Commentaire 3 2 2 2 2 4 2 5" xfId="38228"/>
    <cellStyle name="Commentaire 3 2 2 2 2 4 2 6" xfId="54457"/>
    <cellStyle name="Commentaire 3 2 2 2 2 4 3" xfId="9020"/>
    <cellStyle name="Commentaire 3 2 2 2 2 4 3 2" xfId="28493"/>
    <cellStyle name="Commentaire 3 2 2 2 2 4 3 3" xfId="41473"/>
    <cellStyle name="Commentaire 3 2 2 2 2 4 3 4" xfId="57702"/>
    <cellStyle name="Commentaire 3 2 2 2 2 4 4" xfId="15513"/>
    <cellStyle name="Commentaire 3 2 2 2 2 4 4 2" xfId="51212"/>
    <cellStyle name="Commentaire 3 2 2 2 2 4 5" xfId="22003"/>
    <cellStyle name="Commentaire 3 2 2 2 2 4 6" xfId="34983"/>
    <cellStyle name="Commentaire 3 2 2 2 2 4 7" xfId="47966"/>
    <cellStyle name="Commentaire 3 2 2 2 2 5" xfId="4110"/>
    <cellStyle name="Commentaire 3 2 2 2 2 5 2" xfId="10642"/>
    <cellStyle name="Commentaire 3 2 2 2 2 5 2 2" xfId="30115"/>
    <cellStyle name="Commentaire 3 2 2 2 2 5 2 3" xfId="43095"/>
    <cellStyle name="Commentaire 3 2 2 2 2 5 2 4" xfId="59324"/>
    <cellStyle name="Commentaire 3 2 2 2 2 5 3" xfId="17135"/>
    <cellStyle name="Commentaire 3 2 2 2 2 5 4" xfId="23625"/>
    <cellStyle name="Commentaire 3 2 2 2 2 5 5" xfId="36605"/>
    <cellStyle name="Commentaire 3 2 2 2 2 5 6" xfId="52834"/>
    <cellStyle name="Commentaire 3 2 2 2 2 6" xfId="7397"/>
    <cellStyle name="Commentaire 3 2 2 2 2 6 2" xfId="26870"/>
    <cellStyle name="Commentaire 3 2 2 2 2 6 3" xfId="39850"/>
    <cellStyle name="Commentaire 3 2 2 2 2 6 4" xfId="56079"/>
    <cellStyle name="Commentaire 3 2 2 2 2 7" xfId="13890"/>
    <cellStyle name="Commentaire 3 2 2 2 2 7 2" xfId="49589"/>
    <cellStyle name="Commentaire 3 2 2 2 2 8" xfId="20380"/>
    <cellStyle name="Commentaire 3 2 2 2 2 9" xfId="33360"/>
    <cellStyle name="Commentaire 3 2 2 2 3" xfId="590"/>
    <cellStyle name="Commentaire 3 2 2 2 3 2" xfId="1539"/>
    <cellStyle name="Commentaire 3 2 2 2 3 2 2" xfId="3206"/>
    <cellStyle name="Commentaire 3 2 2 2 3 2 2 2" xfId="6451"/>
    <cellStyle name="Commentaire 3 2 2 2 3 2 2 2 2" xfId="12983"/>
    <cellStyle name="Commentaire 3 2 2 2 3 2 2 2 2 2" xfId="32456"/>
    <cellStyle name="Commentaire 3 2 2 2 3 2 2 2 2 3" xfId="45436"/>
    <cellStyle name="Commentaire 3 2 2 2 3 2 2 2 2 4" xfId="61665"/>
    <cellStyle name="Commentaire 3 2 2 2 3 2 2 2 3" xfId="19476"/>
    <cellStyle name="Commentaire 3 2 2 2 3 2 2 2 4" xfId="25966"/>
    <cellStyle name="Commentaire 3 2 2 2 3 2 2 2 5" xfId="38946"/>
    <cellStyle name="Commentaire 3 2 2 2 3 2 2 2 6" xfId="55175"/>
    <cellStyle name="Commentaire 3 2 2 2 3 2 2 3" xfId="9738"/>
    <cellStyle name="Commentaire 3 2 2 2 3 2 2 3 2" xfId="29211"/>
    <cellStyle name="Commentaire 3 2 2 2 3 2 2 3 3" xfId="42191"/>
    <cellStyle name="Commentaire 3 2 2 2 3 2 2 3 4" xfId="58420"/>
    <cellStyle name="Commentaire 3 2 2 2 3 2 2 4" xfId="16231"/>
    <cellStyle name="Commentaire 3 2 2 2 3 2 2 4 2" xfId="51930"/>
    <cellStyle name="Commentaire 3 2 2 2 3 2 2 5" xfId="22721"/>
    <cellStyle name="Commentaire 3 2 2 2 3 2 2 6" xfId="35701"/>
    <cellStyle name="Commentaire 3 2 2 2 3 2 2 7" xfId="48684"/>
    <cellStyle name="Commentaire 3 2 2 2 3 2 3" xfId="4828"/>
    <cellStyle name="Commentaire 3 2 2 2 3 2 3 2" xfId="11360"/>
    <cellStyle name="Commentaire 3 2 2 2 3 2 3 2 2" xfId="30833"/>
    <cellStyle name="Commentaire 3 2 2 2 3 2 3 2 3" xfId="43813"/>
    <cellStyle name="Commentaire 3 2 2 2 3 2 3 2 4" xfId="60042"/>
    <cellStyle name="Commentaire 3 2 2 2 3 2 3 3" xfId="17853"/>
    <cellStyle name="Commentaire 3 2 2 2 3 2 3 4" xfId="24343"/>
    <cellStyle name="Commentaire 3 2 2 2 3 2 3 5" xfId="37323"/>
    <cellStyle name="Commentaire 3 2 2 2 3 2 3 6" xfId="53552"/>
    <cellStyle name="Commentaire 3 2 2 2 3 2 4" xfId="8115"/>
    <cellStyle name="Commentaire 3 2 2 2 3 2 4 2" xfId="27588"/>
    <cellStyle name="Commentaire 3 2 2 2 3 2 4 3" xfId="40568"/>
    <cellStyle name="Commentaire 3 2 2 2 3 2 4 4" xfId="56797"/>
    <cellStyle name="Commentaire 3 2 2 2 3 2 5" xfId="14608"/>
    <cellStyle name="Commentaire 3 2 2 2 3 2 5 2" xfId="50307"/>
    <cellStyle name="Commentaire 3 2 2 2 3 2 6" xfId="21098"/>
    <cellStyle name="Commentaire 3 2 2 2 3 2 7" xfId="34078"/>
    <cellStyle name="Commentaire 3 2 2 2 3 2 8" xfId="47061"/>
    <cellStyle name="Commentaire 3 2 2 2 3 3" xfId="2258"/>
    <cellStyle name="Commentaire 3 2 2 2 3 3 2" xfId="5503"/>
    <cellStyle name="Commentaire 3 2 2 2 3 3 2 2" xfId="12035"/>
    <cellStyle name="Commentaire 3 2 2 2 3 3 2 2 2" xfId="31508"/>
    <cellStyle name="Commentaire 3 2 2 2 3 3 2 2 3" xfId="44488"/>
    <cellStyle name="Commentaire 3 2 2 2 3 3 2 2 4" xfId="60717"/>
    <cellStyle name="Commentaire 3 2 2 2 3 3 2 3" xfId="18528"/>
    <cellStyle name="Commentaire 3 2 2 2 3 3 2 4" xfId="25018"/>
    <cellStyle name="Commentaire 3 2 2 2 3 3 2 5" xfId="37998"/>
    <cellStyle name="Commentaire 3 2 2 2 3 3 2 6" xfId="54227"/>
    <cellStyle name="Commentaire 3 2 2 2 3 3 3" xfId="8790"/>
    <cellStyle name="Commentaire 3 2 2 2 3 3 3 2" xfId="28263"/>
    <cellStyle name="Commentaire 3 2 2 2 3 3 3 3" xfId="41243"/>
    <cellStyle name="Commentaire 3 2 2 2 3 3 3 4" xfId="57472"/>
    <cellStyle name="Commentaire 3 2 2 2 3 3 4" xfId="15283"/>
    <cellStyle name="Commentaire 3 2 2 2 3 3 4 2" xfId="50982"/>
    <cellStyle name="Commentaire 3 2 2 2 3 3 5" xfId="21773"/>
    <cellStyle name="Commentaire 3 2 2 2 3 3 6" xfId="34753"/>
    <cellStyle name="Commentaire 3 2 2 2 3 3 7" xfId="47736"/>
    <cellStyle name="Commentaire 3 2 2 2 3 4" xfId="3880"/>
    <cellStyle name="Commentaire 3 2 2 2 3 4 2" xfId="10412"/>
    <cellStyle name="Commentaire 3 2 2 2 3 4 2 2" xfId="29885"/>
    <cellStyle name="Commentaire 3 2 2 2 3 4 2 3" xfId="42865"/>
    <cellStyle name="Commentaire 3 2 2 2 3 4 2 4" xfId="59094"/>
    <cellStyle name="Commentaire 3 2 2 2 3 4 3" xfId="16905"/>
    <cellStyle name="Commentaire 3 2 2 2 3 4 4" xfId="23395"/>
    <cellStyle name="Commentaire 3 2 2 2 3 4 5" xfId="36375"/>
    <cellStyle name="Commentaire 3 2 2 2 3 4 6" xfId="52604"/>
    <cellStyle name="Commentaire 3 2 2 2 3 5" xfId="7167"/>
    <cellStyle name="Commentaire 3 2 2 2 3 5 2" xfId="26640"/>
    <cellStyle name="Commentaire 3 2 2 2 3 5 3" xfId="39620"/>
    <cellStyle name="Commentaire 3 2 2 2 3 5 4" xfId="55849"/>
    <cellStyle name="Commentaire 3 2 2 2 3 6" xfId="13660"/>
    <cellStyle name="Commentaire 3 2 2 2 3 6 2" xfId="49359"/>
    <cellStyle name="Commentaire 3 2 2 2 3 7" xfId="20150"/>
    <cellStyle name="Commentaire 3 2 2 2 3 8" xfId="33130"/>
    <cellStyle name="Commentaire 3 2 2 2 3 9" xfId="46113"/>
    <cellStyle name="Commentaire 3 2 2 2 4" xfId="1076"/>
    <cellStyle name="Commentaire 3 2 2 2 4 2" xfId="2743"/>
    <cellStyle name="Commentaire 3 2 2 2 4 2 2" xfId="5988"/>
    <cellStyle name="Commentaire 3 2 2 2 4 2 2 2" xfId="12520"/>
    <cellStyle name="Commentaire 3 2 2 2 4 2 2 2 2" xfId="31993"/>
    <cellStyle name="Commentaire 3 2 2 2 4 2 2 2 3" xfId="44973"/>
    <cellStyle name="Commentaire 3 2 2 2 4 2 2 2 4" xfId="61202"/>
    <cellStyle name="Commentaire 3 2 2 2 4 2 2 3" xfId="19013"/>
    <cellStyle name="Commentaire 3 2 2 2 4 2 2 4" xfId="25503"/>
    <cellStyle name="Commentaire 3 2 2 2 4 2 2 5" xfId="38483"/>
    <cellStyle name="Commentaire 3 2 2 2 4 2 2 6" xfId="54712"/>
    <cellStyle name="Commentaire 3 2 2 2 4 2 3" xfId="9275"/>
    <cellStyle name="Commentaire 3 2 2 2 4 2 3 2" xfId="28748"/>
    <cellStyle name="Commentaire 3 2 2 2 4 2 3 3" xfId="41728"/>
    <cellStyle name="Commentaire 3 2 2 2 4 2 3 4" xfId="57957"/>
    <cellStyle name="Commentaire 3 2 2 2 4 2 4" xfId="15768"/>
    <cellStyle name="Commentaire 3 2 2 2 4 2 4 2" xfId="51467"/>
    <cellStyle name="Commentaire 3 2 2 2 4 2 5" xfId="22258"/>
    <cellStyle name="Commentaire 3 2 2 2 4 2 6" xfId="35238"/>
    <cellStyle name="Commentaire 3 2 2 2 4 2 7" xfId="48221"/>
    <cellStyle name="Commentaire 3 2 2 2 4 3" xfId="4365"/>
    <cellStyle name="Commentaire 3 2 2 2 4 3 2" xfId="10897"/>
    <cellStyle name="Commentaire 3 2 2 2 4 3 2 2" xfId="30370"/>
    <cellStyle name="Commentaire 3 2 2 2 4 3 2 3" xfId="43350"/>
    <cellStyle name="Commentaire 3 2 2 2 4 3 2 4" xfId="59579"/>
    <cellStyle name="Commentaire 3 2 2 2 4 3 3" xfId="17390"/>
    <cellStyle name="Commentaire 3 2 2 2 4 3 4" xfId="23880"/>
    <cellStyle name="Commentaire 3 2 2 2 4 3 5" xfId="36860"/>
    <cellStyle name="Commentaire 3 2 2 2 4 3 6" xfId="53089"/>
    <cellStyle name="Commentaire 3 2 2 2 4 4" xfId="7652"/>
    <cellStyle name="Commentaire 3 2 2 2 4 4 2" xfId="27125"/>
    <cellStyle name="Commentaire 3 2 2 2 4 4 3" xfId="40105"/>
    <cellStyle name="Commentaire 3 2 2 2 4 4 4" xfId="56334"/>
    <cellStyle name="Commentaire 3 2 2 2 4 5" xfId="14145"/>
    <cellStyle name="Commentaire 3 2 2 2 4 5 2" xfId="49844"/>
    <cellStyle name="Commentaire 3 2 2 2 4 6" xfId="20635"/>
    <cellStyle name="Commentaire 3 2 2 2 4 7" xfId="33615"/>
    <cellStyle name="Commentaire 3 2 2 2 4 8" xfId="46598"/>
    <cellStyle name="Commentaire 3 2 2 2 5" xfId="2029"/>
    <cellStyle name="Commentaire 3 2 2 2 5 2" xfId="5274"/>
    <cellStyle name="Commentaire 3 2 2 2 5 2 2" xfId="11806"/>
    <cellStyle name="Commentaire 3 2 2 2 5 2 2 2" xfId="31279"/>
    <cellStyle name="Commentaire 3 2 2 2 5 2 2 3" xfId="44259"/>
    <cellStyle name="Commentaire 3 2 2 2 5 2 2 4" xfId="60488"/>
    <cellStyle name="Commentaire 3 2 2 2 5 2 3" xfId="18299"/>
    <cellStyle name="Commentaire 3 2 2 2 5 2 4" xfId="24789"/>
    <cellStyle name="Commentaire 3 2 2 2 5 2 5" xfId="37769"/>
    <cellStyle name="Commentaire 3 2 2 2 5 2 6" xfId="53998"/>
    <cellStyle name="Commentaire 3 2 2 2 5 3" xfId="8561"/>
    <cellStyle name="Commentaire 3 2 2 2 5 3 2" xfId="28034"/>
    <cellStyle name="Commentaire 3 2 2 2 5 3 3" xfId="41014"/>
    <cellStyle name="Commentaire 3 2 2 2 5 3 4" xfId="57243"/>
    <cellStyle name="Commentaire 3 2 2 2 5 4" xfId="15054"/>
    <cellStyle name="Commentaire 3 2 2 2 5 4 2" xfId="50753"/>
    <cellStyle name="Commentaire 3 2 2 2 5 5" xfId="21544"/>
    <cellStyle name="Commentaire 3 2 2 2 5 6" xfId="34524"/>
    <cellStyle name="Commentaire 3 2 2 2 5 7" xfId="47507"/>
    <cellStyle name="Commentaire 3 2 2 2 6" xfId="3650"/>
    <cellStyle name="Commentaire 3 2 2 2 6 2" xfId="10182"/>
    <cellStyle name="Commentaire 3 2 2 2 6 2 2" xfId="29655"/>
    <cellStyle name="Commentaire 3 2 2 2 6 2 3" xfId="42635"/>
    <cellStyle name="Commentaire 3 2 2 2 6 2 4" xfId="58864"/>
    <cellStyle name="Commentaire 3 2 2 2 6 3" xfId="16675"/>
    <cellStyle name="Commentaire 3 2 2 2 6 4" xfId="23165"/>
    <cellStyle name="Commentaire 3 2 2 2 6 5" xfId="36145"/>
    <cellStyle name="Commentaire 3 2 2 2 6 6" xfId="52374"/>
    <cellStyle name="Commentaire 3 2 2 2 7" xfId="6937"/>
    <cellStyle name="Commentaire 3 2 2 2 7 2" xfId="26410"/>
    <cellStyle name="Commentaire 3 2 2 2 7 3" xfId="39390"/>
    <cellStyle name="Commentaire 3 2 2 2 7 4" xfId="55619"/>
    <cellStyle name="Commentaire 3 2 2 2 8" xfId="13430"/>
    <cellStyle name="Commentaire 3 2 2 2 8 2" xfId="49129"/>
    <cellStyle name="Commentaire 3 2 2 2 9" xfId="19920"/>
    <cellStyle name="Commentaire 3 2 2 3" xfId="732"/>
    <cellStyle name="Commentaire 3 2 2 3 10" xfId="46255"/>
    <cellStyle name="Commentaire 3 2 2 3 2" xfId="1671"/>
    <cellStyle name="Commentaire 3 2 2 3 2 2" xfId="3338"/>
    <cellStyle name="Commentaire 3 2 2 3 2 2 2" xfId="6583"/>
    <cellStyle name="Commentaire 3 2 2 3 2 2 2 2" xfId="13115"/>
    <cellStyle name="Commentaire 3 2 2 3 2 2 2 2 2" xfId="32588"/>
    <cellStyle name="Commentaire 3 2 2 3 2 2 2 2 3" xfId="45568"/>
    <cellStyle name="Commentaire 3 2 2 3 2 2 2 2 4" xfId="61797"/>
    <cellStyle name="Commentaire 3 2 2 3 2 2 2 3" xfId="19608"/>
    <cellStyle name="Commentaire 3 2 2 3 2 2 2 4" xfId="26098"/>
    <cellStyle name="Commentaire 3 2 2 3 2 2 2 5" xfId="39078"/>
    <cellStyle name="Commentaire 3 2 2 3 2 2 2 6" xfId="55307"/>
    <cellStyle name="Commentaire 3 2 2 3 2 2 3" xfId="9870"/>
    <cellStyle name="Commentaire 3 2 2 3 2 2 3 2" xfId="29343"/>
    <cellStyle name="Commentaire 3 2 2 3 2 2 3 3" xfId="42323"/>
    <cellStyle name="Commentaire 3 2 2 3 2 2 3 4" xfId="58552"/>
    <cellStyle name="Commentaire 3 2 2 3 2 2 4" xfId="16363"/>
    <cellStyle name="Commentaire 3 2 2 3 2 2 4 2" xfId="52062"/>
    <cellStyle name="Commentaire 3 2 2 3 2 2 5" xfId="22853"/>
    <cellStyle name="Commentaire 3 2 2 3 2 2 6" xfId="35833"/>
    <cellStyle name="Commentaire 3 2 2 3 2 2 7" xfId="48816"/>
    <cellStyle name="Commentaire 3 2 2 3 2 3" xfId="4960"/>
    <cellStyle name="Commentaire 3 2 2 3 2 3 2" xfId="11492"/>
    <cellStyle name="Commentaire 3 2 2 3 2 3 2 2" xfId="30965"/>
    <cellStyle name="Commentaire 3 2 2 3 2 3 2 3" xfId="43945"/>
    <cellStyle name="Commentaire 3 2 2 3 2 3 2 4" xfId="60174"/>
    <cellStyle name="Commentaire 3 2 2 3 2 3 3" xfId="17985"/>
    <cellStyle name="Commentaire 3 2 2 3 2 3 4" xfId="24475"/>
    <cellStyle name="Commentaire 3 2 2 3 2 3 5" xfId="37455"/>
    <cellStyle name="Commentaire 3 2 2 3 2 3 6" xfId="53684"/>
    <cellStyle name="Commentaire 3 2 2 3 2 4" xfId="8247"/>
    <cellStyle name="Commentaire 3 2 2 3 2 4 2" xfId="27720"/>
    <cellStyle name="Commentaire 3 2 2 3 2 4 3" xfId="40700"/>
    <cellStyle name="Commentaire 3 2 2 3 2 4 4" xfId="56929"/>
    <cellStyle name="Commentaire 3 2 2 3 2 5" xfId="14740"/>
    <cellStyle name="Commentaire 3 2 2 3 2 5 2" xfId="50439"/>
    <cellStyle name="Commentaire 3 2 2 3 2 6" xfId="21230"/>
    <cellStyle name="Commentaire 3 2 2 3 2 7" xfId="34210"/>
    <cellStyle name="Commentaire 3 2 2 3 2 8" xfId="47193"/>
    <cellStyle name="Commentaire 3 2 2 3 3" xfId="1208"/>
    <cellStyle name="Commentaire 3 2 2 3 3 2" xfId="2875"/>
    <cellStyle name="Commentaire 3 2 2 3 3 2 2" xfId="6120"/>
    <cellStyle name="Commentaire 3 2 2 3 3 2 2 2" xfId="12652"/>
    <cellStyle name="Commentaire 3 2 2 3 3 2 2 2 2" xfId="32125"/>
    <cellStyle name="Commentaire 3 2 2 3 3 2 2 2 3" xfId="45105"/>
    <cellStyle name="Commentaire 3 2 2 3 3 2 2 2 4" xfId="61334"/>
    <cellStyle name="Commentaire 3 2 2 3 3 2 2 3" xfId="19145"/>
    <cellStyle name="Commentaire 3 2 2 3 3 2 2 4" xfId="25635"/>
    <cellStyle name="Commentaire 3 2 2 3 3 2 2 5" xfId="38615"/>
    <cellStyle name="Commentaire 3 2 2 3 3 2 2 6" xfId="54844"/>
    <cellStyle name="Commentaire 3 2 2 3 3 2 3" xfId="9407"/>
    <cellStyle name="Commentaire 3 2 2 3 3 2 3 2" xfId="28880"/>
    <cellStyle name="Commentaire 3 2 2 3 3 2 3 3" xfId="41860"/>
    <cellStyle name="Commentaire 3 2 2 3 3 2 3 4" xfId="58089"/>
    <cellStyle name="Commentaire 3 2 2 3 3 2 4" xfId="15900"/>
    <cellStyle name="Commentaire 3 2 2 3 3 2 4 2" xfId="51599"/>
    <cellStyle name="Commentaire 3 2 2 3 3 2 5" xfId="22390"/>
    <cellStyle name="Commentaire 3 2 2 3 3 2 6" xfId="35370"/>
    <cellStyle name="Commentaire 3 2 2 3 3 2 7" xfId="48353"/>
    <cellStyle name="Commentaire 3 2 2 3 3 3" xfId="4497"/>
    <cellStyle name="Commentaire 3 2 2 3 3 3 2" xfId="11029"/>
    <cellStyle name="Commentaire 3 2 2 3 3 3 2 2" xfId="30502"/>
    <cellStyle name="Commentaire 3 2 2 3 3 3 2 3" xfId="43482"/>
    <cellStyle name="Commentaire 3 2 2 3 3 3 2 4" xfId="59711"/>
    <cellStyle name="Commentaire 3 2 2 3 3 3 3" xfId="17522"/>
    <cellStyle name="Commentaire 3 2 2 3 3 3 4" xfId="24012"/>
    <cellStyle name="Commentaire 3 2 2 3 3 3 5" xfId="36992"/>
    <cellStyle name="Commentaire 3 2 2 3 3 3 6" xfId="53221"/>
    <cellStyle name="Commentaire 3 2 2 3 3 4" xfId="7784"/>
    <cellStyle name="Commentaire 3 2 2 3 3 4 2" xfId="27257"/>
    <cellStyle name="Commentaire 3 2 2 3 3 4 3" xfId="40237"/>
    <cellStyle name="Commentaire 3 2 2 3 3 4 4" xfId="56466"/>
    <cellStyle name="Commentaire 3 2 2 3 3 5" xfId="14277"/>
    <cellStyle name="Commentaire 3 2 2 3 3 5 2" xfId="49976"/>
    <cellStyle name="Commentaire 3 2 2 3 3 6" xfId="20767"/>
    <cellStyle name="Commentaire 3 2 2 3 3 7" xfId="33747"/>
    <cellStyle name="Commentaire 3 2 2 3 3 8" xfId="46730"/>
    <cellStyle name="Commentaire 3 2 2 3 4" xfId="2400"/>
    <cellStyle name="Commentaire 3 2 2 3 4 2" xfId="5645"/>
    <cellStyle name="Commentaire 3 2 2 3 4 2 2" xfId="12177"/>
    <cellStyle name="Commentaire 3 2 2 3 4 2 2 2" xfId="31650"/>
    <cellStyle name="Commentaire 3 2 2 3 4 2 2 3" xfId="44630"/>
    <cellStyle name="Commentaire 3 2 2 3 4 2 2 4" xfId="60859"/>
    <cellStyle name="Commentaire 3 2 2 3 4 2 3" xfId="18670"/>
    <cellStyle name="Commentaire 3 2 2 3 4 2 4" xfId="25160"/>
    <cellStyle name="Commentaire 3 2 2 3 4 2 5" xfId="38140"/>
    <cellStyle name="Commentaire 3 2 2 3 4 2 6" xfId="54369"/>
    <cellStyle name="Commentaire 3 2 2 3 4 3" xfId="8932"/>
    <cellStyle name="Commentaire 3 2 2 3 4 3 2" xfId="28405"/>
    <cellStyle name="Commentaire 3 2 2 3 4 3 3" xfId="41385"/>
    <cellStyle name="Commentaire 3 2 2 3 4 3 4" xfId="57614"/>
    <cellStyle name="Commentaire 3 2 2 3 4 4" xfId="15425"/>
    <cellStyle name="Commentaire 3 2 2 3 4 4 2" xfId="51124"/>
    <cellStyle name="Commentaire 3 2 2 3 4 5" xfId="21915"/>
    <cellStyle name="Commentaire 3 2 2 3 4 6" xfId="34895"/>
    <cellStyle name="Commentaire 3 2 2 3 4 7" xfId="47878"/>
    <cellStyle name="Commentaire 3 2 2 3 5" xfId="4022"/>
    <cellStyle name="Commentaire 3 2 2 3 5 2" xfId="10554"/>
    <cellStyle name="Commentaire 3 2 2 3 5 2 2" xfId="30027"/>
    <cellStyle name="Commentaire 3 2 2 3 5 2 3" xfId="43007"/>
    <cellStyle name="Commentaire 3 2 2 3 5 2 4" xfId="59236"/>
    <cellStyle name="Commentaire 3 2 2 3 5 3" xfId="17047"/>
    <cellStyle name="Commentaire 3 2 2 3 5 4" xfId="23537"/>
    <cellStyle name="Commentaire 3 2 2 3 5 5" xfId="36517"/>
    <cellStyle name="Commentaire 3 2 2 3 5 6" xfId="52746"/>
    <cellStyle name="Commentaire 3 2 2 3 6" xfId="7309"/>
    <cellStyle name="Commentaire 3 2 2 3 6 2" xfId="26782"/>
    <cellStyle name="Commentaire 3 2 2 3 6 3" xfId="39762"/>
    <cellStyle name="Commentaire 3 2 2 3 6 4" xfId="55991"/>
    <cellStyle name="Commentaire 3 2 2 3 7" xfId="13802"/>
    <cellStyle name="Commentaire 3 2 2 3 7 2" xfId="49501"/>
    <cellStyle name="Commentaire 3 2 2 3 8" xfId="20292"/>
    <cellStyle name="Commentaire 3 2 2 3 9" xfId="33272"/>
    <cellStyle name="Commentaire 3 2 2 4" xfId="502"/>
    <cellStyle name="Commentaire 3 2 2 4 2" xfId="1451"/>
    <cellStyle name="Commentaire 3 2 2 4 2 2" xfId="3118"/>
    <cellStyle name="Commentaire 3 2 2 4 2 2 2" xfId="6363"/>
    <cellStyle name="Commentaire 3 2 2 4 2 2 2 2" xfId="12895"/>
    <cellStyle name="Commentaire 3 2 2 4 2 2 2 2 2" xfId="32368"/>
    <cellStyle name="Commentaire 3 2 2 4 2 2 2 2 3" xfId="45348"/>
    <cellStyle name="Commentaire 3 2 2 4 2 2 2 2 4" xfId="61577"/>
    <cellStyle name="Commentaire 3 2 2 4 2 2 2 3" xfId="19388"/>
    <cellStyle name="Commentaire 3 2 2 4 2 2 2 4" xfId="25878"/>
    <cellStyle name="Commentaire 3 2 2 4 2 2 2 5" xfId="38858"/>
    <cellStyle name="Commentaire 3 2 2 4 2 2 2 6" xfId="55087"/>
    <cellStyle name="Commentaire 3 2 2 4 2 2 3" xfId="9650"/>
    <cellStyle name="Commentaire 3 2 2 4 2 2 3 2" xfId="29123"/>
    <cellStyle name="Commentaire 3 2 2 4 2 2 3 3" xfId="42103"/>
    <cellStyle name="Commentaire 3 2 2 4 2 2 3 4" xfId="58332"/>
    <cellStyle name="Commentaire 3 2 2 4 2 2 4" xfId="16143"/>
    <cellStyle name="Commentaire 3 2 2 4 2 2 4 2" xfId="51842"/>
    <cellStyle name="Commentaire 3 2 2 4 2 2 5" xfId="22633"/>
    <cellStyle name="Commentaire 3 2 2 4 2 2 6" xfId="35613"/>
    <cellStyle name="Commentaire 3 2 2 4 2 2 7" xfId="48596"/>
    <cellStyle name="Commentaire 3 2 2 4 2 3" xfId="4740"/>
    <cellStyle name="Commentaire 3 2 2 4 2 3 2" xfId="11272"/>
    <cellStyle name="Commentaire 3 2 2 4 2 3 2 2" xfId="30745"/>
    <cellStyle name="Commentaire 3 2 2 4 2 3 2 3" xfId="43725"/>
    <cellStyle name="Commentaire 3 2 2 4 2 3 2 4" xfId="59954"/>
    <cellStyle name="Commentaire 3 2 2 4 2 3 3" xfId="17765"/>
    <cellStyle name="Commentaire 3 2 2 4 2 3 4" xfId="24255"/>
    <cellStyle name="Commentaire 3 2 2 4 2 3 5" xfId="37235"/>
    <cellStyle name="Commentaire 3 2 2 4 2 3 6" xfId="53464"/>
    <cellStyle name="Commentaire 3 2 2 4 2 4" xfId="8027"/>
    <cellStyle name="Commentaire 3 2 2 4 2 4 2" xfId="27500"/>
    <cellStyle name="Commentaire 3 2 2 4 2 4 3" xfId="40480"/>
    <cellStyle name="Commentaire 3 2 2 4 2 4 4" xfId="56709"/>
    <cellStyle name="Commentaire 3 2 2 4 2 5" xfId="14520"/>
    <cellStyle name="Commentaire 3 2 2 4 2 5 2" xfId="50219"/>
    <cellStyle name="Commentaire 3 2 2 4 2 6" xfId="21010"/>
    <cellStyle name="Commentaire 3 2 2 4 2 7" xfId="33990"/>
    <cellStyle name="Commentaire 3 2 2 4 2 8" xfId="46973"/>
    <cellStyle name="Commentaire 3 2 2 4 3" xfId="2170"/>
    <cellStyle name="Commentaire 3 2 2 4 3 2" xfId="5415"/>
    <cellStyle name="Commentaire 3 2 2 4 3 2 2" xfId="11947"/>
    <cellStyle name="Commentaire 3 2 2 4 3 2 2 2" xfId="31420"/>
    <cellStyle name="Commentaire 3 2 2 4 3 2 2 3" xfId="44400"/>
    <cellStyle name="Commentaire 3 2 2 4 3 2 2 4" xfId="60629"/>
    <cellStyle name="Commentaire 3 2 2 4 3 2 3" xfId="18440"/>
    <cellStyle name="Commentaire 3 2 2 4 3 2 4" xfId="24930"/>
    <cellStyle name="Commentaire 3 2 2 4 3 2 5" xfId="37910"/>
    <cellStyle name="Commentaire 3 2 2 4 3 2 6" xfId="54139"/>
    <cellStyle name="Commentaire 3 2 2 4 3 3" xfId="8702"/>
    <cellStyle name="Commentaire 3 2 2 4 3 3 2" xfId="28175"/>
    <cellStyle name="Commentaire 3 2 2 4 3 3 3" xfId="41155"/>
    <cellStyle name="Commentaire 3 2 2 4 3 3 4" xfId="57384"/>
    <cellStyle name="Commentaire 3 2 2 4 3 4" xfId="15195"/>
    <cellStyle name="Commentaire 3 2 2 4 3 4 2" xfId="50894"/>
    <cellStyle name="Commentaire 3 2 2 4 3 5" xfId="21685"/>
    <cellStyle name="Commentaire 3 2 2 4 3 6" xfId="34665"/>
    <cellStyle name="Commentaire 3 2 2 4 3 7" xfId="47648"/>
    <cellStyle name="Commentaire 3 2 2 4 4" xfId="3792"/>
    <cellStyle name="Commentaire 3 2 2 4 4 2" xfId="10324"/>
    <cellStyle name="Commentaire 3 2 2 4 4 2 2" xfId="29797"/>
    <cellStyle name="Commentaire 3 2 2 4 4 2 3" xfId="42777"/>
    <cellStyle name="Commentaire 3 2 2 4 4 2 4" xfId="59006"/>
    <cellStyle name="Commentaire 3 2 2 4 4 3" xfId="16817"/>
    <cellStyle name="Commentaire 3 2 2 4 4 4" xfId="23307"/>
    <cellStyle name="Commentaire 3 2 2 4 4 5" xfId="36287"/>
    <cellStyle name="Commentaire 3 2 2 4 4 6" xfId="52516"/>
    <cellStyle name="Commentaire 3 2 2 4 5" xfId="7079"/>
    <cellStyle name="Commentaire 3 2 2 4 5 2" xfId="26552"/>
    <cellStyle name="Commentaire 3 2 2 4 5 3" xfId="39532"/>
    <cellStyle name="Commentaire 3 2 2 4 5 4" xfId="55761"/>
    <cellStyle name="Commentaire 3 2 2 4 6" xfId="13572"/>
    <cellStyle name="Commentaire 3 2 2 4 6 2" xfId="49271"/>
    <cellStyle name="Commentaire 3 2 2 4 7" xfId="20062"/>
    <cellStyle name="Commentaire 3 2 2 4 8" xfId="33042"/>
    <cellStyle name="Commentaire 3 2 2 4 9" xfId="46025"/>
    <cellStyle name="Commentaire 3 2 2 5" xfId="988"/>
    <cellStyle name="Commentaire 3 2 2 5 2" xfId="2655"/>
    <cellStyle name="Commentaire 3 2 2 5 2 2" xfId="5900"/>
    <cellStyle name="Commentaire 3 2 2 5 2 2 2" xfId="12432"/>
    <cellStyle name="Commentaire 3 2 2 5 2 2 2 2" xfId="31905"/>
    <cellStyle name="Commentaire 3 2 2 5 2 2 2 3" xfId="44885"/>
    <cellStyle name="Commentaire 3 2 2 5 2 2 2 4" xfId="61114"/>
    <cellStyle name="Commentaire 3 2 2 5 2 2 3" xfId="18925"/>
    <cellStyle name="Commentaire 3 2 2 5 2 2 4" xfId="25415"/>
    <cellStyle name="Commentaire 3 2 2 5 2 2 5" xfId="38395"/>
    <cellStyle name="Commentaire 3 2 2 5 2 2 6" xfId="54624"/>
    <cellStyle name="Commentaire 3 2 2 5 2 3" xfId="9187"/>
    <cellStyle name="Commentaire 3 2 2 5 2 3 2" xfId="28660"/>
    <cellStyle name="Commentaire 3 2 2 5 2 3 3" xfId="41640"/>
    <cellStyle name="Commentaire 3 2 2 5 2 3 4" xfId="57869"/>
    <cellStyle name="Commentaire 3 2 2 5 2 4" xfId="15680"/>
    <cellStyle name="Commentaire 3 2 2 5 2 4 2" xfId="51379"/>
    <cellStyle name="Commentaire 3 2 2 5 2 5" xfId="22170"/>
    <cellStyle name="Commentaire 3 2 2 5 2 6" xfId="35150"/>
    <cellStyle name="Commentaire 3 2 2 5 2 7" xfId="48133"/>
    <cellStyle name="Commentaire 3 2 2 5 3" xfId="4277"/>
    <cellStyle name="Commentaire 3 2 2 5 3 2" xfId="10809"/>
    <cellStyle name="Commentaire 3 2 2 5 3 2 2" xfId="30282"/>
    <cellStyle name="Commentaire 3 2 2 5 3 2 3" xfId="43262"/>
    <cellStyle name="Commentaire 3 2 2 5 3 2 4" xfId="59491"/>
    <cellStyle name="Commentaire 3 2 2 5 3 3" xfId="17302"/>
    <cellStyle name="Commentaire 3 2 2 5 3 4" xfId="23792"/>
    <cellStyle name="Commentaire 3 2 2 5 3 5" xfId="36772"/>
    <cellStyle name="Commentaire 3 2 2 5 3 6" xfId="53001"/>
    <cellStyle name="Commentaire 3 2 2 5 4" xfId="7564"/>
    <cellStyle name="Commentaire 3 2 2 5 4 2" xfId="27037"/>
    <cellStyle name="Commentaire 3 2 2 5 4 3" xfId="40017"/>
    <cellStyle name="Commentaire 3 2 2 5 4 4" xfId="56246"/>
    <cellStyle name="Commentaire 3 2 2 5 5" xfId="14057"/>
    <cellStyle name="Commentaire 3 2 2 5 5 2" xfId="49756"/>
    <cellStyle name="Commentaire 3 2 2 5 6" xfId="20547"/>
    <cellStyle name="Commentaire 3 2 2 5 7" xfId="33527"/>
    <cellStyle name="Commentaire 3 2 2 5 8" xfId="46510"/>
    <cellStyle name="Commentaire 3 2 2 6" xfId="1941"/>
    <cellStyle name="Commentaire 3 2 2 6 2" xfId="5186"/>
    <cellStyle name="Commentaire 3 2 2 6 2 2" xfId="11718"/>
    <cellStyle name="Commentaire 3 2 2 6 2 2 2" xfId="31191"/>
    <cellStyle name="Commentaire 3 2 2 6 2 2 3" xfId="44171"/>
    <cellStyle name="Commentaire 3 2 2 6 2 2 4" xfId="60400"/>
    <cellStyle name="Commentaire 3 2 2 6 2 3" xfId="18211"/>
    <cellStyle name="Commentaire 3 2 2 6 2 4" xfId="24701"/>
    <cellStyle name="Commentaire 3 2 2 6 2 5" xfId="37681"/>
    <cellStyle name="Commentaire 3 2 2 6 2 6" xfId="53910"/>
    <cellStyle name="Commentaire 3 2 2 6 3" xfId="8473"/>
    <cellStyle name="Commentaire 3 2 2 6 3 2" xfId="27946"/>
    <cellStyle name="Commentaire 3 2 2 6 3 3" xfId="40926"/>
    <cellStyle name="Commentaire 3 2 2 6 3 4" xfId="57155"/>
    <cellStyle name="Commentaire 3 2 2 6 4" xfId="14966"/>
    <cellStyle name="Commentaire 3 2 2 6 4 2" xfId="50665"/>
    <cellStyle name="Commentaire 3 2 2 6 5" xfId="21456"/>
    <cellStyle name="Commentaire 3 2 2 6 6" xfId="34436"/>
    <cellStyle name="Commentaire 3 2 2 6 7" xfId="47419"/>
    <cellStyle name="Commentaire 3 2 2 7" xfId="3562"/>
    <cellStyle name="Commentaire 3 2 2 7 2" xfId="10094"/>
    <cellStyle name="Commentaire 3 2 2 7 2 2" xfId="29567"/>
    <cellStyle name="Commentaire 3 2 2 7 2 3" xfId="42547"/>
    <cellStyle name="Commentaire 3 2 2 7 2 4" xfId="58776"/>
    <cellStyle name="Commentaire 3 2 2 7 3" xfId="16587"/>
    <cellStyle name="Commentaire 3 2 2 7 4" xfId="23077"/>
    <cellStyle name="Commentaire 3 2 2 7 5" xfId="36057"/>
    <cellStyle name="Commentaire 3 2 2 7 6" xfId="52286"/>
    <cellStyle name="Commentaire 3 2 2 8" xfId="6849"/>
    <cellStyle name="Commentaire 3 2 2 8 2" xfId="26322"/>
    <cellStyle name="Commentaire 3 2 2 8 3" xfId="39302"/>
    <cellStyle name="Commentaire 3 2 2 8 4" xfId="55531"/>
    <cellStyle name="Commentaire 3 2 2 9" xfId="13342"/>
    <cellStyle name="Commentaire 3 2 2 9 2" xfId="49041"/>
    <cellStyle name="Commentaire 3 2 3" xfId="224"/>
    <cellStyle name="Commentaire 3 2 3 10" xfId="32768"/>
    <cellStyle name="Commentaire 3 2 3 11" xfId="45751"/>
    <cellStyle name="Commentaire 3 2 3 2" xfId="688"/>
    <cellStyle name="Commentaire 3 2 3 2 10" xfId="46211"/>
    <cellStyle name="Commentaire 3 2 3 2 2" xfId="1627"/>
    <cellStyle name="Commentaire 3 2 3 2 2 2" xfId="3294"/>
    <cellStyle name="Commentaire 3 2 3 2 2 2 2" xfId="6539"/>
    <cellStyle name="Commentaire 3 2 3 2 2 2 2 2" xfId="13071"/>
    <cellStyle name="Commentaire 3 2 3 2 2 2 2 2 2" xfId="32544"/>
    <cellStyle name="Commentaire 3 2 3 2 2 2 2 2 3" xfId="45524"/>
    <cellStyle name="Commentaire 3 2 3 2 2 2 2 2 4" xfId="61753"/>
    <cellStyle name="Commentaire 3 2 3 2 2 2 2 3" xfId="19564"/>
    <cellStyle name="Commentaire 3 2 3 2 2 2 2 4" xfId="26054"/>
    <cellStyle name="Commentaire 3 2 3 2 2 2 2 5" xfId="39034"/>
    <cellStyle name="Commentaire 3 2 3 2 2 2 2 6" xfId="55263"/>
    <cellStyle name="Commentaire 3 2 3 2 2 2 3" xfId="9826"/>
    <cellStyle name="Commentaire 3 2 3 2 2 2 3 2" xfId="29299"/>
    <cellStyle name="Commentaire 3 2 3 2 2 2 3 3" xfId="42279"/>
    <cellStyle name="Commentaire 3 2 3 2 2 2 3 4" xfId="58508"/>
    <cellStyle name="Commentaire 3 2 3 2 2 2 4" xfId="16319"/>
    <cellStyle name="Commentaire 3 2 3 2 2 2 4 2" xfId="52018"/>
    <cellStyle name="Commentaire 3 2 3 2 2 2 5" xfId="22809"/>
    <cellStyle name="Commentaire 3 2 3 2 2 2 6" xfId="35789"/>
    <cellStyle name="Commentaire 3 2 3 2 2 2 7" xfId="48772"/>
    <cellStyle name="Commentaire 3 2 3 2 2 3" xfId="4916"/>
    <cellStyle name="Commentaire 3 2 3 2 2 3 2" xfId="11448"/>
    <cellStyle name="Commentaire 3 2 3 2 2 3 2 2" xfId="30921"/>
    <cellStyle name="Commentaire 3 2 3 2 2 3 2 3" xfId="43901"/>
    <cellStyle name="Commentaire 3 2 3 2 2 3 2 4" xfId="60130"/>
    <cellStyle name="Commentaire 3 2 3 2 2 3 3" xfId="17941"/>
    <cellStyle name="Commentaire 3 2 3 2 2 3 4" xfId="24431"/>
    <cellStyle name="Commentaire 3 2 3 2 2 3 5" xfId="37411"/>
    <cellStyle name="Commentaire 3 2 3 2 2 3 6" xfId="53640"/>
    <cellStyle name="Commentaire 3 2 3 2 2 4" xfId="8203"/>
    <cellStyle name="Commentaire 3 2 3 2 2 4 2" xfId="27676"/>
    <cellStyle name="Commentaire 3 2 3 2 2 4 3" xfId="40656"/>
    <cellStyle name="Commentaire 3 2 3 2 2 4 4" xfId="56885"/>
    <cellStyle name="Commentaire 3 2 3 2 2 5" xfId="14696"/>
    <cellStyle name="Commentaire 3 2 3 2 2 5 2" xfId="50395"/>
    <cellStyle name="Commentaire 3 2 3 2 2 6" xfId="21186"/>
    <cellStyle name="Commentaire 3 2 3 2 2 7" xfId="34166"/>
    <cellStyle name="Commentaire 3 2 3 2 2 8" xfId="47149"/>
    <cellStyle name="Commentaire 3 2 3 2 3" xfId="1164"/>
    <cellStyle name="Commentaire 3 2 3 2 3 2" xfId="2831"/>
    <cellStyle name="Commentaire 3 2 3 2 3 2 2" xfId="6076"/>
    <cellStyle name="Commentaire 3 2 3 2 3 2 2 2" xfId="12608"/>
    <cellStyle name="Commentaire 3 2 3 2 3 2 2 2 2" xfId="32081"/>
    <cellStyle name="Commentaire 3 2 3 2 3 2 2 2 3" xfId="45061"/>
    <cellStyle name="Commentaire 3 2 3 2 3 2 2 2 4" xfId="61290"/>
    <cellStyle name="Commentaire 3 2 3 2 3 2 2 3" xfId="19101"/>
    <cellStyle name="Commentaire 3 2 3 2 3 2 2 4" xfId="25591"/>
    <cellStyle name="Commentaire 3 2 3 2 3 2 2 5" xfId="38571"/>
    <cellStyle name="Commentaire 3 2 3 2 3 2 2 6" xfId="54800"/>
    <cellStyle name="Commentaire 3 2 3 2 3 2 3" xfId="9363"/>
    <cellStyle name="Commentaire 3 2 3 2 3 2 3 2" xfId="28836"/>
    <cellStyle name="Commentaire 3 2 3 2 3 2 3 3" xfId="41816"/>
    <cellStyle name="Commentaire 3 2 3 2 3 2 3 4" xfId="58045"/>
    <cellStyle name="Commentaire 3 2 3 2 3 2 4" xfId="15856"/>
    <cellStyle name="Commentaire 3 2 3 2 3 2 4 2" xfId="51555"/>
    <cellStyle name="Commentaire 3 2 3 2 3 2 5" xfId="22346"/>
    <cellStyle name="Commentaire 3 2 3 2 3 2 6" xfId="35326"/>
    <cellStyle name="Commentaire 3 2 3 2 3 2 7" xfId="48309"/>
    <cellStyle name="Commentaire 3 2 3 2 3 3" xfId="4453"/>
    <cellStyle name="Commentaire 3 2 3 2 3 3 2" xfId="10985"/>
    <cellStyle name="Commentaire 3 2 3 2 3 3 2 2" xfId="30458"/>
    <cellStyle name="Commentaire 3 2 3 2 3 3 2 3" xfId="43438"/>
    <cellStyle name="Commentaire 3 2 3 2 3 3 2 4" xfId="59667"/>
    <cellStyle name="Commentaire 3 2 3 2 3 3 3" xfId="17478"/>
    <cellStyle name="Commentaire 3 2 3 2 3 3 4" xfId="23968"/>
    <cellStyle name="Commentaire 3 2 3 2 3 3 5" xfId="36948"/>
    <cellStyle name="Commentaire 3 2 3 2 3 3 6" xfId="53177"/>
    <cellStyle name="Commentaire 3 2 3 2 3 4" xfId="7740"/>
    <cellStyle name="Commentaire 3 2 3 2 3 4 2" xfId="27213"/>
    <cellStyle name="Commentaire 3 2 3 2 3 4 3" xfId="40193"/>
    <cellStyle name="Commentaire 3 2 3 2 3 4 4" xfId="56422"/>
    <cellStyle name="Commentaire 3 2 3 2 3 5" xfId="14233"/>
    <cellStyle name="Commentaire 3 2 3 2 3 5 2" xfId="49932"/>
    <cellStyle name="Commentaire 3 2 3 2 3 6" xfId="20723"/>
    <cellStyle name="Commentaire 3 2 3 2 3 7" xfId="33703"/>
    <cellStyle name="Commentaire 3 2 3 2 3 8" xfId="46686"/>
    <cellStyle name="Commentaire 3 2 3 2 4" xfId="2356"/>
    <cellStyle name="Commentaire 3 2 3 2 4 2" xfId="5601"/>
    <cellStyle name="Commentaire 3 2 3 2 4 2 2" xfId="12133"/>
    <cellStyle name="Commentaire 3 2 3 2 4 2 2 2" xfId="31606"/>
    <cellStyle name="Commentaire 3 2 3 2 4 2 2 3" xfId="44586"/>
    <cellStyle name="Commentaire 3 2 3 2 4 2 2 4" xfId="60815"/>
    <cellStyle name="Commentaire 3 2 3 2 4 2 3" xfId="18626"/>
    <cellStyle name="Commentaire 3 2 3 2 4 2 4" xfId="25116"/>
    <cellStyle name="Commentaire 3 2 3 2 4 2 5" xfId="38096"/>
    <cellStyle name="Commentaire 3 2 3 2 4 2 6" xfId="54325"/>
    <cellStyle name="Commentaire 3 2 3 2 4 3" xfId="8888"/>
    <cellStyle name="Commentaire 3 2 3 2 4 3 2" xfId="28361"/>
    <cellStyle name="Commentaire 3 2 3 2 4 3 3" xfId="41341"/>
    <cellStyle name="Commentaire 3 2 3 2 4 3 4" xfId="57570"/>
    <cellStyle name="Commentaire 3 2 3 2 4 4" xfId="15381"/>
    <cellStyle name="Commentaire 3 2 3 2 4 4 2" xfId="51080"/>
    <cellStyle name="Commentaire 3 2 3 2 4 5" xfId="21871"/>
    <cellStyle name="Commentaire 3 2 3 2 4 6" xfId="34851"/>
    <cellStyle name="Commentaire 3 2 3 2 4 7" xfId="47834"/>
    <cellStyle name="Commentaire 3 2 3 2 5" xfId="3978"/>
    <cellStyle name="Commentaire 3 2 3 2 5 2" xfId="10510"/>
    <cellStyle name="Commentaire 3 2 3 2 5 2 2" xfId="29983"/>
    <cellStyle name="Commentaire 3 2 3 2 5 2 3" xfId="42963"/>
    <cellStyle name="Commentaire 3 2 3 2 5 2 4" xfId="59192"/>
    <cellStyle name="Commentaire 3 2 3 2 5 3" xfId="17003"/>
    <cellStyle name="Commentaire 3 2 3 2 5 4" xfId="23493"/>
    <cellStyle name="Commentaire 3 2 3 2 5 5" xfId="36473"/>
    <cellStyle name="Commentaire 3 2 3 2 5 6" xfId="52702"/>
    <cellStyle name="Commentaire 3 2 3 2 6" xfId="7265"/>
    <cellStyle name="Commentaire 3 2 3 2 6 2" xfId="26738"/>
    <cellStyle name="Commentaire 3 2 3 2 6 3" xfId="39718"/>
    <cellStyle name="Commentaire 3 2 3 2 6 4" xfId="55947"/>
    <cellStyle name="Commentaire 3 2 3 2 7" xfId="13758"/>
    <cellStyle name="Commentaire 3 2 3 2 7 2" xfId="49457"/>
    <cellStyle name="Commentaire 3 2 3 2 8" xfId="20248"/>
    <cellStyle name="Commentaire 3 2 3 2 9" xfId="33228"/>
    <cellStyle name="Commentaire 3 2 3 3" xfId="458"/>
    <cellStyle name="Commentaire 3 2 3 3 2" xfId="1407"/>
    <cellStyle name="Commentaire 3 2 3 3 2 2" xfId="3074"/>
    <cellStyle name="Commentaire 3 2 3 3 2 2 2" xfId="6319"/>
    <cellStyle name="Commentaire 3 2 3 3 2 2 2 2" xfId="12851"/>
    <cellStyle name="Commentaire 3 2 3 3 2 2 2 2 2" xfId="32324"/>
    <cellStyle name="Commentaire 3 2 3 3 2 2 2 2 3" xfId="45304"/>
    <cellStyle name="Commentaire 3 2 3 3 2 2 2 2 4" xfId="61533"/>
    <cellStyle name="Commentaire 3 2 3 3 2 2 2 3" xfId="19344"/>
    <cellStyle name="Commentaire 3 2 3 3 2 2 2 4" xfId="25834"/>
    <cellStyle name="Commentaire 3 2 3 3 2 2 2 5" xfId="38814"/>
    <cellStyle name="Commentaire 3 2 3 3 2 2 2 6" xfId="55043"/>
    <cellStyle name="Commentaire 3 2 3 3 2 2 3" xfId="9606"/>
    <cellStyle name="Commentaire 3 2 3 3 2 2 3 2" xfId="29079"/>
    <cellStyle name="Commentaire 3 2 3 3 2 2 3 3" xfId="42059"/>
    <cellStyle name="Commentaire 3 2 3 3 2 2 3 4" xfId="58288"/>
    <cellStyle name="Commentaire 3 2 3 3 2 2 4" xfId="16099"/>
    <cellStyle name="Commentaire 3 2 3 3 2 2 4 2" xfId="51798"/>
    <cellStyle name="Commentaire 3 2 3 3 2 2 5" xfId="22589"/>
    <cellStyle name="Commentaire 3 2 3 3 2 2 6" xfId="35569"/>
    <cellStyle name="Commentaire 3 2 3 3 2 2 7" xfId="48552"/>
    <cellStyle name="Commentaire 3 2 3 3 2 3" xfId="4696"/>
    <cellStyle name="Commentaire 3 2 3 3 2 3 2" xfId="11228"/>
    <cellStyle name="Commentaire 3 2 3 3 2 3 2 2" xfId="30701"/>
    <cellStyle name="Commentaire 3 2 3 3 2 3 2 3" xfId="43681"/>
    <cellStyle name="Commentaire 3 2 3 3 2 3 2 4" xfId="59910"/>
    <cellStyle name="Commentaire 3 2 3 3 2 3 3" xfId="17721"/>
    <cellStyle name="Commentaire 3 2 3 3 2 3 4" xfId="24211"/>
    <cellStyle name="Commentaire 3 2 3 3 2 3 5" xfId="37191"/>
    <cellStyle name="Commentaire 3 2 3 3 2 3 6" xfId="53420"/>
    <cellStyle name="Commentaire 3 2 3 3 2 4" xfId="7983"/>
    <cellStyle name="Commentaire 3 2 3 3 2 4 2" xfId="27456"/>
    <cellStyle name="Commentaire 3 2 3 3 2 4 3" xfId="40436"/>
    <cellStyle name="Commentaire 3 2 3 3 2 4 4" xfId="56665"/>
    <cellStyle name="Commentaire 3 2 3 3 2 5" xfId="14476"/>
    <cellStyle name="Commentaire 3 2 3 3 2 5 2" xfId="50175"/>
    <cellStyle name="Commentaire 3 2 3 3 2 6" xfId="20966"/>
    <cellStyle name="Commentaire 3 2 3 3 2 7" xfId="33946"/>
    <cellStyle name="Commentaire 3 2 3 3 2 8" xfId="46929"/>
    <cellStyle name="Commentaire 3 2 3 3 3" xfId="2126"/>
    <cellStyle name="Commentaire 3 2 3 3 3 2" xfId="5371"/>
    <cellStyle name="Commentaire 3 2 3 3 3 2 2" xfId="11903"/>
    <cellStyle name="Commentaire 3 2 3 3 3 2 2 2" xfId="31376"/>
    <cellStyle name="Commentaire 3 2 3 3 3 2 2 3" xfId="44356"/>
    <cellStyle name="Commentaire 3 2 3 3 3 2 2 4" xfId="60585"/>
    <cellStyle name="Commentaire 3 2 3 3 3 2 3" xfId="18396"/>
    <cellStyle name="Commentaire 3 2 3 3 3 2 4" xfId="24886"/>
    <cellStyle name="Commentaire 3 2 3 3 3 2 5" xfId="37866"/>
    <cellStyle name="Commentaire 3 2 3 3 3 2 6" xfId="54095"/>
    <cellStyle name="Commentaire 3 2 3 3 3 3" xfId="8658"/>
    <cellStyle name="Commentaire 3 2 3 3 3 3 2" xfId="28131"/>
    <cellStyle name="Commentaire 3 2 3 3 3 3 3" xfId="41111"/>
    <cellStyle name="Commentaire 3 2 3 3 3 3 4" xfId="57340"/>
    <cellStyle name="Commentaire 3 2 3 3 3 4" xfId="15151"/>
    <cellStyle name="Commentaire 3 2 3 3 3 4 2" xfId="50850"/>
    <cellStyle name="Commentaire 3 2 3 3 3 5" xfId="21641"/>
    <cellStyle name="Commentaire 3 2 3 3 3 6" xfId="34621"/>
    <cellStyle name="Commentaire 3 2 3 3 3 7" xfId="47604"/>
    <cellStyle name="Commentaire 3 2 3 3 4" xfId="3748"/>
    <cellStyle name="Commentaire 3 2 3 3 4 2" xfId="10280"/>
    <cellStyle name="Commentaire 3 2 3 3 4 2 2" xfId="29753"/>
    <cellStyle name="Commentaire 3 2 3 3 4 2 3" xfId="42733"/>
    <cellStyle name="Commentaire 3 2 3 3 4 2 4" xfId="58962"/>
    <cellStyle name="Commentaire 3 2 3 3 4 3" xfId="16773"/>
    <cellStyle name="Commentaire 3 2 3 3 4 4" xfId="23263"/>
    <cellStyle name="Commentaire 3 2 3 3 4 5" xfId="36243"/>
    <cellStyle name="Commentaire 3 2 3 3 4 6" xfId="52472"/>
    <cellStyle name="Commentaire 3 2 3 3 5" xfId="7035"/>
    <cellStyle name="Commentaire 3 2 3 3 5 2" xfId="26508"/>
    <cellStyle name="Commentaire 3 2 3 3 5 3" xfId="39488"/>
    <cellStyle name="Commentaire 3 2 3 3 5 4" xfId="55717"/>
    <cellStyle name="Commentaire 3 2 3 3 6" xfId="13528"/>
    <cellStyle name="Commentaire 3 2 3 3 6 2" xfId="49227"/>
    <cellStyle name="Commentaire 3 2 3 3 7" xfId="20018"/>
    <cellStyle name="Commentaire 3 2 3 3 8" xfId="32998"/>
    <cellStyle name="Commentaire 3 2 3 3 9" xfId="45981"/>
    <cellStyle name="Commentaire 3 2 3 4" xfId="944"/>
    <cellStyle name="Commentaire 3 2 3 4 2" xfId="2611"/>
    <cellStyle name="Commentaire 3 2 3 4 2 2" xfId="5856"/>
    <cellStyle name="Commentaire 3 2 3 4 2 2 2" xfId="12388"/>
    <cellStyle name="Commentaire 3 2 3 4 2 2 2 2" xfId="31861"/>
    <cellStyle name="Commentaire 3 2 3 4 2 2 2 3" xfId="44841"/>
    <cellStyle name="Commentaire 3 2 3 4 2 2 2 4" xfId="61070"/>
    <cellStyle name="Commentaire 3 2 3 4 2 2 3" xfId="18881"/>
    <cellStyle name="Commentaire 3 2 3 4 2 2 4" xfId="25371"/>
    <cellStyle name="Commentaire 3 2 3 4 2 2 5" xfId="38351"/>
    <cellStyle name="Commentaire 3 2 3 4 2 2 6" xfId="54580"/>
    <cellStyle name="Commentaire 3 2 3 4 2 3" xfId="9143"/>
    <cellStyle name="Commentaire 3 2 3 4 2 3 2" xfId="28616"/>
    <cellStyle name="Commentaire 3 2 3 4 2 3 3" xfId="41596"/>
    <cellStyle name="Commentaire 3 2 3 4 2 3 4" xfId="57825"/>
    <cellStyle name="Commentaire 3 2 3 4 2 4" xfId="15636"/>
    <cellStyle name="Commentaire 3 2 3 4 2 4 2" xfId="51335"/>
    <cellStyle name="Commentaire 3 2 3 4 2 5" xfId="22126"/>
    <cellStyle name="Commentaire 3 2 3 4 2 6" xfId="35106"/>
    <cellStyle name="Commentaire 3 2 3 4 2 7" xfId="48089"/>
    <cellStyle name="Commentaire 3 2 3 4 3" xfId="4233"/>
    <cellStyle name="Commentaire 3 2 3 4 3 2" xfId="10765"/>
    <cellStyle name="Commentaire 3 2 3 4 3 2 2" xfId="30238"/>
    <cellStyle name="Commentaire 3 2 3 4 3 2 3" xfId="43218"/>
    <cellStyle name="Commentaire 3 2 3 4 3 2 4" xfId="59447"/>
    <cellStyle name="Commentaire 3 2 3 4 3 3" xfId="17258"/>
    <cellStyle name="Commentaire 3 2 3 4 3 4" xfId="23748"/>
    <cellStyle name="Commentaire 3 2 3 4 3 5" xfId="36728"/>
    <cellStyle name="Commentaire 3 2 3 4 3 6" xfId="52957"/>
    <cellStyle name="Commentaire 3 2 3 4 4" xfId="7520"/>
    <cellStyle name="Commentaire 3 2 3 4 4 2" xfId="26993"/>
    <cellStyle name="Commentaire 3 2 3 4 4 3" xfId="39973"/>
    <cellStyle name="Commentaire 3 2 3 4 4 4" xfId="56202"/>
    <cellStyle name="Commentaire 3 2 3 4 5" xfId="14013"/>
    <cellStyle name="Commentaire 3 2 3 4 5 2" xfId="49712"/>
    <cellStyle name="Commentaire 3 2 3 4 6" xfId="20503"/>
    <cellStyle name="Commentaire 3 2 3 4 7" xfId="33483"/>
    <cellStyle name="Commentaire 3 2 3 4 8" xfId="46466"/>
    <cellStyle name="Commentaire 3 2 3 5" xfId="1897"/>
    <cellStyle name="Commentaire 3 2 3 5 2" xfId="5142"/>
    <cellStyle name="Commentaire 3 2 3 5 2 2" xfId="11674"/>
    <cellStyle name="Commentaire 3 2 3 5 2 2 2" xfId="31147"/>
    <cellStyle name="Commentaire 3 2 3 5 2 2 3" xfId="44127"/>
    <cellStyle name="Commentaire 3 2 3 5 2 2 4" xfId="60356"/>
    <cellStyle name="Commentaire 3 2 3 5 2 3" xfId="18167"/>
    <cellStyle name="Commentaire 3 2 3 5 2 4" xfId="24657"/>
    <cellStyle name="Commentaire 3 2 3 5 2 5" xfId="37637"/>
    <cellStyle name="Commentaire 3 2 3 5 2 6" xfId="53866"/>
    <cellStyle name="Commentaire 3 2 3 5 3" xfId="8429"/>
    <cellStyle name="Commentaire 3 2 3 5 3 2" xfId="27902"/>
    <cellStyle name="Commentaire 3 2 3 5 3 3" xfId="40882"/>
    <cellStyle name="Commentaire 3 2 3 5 3 4" xfId="57111"/>
    <cellStyle name="Commentaire 3 2 3 5 4" xfId="14922"/>
    <cellStyle name="Commentaire 3 2 3 5 4 2" xfId="50621"/>
    <cellStyle name="Commentaire 3 2 3 5 5" xfId="21412"/>
    <cellStyle name="Commentaire 3 2 3 5 6" xfId="34392"/>
    <cellStyle name="Commentaire 3 2 3 5 7" xfId="47375"/>
    <cellStyle name="Commentaire 3 2 3 6" xfId="3518"/>
    <cellStyle name="Commentaire 3 2 3 6 2" xfId="10050"/>
    <cellStyle name="Commentaire 3 2 3 6 2 2" xfId="29523"/>
    <cellStyle name="Commentaire 3 2 3 6 2 3" xfId="42503"/>
    <cellStyle name="Commentaire 3 2 3 6 2 4" xfId="58732"/>
    <cellStyle name="Commentaire 3 2 3 6 3" xfId="16543"/>
    <cellStyle name="Commentaire 3 2 3 6 4" xfId="23033"/>
    <cellStyle name="Commentaire 3 2 3 6 5" xfId="36013"/>
    <cellStyle name="Commentaire 3 2 3 6 6" xfId="52242"/>
    <cellStyle name="Commentaire 3 2 3 7" xfId="6805"/>
    <cellStyle name="Commentaire 3 2 3 7 2" xfId="26278"/>
    <cellStyle name="Commentaire 3 2 3 7 3" xfId="39258"/>
    <cellStyle name="Commentaire 3 2 3 7 4" xfId="55487"/>
    <cellStyle name="Commentaire 3 2 3 8" xfId="13298"/>
    <cellStyle name="Commentaire 3 2 3 8 2" xfId="48997"/>
    <cellStyle name="Commentaire 3 2 3 9" xfId="19788"/>
    <cellStyle name="Commentaire 3 2 4" xfId="312"/>
    <cellStyle name="Commentaire 3 2 4 10" xfId="32856"/>
    <cellStyle name="Commentaire 3 2 4 11" xfId="45839"/>
    <cellStyle name="Commentaire 3 2 4 2" xfId="776"/>
    <cellStyle name="Commentaire 3 2 4 2 10" xfId="46299"/>
    <cellStyle name="Commentaire 3 2 4 2 2" xfId="1715"/>
    <cellStyle name="Commentaire 3 2 4 2 2 2" xfId="3382"/>
    <cellStyle name="Commentaire 3 2 4 2 2 2 2" xfId="6627"/>
    <cellStyle name="Commentaire 3 2 4 2 2 2 2 2" xfId="13159"/>
    <cellStyle name="Commentaire 3 2 4 2 2 2 2 2 2" xfId="32632"/>
    <cellStyle name="Commentaire 3 2 4 2 2 2 2 2 3" xfId="45612"/>
    <cellStyle name="Commentaire 3 2 4 2 2 2 2 2 4" xfId="61841"/>
    <cellStyle name="Commentaire 3 2 4 2 2 2 2 3" xfId="19652"/>
    <cellStyle name="Commentaire 3 2 4 2 2 2 2 4" xfId="26142"/>
    <cellStyle name="Commentaire 3 2 4 2 2 2 2 5" xfId="39122"/>
    <cellStyle name="Commentaire 3 2 4 2 2 2 2 6" xfId="55351"/>
    <cellStyle name="Commentaire 3 2 4 2 2 2 3" xfId="9914"/>
    <cellStyle name="Commentaire 3 2 4 2 2 2 3 2" xfId="29387"/>
    <cellStyle name="Commentaire 3 2 4 2 2 2 3 3" xfId="42367"/>
    <cellStyle name="Commentaire 3 2 4 2 2 2 3 4" xfId="58596"/>
    <cellStyle name="Commentaire 3 2 4 2 2 2 4" xfId="16407"/>
    <cellStyle name="Commentaire 3 2 4 2 2 2 4 2" xfId="52106"/>
    <cellStyle name="Commentaire 3 2 4 2 2 2 5" xfId="22897"/>
    <cellStyle name="Commentaire 3 2 4 2 2 2 6" xfId="35877"/>
    <cellStyle name="Commentaire 3 2 4 2 2 2 7" xfId="48860"/>
    <cellStyle name="Commentaire 3 2 4 2 2 3" xfId="5004"/>
    <cellStyle name="Commentaire 3 2 4 2 2 3 2" xfId="11536"/>
    <cellStyle name="Commentaire 3 2 4 2 2 3 2 2" xfId="31009"/>
    <cellStyle name="Commentaire 3 2 4 2 2 3 2 3" xfId="43989"/>
    <cellStyle name="Commentaire 3 2 4 2 2 3 2 4" xfId="60218"/>
    <cellStyle name="Commentaire 3 2 4 2 2 3 3" xfId="18029"/>
    <cellStyle name="Commentaire 3 2 4 2 2 3 4" xfId="24519"/>
    <cellStyle name="Commentaire 3 2 4 2 2 3 5" xfId="37499"/>
    <cellStyle name="Commentaire 3 2 4 2 2 3 6" xfId="53728"/>
    <cellStyle name="Commentaire 3 2 4 2 2 4" xfId="8291"/>
    <cellStyle name="Commentaire 3 2 4 2 2 4 2" xfId="27764"/>
    <cellStyle name="Commentaire 3 2 4 2 2 4 3" xfId="40744"/>
    <cellStyle name="Commentaire 3 2 4 2 2 4 4" xfId="56973"/>
    <cellStyle name="Commentaire 3 2 4 2 2 5" xfId="14784"/>
    <cellStyle name="Commentaire 3 2 4 2 2 5 2" xfId="50483"/>
    <cellStyle name="Commentaire 3 2 4 2 2 6" xfId="21274"/>
    <cellStyle name="Commentaire 3 2 4 2 2 7" xfId="34254"/>
    <cellStyle name="Commentaire 3 2 4 2 2 8" xfId="47237"/>
    <cellStyle name="Commentaire 3 2 4 2 3" xfId="1252"/>
    <cellStyle name="Commentaire 3 2 4 2 3 2" xfId="2919"/>
    <cellStyle name="Commentaire 3 2 4 2 3 2 2" xfId="6164"/>
    <cellStyle name="Commentaire 3 2 4 2 3 2 2 2" xfId="12696"/>
    <cellStyle name="Commentaire 3 2 4 2 3 2 2 2 2" xfId="32169"/>
    <cellStyle name="Commentaire 3 2 4 2 3 2 2 2 3" xfId="45149"/>
    <cellStyle name="Commentaire 3 2 4 2 3 2 2 2 4" xfId="61378"/>
    <cellStyle name="Commentaire 3 2 4 2 3 2 2 3" xfId="19189"/>
    <cellStyle name="Commentaire 3 2 4 2 3 2 2 4" xfId="25679"/>
    <cellStyle name="Commentaire 3 2 4 2 3 2 2 5" xfId="38659"/>
    <cellStyle name="Commentaire 3 2 4 2 3 2 2 6" xfId="54888"/>
    <cellStyle name="Commentaire 3 2 4 2 3 2 3" xfId="9451"/>
    <cellStyle name="Commentaire 3 2 4 2 3 2 3 2" xfId="28924"/>
    <cellStyle name="Commentaire 3 2 4 2 3 2 3 3" xfId="41904"/>
    <cellStyle name="Commentaire 3 2 4 2 3 2 3 4" xfId="58133"/>
    <cellStyle name="Commentaire 3 2 4 2 3 2 4" xfId="15944"/>
    <cellStyle name="Commentaire 3 2 4 2 3 2 4 2" xfId="51643"/>
    <cellStyle name="Commentaire 3 2 4 2 3 2 5" xfId="22434"/>
    <cellStyle name="Commentaire 3 2 4 2 3 2 6" xfId="35414"/>
    <cellStyle name="Commentaire 3 2 4 2 3 2 7" xfId="48397"/>
    <cellStyle name="Commentaire 3 2 4 2 3 3" xfId="4541"/>
    <cellStyle name="Commentaire 3 2 4 2 3 3 2" xfId="11073"/>
    <cellStyle name="Commentaire 3 2 4 2 3 3 2 2" xfId="30546"/>
    <cellStyle name="Commentaire 3 2 4 2 3 3 2 3" xfId="43526"/>
    <cellStyle name="Commentaire 3 2 4 2 3 3 2 4" xfId="59755"/>
    <cellStyle name="Commentaire 3 2 4 2 3 3 3" xfId="17566"/>
    <cellStyle name="Commentaire 3 2 4 2 3 3 4" xfId="24056"/>
    <cellStyle name="Commentaire 3 2 4 2 3 3 5" xfId="37036"/>
    <cellStyle name="Commentaire 3 2 4 2 3 3 6" xfId="53265"/>
    <cellStyle name="Commentaire 3 2 4 2 3 4" xfId="7828"/>
    <cellStyle name="Commentaire 3 2 4 2 3 4 2" xfId="27301"/>
    <cellStyle name="Commentaire 3 2 4 2 3 4 3" xfId="40281"/>
    <cellStyle name="Commentaire 3 2 4 2 3 4 4" xfId="56510"/>
    <cellStyle name="Commentaire 3 2 4 2 3 5" xfId="14321"/>
    <cellStyle name="Commentaire 3 2 4 2 3 5 2" xfId="50020"/>
    <cellStyle name="Commentaire 3 2 4 2 3 6" xfId="20811"/>
    <cellStyle name="Commentaire 3 2 4 2 3 7" xfId="33791"/>
    <cellStyle name="Commentaire 3 2 4 2 3 8" xfId="46774"/>
    <cellStyle name="Commentaire 3 2 4 2 4" xfId="2444"/>
    <cellStyle name="Commentaire 3 2 4 2 4 2" xfId="5689"/>
    <cellStyle name="Commentaire 3 2 4 2 4 2 2" xfId="12221"/>
    <cellStyle name="Commentaire 3 2 4 2 4 2 2 2" xfId="31694"/>
    <cellStyle name="Commentaire 3 2 4 2 4 2 2 3" xfId="44674"/>
    <cellStyle name="Commentaire 3 2 4 2 4 2 2 4" xfId="60903"/>
    <cellStyle name="Commentaire 3 2 4 2 4 2 3" xfId="18714"/>
    <cellStyle name="Commentaire 3 2 4 2 4 2 4" xfId="25204"/>
    <cellStyle name="Commentaire 3 2 4 2 4 2 5" xfId="38184"/>
    <cellStyle name="Commentaire 3 2 4 2 4 2 6" xfId="54413"/>
    <cellStyle name="Commentaire 3 2 4 2 4 3" xfId="8976"/>
    <cellStyle name="Commentaire 3 2 4 2 4 3 2" xfId="28449"/>
    <cellStyle name="Commentaire 3 2 4 2 4 3 3" xfId="41429"/>
    <cellStyle name="Commentaire 3 2 4 2 4 3 4" xfId="57658"/>
    <cellStyle name="Commentaire 3 2 4 2 4 4" xfId="15469"/>
    <cellStyle name="Commentaire 3 2 4 2 4 4 2" xfId="51168"/>
    <cellStyle name="Commentaire 3 2 4 2 4 5" xfId="21959"/>
    <cellStyle name="Commentaire 3 2 4 2 4 6" xfId="34939"/>
    <cellStyle name="Commentaire 3 2 4 2 4 7" xfId="47922"/>
    <cellStyle name="Commentaire 3 2 4 2 5" xfId="4066"/>
    <cellStyle name="Commentaire 3 2 4 2 5 2" xfId="10598"/>
    <cellStyle name="Commentaire 3 2 4 2 5 2 2" xfId="30071"/>
    <cellStyle name="Commentaire 3 2 4 2 5 2 3" xfId="43051"/>
    <cellStyle name="Commentaire 3 2 4 2 5 2 4" xfId="59280"/>
    <cellStyle name="Commentaire 3 2 4 2 5 3" xfId="17091"/>
    <cellStyle name="Commentaire 3 2 4 2 5 4" xfId="23581"/>
    <cellStyle name="Commentaire 3 2 4 2 5 5" xfId="36561"/>
    <cellStyle name="Commentaire 3 2 4 2 5 6" xfId="52790"/>
    <cellStyle name="Commentaire 3 2 4 2 6" xfId="7353"/>
    <cellStyle name="Commentaire 3 2 4 2 6 2" xfId="26826"/>
    <cellStyle name="Commentaire 3 2 4 2 6 3" xfId="39806"/>
    <cellStyle name="Commentaire 3 2 4 2 6 4" xfId="56035"/>
    <cellStyle name="Commentaire 3 2 4 2 7" xfId="13846"/>
    <cellStyle name="Commentaire 3 2 4 2 7 2" xfId="49545"/>
    <cellStyle name="Commentaire 3 2 4 2 8" xfId="20336"/>
    <cellStyle name="Commentaire 3 2 4 2 9" xfId="33316"/>
    <cellStyle name="Commentaire 3 2 4 3" xfId="546"/>
    <cellStyle name="Commentaire 3 2 4 3 2" xfId="1495"/>
    <cellStyle name="Commentaire 3 2 4 3 2 2" xfId="3162"/>
    <cellStyle name="Commentaire 3 2 4 3 2 2 2" xfId="6407"/>
    <cellStyle name="Commentaire 3 2 4 3 2 2 2 2" xfId="12939"/>
    <cellStyle name="Commentaire 3 2 4 3 2 2 2 2 2" xfId="32412"/>
    <cellStyle name="Commentaire 3 2 4 3 2 2 2 2 3" xfId="45392"/>
    <cellStyle name="Commentaire 3 2 4 3 2 2 2 2 4" xfId="61621"/>
    <cellStyle name="Commentaire 3 2 4 3 2 2 2 3" xfId="19432"/>
    <cellStyle name="Commentaire 3 2 4 3 2 2 2 4" xfId="25922"/>
    <cellStyle name="Commentaire 3 2 4 3 2 2 2 5" xfId="38902"/>
    <cellStyle name="Commentaire 3 2 4 3 2 2 2 6" xfId="55131"/>
    <cellStyle name="Commentaire 3 2 4 3 2 2 3" xfId="9694"/>
    <cellStyle name="Commentaire 3 2 4 3 2 2 3 2" xfId="29167"/>
    <cellStyle name="Commentaire 3 2 4 3 2 2 3 3" xfId="42147"/>
    <cellStyle name="Commentaire 3 2 4 3 2 2 3 4" xfId="58376"/>
    <cellStyle name="Commentaire 3 2 4 3 2 2 4" xfId="16187"/>
    <cellStyle name="Commentaire 3 2 4 3 2 2 4 2" xfId="51886"/>
    <cellStyle name="Commentaire 3 2 4 3 2 2 5" xfId="22677"/>
    <cellStyle name="Commentaire 3 2 4 3 2 2 6" xfId="35657"/>
    <cellStyle name="Commentaire 3 2 4 3 2 2 7" xfId="48640"/>
    <cellStyle name="Commentaire 3 2 4 3 2 3" xfId="4784"/>
    <cellStyle name="Commentaire 3 2 4 3 2 3 2" xfId="11316"/>
    <cellStyle name="Commentaire 3 2 4 3 2 3 2 2" xfId="30789"/>
    <cellStyle name="Commentaire 3 2 4 3 2 3 2 3" xfId="43769"/>
    <cellStyle name="Commentaire 3 2 4 3 2 3 2 4" xfId="59998"/>
    <cellStyle name="Commentaire 3 2 4 3 2 3 3" xfId="17809"/>
    <cellStyle name="Commentaire 3 2 4 3 2 3 4" xfId="24299"/>
    <cellStyle name="Commentaire 3 2 4 3 2 3 5" xfId="37279"/>
    <cellStyle name="Commentaire 3 2 4 3 2 3 6" xfId="53508"/>
    <cellStyle name="Commentaire 3 2 4 3 2 4" xfId="8071"/>
    <cellStyle name="Commentaire 3 2 4 3 2 4 2" xfId="27544"/>
    <cellStyle name="Commentaire 3 2 4 3 2 4 3" xfId="40524"/>
    <cellStyle name="Commentaire 3 2 4 3 2 4 4" xfId="56753"/>
    <cellStyle name="Commentaire 3 2 4 3 2 5" xfId="14564"/>
    <cellStyle name="Commentaire 3 2 4 3 2 5 2" xfId="50263"/>
    <cellStyle name="Commentaire 3 2 4 3 2 6" xfId="21054"/>
    <cellStyle name="Commentaire 3 2 4 3 2 7" xfId="34034"/>
    <cellStyle name="Commentaire 3 2 4 3 2 8" xfId="47017"/>
    <cellStyle name="Commentaire 3 2 4 3 3" xfId="2214"/>
    <cellStyle name="Commentaire 3 2 4 3 3 2" xfId="5459"/>
    <cellStyle name="Commentaire 3 2 4 3 3 2 2" xfId="11991"/>
    <cellStyle name="Commentaire 3 2 4 3 3 2 2 2" xfId="31464"/>
    <cellStyle name="Commentaire 3 2 4 3 3 2 2 3" xfId="44444"/>
    <cellStyle name="Commentaire 3 2 4 3 3 2 2 4" xfId="60673"/>
    <cellStyle name="Commentaire 3 2 4 3 3 2 3" xfId="18484"/>
    <cellStyle name="Commentaire 3 2 4 3 3 2 4" xfId="24974"/>
    <cellStyle name="Commentaire 3 2 4 3 3 2 5" xfId="37954"/>
    <cellStyle name="Commentaire 3 2 4 3 3 2 6" xfId="54183"/>
    <cellStyle name="Commentaire 3 2 4 3 3 3" xfId="8746"/>
    <cellStyle name="Commentaire 3 2 4 3 3 3 2" xfId="28219"/>
    <cellStyle name="Commentaire 3 2 4 3 3 3 3" xfId="41199"/>
    <cellStyle name="Commentaire 3 2 4 3 3 3 4" xfId="57428"/>
    <cellStyle name="Commentaire 3 2 4 3 3 4" xfId="15239"/>
    <cellStyle name="Commentaire 3 2 4 3 3 4 2" xfId="50938"/>
    <cellStyle name="Commentaire 3 2 4 3 3 5" xfId="21729"/>
    <cellStyle name="Commentaire 3 2 4 3 3 6" xfId="34709"/>
    <cellStyle name="Commentaire 3 2 4 3 3 7" xfId="47692"/>
    <cellStyle name="Commentaire 3 2 4 3 4" xfId="3836"/>
    <cellStyle name="Commentaire 3 2 4 3 4 2" xfId="10368"/>
    <cellStyle name="Commentaire 3 2 4 3 4 2 2" xfId="29841"/>
    <cellStyle name="Commentaire 3 2 4 3 4 2 3" xfId="42821"/>
    <cellStyle name="Commentaire 3 2 4 3 4 2 4" xfId="59050"/>
    <cellStyle name="Commentaire 3 2 4 3 4 3" xfId="16861"/>
    <cellStyle name="Commentaire 3 2 4 3 4 4" xfId="23351"/>
    <cellStyle name="Commentaire 3 2 4 3 4 5" xfId="36331"/>
    <cellStyle name="Commentaire 3 2 4 3 4 6" xfId="52560"/>
    <cellStyle name="Commentaire 3 2 4 3 5" xfId="7123"/>
    <cellStyle name="Commentaire 3 2 4 3 5 2" xfId="26596"/>
    <cellStyle name="Commentaire 3 2 4 3 5 3" xfId="39576"/>
    <cellStyle name="Commentaire 3 2 4 3 5 4" xfId="55805"/>
    <cellStyle name="Commentaire 3 2 4 3 6" xfId="13616"/>
    <cellStyle name="Commentaire 3 2 4 3 6 2" xfId="49315"/>
    <cellStyle name="Commentaire 3 2 4 3 7" xfId="20106"/>
    <cellStyle name="Commentaire 3 2 4 3 8" xfId="33086"/>
    <cellStyle name="Commentaire 3 2 4 3 9" xfId="46069"/>
    <cellStyle name="Commentaire 3 2 4 4" xfId="1032"/>
    <cellStyle name="Commentaire 3 2 4 4 2" xfId="2699"/>
    <cellStyle name="Commentaire 3 2 4 4 2 2" xfId="5944"/>
    <cellStyle name="Commentaire 3 2 4 4 2 2 2" xfId="12476"/>
    <cellStyle name="Commentaire 3 2 4 4 2 2 2 2" xfId="31949"/>
    <cellStyle name="Commentaire 3 2 4 4 2 2 2 3" xfId="44929"/>
    <cellStyle name="Commentaire 3 2 4 4 2 2 2 4" xfId="61158"/>
    <cellStyle name="Commentaire 3 2 4 4 2 2 3" xfId="18969"/>
    <cellStyle name="Commentaire 3 2 4 4 2 2 4" xfId="25459"/>
    <cellStyle name="Commentaire 3 2 4 4 2 2 5" xfId="38439"/>
    <cellStyle name="Commentaire 3 2 4 4 2 2 6" xfId="54668"/>
    <cellStyle name="Commentaire 3 2 4 4 2 3" xfId="9231"/>
    <cellStyle name="Commentaire 3 2 4 4 2 3 2" xfId="28704"/>
    <cellStyle name="Commentaire 3 2 4 4 2 3 3" xfId="41684"/>
    <cellStyle name="Commentaire 3 2 4 4 2 3 4" xfId="57913"/>
    <cellStyle name="Commentaire 3 2 4 4 2 4" xfId="15724"/>
    <cellStyle name="Commentaire 3 2 4 4 2 4 2" xfId="51423"/>
    <cellStyle name="Commentaire 3 2 4 4 2 5" xfId="22214"/>
    <cellStyle name="Commentaire 3 2 4 4 2 6" xfId="35194"/>
    <cellStyle name="Commentaire 3 2 4 4 2 7" xfId="48177"/>
    <cellStyle name="Commentaire 3 2 4 4 3" xfId="4321"/>
    <cellStyle name="Commentaire 3 2 4 4 3 2" xfId="10853"/>
    <cellStyle name="Commentaire 3 2 4 4 3 2 2" xfId="30326"/>
    <cellStyle name="Commentaire 3 2 4 4 3 2 3" xfId="43306"/>
    <cellStyle name="Commentaire 3 2 4 4 3 2 4" xfId="59535"/>
    <cellStyle name="Commentaire 3 2 4 4 3 3" xfId="17346"/>
    <cellStyle name="Commentaire 3 2 4 4 3 4" xfId="23836"/>
    <cellStyle name="Commentaire 3 2 4 4 3 5" xfId="36816"/>
    <cellStyle name="Commentaire 3 2 4 4 3 6" xfId="53045"/>
    <cellStyle name="Commentaire 3 2 4 4 4" xfId="7608"/>
    <cellStyle name="Commentaire 3 2 4 4 4 2" xfId="27081"/>
    <cellStyle name="Commentaire 3 2 4 4 4 3" xfId="40061"/>
    <cellStyle name="Commentaire 3 2 4 4 4 4" xfId="56290"/>
    <cellStyle name="Commentaire 3 2 4 4 5" xfId="14101"/>
    <cellStyle name="Commentaire 3 2 4 4 5 2" xfId="49800"/>
    <cellStyle name="Commentaire 3 2 4 4 6" xfId="20591"/>
    <cellStyle name="Commentaire 3 2 4 4 7" xfId="33571"/>
    <cellStyle name="Commentaire 3 2 4 4 8" xfId="46554"/>
    <cellStyle name="Commentaire 3 2 4 5" xfId="1985"/>
    <cellStyle name="Commentaire 3 2 4 5 2" xfId="5230"/>
    <cellStyle name="Commentaire 3 2 4 5 2 2" xfId="11762"/>
    <cellStyle name="Commentaire 3 2 4 5 2 2 2" xfId="31235"/>
    <cellStyle name="Commentaire 3 2 4 5 2 2 3" xfId="44215"/>
    <cellStyle name="Commentaire 3 2 4 5 2 2 4" xfId="60444"/>
    <cellStyle name="Commentaire 3 2 4 5 2 3" xfId="18255"/>
    <cellStyle name="Commentaire 3 2 4 5 2 4" xfId="24745"/>
    <cellStyle name="Commentaire 3 2 4 5 2 5" xfId="37725"/>
    <cellStyle name="Commentaire 3 2 4 5 2 6" xfId="53954"/>
    <cellStyle name="Commentaire 3 2 4 5 3" xfId="8517"/>
    <cellStyle name="Commentaire 3 2 4 5 3 2" xfId="27990"/>
    <cellStyle name="Commentaire 3 2 4 5 3 3" xfId="40970"/>
    <cellStyle name="Commentaire 3 2 4 5 3 4" xfId="57199"/>
    <cellStyle name="Commentaire 3 2 4 5 4" xfId="15010"/>
    <cellStyle name="Commentaire 3 2 4 5 4 2" xfId="50709"/>
    <cellStyle name="Commentaire 3 2 4 5 5" xfId="21500"/>
    <cellStyle name="Commentaire 3 2 4 5 6" xfId="34480"/>
    <cellStyle name="Commentaire 3 2 4 5 7" xfId="47463"/>
    <cellStyle name="Commentaire 3 2 4 6" xfId="3606"/>
    <cellStyle name="Commentaire 3 2 4 6 2" xfId="10138"/>
    <cellStyle name="Commentaire 3 2 4 6 2 2" xfId="29611"/>
    <cellStyle name="Commentaire 3 2 4 6 2 3" xfId="42591"/>
    <cellStyle name="Commentaire 3 2 4 6 2 4" xfId="58820"/>
    <cellStyle name="Commentaire 3 2 4 6 3" xfId="16631"/>
    <cellStyle name="Commentaire 3 2 4 6 4" xfId="23121"/>
    <cellStyle name="Commentaire 3 2 4 6 5" xfId="36101"/>
    <cellStyle name="Commentaire 3 2 4 6 6" xfId="52330"/>
    <cellStyle name="Commentaire 3 2 4 7" xfId="6893"/>
    <cellStyle name="Commentaire 3 2 4 7 2" xfId="26366"/>
    <cellStyle name="Commentaire 3 2 4 7 3" xfId="39346"/>
    <cellStyle name="Commentaire 3 2 4 7 4" xfId="55575"/>
    <cellStyle name="Commentaire 3 2 4 8" xfId="13386"/>
    <cellStyle name="Commentaire 3 2 4 8 2" xfId="49085"/>
    <cellStyle name="Commentaire 3 2 4 9" xfId="19876"/>
    <cellStyle name="Commentaire 3 2 5" xfId="644"/>
    <cellStyle name="Commentaire 3 2 5 10" xfId="46167"/>
    <cellStyle name="Commentaire 3 2 5 2" xfId="1583"/>
    <cellStyle name="Commentaire 3 2 5 2 2" xfId="3250"/>
    <cellStyle name="Commentaire 3 2 5 2 2 2" xfId="6495"/>
    <cellStyle name="Commentaire 3 2 5 2 2 2 2" xfId="13027"/>
    <cellStyle name="Commentaire 3 2 5 2 2 2 2 2" xfId="32500"/>
    <cellStyle name="Commentaire 3 2 5 2 2 2 2 3" xfId="45480"/>
    <cellStyle name="Commentaire 3 2 5 2 2 2 2 4" xfId="61709"/>
    <cellStyle name="Commentaire 3 2 5 2 2 2 3" xfId="19520"/>
    <cellStyle name="Commentaire 3 2 5 2 2 2 4" xfId="26010"/>
    <cellStyle name="Commentaire 3 2 5 2 2 2 5" xfId="38990"/>
    <cellStyle name="Commentaire 3 2 5 2 2 2 6" xfId="55219"/>
    <cellStyle name="Commentaire 3 2 5 2 2 3" xfId="9782"/>
    <cellStyle name="Commentaire 3 2 5 2 2 3 2" xfId="29255"/>
    <cellStyle name="Commentaire 3 2 5 2 2 3 3" xfId="42235"/>
    <cellStyle name="Commentaire 3 2 5 2 2 3 4" xfId="58464"/>
    <cellStyle name="Commentaire 3 2 5 2 2 4" xfId="16275"/>
    <cellStyle name="Commentaire 3 2 5 2 2 4 2" xfId="51974"/>
    <cellStyle name="Commentaire 3 2 5 2 2 5" xfId="22765"/>
    <cellStyle name="Commentaire 3 2 5 2 2 6" xfId="35745"/>
    <cellStyle name="Commentaire 3 2 5 2 2 7" xfId="48728"/>
    <cellStyle name="Commentaire 3 2 5 2 3" xfId="4872"/>
    <cellStyle name="Commentaire 3 2 5 2 3 2" xfId="11404"/>
    <cellStyle name="Commentaire 3 2 5 2 3 2 2" xfId="30877"/>
    <cellStyle name="Commentaire 3 2 5 2 3 2 3" xfId="43857"/>
    <cellStyle name="Commentaire 3 2 5 2 3 2 4" xfId="60086"/>
    <cellStyle name="Commentaire 3 2 5 2 3 3" xfId="17897"/>
    <cellStyle name="Commentaire 3 2 5 2 3 4" xfId="24387"/>
    <cellStyle name="Commentaire 3 2 5 2 3 5" xfId="37367"/>
    <cellStyle name="Commentaire 3 2 5 2 3 6" xfId="53596"/>
    <cellStyle name="Commentaire 3 2 5 2 4" xfId="8159"/>
    <cellStyle name="Commentaire 3 2 5 2 4 2" xfId="27632"/>
    <cellStyle name="Commentaire 3 2 5 2 4 3" xfId="40612"/>
    <cellStyle name="Commentaire 3 2 5 2 4 4" xfId="56841"/>
    <cellStyle name="Commentaire 3 2 5 2 5" xfId="14652"/>
    <cellStyle name="Commentaire 3 2 5 2 5 2" xfId="50351"/>
    <cellStyle name="Commentaire 3 2 5 2 6" xfId="21142"/>
    <cellStyle name="Commentaire 3 2 5 2 7" xfId="34122"/>
    <cellStyle name="Commentaire 3 2 5 2 8" xfId="47105"/>
    <cellStyle name="Commentaire 3 2 5 3" xfId="1120"/>
    <cellStyle name="Commentaire 3 2 5 3 2" xfId="2787"/>
    <cellStyle name="Commentaire 3 2 5 3 2 2" xfId="6032"/>
    <cellStyle name="Commentaire 3 2 5 3 2 2 2" xfId="12564"/>
    <cellStyle name="Commentaire 3 2 5 3 2 2 2 2" xfId="32037"/>
    <cellStyle name="Commentaire 3 2 5 3 2 2 2 3" xfId="45017"/>
    <cellStyle name="Commentaire 3 2 5 3 2 2 2 4" xfId="61246"/>
    <cellStyle name="Commentaire 3 2 5 3 2 2 3" xfId="19057"/>
    <cellStyle name="Commentaire 3 2 5 3 2 2 4" xfId="25547"/>
    <cellStyle name="Commentaire 3 2 5 3 2 2 5" xfId="38527"/>
    <cellStyle name="Commentaire 3 2 5 3 2 2 6" xfId="54756"/>
    <cellStyle name="Commentaire 3 2 5 3 2 3" xfId="9319"/>
    <cellStyle name="Commentaire 3 2 5 3 2 3 2" xfId="28792"/>
    <cellStyle name="Commentaire 3 2 5 3 2 3 3" xfId="41772"/>
    <cellStyle name="Commentaire 3 2 5 3 2 3 4" xfId="58001"/>
    <cellStyle name="Commentaire 3 2 5 3 2 4" xfId="15812"/>
    <cellStyle name="Commentaire 3 2 5 3 2 4 2" xfId="51511"/>
    <cellStyle name="Commentaire 3 2 5 3 2 5" xfId="22302"/>
    <cellStyle name="Commentaire 3 2 5 3 2 6" xfId="35282"/>
    <cellStyle name="Commentaire 3 2 5 3 2 7" xfId="48265"/>
    <cellStyle name="Commentaire 3 2 5 3 3" xfId="4409"/>
    <cellStyle name="Commentaire 3 2 5 3 3 2" xfId="10941"/>
    <cellStyle name="Commentaire 3 2 5 3 3 2 2" xfId="30414"/>
    <cellStyle name="Commentaire 3 2 5 3 3 2 3" xfId="43394"/>
    <cellStyle name="Commentaire 3 2 5 3 3 2 4" xfId="59623"/>
    <cellStyle name="Commentaire 3 2 5 3 3 3" xfId="17434"/>
    <cellStyle name="Commentaire 3 2 5 3 3 4" xfId="23924"/>
    <cellStyle name="Commentaire 3 2 5 3 3 5" xfId="36904"/>
    <cellStyle name="Commentaire 3 2 5 3 3 6" xfId="53133"/>
    <cellStyle name="Commentaire 3 2 5 3 4" xfId="7696"/>
    <cellStyle name="Commentaire 3 2 5 3 4 2" xfId="27169"/>
    <cellStyle name="Commentaire 3 2 5 3 4 3" xfId="40149"/>
    <cellStyle name="Commentaire 3 2 5 3 4 4" xfId="56378"/>
    <cellStyle name="Commentaire 3 2 5 3 5" xfId="14189"/>
    <cellStyle name="Commentaire 3 2 5 3 5 2" xfId="49888"/>
    <cellStyle name="Commentaire 3 2 5 3 6" xfId="20679"/>
    <cellStyle name="Commentaire 3 2 5 3 7" xfId="33659"/>
    <cellStyle name="Commentaire 3 2 5 3 8" xfId="46642"/>
    <cellStyle name="Commentaire 3 2 5 4" xfId="2312"/>
    <cellStyle name="Commentaire 3 2 5 4 2" xfId="5557"/>
    <cellStyle name="Commentaire 3 2 5 4 2 2" xfId="12089"/>
    <cellStyle name="Commentaire 3 2 5 4 2 2 2" xfId="31562"/>
    <cellStyle name="Commentaire 3 2 5 4 2 2 3" xfId="44542"/>
    <cellStyle name="Commentaire 3 2 5 4 2 2 4" xfId="60771"/>
    <cellStyle name="Commentaire 3 2 5 4 2 3" xfId="18582"/>
    <cellStyle name="Commentaire 3 2 5 4 2 4" xfId="25072"/>
    <cellStyle name="Commentaire 3 2 5 4 2 5" xfId="38052"/>
    <cellStyle name="Commentaire 3 2 5 4 2 6" xfId="54281"/>
    <cellStyle name="Commentaire 3 2 5 4 3" xfId="8844"/>
    <cellStyle name="Commentaire 3 2 5 4 3 2" xfId="28317"/>
    <cellStyle name="Commentaire 3 2 5 4 3 3" xfId="41297"/>
    <cellStyle name="Commentaire 3 2 5 4 3 4" xfId="57526"/>
    <cellStyle name="Commentaire 3 2 5 4 4" xfId="15337"/>
    <cellStyle name="Commentaire 3 2 5 4 4 2" xfId="51036"/>
    <cellStyle name="Commentaire 3 2 5 4 5" xfId="21827"/>
    <cellStyle name="Commentaire 3 2 5 4 6" xfId="34807"/>
    <cellStyle name="Commentaire 3 2 5 4 7" xfId="47790"/>
    <cellStyle name="Commentaire 3 2 5 5" xfId="3934"/>
    <cellStyle name="Commentaire 3 2 5 5 2" xfId="10466"/>
    <cellStyle name="Commentaire 3 2 5 5 2 2" xfId="29939"/>
    <cellStyle name="Commentaire 3 2 5 5 2 3" xfId="42919"/>
    <cellStyle name="Commentaire 3 2 5 5 2 4" xfId="59148"/>
    <cellStyle name="Commentaire 3 2 5 5 3" xfId="16959"/>
    <cellStyle name="Commentaire 3 2 5 5 4" xfId="23449"/>
    <cellStyle name="Commentaire 3 2 5 5 5" xfId="36429"/>
    <cellStyle name="Commentaire 3 2 5 5 6" xfId="52658"/>
    <cellStyle name="Commentaire 3 2 5 6" xfId="7221"/>
    <cellStyle name="Commentaire 3 2 5 6 2" xfId="26694"/>
    <cellStyle name="Commentaire 3 2 5 6 3" xfId="39674"/>
    <cellStyle name="Commentaire 3 2 5 6 4" xfId="55903"/>
    <cellStyle name="Commentaire 3 2 5 7" xfId="13714"/>
    <cellStyle name="Commentaire 3 2 5 7 2" xfId="49413"/>
    <cellStyle name="Commentaire 3 2 5 8" xfId="20204"/>
    <cellStyle name="Commentaire 3 2 5 9" xfId="33184"/>
    <cellStyle name="Commentaire 3 2 6" xfId="414"/>
    <cellStyle name="Commentaire 3 2 6 2" xfId="1363"/>
    <cellStyle name="Commentaire 3 2 6 2 2" xfId="3030"/>
    <cellStyle name="Commentaire 3 2 6 2 2 2" xfId="6275"/>
    <cellStyle name="Commentaire 3 2 6 2 2 2 2" xfId="12807"/>
    <cellStyle name="Commentaire 3 2 6 2 2 2 2 2" xfId="32280"/>
    <cellStyle name="Commentaire 3 2 6 2 2 2 2 3" xfId="45260"/>
    <cellStyle name="Commentaire 3 2 6 2 2 2 2 4" xfId="61489"/>
    <cellStyle name="Commentaire 3 2 6 2 2 2 3" xfId="19300"/>
    <cellStyle name="Commentaire 3 2 6 2 2 2 4" xfId="25790"/>
    <cellStyle name="Commentaire 3 2 6 2 2 2 5" xfId="38770"/>
    <cellStyle name="Commentaire 3 2 6 2 2 2 6" xfId="54999"/>
    <cellStyle name="Commentaire 3 2 6 2 2 3" xfId="9562"/>
    <cellStyle name="Commentaire 3 2 6 2 2 3 2" xfId="29035"/>
    <cellStyle name="Commentaire 3 2 6 2 2 3 3" xfId="42015"/>
    <cellStyle name="Commentaire 3 2 6 2 2 3 4" xfId="58244"/>
    <cellStyle name="Commentaire 3 2 6 2 2 4" xfId="16055"/>
    <cellStyle name="Commentaire 3 2 6 2 2 4 2" xfId="51754"/>
    <cellStyle name="Commentaire 3 2 6 2 2 5" xfId="22545"/>
    <cellStyle name="Commentaire 3 2 6 2 2 6" xfId="35525"/>
    <cellStyle name="Commentaire 3 2 6 2 2 7" xfId="48508"/>
    <cellStyle name="Commentaire 3 2 6 2 3" xfId="4652"/>
    <cellStyle name="Commentaire 3 2 6 2 3 2" xfId="11184"/>
    <cellStyle name="Commentaire 3 2 6 2 3 2 2" xfId="30657"/>
    <cellStyle name="Commentaire 3 2 6 2 3 2 3" xfId="43637"/>
    <cellStyle name="Commentaire 3 2 6 2 3 2 4" xfId="59866"/>
    <cellStyle name="Commentaire 3 2 6 2 3 3" xfId="17677"/>
    <cellStyle name="Commentaire 3 2 6 2 3 4" xfId="24167"/>
    <cellStyle name="Commentaire 3 2 6 2 3 5" xfId="37147"/>
    <cellStyle name="Commentaire 3 2 6 2 3 6" xfId="53376"/>
    <cellStyle name="Commentaire 3 2 6 2 4" xfId="7939"/>
    <cellStyle name="Commentaire 3 2 6 2 4 2" xfId="27412"/>
    <cellStyle name="Commentaire 3 2 6 2 4 3" xfId="40392"/>
    <cellStyle name="Commentaire 3 2 6 2 4 4" xfId="56621"/>
    <cellStyle name="Commentaire 3 2 6 2 5" xfId="14432"/>
    <cellStyle name="Commentaire 3 2 6 2 5 2" xfId="50131"/>
    <cellStyle name="Commentaire 3 2 6 2 6" xfId="20922"/>
    <cellStyle name="Commentaire 3 2 6 2 7" xfId="33902"/>
    <cellStyle name="Commentaire 3 2 6 2 8" xfId="46885"/>
    <cellStyle name="Commentaire 3 2 6 3" xfId="2082"/>
    <cellStyle name="Commentaire 3 2 6 3 2" xfId="5327"/>
    <cellStyle name="Commentaire 3 2 6 3 2 2" xfId="11859"/>
    <cellStyle name="Commentaire 3 2 6 3 2 2 2" xfId="31332"/>
    <cellStyle name="Commentaire 3 2 6 3 2 2 3" xfId="44312"/>
    <cellStyle name="Commentaire 3 2 6 3 2 2 4" xfId="60541"/>
    <cellStyle name="Commentaire 3 2 6 3 2 3" xfId="18352"/>
    <cellStyle name="Commentaire 3 2 6 3 2 4" xfId="24842"/>
    <cellStyle name="Commentaire 3 2 6 3 2 5" xfId="37822"/>
    <cellStyle name="Commentaire 3 2 6 3 2 6" xfId="54051"/>
    <cellStyle name="Commentaire 3 2 6 3 3" xfId="8614"/>
    <cellStyle name="Commentaire 3 2 6 3 3 2" xfId="28087"/>
    <cellStyle name="Commentaire 3 2 6 3 3 3" xfId="41067"/>
    <cellStyle name="Commentaire 3 2 6 3 3 4" xfId="57296"/>
    <cellStyle name="Commentaire 3 2 6 3 4" xfId="15107"/>
    <cellStyle name="Commentaire 3 2 6 3 4 2" xfId="50806"/>
    <cellStyle name="Commentaire 3 2 6 3 5" xfId="21597"/>
    <cellStyle name="Commentaire 3 2 6 3 6" xfId="34577"/>
    <cellStyle name="Commentaire 3 2 6 3 7" xfId="47560"/>
    <cellStyle name="Commentaire 3 2 6 4" xfId="3704"/>
    <cellStyle name="Commentaire 3 2 6 4 2" xfId="10236"/>
    <cellStyle name="Commentaire 3 2 6 4 2 2" xfId="29709"/>
    <cellStyle name="Commentaire 3 2 6 4 2 3" xfId="42689"/>
    <cellStyle name="Commentaire 3 2 6 4 2 4" xfId="58918"/>
    <cellStyle name="Commentaire 3 2 6 4 3" xfId="16729"/>
    <cellStyle name="Commentaire 3 2 6 4 4" xfId="23219"/>
    <cellStyle name="Commentaire 3 2 6 4 5" xfId="36199"/>
    <cellStyle name="Commentaire 3 2 6 4 6" xfId="52428"/>
    <cellStyle name="Commentaire 3 2 6 5" xfId="6991"/>
    <cellStyle name="Commentaire 3 2 6 5 2" xfId="26464"/>
    <cellStyle name="Commentaire 3 2 6 5 3" xfId="39444"/>
    <cellStyle name="Commentaire 3 2 6 5 4" xfId="55673"/>
    <cellStyle name="Commentaire 3 2 6 6" xfId="13484"/>
    <cellStyle name="Commentaire 3 2 6 6 2" xfId="49183"/>
    <cellStyle name="Commentaire 3 2 6 7" xfId="19974"/>
    <cellStyle name="Commentaire 3 2 6 8" xfId="32954"/>
    <cellStyle name="Commentaire 3 2 6 9" xfId="45937"/>
    <cellStyle name="Commentaire 3 2 7" xfId="900"/>
    <cellStyle name="Commentaire 3 2 7 2" xfId="2567"/>
    <cellStyle name="Commentaire 3 2 7 2 2" xfId="5812"/>
    <cellStyle name="Commentaire 3 2 7 2 2 2" xfId="12344"/>
    <cellStyle name="Commentaire 3 2 7 2 2 2 2" xfId="31817"/>
    <cellStyle name="Commentaire 3 2 7 2 2 2 3" xfId="44797"/>
    <cellStyle name="Commentaire 3 2 7 2 2 2 4" xfId="61026"/>
    <cellStyle name="Commentaire 3 2 7 2 2 3" xfId="18837"/>
    <cellStyle name="Commentaire 3 2 7 2 2 4" xfId="25327"/>
    <cellStyle name="Commentaire 3 2 7 2 2 5" xfId="38307"/>
    <cellStyle name="Commentaire 3 2 7 2 2 6" xfId="54536"/>
    <cellStyle name="Commentaire 3 2 7 2 3" xfId="9099"/>
    <cellStyle name="Commentaire 3 2 7 2 3 2" xfId="28572"/>
    <cellStyle name="Commentaire 3 2 7 2 3 3" xfId="41552"/>
    <cellStyle name="Commentaire 3 2 7 2 3 4" xfId="57781"/>
    <cellStyle name="Commentaire 3 2 7 2 4" xfId="15592"/>
    <cellStyle name="Commentaire 3 2 7 2 4 2" xfId="51291"/>
    <cellStyle name="Commentaire 3 2 7 2 5" xfId="22082"/>
    <cellStyle name="Commentaire 3 2 7 2 6" xfId="35062"/>
    <cellStyle name="Commentaire 3 2 7 2 7" xfId="48045"/>
    <cellStyle name="Commentaire 3 2 7 3" xfId="4189"/>
    <cellStyle name="Commentaire 3 2 7 3 2" xfId="10721"/>
    <cellStyle name="Commentaire 3 2 7 3 2 2" xfId="30194"/>
    <cellStyle name="Commentaire 3 2 7 3 2 3" xfId="43174"/>
    <cellStyle name="Commentaire 3 2 7 3 2 4" xfId="59403"/>
    <cellStyle name="Commentaire 3 2 7 3 3" xfId="17214"/>
    <cellStyle name="Commentaire 3 2 7 3 4" xfId="23704"/>
    <cellStyle name="Commentaire 3 2 7 3 5" xfId="36684"/>
    <cellStyle name="Commentaire 3 2 7 3 6" xfId="52913"/>
    <cellStyle name="Commentaire 3 2 7 4" xfId="7476"/>
    <cellStyle name="Commentaire 3 2 7 4 2" xfId="26949"/>
    <cellStyle name="Commentaire 3 2 7 4 3" xfId="39929"/>
    <cellStyle name="Commentaire 3 2 7 4 4" xfId="56158"/>
    <cellStyle name="Commentaire 3 2 7 5" xfId="13969"/>
    <cellStyle name="Commentaire 3 2 7 5 2" xfId="49668"/>
    <cellStyle name="Commentaire 3 2 7 6" xfId="20459"/>
    <cellStyle name="Commentaire 3 2 7 7" xfId="33439"/>
    <cellStyle name="Commentaire 3 2 7 8" xfId="46422"/>
    <cellStyle name="Commentaire 3 2 8" xfId="1853"/>
    <cellStyle name="Commentaire 3 2 8 2" xfId="5098"/>
    <cellStyle name="Commentaire 3 2 8 2 2" xfId="11630"/>
    <cellStyle name="Commentaire 3 2 8 2 2 2" xfId="31103"/>
    <cellStyle name="Commentaire 3 2 8 2 2 3" xfId="44083"/>
    <cellStyle name="Commentaire 3 2 8 2 2 4" xfId="60312"/>
    <cellStyle name="Commentaire 3 2 8 2 3" xfId="18123"/>
    <cellStyle name="Commentaire 3 2 8 2 4" xfId="24613"/>
    <cellStyle name="Commentaire 3 2 8 2 5" xfId="37593"/>
    <cellStyle name="Commentaire 3 2 8 2 6" xfId="53822"/>
    <cellStyle name="Commentaire 3 2 8 3" xfId="8385"/>
    <cellStyle name="Commentaire 3 2 8 3 2" xfId="27858"/>
    <cellStyle name="Commentaire 3 2 8 3 3" xfId="40838"/>
    <cellStyle name="Commentaire 3 2 8 3 4" xfId="57067"/>
    <cellStyle name="Commentaire 3 2 8 4" xfId="14878"/>
    <cellStyle name="Commentaire 3 2 8 4 2" xfId="50577"/>
    <cellStyle name="Commentaire 3 2 8 5" xfId="21368"/>
    <cellStyle name="Commentaire 3 2 8 6" xfId="34348"/>
    <cellStyle name="Commentaire 3 2 8 7" xfId="47331"/>
    <cellStyle name="Commentaire 3 2 9" xfId="3474"/>
    <cellStyle name="Commentaire 3 2 9 2" xfId="10006"/>
    <cellStyle name="Commentaire 3 2 9 2 2" xfId="29479"/>
    <cellStyle name="Commentaire 3 2 9 2 3" xfId="42459"/>
    <cellStyle name="Commentaire 3 2 9 2 4" xfId="58688"/>
    <cellStyle name="Commentaire 3 2 9 3" xfId="16499"/>
    <cellStyle name="Commentaire 3 2 9 4" xfId="22989"/>
    <cellStyle name="Commentaire 3 2 9 5" xfId="35969"/>
    <cellStyle name="Commentaire 3 2 9 6" xfId="52198"/>
    <cellStyle name="Commentaire 3 3" xfId="246"/>
    <cellStyle name="Commentaire 3 3 10" xfId="19810"/>
    <cellStyle name="Commentaire 3 3 11" xfId="32790"/>
    <cellStyle name="Commentaire 3 3 12" xfId="45773"/>
    <cellStyle name="Commentaire 3 3 2" xfId="334"/>
    <cellStyle name="Commentaire 3 3 2 10" xfId="32878"/>
    <cellStyle name="Commentaire 3 3 2 11" xfId="45861"/>
    <cellStyle name="Commentaire 3 3 2 2" xfId="798"/>
    <cellStyle name="Commentaire 3 3 2 2 10" xfId="46321"/>
    <cellStyle name="Commentaire 3 3 2 2 2" xfId="1737"/>
    <cellStyle name="Commentaire 3 3 2 2 2 2" xfId="3404"/>
    <cellStyle name="Commentaire 3 3 2 2 2 2 2" xfId="6649"/>
    <cellStyle name="Commentaire 3 3 2 2 2 2 2 2" xfId="13181"/>
    <cellStyle name="Commentaire 3 3 2 2 2 2 2 2 2" xfId="32654"/>
    <cellStyle name="Commentaire 3 3 2 2 2 2 2 2 3" xfId="45634"/>
    <cellStyle name="Commentaire 3 3 2 2 2 2 2 2 4" xfId="61863"/>
    <cellStyle name="Commentaire 3 3 2 2 2 2 2 3" xfId="19674"/>
    <cellStyle name="Commentaire 3 3 2 2 2 2 2 4" xfId="26164"/>
    <cellStyle name="Commentaire 3 3 2 2 2 2 2 5" xfId="39144"/>
    <cellStyle name="Commentaire 3 3 2 2 2 2 2 6" xfId="55373"/>
    <cellStyle name="Commentaire 3 3 2 2 2 2 3" xfId="9936"/>
    <cellStyle name="Commentaire 3 3 2 2 2 2 3 2" xfId="29409"/>
    <cellStyle name="Commentaire 3 3 2 2 2 2 3 3" xfId="42389"/>
    <cellStyle name="Commentaire 3 3 2 2 2 2 3 4" xfId="58618"/>
    <cellStyle name="Commentaire 3 3 2 2 2 2 4" xfId="16429"/>
    <cellStyle name="Commentaire 3 3 2 2 2 2 4 2" xfId="52128"/>
    <cellStyle name="Commentaire 3 3 2 2 2 2 5" xfId="22919"/>
    <cellStyle name="Commentaire 3 3 2 2 2 2 6" xfId="35899"/>
    <cellStyle name="Commentaire 3 3 2 2 2 2 7" xfId="48882"/>
    <cellStyle name="Commentaire 3 3 2 2 2 3" xfId="5026"/>
    <cellStyle name="Commentaire 3 3 2 2 2 3 2" xfId="11558"/>
    <cellStyle name="Commentaire 3 3 2 2 2 3 2 2" xfId="31031"/>
    <cellStyle name="Commentaire 3 3 2 2 2 3 2 3" xfId="44011"/>
    <cellStyle name="Commentaire 3 3 2 2 2 3 2 4" xfId="60240"/>
    <cellStyle name="Commentaire 3 3 2 2 2 3 3" xfId="18051"/>
    <cellStyle name="Commentaire 3 3 2 2 2 3 4" xfId="24541"/>
    <cellStyle name="Commentaire 3 3 2 2 2 3 5" xfId="37521"/>
    <cellStyle name="Commentaire 3 3 2 2 2 3 6" xfId="53750"/>
    <cellStyle name="Commentaire 3 3 2 2 2 4" xfId="8313"/>
    <cellStyle name="Commentaire 3 3 2 2 2 4 2" xfId="27786"/>
    <cellStyle name="Commentaire 3 3 2 2 2 4 3" xfId="40766"/>
    <cellStyle name="Commentaire 3 3 2 2 2 4 4" xfId="56995"/>
    <cellStyle name="Commentaire 3 3 2 2 2 5" xfId="14806"/>
    <cellStyle name="Commentaire 3 3 2 2 2 5 2" xfId="50505"/>
    <cellStyle name="Commentaire 3 3 2 2 2 6" xfId="21296"/>
    <cellStyle name="Commentaire 3 3 2 2 2 7" xfId="34276"/>
    <cellStyle name="Commentaire 3 3 2 2 2 8" xfId="47259"/>
    <cellStyle name="Commentaire 3 3 2 2 3" xfId="1274"/>
    <cellStyle name="Commentaire 3 3 2 2 3 2" xfId="2941"/>
    <cellStyle name="Commentaire 3 3 2 2 3 2 2" xfId="6186"/>
    <cellStyle name="Commentaire 3 3 2 2 3 2 2 2" xfId="12718"/>
    <cellStyle name="Commentaire 3 3 2 2 3 2 2 2 2" xfId="32191"/>
    <cellStyle name="Commentaire 3 3 2 2 3 2 2 2 3" xfId="45171"/>
    <cellStyle name="Commentaire 3 3 2 2 3 2 2 2 4" xfId="61400"/>
    <cellStyle name="Commentaire 3 3 2 2 3 2 2 3" xfId="19211"/>
    <cellStyle name="Commentaire 3 3 2 2 3 2 2 4" xfId="25701"/>
    <cellStyle name="Commentaire 3 3 2 2 3 2 2 5" xfId="38681"/>
    <cellStyle name="Commentaire 3 3 2 2 3 2 2 6" xfId="54910"/>
    <cellStyle name="Commentaire 3 3 2 2 3 2 3" xfId="9473"/>
    <cellStyle name="Commentaire 3 3 2 2 3 2 3 2" xfId="28946"/>
    <cellStyle name="Commentaire 3 3 2 2 3 2 3 3" xfId="41926"/>
    <cellStyle name="Commentaire 3 3 2 2 3 2 3 4" xfId="58155"/>
    <cellStyle name="Commentaire 3 3 2 2 3 2 4" xfId="15966"/>
    <cellStyle name="Commentaire 3 3 2 2 3 2 4 2" xfId="51665"/>
    <cellStyle name="Commentaire 3 3 2 2 3 2 5" xfId="22456"/>
    <cellStyle name="Commentaire 3 3 2 2 3 2 6" xfId="35436"/>
    <cellStyle name="Commentaire 3 3 2 2 3 2 7" xfId="48419"/>
    <cellStyle name="Commentaire 3 3 2 2 3 3" xfId="4563"/>
    <cellStyle name="Commentaire 3 3 2 2 3 3 2" xfId="11095"/>
    <cellStyle name="Commentaire 3 3 2 2 3 3 2 2" xfId="30568"/>
    <cellStyle name="Commentaire 3 3 2 2 3 3 2 3" xfId="43548"/>
    <cellStyle name="Commentaire 3 3 2 2 3 3 2 4" xfId="59777"/>
    <cellStyle name="Commentaire 3 3 2 2 3 3 3" xfId="17588"/>
    <cellStyle name="Commentaire 3 3 2 2 3 3 4" xfId="24078"/>
    <cellStyle name="Commentaire 3 3 2 2 3 3 5" xfId="37058"/>
    <cellStyle name="Commentaire 3 3 2 2 3 3 6" xfId="53287"/>
    <cellStyle name="Commentaire 3 3 2 2 3 4" xfId="7850"/>
    <cellStyle name="Commentaire 3 3 2 2 3 4 2" xfId="27323"/>
    <cellStyle name="Commentaire 3 3 2 2 3 4 3" xfId="40303"/>
    <cellStyle name="Commentaire 3 3 2 2 3 4 4" xfId="56532"/>
    <cellStyle name="Commentaire 3 3 2 2 3 5" xfId="14343"/>
    <cellStyle name="Commentaire 3 3 2 2 3 5 2" xfId="50042"/>
    <cellStyle name="Commentaire 3 3 2 2 3 6" xfId="20833"/>
    <cellStyle name="Commentaire 3 3 2 2 3 7" xfId="33813"/>
    <cellStyle name="Commentaire 3 3 2 2 3 8" xfId="46796"/>
    <cellStyle name="Commentaire 3 3 2 2 4" xfId="2466"/>
    <cellStyle name="Commentaire 3 3 2 2 4 2" xfId="5711"/>
    <cellStyle name="Commentaire 3 3 2 2 4 2 2" xfId="12243"/>
    <cellStyle name="Commentaire 3 3 2 2 4 2 2 2" xfId="31716"/>
    <cellStyle name="Commentaire 3 3 2 2 4 2 2 3" xfId="44696"/>
    <cellStyle name="Commentaire 3 3 2 2 4 2 2 4" xfId="60925"/>
    <cellStyle name="Commentaire 3 3 2 2 4 2 3" xfId="18736"/>
    <cellStyle name="Commentaire 3 3 2 2 4 2 4" xfId="25226"/>
    <cellStyle name="Commentaire 3 3 2 2 4 2 5" xfId="38206"/>
    <cellStyle name="Commentaire 3 3 2 2 4 2 6" xfId="54435"/>
    <cellStyle name="Commentaire 3 3 2 2 4 3" xfId="8998"/>
    <cellStyle name="Commentaire 3 3 2 2 4 3 2" xfId="28471"/>
    <cellStyle name="Commentaire 3 3 2 2 4 3 3" xfId="41451"/>
    <cellStyle name="Commentaire 3 3 2 2 4 3 4" xfId="57680"/>
    <cellStyle name="Commentaire 3 3 2 2 4 4" xfId="15491"/>
    <cellStyle name="Commentaire 3 3 2 2 4 4 2" xfId="51190"/>
    <cellStyle name="Commentaire 3 3 2 2 4 5" xfId="21981"/>
    <cellStyle name="Commentaire 3 3 2 2 4 6" xfId="34961"/>
    <cellStyle name="Commentaire 3 3 2 2 4 7" xfId="47944"/>
    <cellStyle name="Commentaire 3 3 2 2 5" xfId="4088"/>
    <cellStyle name="Commentaire 3 3 2 2 5 2" xfId="10620"/>
    <cellStyle name="Commentaire 3 3 2 2 5 2 2" xfId="30093"/>
    <cellStyle name="Commentaire 3 3 2 2 5 2 3" xfId="43073"/>
    <cellStyle name="Commentaire 3 3 2 2 5 2 4" xfId="59302"/>
    <cellStyle name="Commentaire 3 3 2 2 5 3" xfId="17113"/>
    <cellStyle name="Commentaire 3 3 2 2 5 4" xfId="23603"/>
    <cellStyle name="Commentaire 3 3 2 2 5 5" xfId="36583"/>
    <cellStyle name="Commentaire 3 3 2 2 5 6" xfId="52812"/>
    <cellStyle name="Commentaire 3 3 2 2 6" xfId="7375"/>
    <cellStyle name="Commentaire 3 3 2 2 6 2" xfId="26848"/>
    <cellStyle name="Commentaire 3 3 2 2 6 3" xfId="39828"/>
    <cellStyle name="Commentaire 3 3 2 2 6 4" xfId="56057"/>
    <cellStyle name="Commentaire 3 3 2 2 7" xfId="13868"/>
    <cellStyle name="Commentaire 3 3 2 2 7 2" xfId="49567"/>
    <cellStyle name="Commentaire 3 3 2 2 8" xfId="20358"/>
    <cellStyle name="Commentaire 3 3 2 2 9" xfId="33338"/>
    <cellStyle name="Commentaire 3 3 2 3" xfId="568"/>
    <cellStyle name="Commentaire 3 3 2 3 2" xfId="1517"/>
    <cellStyle name="Commentaire 3 3 2 3 2 2" xfId="3184"/>
    <cellStyle name="Commentaire 3 3 2 3 2 2 2" xfId="6429"/>
    <cellStyle name="Commentaire 3 3 2 3 2 2 2 2" xfId="12961"/>
    <cellStyle name="Commentaire 3 3 2 3 2 2 2 2 2" xfId="32434"/>
    <cellStyle name="Commentaire 3 3 2 3 2 2 2 2 3" xfId="45414"/>
    <cellStyle name="Commentaire 3 3 2 3 2 2 2 2 4" xfId="61643"/>
    <cellStyle name="Commentaire 3 3 2 3 2 2 2 3" xfId="19454"/>
    <cellStyle name="Commentaire 3 3 2 3 2 2 2 4" xfId="25944"/>
    <cellStyle name="Commentaire 3 3 2 3 2 2 2 5" xfId="38924"/>
    <cellStyle name="Commentaire 3 3 2 3 2 2 2 6" xfId="55153"/>
    <cellStyle name="Commentaire 3 3 2 3 2 2 3" xfId="9716"/>
    <cellStyle name="Commentaire 3 3 2 3 2 2 3 2" xfId="29189"/>
    <cellStyle name="Commentaire 3 3 2 3 2 2 3 3" xfId="42169"/>
    <cellStyle name="Commentaire 3 3 2 3 2 2 3 4" xfId="58398"/>
    <cellStyle name="Commentaire 3 3 2 3 2 2 4" xfId="16209"/>
    <cellStyle name="Commentaire 3 3 2 3 2 2 4 2" xfId="51908"/>
    <cellStyle name="Commentaire 3 3 2 3 2 2 5" xfId="22699"/>
    <cellStyle name="Commentaire 3 3 2 3 2 2 6" xfId="35679"/>
    <cellStyle name="Commentaire 3 3 2 3 2 2 7" xfId="48662"/>
    <cellStyle name="Commentaire 3 3 2 3 2 3" xfId="4806"/>
    <cellStyle name="Commentaire 3 3 2 3 2 3 2" xfId="11338"/>
    <cellStyle name="Commentaire 3 3 2 3 2 3 2 2" xfId="30811"/>
    <cellStyle name="Commentaire 3 3 2 3 2 3 2 3" xfId="43791"/>
    <cellStyle name="Commentaire 3 3 2 3 2 3 2 4" xfId="60020"/>
    <cellStyle name="Commentaire 3 3 2 3 2 3 3" xfId="17831"/>
    <cellStyle name="Commentaire 3 3 2 3 2 3 4" xfId="24321"/>
    <cellStyle name="Commentaire 3 3 2 3 2 3 5" xfId="37301"/>
    <cellStyle name="Commentaire 3 3 2 3 2 3 6" xfId="53530"/>
    <cellStyle name="Commentaire 3 3 2 3 2 4" xfId="8093"/>
    <cellStyle name="Commentaire 3 3 2 3 2 4 2" xfId="27566"/>
    <cellStyle name="Commentaire 3 3 2 3 2 4 3" xfId="40546"/>
    <cellStyle name="Commentaire 3 3 2 3 2 4 4" xfId="56775"/>
    <cellStyle name="Commentaire 3 3 2 3 2 5" xfId="14586"/>
    <cellStyle name="Commentaire 3 3 2 3 2 5 2" xfId="50285"/>
    <cellStyle name="Commentaire 3 3 2 3 2 6" xfId="21076"/>
    <cellStyle name="Commentaire 3 3 2 3 2 7" xfId="34056"/>
    <cellStyle name="Commentaire 3 3 2 3 2 8" xfId="47039"/>
    <cellStyle name="Commentaire 3 3 2 3 3" xfId="2236"/>
    <cellStyle name="Commentaire 3 3 2 3 3 2" xfId="5481"/>
    <cellStyle name="Commentaire 3 3 2 3 3 2 2" xfId="12013"/>
    <cellStyle name="Commentaire 3 3 2 3 3 2 2 2" xfId="31486"/>
    <cellStyle name="Commentaire 3 3 2 3 3 2 2 3" xfId="44466"/>
    <cellStyle name="Commentaire 3 3 2 3 3 2 2 4" xfId="60695"/>
    <cellStyle name="Commentaire 3 3 2 3 3 2 3" xfId="18506"/>
    <cellStyle name="Commentaire 3 3 2 3 3 2 4" xfId="24996"/>
    <cellStyle name="Commentaire 3 3 2 3 3 2 5" xfId="37976"/>
    <cellStyle name="Commentaire 3 3 2 3 3 2 6" xfId="54205"/>
    <cellStyle name="Commentaire 3 3 2 3 3 3" xfId="8768"/>
    <cellStyle name="Commentaire 3 3 2 3 3 3 2" xfId="28241"/>
    <cellStyle name="Commentaire 3 3 2 3 3 3 3" xfId="41221"/>
    <cellStyle name="Commentaire 3 3 2 3 3 3 4" xfId="57450"/>
    <cellStyle name="Commentaire 3 3 2 3 3 4" xfId="15261"/>
    <cellStyle name="Commentaire 3 3 2 3 3 4 2" xfId="50960"/>
    <cellStyle name="Commentaire 3 3 2 3 3 5" xfId="21751"/>
    <cellStyle name="Commentaire 3 3 2 3 3 6" xfId="34731"/>
    <cellStyle name="Commentaire 3 3 2 3 3 7" xfId="47714"/>
    <cellStyle name="Commentaire 3 3 2 3 4" xfId="3858"/>
    <cellStyle name="Commentaire 3 3 2 3 4 2" xfId="10390"/>
    <cellStyle name="Commentaire 3 3 2 3 4 2 2" xfId="29863"/>
    <cellStyle name="Commentaire 3 3 2 3 4 2 3" xfId="42843"/>
    <cellStyle name="Commentaire 3 3 2 3 4 2 4" xfId="59072"/>
    <cellStyle name="Commentaire 3 3 2 3 4 3" xfId="16883"/>
    <cellStyle name="Commentaire 3 3 2 3 4 4" xfId="23373"/>
    <cellStyle name="Commentaire 3 3 2 3 4 5" xfId="36353"/>
    <cellStyle name="Commentaire 3 3 2 3 4 6" xfId="52582"/>
    <cellStyle name="Commentaire 3 3 2 3 5" xfId="7145"/>
    <cellStyle name="Commentaire 3 3 2 3 5 2" xfId="26618"/>
    <cellStyle name="Commentaire 3 3 2 3 5 3" xfId="39598"/>
    <cellStyle name="Commentaire 3 3 2 3 5 4" xfId="55827"/>
    <cellStyle name="Commentaire 3 3 2 3 6" xfId="13638"/>
    <cellStyle name="Commentaire 3 3 2 3 6 2" xfId="49337"/>
    <cellStyle name="Commentaire 3 3 2 3 7" xfId="20128"/>
    <cellStyle name="Commentaire 3 3 2 3 8" xfId="33108"/>
    <cellStyle name="Commentaire 3 3 2 3 9" xfId="46091"/>
    <cellStyle name="Commentaire 3 3 2 4" xfId="1054"/>
    <cellStyle name="Commentaire 3 3 2 4 2" xfId="2721"/>
    <cellStyle name="Commentaire 3 3 2 4 2 2" xfId="5966"/>
    <cellStyle name="Commentaire 3 3 2 4 2 2 2" xfId="12498"/>
    <cellStyle name="Commentaire 3 3 2 4 2 2 2 2" xfId="31971"/>
    <cellStyle name="Commentaire 3 3 2 4 2 2 2 3" xfId="44951"/>
    <cellStyle name="Commentaire 3 3 2 4 2 2 2 4" xfId="61180"/>
    <cellStyle name="Commentaire 3 3 2 4 2 2 3" xfId="18991"/>
    <cellStyle name="Commentaire 3 3 2 4 2 2 4" xfId="25481"/>
    <cellStyle name="Commentaire 3 3 2 4 2 2 5" xfId="38461"/>
    <cellStyle name="Commentaire 3 3 2 4 2 2 6" xfId="54690"/>
    <cellStyle name="Commentaire 3 3 2 4 2 3" xfId="9253"/>
    <cellStyle name="Commentaire 3 3 2 4 2 3 2" xfId="28726"/>
    <cellStyle name="Commentaire 3 3 2 4 2 3 3" xfId="41706"/>
    <cellStyle name="Commentaire 3 3 2 4 2 3 4" xfId="57935"/>
    <cellStyle name="Commentaire 3 3 2 4 2 4" xfId="15746"/>
    <cellStyle name="Commentaire 3 3 2 4 2 4 2" xfId="51445"/>
    <cellStyle name="Commentaire 3 3 2 4 2 5" xfId="22236"/>
    <cellStyle name="Commentaire 3 3 2 4 2 6" xfId="35216"/>
    <cellStyle name="Commentaire 3 3 2 4 2 7" xfId="48199"/>
    <cellStyle name="Commentaire 3 3 2 4 3" xfId="4343"/>
    <cellStyle name="Commentaire 3 3 2 4 3 2" xfId="10875"/>
    <cellStyle name="Commentaire 3 3 2 4 3 2 2" xfId="30348"/>
    <cellStyle name="Commentaire 3 3 2 4 3 2 3" xfId="43328"/>
    <cellStyle name="Commentaire 3 3 2 4 3 2 4" xfId="59557"/>
    <cellStyle name="Commentaire 3 3 2 4 3 3" xfId="17368"/>
    <cellStyle name="Commentaire 3 3 2 4 3 4" xfId="23858"/>
    <cellStyle name="Commentaire 3 3 2 4 3 5" xfId="36838"/>
    <cellStyle name="Commentaire 3 3 2 4 3 6" xfId="53067"/>
    <cellStyle name="Commentaire 3 3 2 4 4" xfId="7630"/>
    <cellStyle name="Commentaire 3 3 2 4 4 2" xfId="27103"/>
    <cellStyle name="Commentaire 3 3 2 4 4 3" xfId="40083"/>
    <cellStyle name="Commentaire 3 3 2 4 4 4" xfId="56312"/>
    <cellStyle name="Commentaire 3 3 2 4 5" xfId="14123"/>
    <cellStyle name="Commentaire 3 3 2 4 5 2" xfId="49822"/>
    <cellStyle name="Commentaire 3 3 2 4 6" xfId="20613"/>
    <cellStyle name="Commentaire 3 3 2 4 7" xfId="33593"/>
    <cellStyle name="Commentaire 3 3 2 4 8" xfId="46576"/>
    <cellStyle name="Commentaire 3 3 2 5" xfId="2007"/>
    <cellStyle name="Commentaire 3 3 2 5 2" xfId="5252"/>
    <cellStyle name="Commentaire 3 3 2 5 2 2" xfId="11784"/>
    <cellStyle name="Commentaire 3 3 2 5 2 2 2" xfId="31257"/>
    <cellStyle name="Commentaire 3 3 2 5 2 2 3" xfId="44237"/>
    <cellStyle name="Commentaire 3 3 2 5 2 2 4" xfId="60466"/>
    <cellStyle name="Commentaire 3 3 2 5 2 3" xfId="18277"/>
    <cellStyle name="Commentaire 3 3 2 5 2 4" xfId="24767"/>
    <cellStyle name="Commentaire 3 3 2 5 2 5" xfId="37747"/>
    <cellStyle name="Commentaire 3 3 2 5 2 6" xfId="53976"/>
    <cellStyle name="Commentaire 3 3 2 5 3" xfId="8539"/>
    <cellStyle name="Commentaire 3 3 2 5 3 2" xfId="28012"/>
    <cellStyle name="Commentaire 3 3 2 5 3 3" xfId="40992"/>
    <cellStyle name="Commentaire 3 3 2 5 3 4" xfId="57221"/>
    <cellStyle name="Commentaire 3 3 2 5 4" xfId="15032"/>
    <cellStyle name="Commentaire 3 3 2 5 4 2" xfId="50731"/>
    <cellStyle name="Commentaire 3 3 2 5 5" xfId="21522"/>
    <cellStyle name="Commentaire 3 3 2 5 6" xfId="34502"/>
    <cellStyle name="Commentaire 3 3 2 5 7" xfId="47485"/>
    <cellStyle name="Commentaire 3 3 2 6" xfId="3628"/>
    <cellStyle name="Commentaire 3 3 2 6 2" xfId="10160"/>
    <cellStyle name="Commentaire 3 3 2 6 2 2" xfId="29633"/>
    <cellStyle name="Commentaire 3 3 2 6 2 3" xfId="42613"/>
    <cellStyle name="Commentaire 3 3 2 6 2 4" xfId="58842"/>
    <cellStyle name="Commentaire 3 3 2 6 3" xfId="16653"/>
    <cellStyle name="Commentaire 3 3 2 6 4" xfId="23143"/>
    <cellStyle name="Commentaire 3 3 2 6 5" xfId="36123"/>
    <cellStyle name="Commentaire 3 3 2 6 6" xfId="52352"/>
    <cellStyle name="Commentaire 3 3 2 7" xfId="6915"/>
    <cellStyle name="Commentaire 3 3 2 7 2" xfId="26388"/>
    <cellStyle name="Commentaire 3 3 2 7 3" xfId="39368"/>
    <cellStyle name="Commentaire 3 3 2 7 4" xfId="55597"/>
    <cellStyle name="Commentaire 3 3 2 8" xfId="13408"/>
    <cellStyle name="Commentaire 3 3 2 8 2" xfId="49107"/>
    <cellStyle name="Commentaire 3 3 2 9" xfId="19898"/>
    <cellStyle name="Commentaire 3 3 3" xfId="710"/>
    <cellStyle name="Commentaire 3 3 3 10" xfId="46233"/>
    <cellStyle name="Commentaire 3 3 3 2" xfId="1649"/>
    <cellStyle name="Commentaire 3 3 3 2 2" xfId="3316"/>
    <cellStyle name="Commentaire 3 3 3 2 2 2" xfId="6561"/>
    <cellStyle name="Commentaire 3 3 3 2 2 2 2" xfId="13093"/>
    <cellStyle name="Commentaire 3 3 3 2 2 2 2 2" xfId="32566"/>
    <cellStyle name="Commentaire 3 3 3 2 2 2 2 3" xfId="45546"/>
    <cellStyle name="Commentaire 3 3 3 2 2 2 2 4" xfId="61775"/>
    <cellStyle name="Commentaire 3 3 3 2 2 2 3" xfId="19586"/>
    <cellStyle name="Commentaire 3 3 3 2 2 2 4" xfId="26076"/>
    <cellStyle name="Commentaire 3 3 3 2 2 2 5" xfId="39056"/>
    <cellStyle name="Commentaire 3 3 3 2 2 2 6" xfId="55285"/>
    <cellStyle name="Commentaire 3 3 3 2 2 3" xfId="9848"/>
    <cellStyle name="Commentaire 3 3 3 2 2 3 2" xfId="29321"/>
    <cellStyle name="Commentaire 3 3 3 2 2 3 3" xfId="42301"/>
    <cellStyle name="Commentaire 3 3 3 2 2 3 4" xfId="58530"/>
    <cellStyle name="Commentaire 3 3 3 2 2 4" xfId="16341"/>
    <cellStyle name="Commentaire 3 3 3 2 2 4 2" xfId="52040"/>
    <cellStyle name="Commentaire 3 3 3 2 2 5" xfId="22831"/>
    <cellStyle name="Commentaire 3 3 3 2 2 6" xfId="35811"/>
    <cellStyle name="Commentaire 3 3 3 2 2 7" xfId="48794"/>
    <cellStyle name="Commentaire 3 3 3 2 3" xfId="4938"/>
    <cellStyle name="Commentaire 3 3 3 2 3 2" xfId="11470"/>
    <cellStyle name="Commentaire 3 3 3 2 3 2 2" xfId="30943"/>
    <cellStyle name="Commentaire 3 3 3 2 3 2 3" xfId="43923"/>
    <cellStyle name="Commentaire 3 3 3 2 3 2 4" xfId="60152"/>
    <cellStyle name="Commentaire 3 3 3 2 3 3" xfId="17963"/>
    <cellStyle name="Commentaire 3 3 3 2 3 4" xfId="24453"/>
    <cellStyle name="Commentaire 3 3 3 2 3 5" xfId="37433"/>
    <cellStyle name="Commentaire 3 3 3 2 3 6" xfId="53662"/>
    <cellStyle name="Commentaire 3 3 3 2 4" xfId="8225"/>
    <cellStyle name="Commentaire 3 3 3 2 4 2" xfId="27698"/>
    <cellStyle name="Commentaire 3 3 3 2 4 3" xfId="40678"/>
    <cellStyle name="Commentaire 3 3 3 2 4 4" xfId="56907"/>
    <cellStyle name="Commentaire 3 3 3 2 5" xfId="14718"/>
    <cellStyle name="Commentaire 3 3 3 2 5 2" xfId="50417"/>
    <cellStyle name="Commentaire 3 3 3 2 6" xfId="21208"/>
    <cellStyle name="Commentaire 3 3 3 2 7" xfId="34188"/>
    <cellStyle name="Commentaire 3 3 3 2 8" xfId="47171"/>
    <cellStyle name="Commentaire 3 3 3 3" xfId="1186"/>
    <cellStyle name="Commentaire 3 3 3 3 2" xfId="2853"/>
    <cellStyle name="Commentaire 3 3 3 3 2 2" xfId="6098"/>
    <cellStyle name="Commentaire 3 3 3 3 2 2 2" xfId="12630"/>
    <cellStyle name="Commentaire 3 3 3 3 2 2 2 2" xfId="32103"/>
    <cellStyle name="Commentaire 3 3 3 3 2 2 2 3" xfId="45083"/>
    <cellStyle name="Commentaire 3 3 3 3 2 2 2 4" xfId="61312"/>
    <cellStyle name="Commentaire 3 3 3 3 2 2 3" xfId="19123"/>
    <cellStyle name="Commentaire 3 3 3 3 2 2 4" xfId="25613"/>
    <cellStyle name="Commentaire 3 3 3 3 2 2 5" xfId="38593"/>
    <cellStyle name="Commentaire 3 3 3 3 2 2 6" xfId="54822"/>
    <cellStyle name="Commentaire 3 3 3 3 2 3" xfId="9385"/>
    <cellStyle name="Commentaire 3 3 3 3 2 3 2" xfId="28858"/>
    <cellStyle name="Commentaire 3 3 3 3 2 3 3" xfId="41838"/>
    <cellStyle name="Commentaire 3 3 3 3 2 3 4" xfId="58067"/>
    <cellStyle name="Commentaire 3 3 3 3 2 4" xfId="15878"/>
    <cellStyle name="Commentaire 3 3 3 3 2 4 2" xfId="51577"/>
    <cellStyle name="Commentaire 3 3 3 3 2 5" xfId="22368"/>
    <cellStyle name="Commentaire 3 3 3 3 2 6" xfId="35348"/>
    <cellStyle name="Commentaire 3 3 3 3 2 7" xfId="48331"/>
    <cellStyle name="Commentaire 3 3 3 3 3" xfId="4475"/>
    <cellStyle name="Commentaire 3 3 3 3 3 2" xfId="11007"/>
    <cellStyle name="Commentaire 3 3 3 3 3 2 2" xfId="30480"/>
    <cellStyle name="Commentaire 3 3 3 3 3 2 3" xfId="43460"/>
    <cellStyle name="Commentaire 3 3 3 3 3 2 4" xfId="59689"/>
    <cellStyle name="Commentaire 3 3 3 3 3 3" xfId="17500"/>
    <cellStyle name="Commentaire 3 3 3 3 3 4" xfId="23990"/>
    <cellStyle name="Commentaire 3 3 3 3 3 5" xfId="36970"/>
    <cellStyle name="Commentaire 3 3 3 3 3 6" xfId="53199"/>
    <cellStyle name="Commentaire 3 3 3 3 4" xfId="7762"/>
    <cellStyle name="Commentaire 3 3 3 3 4 2" xfId="27235"/>
    <cellStyle name="Commentaire 3 3 3 3 4 3" xfId="40215"/>
    <cellStyle name="Commentaire 3 3 3 3 4 4" xfId="56444"/>
    <cellStyle name="Commentaire 3 3 3 3 5" xfId="14255"/>
    <cellStyle name="Commentaire 3 3 3 3 5 2" xfId="49954"/>
    <cellStyle name="Commentaire 3 3 3 3 6" xfId="20745"/>
    <cellStyle name="Commentaire 3 3 3 3 7" xfId="33725"/>
    <cellStyle name="Commentaire 3 3 3 3 8" xfId="46708"/>
    <cellStyle name="Commentaire 3 3 3 4" xfId="2378"/>
    <cellStyle name="Commentaire 3 3 3 4 2" xfId="5623"/>
    <cellStyle name="Commentaire 3 3 3 4 2 2" xfId="12155"/>
    <cellStyle name="Commentaire 3 3 3 4 2 2 2" xfId="31628"/>
    <cellStyle name="Commentaire 3 3 3 4 2 2 3" xfId="44608"/>
    <cellStyle name="Commentaire 3 3 3 4 2 2 4" xfId="60837"/>
    <cellStyle name="Commentaire 3 3 3 4 2 3" xfId="18648"/>
    <cellStyle name="Commentaire 3 3 3 4 2 4" xfId="25138"/>
    <cellStyle name="Commentaire 3 3 3 4 2 5" xfId="38118"/>
    <cellStyle name="Commentaire 3 3 3 4 2 6" xfId="54347"/>
    <cellStyle name="Commentaire 3 3 3 4 3" xfId="8910"/>
    <cellStyle name="Commentaire 3 3 3 4 3 2" xfId="28383"/>
    <cellStyle name="Commentaire 3 3 3 4 3 3" xfId="41363"/>
    <cellStyle name="Commentaire 3 3 3 4 3 4" xfId="57592"/>
    <cellStyle name="Commentaire 3 3 3 4 4" xfId="15403"/>
    <cellStyle name="Commentaire 3 3 3 4 4 2" xfId="51102"/>
    <cellStyle name="Commentaire 3 3 3 4 5" xfId="21893"/>
    <cellStyle name="Commentaire 3 3 3 4 6" xfId="34873"/>
    <cellStyle name="Commentaire 3 3 3 4 7" xfId="47856"/>
    <cellStyle name="Commentaire 3 3 3 5" xfId="4000"/>
    <cellStyle name="Commentaire 3 3 3 5 2" xfId="10532"/>
    <cellStyle name="Commentaire 3 3 3 5 2 2" xfId="30005"/>
    <cellStyle name="Commentaire 3 3 3 5 2 3" xfId="42985"/>
    <cellStyle name="Commentaire 3 3 3 5 2 4" xfId="59214"/>
    <cellStyle name="Commentaire 3 3 3 5 3" xfId="17025"/>
    <cellStyle name="Commentaire 3 3 3 5 4" xfId="23515"/>
    <cellStyle name="Commentaire 3 3 3 5 5" xfId="36495"/>
    <cellStyle name="Commentaire 3 3 3 5 6" xfId="52724"/>
    <cellStyle name="Commentaire 3 3 3 6" xfId="7287"/>
    <cellStyle name="Commentaire 3 3 3 6 2" xfId="26760"/>
    <cellStyle name="Commentaire 3 3 3 6 3" xfId="39740"/>
    <cellStyle name="Commentaire 3 3 3 6 4" xfId="55969"/>
    <cellStyle name="Commentaire 3 3 3 7" xfId="13780"/>
    <cellStyle name="Commentaire 3 3 3 7 2" xfId="49479"/>
    <cellStyle name="Commentaire 3 3 3 8" xfId="20270"/>
    <cellStyle name="Commentaire 3 3 3 9" xfId="33250"/>
    <cellStyle name="Commentaire 3 3 4" xfId="480"/>
    <cellStyle name="Commentaire 3 3 4 2" xfId="1429"/>
    <cellStyle name="Commentaire 3 3 4 2 2" xfId="3096"/>
    <cellStyle name="Commentaire 3 3 4 2 2 2" xfId="6341"/>
    <cellStyle name="Commentaire 3 3 4 2 2 2 2" xfId="12873"/>
    <cellStyle name="Commentaire 3 3 4 2 2 2 2 2" xfId="32346"/>
    <cellStyle name="Commentaire 3 3 4 2 2 2 2 3" xfId="45326"/>
    <cellStyle name="Commentaire 3 3 4 2 2 2 2 4" xfId="61555"/>
    <cellStyle name="Commentaire 3 3 4 2 2 2 3" xfId="19366"/>
    <cellStyle name="Commentaire 3 3 4 2 2 2 4" xfId="25856"/>
    <cellStyle name="Commentaire 3 3 4 2 2 2 5" xfId="38836"/>
    <cellStyle name="Commentaire 3 3 4 2 2 2 6" xfId="55065"/>
    <cellStyle name="Commentaire 3 3 4 2 2 3" xfId="9628"/>
    <cellStyle name="Commentaire 3 3 4 2 2 3 2" xfId="29101"/>
    <cellStyle name="Commentaire 3 3 4 2 2 3 3" xfId="42081"/>
    <cellStyle name="Commentaire 3 3 4 2 2 3 4" xfId="58310"/>
    <cellStyle name="Commentaire 3 3 4 2 2 4" xfId="16121"/>
    <cellStyle name="Commentaire 3 3 4 2 2 4 2" xfId="51820"/>
    <cellStyle name="Commentaire 3 3 4 2 2 5" xfId="22611"/>
    <cellStyle name="Commentaire 3 3 4 2 2 6" xfId="35591"/>
    <cellStyle name="Commentaire 3 3 4 2 2 7" xfId="48574"/>
    <cellStyle name="Commentaire 3 3 4 2 3" xfId="4718"/>
    <cellStyle name="Commentaire 3 3 4 2 3 2" xfId="11250"/>
    <cellStyle name="Commentaire 3 3 4 2 3 2 2" xfId="30723"/>
    <cellStyle name="Commentaire 3 3 4 2 3 2 3" xfId="43703"/>
    <cellStyle name="Commentaire 3 3 4 2 3 2 4" xfId="59932"/>
    <cellStyle name="Commentaire 3 3 4 2 3 3" xfId="17743"/>
    <cellStyle name="Commentaire 3 3 4 2 3 4" xfId="24233"/>
    <cellStyle name="Commentaire 3 3 4 2 3 5" xfId="37213"/>
    <cellStyle name="Commentaire 3 3 4 2 3 6" xfId="53442"/>
    <cellStyle name="Commentaire 3 3 4 2 4" xfId="8005"/>
    <cellStyle name="Commentaire 3 3 4 2 4 2" xfId="27478"/>
    <cellStyle name="Commentaire 3 3 4 2 4 3" xfId="40458"/>
    <cellStyle name="Commentaire 3 3 4 2 4 4" xfId="56687"/>
    <cellStyle name="Commentaire 3 3 4 2 5" xfId="14498"/>
    <cellStyle name="Commentaire 3 3 4 2 5 2" xfId="50197"/>
    <cellStyle name="Commentaire 3 3 4 2 6" xfId="20988"/>
    <cellStyle name="Commentaire 3 3 4 2 7" xfId="33968"/>
    <cellStyle name="Commentaire 3 3 4 2 8" xfId="46951"/>
    <cellStyle name="Commentaire 3 3 4 3" xfId="2148"/>
    <cellStyle name="Commentaire 3 3 4 3 2" xfId="5393"/>
    <cellStyle name="Commentaire 3 3 4 3 2 2" xfId="11925"/>
    <cellStyle name="Commentaire 3 3 4 3 2 2 2" xfId="31398"/>
    <cellStyle name="Commentaire 3 3 4 3 2 2 3" xfId="44378"/>
    <cellStyle name="Commentaire 3 3 4 3 2 2 4" xfId="60607"/>
    <cellStyle name="Commentaire 3 3 4 3 2 3" xfId="18418"/>
    <cellStyle name="Commentaire 3 3 4 3 2 4" xfId="24908"/>
    <cellStyle name="Commentaire 3 3 4 3 2 5" xfId="37888"/>
    <cellStyle name="Commentaire 3 3 4 3 2 6" xfId="54117"/>
    <cellStyle name="Commentaire 3 3 4 3 3" xfId="8680"/>
    <cellStyle name="Commentaire 3 3 4 3 3 2" xfId="28153"/>
    <cellStyle name="Commentaire 3 3 4 3 3 3" xfId="41133"/>
    <cellStyle name="Commentaire 3 3 4 3 3 4" xfId="57362"/>
    <cellStyle name="Commentaire 3 3 4 3 4" xfId="15173"/>
    <cellStyle name="Commentaire 3 3 4 3 4 2" xfId="50872"/>
    <cellStyle name="Commentaire 3 3 4 3 5" xfId="21663"/>
    <cellStyle name="Commentaire 3 3 4 3 6" xfId="34643"/>
    <cellStyle name="Commentaire 3 3 4 3 7" xfId="47626"/>
    <cellStyle name="Commentaire 3 3 4 4" xfId="3770"/>
    <cellStyle name="Commentaire 3 3 4 4 2" xfId="10302"/>
    <cellStyle name="Commentaire 3 3 4 4 2 2" xfId="29775"/>
    <cellStyle name="Commentaire 3 3 4 4 2 3" xfId="42755"/>
    <cellStyle name="Commentaire 3 3 4 4 2 4" xfId="58984"/>
    <cellStyle name="Commentaire 3 3 4 4 3" xfId="16795"/>
    <cellStyle name="Commentaire 3 3 4 4 4" xfId="23285"/>
    <cellStyle name="Commentaire 3 3 4 4 5" xfId="36265"/>
    <cellStyle name="Commentaire 3 3 4 4 6" xfId="52494"/>
    <cellStyle name="Commentaire 3 3 4 5" xfId="7057"/>
    <cellStyle name="Commentaire 3 3 4 5 2" xfId="26530"/>
    <cellStyle name="Commentaire 3 3 4 5 3" xfId="39510"/>
    <cellStyle name="Commentaire 3 3 4 5 4" xfId="55739"/>
    <cellStyle name="Commentaire 3 3 4 6" xfId="13550"/>
    <cellStyle name="Commentaire 3 3 4 6 2" xfId="49249"/>
    <cellStyle name="Commentaire 3 3 4 7" xfId="20040"/>
    <cellStyle name="Commentaire 3 3 4 8" xfId="33020"/>
    <cellStyle name="Commentaire 3 3 4 9" xfId="46003"/>
    <cellStyle name="Commentaire 3 3 5" xfId="966"/>
    <cellStyle name="Commentaire 3 3 5 2" xfId="2633"/>
    <cellStyle name="Commentaire 3 3 5 2 2" xfId="5878"/>
    <cellStyle name="Commentaire 3 3 5 2 2 2" xfId="12410"/>
    <cellStyle name="Commentaire 3 3 5 2 2 2 2" xfId="31883"/>
    <cellStyle name="Commentaire 3 3 5 2 2 2 3" xfId="44863"/>
    <cellStyle name="Commentaire 3 3 5 2 2 2 4" xfId="61092"/>
    <cellStyle name="Commentaire 3 3 5 2 2 3" xfId="18903"/>
    <cellStyle name="Commentaire 3 3 5 2 2 4" xfId="25393"/>
    <cellStyle name="Commentaire 3 3 5 2 2 5" xfId="38373"/>
    <cellStyle name="Commentaire 3 3 5 2 2 6" xfId="54602"/>
    <cellStyle name="Commentaire 3 3 5 2 3" xfId="9165"/>
    <cellStyle name="Commentaire 3 3 5 2 3 2" xfId="28638"/>
    <cellStyle name="Commentaire 3 3 5 2 3 3" xfId="41618"/>
    <cellStyle name="Commentaire 3 3 5 2 3 4" xfId="57847"/>
    <cellStyle name="Commentaire 3 3 5 2 4" xfId="15658"/>
    <cellStyle name="Commentaire 3 3 5 2 4 2" xfId="51357"/>
    <cellStyle name="Commentaire 3 3 5 2 5" xfId="22148"/>
    <cellStyle name="Commentaire 3 3 5 2 6" xfId="35128"/>
    <cellStyle name="Commentaire 3 3 5 2 7" xfId="48111"/>
    <cellStyle name="Commentaire 3 3 5 3" xfId="4255"/>
    <cellStyle name="Commentaire 3 3 5 3 2" xfId="10787"/>
    <cellStyle name="Commentaire 3 3 5 3 2 2" xfId="30260"/>
    <cellStyle name="Commentaire 3 3 5 3 2 3" xfId="43240"/>
    <cellStyle name="Commentaire 3 3 5 3 2 4" xfId="59469"/>
    <cellStyle name="Commentaire 3 3 5 3 3" xfId="17280"/>
    <cellStyle name="Commentaire 3 3 5 3 4" xfId="23770"/>
    <cellStyle name="Commentaire 3 3 5 3 5" xfId="36750"/>
    <cellStyle name="Commentaire 3 3 5 3 6" xfId="52979"/>
    <cellStyle name="Commentaire 3 3 5 4" xfId="7542"/>
    <cellStyle name="Commentaire 3 3 5 4 2" xfId="27015"/>
    <cellStyle name="Commentaire 3 3 5 4 3" xfId="39995"/>
    <cellStyle name="Commentaire 3 3 5 4 4" xfId="56224"/>
    <cellStyle name="Commentaire 3 3 5 5" xfId="14035"/>
    <cellStyle name="Commentaire 3 3 5 5 2" xfId="49734"/>
    <cellStyle name="Commentaire 3 3 5 6" xfId="20525"/>
    <cellStyle name="Commentaire 3 3 5 7" xfId="33505"/>
    <cellStyle name="Commentaire 3 3 5 8" xfId="46488"/>
    <cellStyle name="Commentaire 3 3 6" xfId="1919"/>
    <cellStyle name="Commentaire 3 3 6 2" xfId="5164"/>
    <cellStyle name="Commentaire 3 3 6 2 2" xfId="11696"/>
    <cellStyle name="Commentaire 3 3 6 2 2 2" xfId="31169"/>
    <cellStyle name="Commentaire 3 3 6 2 2 3" xfId="44149"/>
    <cellStyle name="Commentaire 3 3 6 2 2 4" xfId="60378"/>
    <cellStyle name="Commentaire 3 3 6 2 3" xfId="18189"/>
    <cellStyle name="Commentaire 3 3 6 2 4" xfId="24679"/>
    <cellStyle name="Commentaire 3 3 6 2 5" xfId="37659"/>
    <cellStyle name="Commentaire 3 3 6 2 6" xfId="53888"/>
    <cellStyle name="Commentaire 3 3 6 3" xfId="8451"/>
    <cellStyle name="Commentaire 3 3 6 3 2" xfId="27924"/>
    <cellStyle name="Commentaire 3 3 6 3 3" xfId="40904"/>
    <cellStyle name="Commentaire 3 3 6 3 4" xfId="57133"/>
    <cellStyle name="Commentaire 3 3 6 4" xfId="14944"/>
    <cellStyle name="Commentaire 3 3 6 4 2" xfId="50643"/>
    <cellStyle name="Commentaire 3 3 6 5" xfId="21434"/>
    <cellStyle name="Commentaire 3 3 6 6" xfId="34414"/>
    <cellStyle name="Commentaire 3 3 6 7" xfId="47397"/>
    <cellStyle name="Commentaire 3 3 7" xfId="3540"/>
    <cellStyle name="Commentaire 3 3 7 2" xfId="10072"/>
    <cellStyle name="Commentaire 3 3 7 2 2" xfId="29545"/>
    <cellStyle name="Commentaire 3 3 7 2 3" xfId="42525"/>
    <cellStyle name="Commentaire 3 3 7 2 4" xfId="58754"/>
    <cellStyle name="Commentaire 3 3 7 3" xfId="16565"/>
    <cellStyle name="Commentaire 3 3 7 4" xfId="23055"/>
    <cellStyle name="Commentaire 3 3 7 5" xfId="36035"/>
    <cellStyle name="Commentaire 3 3 7 6" xfId="52264"/>
    <cellStyle name="Commentaire 3 3 8" xfId="6827"/>
    <cellStyle name="Commentaire 3 3 8 2" xfId="26300"/>
    <cellStyle name="Commentaire 3 3 8 3" xfId="39280"/>
    <cellStyle name="Commentaire 3 3 8 4" xfId="55509"/>
    <cellStyle name="Commentaire 3 3 9" xfId="13320"/>
    <cellStyle name="Commentaire 3 3 9 2" xfId="49019"/>
    <cellStyle name="Commentaire 3 4" xfId="202"/>
    <cellStyle name="Commentaire 3 4 10" xfId="32746"/>
    <cellStyle name="Commentaire 3 4 11" xfId="45729"/>
    <cellStyle name="Commentaire 3 4 2" xfId="666"/>
    <cellStyle name="Commentaire 3 4 2 10" xfId="46189"/>
    <cellStyle name="Commentaire 3 4 2 2" xfId="1605"/>
    <cellStyle name="Commentaire 3 4 2 2 2" xfId="3272"/>
    <cellStyle name="Commentaire 3 4 2 2 2 2" xfId="6517"/>
    <cellStyle name="Commentaire 3 4 2 2 2 2 2" xfId="13049"/>
    <cellStyle name="Commentaire 3 4 2 2 2 2 2 2" xfId="32522"/>
    <cellStyle name="Commentaire 3 4 2 2 2 2 2 3" xfId="45502"/>
    <cellStyle name="Commentaire 3 4 2 2 2 2 2 4" xfId="61731"/>
    <cellStyle name="Commentaire 3 4 2 2 2 2 3" xfId="19542"/>
    <cellStyle name="Commentaire 3 4 2 2 2 2 4" xfId="26032"/>
    <cellStyle name="Commentaire 3 4 2 2 2 2 5" xfId="39012"/>
    <cellStyle name="Commentaire 3 4 2 2 2 2 6" xfId="55241"/>
    <cellStyle name="Commentaire 3 4 2 2 2 3" xfId="9804"/>
    <cellStyle name="Commentaire 3 4 2 2 2 3 2" xfId="29277"/>
    <cellStyle name="Commentaire 3 4 2 2 2 3 3" xfId="42257"/>
    <cellStyle name="Commentaire 3 4 2 2 2 3 4" xfId="58486"/>
    <cellStyle name="Commentaire 3 4 2 2 2 4" xfId="16297"/>
    <cellStyle name="Commentaire 3 4 2 2 2 4 2" xfId="51996"/>
    <cellStyle name="Commentaire 3 4 2 2 2 5" xfId="22787"/>
    <cellStyle name="Commentaire 3 4 2 2 2 6" xfId="35767"/>
    <cellStyle name="Commentaire 3 4 2 2 2 7" xfId="48750"/>
    <cellStyle name="Commentaire 3 4 2 2 3" xfId="4894"/>
    <cellStyle name="Commentaire 3 4 2 2 3 2" xfId="11426"/>
    <cellStyle name="Commentaire 3 4 2 2 3 2 2" xfId="30899"/>
    <cellStyle name="Commentaire 3 4 2 2 3 2 3" xfId="43879"/>
    <cellStyle name="Commentaire 3 4 2 2 3 2 4" xfId="60108"/>
    <cellStyle name="Commentaire 3 4 2 2 3 3" xfId="17919"/>
    <cellStyle name="Commentaire 3 4 2 2 3 4" xfId="24409"/>
    <cellStyle name="Commentaire 3 4 2 2 3 5" xfId="37389"/>
    <cellStyle name="Commentaire 3 4 2 2 3 6" xfId="53618"/>
    <cellStyle name="Commentaire 3 4 2 2 4" xfId="8181"/>
    <cellStyle name="Commentaire 3 4 2 2 4 2" xfId="27654"/>
    <cellStyle name="Commentaire 3 4 2 2 4 3" xfId="40634"/>
    <cellStyle name="Commentaire 3 4 2 2 4 4" xfId="56863"/>
    <cellStyle name="Commentaire 3 4 2 2 5" xfId="14674"/>
    <cellStyle name="Commentaire 3 4 2 2 5 2" xfId="50373"/>
    <cellStyle name="Commentaire 3 4 2 2 6" xfId="21164"/>
    <cellStyle name="Commentaire 3 4 2 2 7" xfId="34144"/>
    <cellStyle name="Commentaire 3 4 2 2 8" xfId="47127"/>
    <cellStyle name="Commentaire 3 4 2 3" xfId="1142"/>
    <cellStyle name="Commentaire 3 4 2 3 2" xfId="2809"/>
    <cellStyle name="Commentaire 3 4 2 3 2 2" xfId="6054"/>
    <cellStyle name="Commentaire 3 4 2 3 2 2 2" xfId="12586"/>
    <cellStyle name="Commentaire 3 4 2 3 2 2 2 2" xfId="32059"/>
    <cellStyle name="Commentaire 3 4 2 3 2 2 2 3" xfId="45039"/>
    <cellStyle name="Commentaire 3 4 2 3 2 2 2 4" xfId="61268"/>
    <cellStyle name="Commentaire 3 4 2 3 2 2 3" xfId="19079"/>
    <cellStyle name="Commentaire 3 4 2 3 2 2 4" xfId="25569"/>
    <cellStyle name="Commentaire 3 4 2 3 2 2 5" xfId="38549"/>
    <cellStyle name="Commentaire 3 4 2 3 2 2 6" xfId="54778"/>
    <cellStyle name="Commentaire 3 4 2 3 2 3" xfId="9341"/>
    <cellStyle name="Commentaire 3 4 2 3 2 3 2" xfId="28814"/>
    <cellStyle name="Commentaire 3 4 2 3 2 3 3" xfId="41794"/>
    <cellStyle name="Commentaire 3 4 2 3 2 3 4" xfId="58023"/>
    <cellStyle name="Commentaire 3 4 2 3 2 4" xfId="15834"/>
    <cellStyle name="Commentaire 3 4 2 3 2 4 2" xfId="51533"/>
    <cellStyle name="Commentaire 3 4 2 3 2 5" xfId="22324"/>
    <cellStyle name="Commentaire 3 4 2 3 2 6" xfId="35304"/>
    <cellStyle name="Commentaire 3 4 2 3 2 7" xfId="48287"/>
    <cellStyle name="Commentaire 3 4 2 3 3" xfId="4431"/>
    <cellStyle name="Commentaire 3 4 2 3 3 2" xfId="10963"/>
    <cellStyle name="Commentaire 3 4 2 3 3 2 2" xfId="30436"/>
    <cellStyle name="Commentaire 3 4 2 3 3 2 3" xfId="43416"/>
    <cellStyle name="Commentaire 3 4 2 3 3 2 4" xfId="59645"/>
    <cellStyle name="Commentaire 3 4 2 3 3 3" xfId="17456"/>
    <cellStyle name="Commentaire 3 4 2 3 3 4" xfId="23946"/>
    <cellStyle name="Commentaire 3 4 2 3 3 5" xfId="36926"/>
    <cellStyle name="Commentaire 3 4 2 3 3 6" xfId="53155"/>
    <cellStyle name="Commentaire 3 4 2 3 4" xfId="7718"/>
    <cellStyle name="Commentaire 3 4 2 3 4 2" xfId="27191"/>
    <cellStyle name="Commentaire 3 4 2 3 4 3" xfId="40171"/>
    <cellStyle name="Commentaire 3 4 2 3 4 4" xfId="56400"/>
    <cellStyle name="Commentaire 3 4 2 3 5" xfId="14211"/>
    <cellStyle name="Commentaire 3 4 2 3 5 2" xfId="49910"/>
    <cellStyle name="Commentaire 3 4 2 3 6" xfId="20701"/>
    <cellStyle name="Commentaire 3 4 2 3 7" xfId="33681"/>
    <cellStyle name="Commentaire 3 4 2 3 8" xfId="46664"/>
    <cellStyle name="Commentaire 3 4 2 4" xfId="2334"/>
    <cellStyle name="Commentaire 3 4 2 4 2" xfId="5579"/>
    <cellStyle name="Commentaire 3 4 2 4 2 2" xfId="12111"/>
    <cellStyle name="Commentaire 3 4 2 4 2 2 2" xfId="31584"/>
    <cellStyle name="Commentaire 3 4 2 4 2 2 3" xfId="44564"/>
    <cellStyle name="Commentaire 3 4 2 4 2 2 4" xfId="60793"/>
    <cellStyle name="Commentaire 3 4 2 4 2 3" xfId="18604"/>
    <cellStyle name="Commentaire 3 4 2 4 2 4" xfId="25094"/>
    <cellStyle name="Commentaire 3 4 2 4 2 5" xfId="38074"/>
    <cellStyle name="Commentaire 3 4 2 4 2 6" xfId="54303"/>
    <cellStyle name="Commentaire 3 4 2 4 3" xfId="8866"/>
    <cellStyle name="Commentaire 3 4 2 4 3 2" xfId="28339"/>
    <cellStyle name="Commentaire 3 4 2 4 3 3" xfId="41319"/>
    <cellStyle name="Commentaire 3 4 2 4 3 4" xfId="57548"/>
    <cellStyle name="Commentaire 3 4 2 4 4" xfId="15359"/>
    <cellStyle name="Commentaire 3 4 2 4 4 2" xfId="51058"/>
    <cellStyle name="Commentaire 3 4 2 4 5" xfId="21849"/>
    <cellStyle name="Commentaire 3 4 2 4 6" xfId="34829"/>
    <cellStyle name="Commentaire 3 4 2 4 7" xfId="47812"/>
    <cellStyle name="Commentaire 3 4 2 5" xfId="3956"/>
    <cellStyle name="Commentaire 3 4 2 5 2" xfId="10488"/>
    <cellStyle name="Commentaire 3 4 2 5 2 2" xfId="29961"/>
    <cellStyle name="Commentaire 3 4 2 5 2 3" xfId="42941"/>
    <cellStyle name="Commentaire 3 4 2 5 2 4" xfId="59170"/>
    <cellStyle name="Commentaire 3 4 2 5 3" xfId="16981"/>
    <cellStyle name="Commentaire 3 4 2 5 4" xfId="23471"/>
    <cellStyle name="Commentaire 3 4 2 5 5" xfId="36451"/>
    <cellStyle name="Commentaire 3 4 2 5 6" xfId="52680"/>
    <cellStyle name="Commentaire 3 4 2 6" xfId="7243"/>
    <cellStyle name="Commentaire 3 4 2 6 2" xfId="26716"/>
    <cellStyle name="Commentaire 3 4 2 6 3" xfId="39696"/>
    <cellStyle name="Commentaire 3 4 2 6 4" xfId="55925"/>
    <cellStyle name="Commentaire 3 4 2 7" xfId="13736"/>
    <cellStyle name="Commentaire 3 4 2 7 2" xfId="49435"/>
    <cellStyle name="Commentaire 3 4 2 8" xfId="20226"/>
    <cellStyle name="Commentaire 3 4 2 9" xfId="33206"/>
    <cellStyle name="Commentaire 3 4 3" xfId="436"/>
    <cellStyle name="Commentaire 3 4 3 2" xfId="1385"/>
    <cellStyle name="Commentaire 3 4 3 2 2" xfId="3052"/>
    <cellStyle name="Commentaire 3 4 3 2 2 2" xfId="6297"/>
    <cellStyle name="Commentaire 3 4 3 2 2 2 2" xfId="12829"/>
    <cellStyle name="Commentaire 3 4 3 2 2 2 2 2" xfId="32302"/>
    <cellStyle name="Commentaire 3 4 3 2 2 2 2 3" xfId="45282"/>
    <cellStyle name="Commentaire 3 4 3 2 2 2 2 4" xfId="61511"/>
    <cellStyle name="Commentaire 3 4 3 2 2 2 3" xfId="19322"/>
    <cellStyle name="Commentaire 3 4 3 2 2 2 4" xfId="25812"/>
    <cellStyle name="Commentaire 3 4 3 2 2 2 5" xfId="38792"/>
    <cellStyle name="Commentaire 3 4 3 2 2 2 6" xfId="55021"/>
    <cellStyle name="Commentaire 3 4 3 2 2 3" xfId="9584"/>
    <cellStyle name="Commentaire 3 4 3 2 2 3 2" xfId="29057"/>
    <cellStyle name="Commentaire 3 4 3 2 2 3 3" xfId="42037"/>
    <cellStyle name="Commentaire 3 4 3 2 2 3 4" xfId="58266"/>
    <cellStyle name="Commentaire 3 4 3 2 2 4" xfId="16077"/>
    <cellStyle name="Commentaire 3 4 3 2 2 4 2" xfId="51776"/>
    <cellStyle name="Commentaire 3 4 3 2 2 5" xfId="22567"/>
    <cellStyle name="Commentaire 3 4 3 2 2 6" xfId="35547"/>
    <cellStyle name="Commentaire 3 4 3 2 2 7" xfId="48530"/>
    <cellStyle name="Commentaire 3 4 3 2 3" xfId="4674"/>
    <cellStyle name="Commentaire 3 4 3 2 3 2" xfId="11206"/>
    <cellStyle name="Commentaire 3 4 3 2 3 2 2" xfId="30679"/>
    <cellStyle name="Commentaire 3 4 3 2 3 2 3" xfId="43659"/>
    <cellStyle name="Commentaire 3 4 3 2 3 2 4" xfId="59888"/>
    <cellStyle name="Commentaire 3 4 3 2 3 3" xfId="17699"/>
    <cellStyle name="Commentaire 3 4 3 2 3 4" xfId="24189"/>
    <cellStyle name="Commentaire 3 4 3 2 3 5" xfId="37169"/>
    <cellStyle name="Commentaire 3 4 3 2 3 6" xfId="53398"/>
    <cellStyle name="Commentaire 3 4 3 2 4" xfId="7961"/>
    <cellStyle name="Commentaire 3 4 3 2 4 2" xfId="27434"/>
    <cellStyle name="Commentaire 3 4 3 2 4 3" xfId="40414"/>
    <cellStyle name="Commentaire 3 4 3 2 4 4" xfId="56643"/>
    <cellStyle name="Commentaire 3 4 3 2 5" xfId="14454"/>
    <cellStyle name="Commentaire 3 4 3 2 5 2" xfId="50153"/>
    <cellStyle name="Commentaire 3 4 3 2 6" xfId="20944"/>
    <cellStyle name="Commentaire 3 4 3 2 7" xfId="33924"/>
    <cellStyle name="Commentaire 3 4 3 2 8" xfId="46907"/>
    <cellStyle name="Commentaire 3 4 3 3" xfId="2104"/>
    <cellStyle name="Commentaire 3 4 3 3 2" xfId="5349"/>
    <cellStyle name="Commentaire 3 4 3 3 2 2" xfId="11881"/>
    <cellStyle name="Commentaire 3 4 3 3 2 2 2" xfId="31354"/>
    <cellStyle name="Commentaire 3 4 3 3 2 2 3" xfId="44334"/>
    <cellStyle name="Commentaire 3 4 3 3 2 2 4" xfId="60563"/>
    <cellStyle name="Commentaire 3 4 3 3 2 3" xfId="18374"/>
    <cellStyle name="Commentaire 3 4 3 3 2 4" xfId="24864"/>
    <cellStyle name="Commentaire 3 4 3 3 2 5" xfId="37844"/>
    <cellStyle name="Commentaire 3 4 3 3 2 6" xfId="54073"/>
    <cellStyle name="Commentaire 3 4 3 3 3" xfId="8636"/>
    <cellStyle name="Commentaire 3 4 3 3 3 2" xfId="28109"/>
    <cellStyle name="Commentaire 3 4 3 3 3 3" xfId="41089"/>
    <cellStyle name="Commentaire 3 4 3 3 3 4" xfId="57318"/>
    <cellStyle name="Commentaire 3 4 3 3 4" xfId="15129"/>
    <cellStyle name="Commentaire 3 4 3 3 4 2" xfId="50828"/>
    <cellStyle name="Commentaire 3 4 3 3 5" xfId="21619"/>
    <cellStyle name="Commentaire 3 4 3 3 6" xfId="34599"/>
    <cellStyle name="Commentaire 3 4 3 3 7" xfId="47582"/>
    <cellStyle name="Commentaire 3 4 3 4" xfId="3726"/>
    <cellStyle name="Commentaire 3 4 3 4 2" xfId="10258"/>
    <cellStyle name="Commentaire 3 4 3 4 2 2" xfId="29731"/>
    <cellStyle name="Commentaire 3 4 3 4 2 3" xfId="42711"/>
    <cellStyle name="Commentaire 3 4 3 4 2 4" xfId="58940"/>
    <cellStyle name="Commentaire 3 4 3 4 3" xfId="16751"/>
    <cellStyle name="Commentaire 3 4 3 4 4" xfId="23241"/>
    <cellStyle name="Commentaire 3 4 3 4 5" xfId="36221"/>
    <cellStyle name="Commentaire 3 4 3 4 6" xfId="52450"/>
    <cellStyle name="Commentaire 3 4 3 5" xfId="7013"/>
    <cellStyle name="Commentaire 3 4 3 5 2" xfId="26486"/>
    <cellStyle name="Commentaire 3 4 3 5 3" xfId="39466"/>
    <cellStyle name="Commentaire 3 4 3 5 4" xfId="55695"/>
    <cellStyle name="Commentaire 3 4 3 6" xfId="13506"/>
    <cellStyle name="Commentaire 3 4 3 6 2" xfId="49205"/>
    <cellStyle name="Commentaire 3 4 3 7" xfId="19996"/>
    <cellStyle name="Commentaire 3 4 3 8" xfId="32976"/>
    <cellStyle name="Commentaire 3 4 3 9" xfId="45959"/>
    <cellStyle name="Commentaire 3 4 4" xfId="922"/>
    <cellStyle name="Commentaire 3 4 4 2" xfId="2589"/>
    <cellStyle name="Commentaire 3 4 4 2 2" xfId="5834"/>
    <cellStyle name="Commentaire 3 4 4 2 2 2" xfId="12366"/>
    <cellStyle name="Commentaire 3 4 4 2 2 2 2" xfId="31839"/>
    <cellStyle name="Commentaire 3 4 4 2 2 2 3" xfId="44819"/>
    <cellStyle name="Commentaire 3 4 4 2 2 2 4" xfId="61048"/>
    <cellStyle name="Commentaire 3 4 4 2 2 3" xfId="18859"/>
    <cellStyle name="Commentaire 3 4 4 2 2 4" xfId="25349"/>
    <cellStyle name="Commentaire 3 4 4 2 2 5" xfId="38329"/>
    <cellStyle name="Commentaire 3 4 4 2 2 6" xfId="54558"/>
    <cellStyle name="Commentaire 3 4 4 2 3" xfId="9121"/>
    <cellStyle name="Commentaire 3 4 4 2 3 2" xfId="28594"/>
    <cellStyle name="Commentaire 3 4 4 2 3 3" xfId="41574"/>
    <cellStyle name="Commentaire 3 4 4 2 3 4" xfId="57803"/>
    <cellStyle name="Commentaire 3 4 4 2 4" xfId="15614"/>
    <cellStyle name="Commentaire 3 4 4 2 4 2" xfId="51313"/>
    <cellStyle name="Commentaire 3 4 4 2 5" xfId="22104"/>
    <cellStyle name="Commentaire 3 4 4 2 6" xfId="35084"/>
    <cellStyle name="Commentaire 3 4 4 2 7" xfId="48067"/>
    <cellStyle name="Commentaire 3 4 4 3" xfId="4211"/>
    <cellStyle name="Commentaire 3 4 4 3 2" xfId="10743"/>
    <cellStyle name="Commentaire 3 4 4 3 2 2" xfId="30216"/>
    <cellStyle name="Commentaire 3 4 4 3 2 3" xfId="43196"/>
    <cellStyle name="Commentaire 3 4 4 3 2 4" xfId="59425"/>
    <cellStyle name="Commentaire 3 4 4 3 3" xfId="17236"/>
    <cellStyle name="Commentaire 3 4 4 3 4" xfId="23726"/>
    <cellStyle name="Commentaire 3 4 4 3 5" xfId="36706"/>
    <cellStyle name="Commentaire 3 4 4 3 6" xfId="52935"/>
    <cellStyle name="Commentaire 3 4 4 4" xfId="7498"/>
    <cellStyle name="Commentaire 3 4 4 4 2" xfId="26971"/>
    <cellStyle name="Commentaire 3 4 4 4 3" xfId="39951"/>
    <cellStyle name="Commentaire 3 4 4 4 4" xfId="56180"/>
    <cellStyle name="Commentaire 3 4 4 5" xfId="13991"/>
    <cellStyle name="Commentaire 3 4 4 5 2" xfId="49690"/>
    <cellStyle name="Commentaire 3 4 4 6" xfId="20481"/>
    <cellStyle name="Commentaire 3 4 4 7" xfId="33461"/>
    <cellStyle name="Commentaire 3 4 4 8" xfId="46444"/>
    <cellStyle name="Commentaire 3 4 5" xfId="1875"/>
    <cellStyle name="Commentaire 3 4 5 2" xfId="5120"/>
    <cellStyle name="Commentaire 3 4 5 2 2" xfId="11652"/>
    <cellStyle name="Commentaire 3 4 5 2 2 2" xfId="31125"/>
    <cellStyle name="Commentaire 3 4 5 2 2 3" xfId="44105"/>
    <cellStyle name="Commentaire 3 4 5 2 2 4" xfId="60334"/>
    <cellStyle name="Commentaire 3 4 5 2 3" xfId="18145"/>
    <cellStyle name="Commentaire 3 4 5 2 4" xfId="24635"/>
    <cellStyle name="Commentaire 3 4 5 2 5" xfId="37615"/>
    <cellStyle name="Commentaire 3 4 5 2 6" xfId="53844"/>
    <cellStyle name="Commentaire 3 4 5 3" xfId="8407"/>
    <cellStyle name="Commentaire 3 4 5 3 2" xfId="27880"/>
    <cellStyle name="Commentaire 3 4 5 3 3" xfId="40860"/>
    <cellStyle name="Commentaire 3 4 5 3 4" xfId="57089"/>
    <cellStyle name="Commentaire 3 4 5 4" xfId="14900"/>
    <cellStyle name="Commentaire 3 4 5 4 2" xfId="50599"/>
    <cellStyle name="Commentaire 3 4 5 5" xfId="21390"/>
    <cellStyle name="Commentaire 3 4 5 6" xfId="34370"/>
    <cellStyle name="Commentaire 3 4 5 7" xfId="47353"/>
    <cellStyle name="Commentaire 3 4 6" xfId="3496"/>
    <cellStyle name="Commentaire 3 4 6 2" xfId="10028"/>
    <cellStyle name="Commentaire 3 4 6 2 2" xfId="29501"/>
    <cellStyle name="Commentaire 3 4 6 2 3" xfId="42481"/>
    <cellStyle name="Commentaire 3 4 6 2 4" xfId="58710"/>
    <cellStyle name="Commentaire 3 4 6 3" xfId="16521"/>
    <cellStyle name="Commentaire 3 4 6 4" xfId="23011"/>
    <cellStyle name="Commentaire 3 4 6 5" xfId="35991"/>
    <cellStyle name="Commentaire 3 4 6 6" xfId="52220"/>
    <cellStyle name="Commentaire 3 4 7" xfId="6783"/>
    <cellStyle name="Commentaire 3 4 7 2" xfId="26256"/>
    <cellStyle name="Commentaire 3 4 7 3" xfId="39236"/>
    <cellStyle name="Commentaire 3 4 7 4" xfId="55465"/>
    <cellStyle name="Commentaire 3 4 8" xfId="13276"/>
    <cellStyle name="Commentaire 3 4 8 2" xfId="48975"/>
    <cellStyle name="Commentaire 3 4 9" xfId="19766"/>
    <cellStyle name="Commentaire 3 5" xfId="290"/>
    <cellStyle name="Commentaire 3 5 10" xfId="32834"/>
    <cellStyle name="Commentaire 3 5 11" xfId="45817"/>
    <cellStyle name="Commentaire 3 5 2" xfId="754"/>
    <cellStyle name="Commentaire 3 5 2 10" xfId="46277"/>
    <cellStyle name="Commentaire 3 5 2 2" xfId="1693"/>
    <cellStyle name="Commentaire 3 5 2 2 2" xfId="3360"/>
    <cellStyle name="Commentaire 3 5 2 2 2 2" xfId="6605"/>
    <cellStyle name="Commentaire 3 5 2 2 2 2 2" xfId="13137"/>
    <cellStyle name="Commentaire 3 5 2 2 2 2 2 2" xfId="32610"/>
    <cellStyle name="Commentaire 3 5 2 2 2 2 2 3" xfId="45590"/>
    <cellStyle name="Commentaire 3 5 2 2 2 2 2 4" xfId="61819"/>
    <cellStyle name="Commentaire 3 5 2 2 2 2 3" xfId="19630"/>
    <cellStyle name="Commentaire 3 5 2 2 2 2 4" xfId="26120"/>
    <cellStyle name="Commentaire 3 5 2 2 2 2 5" xfId="39100"/>
    <cellStyle name="Commentaire 3 5 2 2 2 2 6" xfId="55329"/>
    <cellStyle name="Commentaire 3 5 2 2 2 3" xfId="9892"/>
    <cellStyle name="Commentaire 3 5 2 2 2 3 2" xfId="29365"/>
    <cellStyle name="Commentaire 3 5 2 2 2 3 3" xfId="42345"/>
    <cellStyle name="Commentaire 3 5 2 2 2 3 4" xfId="58574"/>
    <cellStyle name="Commentaire 3 5 2 2 2 4" xfId="16385"/>
    <cellStyle name="Commentaire 3 5 2 2 2 4 2" xfId="52084"/>
    <cellStyle name="Commentaire 3 5 2 2 2 5" xfId="22875"/>
    <cellStyle name="Commentaire 3 5 2 2 2 6" xfId="35855"/>
    <cellStyle name="Commentaire 3 5 2 2 2 7" xfId="48838"/>
    <cellStyle name="Commentaire 3 5 2 2 3" xfId="4982"/>
    <cellStyle name="Commentaire 3 5 2 2 3 2" xfId="11514"/>
    <cellStyle name="Commentaire 3 5 2 2 3 2 2" xfId="30987"/>
    <cellStyle name="Commentaire 3 5 2 2 3 2 3" xfId="43967"/>
    <cellStyle name="Commentaire 3 5 2 2 3 2 4" xfId="60196"/>
    <cellStyle name="Commentaire 3 5 2 2 3 3" xfId="18007"/>
    <cellStyle name="Commentaire 3 5 2 2 3 4" xfId="24497"/>
    <cellStyle name="Commentaire 3 5 2 2 3 5" xfId="37477"/>
    <cellStyle name="Commentaire 3 5 2 2 3 6" xfId="53706"/>
    <cellStyle name="Commentaire 3 5 2 2 4" xfId="8269"/>
    <cellStyle name="Commentaire 3 5 2 2 4 2" xfId="27742"/>
    <cellStyle name="Commentaire 3 5 2 2 4 3" xfId="40722"/>
    <cellStyle name="Commentaire 3 5 2 2 4 4" xfId="56951"/>
    <cellStyle name="Commentaire 3 5 2 2 5" xfId="14762"/>
    <cellStyle name="Commentaire 3 5 2 2 5 2" xfId="50461"/>
    <cellStyle name="Commentaire 3 5 2 2 6" xfId="21252"/>
    <cellStyle name="Commentaire 3 5 2 2 7" xfId="34232"/>
    <cellStyle name="Commentaire 3 5 2 2 8" xfId="47215"/>
    <cellStyle name="Commentaire 3 5 2 3" xfId="1230"/>
    <cellStyle name="Commentaire 3 5 2 3 2" xfId="2897"/>
    <cellStyle name="Commentaire 3 5 2 3 2 2" xfId="6142"/>
    <cellStyle name="Commentaire 3 5 2 3 2 2 2" xfId="12674"/>
    <cellStyle name="Commentaire 3 5 2 3 2 2 2 2" xfId="32147"/>
    <cellStyle name="Commentaire 3 5 2 3 2 2 2 3" xfId="45127"/>
    <cellStyle name="Commentaire 3 5 2 3 2 2 2 4" xfId="61356"/>
    <cellStyle name="Commentaire 3 5 2 3 2 2 3" xfId="19167"/>
    <cellStyle name="Commentaire 3 5 2 3 2 2 4" xfId="25657"/>
    <cellStyle name="Commentaire 3 5 2 3 2 2 5" xfId="38637"/>
    <cellStyle name="Commentaire 3 5 2 3 2 2 6" xfId="54866"/>
    <cellStyle name="Commentaire 3 5 2 3 2 3" xfId="9429"/>
    <cellStyle name="Commentaire 3 5 2 3 2 3 2" xfId="28902"/>
    <cellStyle name="Commentaire 3 5 2 3 2 3 3" xfId="41882"/>
    <cellStyle name="Commentaire 3 5 2 3 2 3 4" xfId="58111"/>
    <cellStyle name="Commentaire 3 5 2 3 2 4" xfId="15922"/>
    <cellStyle name="Commentaire 3 5 2 3 2 4 2" xfId="51621"/>
    <cellStyle name="Commentaire 3 5 2 3 2 5" xfId="22412"/>
    <cellStyle name="Commentaire 3 5 2 3 2 6" xfId="35392"/>
    <cellStyle name="Commentaire 3 5 2 3 2 7" xfId="48375"/>
    <cellStyle name="Commentaire 3 5 2 3 3" xfId="4519"/>
    <cellStyle name="Commentaire 3 5 2 3 3 2" xfId="11051"/>
    <cellStyle name="Commentaire 3 5 2 3 3 2 2" xfId="30524"/>
    <cellStyle name="Commentaire 3 5 2 3 3 2 3" xfId="43504"/>
    <cellStyle name="Commentaire 3 5 2 3 3 2 4" xfId="59733"/>
    <cellStyle name="Commentaire 3 5 2 3 3 3" xfId="17544"/>
    <cellStyle name="Commentaire 3 5 2 3 3 4" xfId="24034"/>
    <cellStyle name="Commentaire 3 5 2 3 3 5" xfId="37014"/>
    <cellStyle name="Commentaire 3 5 2 3 3 6" xfId="53243"/>
    <cellStyle name="Commentaire 3 5 2 3 4" xfId="7806"/>
    <cellStyle name="Commentaire 3 5 2 3 4 2" xfId="27279"/>
    <cellStyle name="Commentaire 3 5 2 3 4 3" xfId="40259"/>
    <cellStyle name="Commentaire 3 5 2 3 4 4" xfId="56488"/>
    <cellStyle name="Commentaire 3 5 2 3 5" xfId="14299"/>
    <cellStyle name="Commentaire 3 5 2 3 5 2" xfId="49998"/>
    <cellStyle name="Commentaire 3 5 2 3 6" xfId="20789"/>
    <cellStyle name="Commentaire 3 5 2 3 7" xfId="33769"/>
    <cellStyle name="Commentaire 3 5 2 3 8" xfId="46752"/>
    <cellStyle name="Commentaire 3 5 2 4" xfId="2422"/>
    <cellStyle name="Commentaire 3 5 2 4 2" xfId="5667"/>
    <cellStyle name="Commentaire 3 5 2 4 2 2" xfId="12199"/>
    <cellStyle name="Commentaire 3 5 2 4 2 2 2" xfId="31672"/>
    <cellStyle name="Commentaire 3 5 2 4 2 2 3" xfId="44652"/>
    <cellStyle name="Commentaire 3 5 2 4 2 2 4" xfId="60881"/>
    <cellStyle name="Commentaire 3 5 2 4 2 3" xfId="18692"/>
    <cellStyle name="Commentaire 3 5 2 4 2 4" xfId="25182"/>
    <cellStyle name="Commentaire 3 5 2 4 2 5" xfId="38162"/>
    <cellStyle name="Commentaire 3 5 2 4 2 6" xfId="54391"/>
    <cellStyle name="Commentaire 3 5 2 4 3" xfId="8954"/>
    <cellStyle name="Commentaire 3 5 2 4 3 2" xfId="28427"/>
    <cellStyle name="Commentaire 3 5 2 4 3 3" xfId="41407"/>
    <cellStyle name="Commentaire 3 5 2 4 3 4" xfId="57636"/>
    <cellStyle name="Commentaire 3 5 2 4 4" xfId="15447"/>
    <cellStyle name="Commentaire 3 5 2 4 4 2" xfId="51146"/>
    <cellStyle name="Commentaire 3 5 2 4 5" xfId="21937"/>
    <cellStyle name="Commentaire 3 5 2 4 6" xfId="34917"/>
    <cellStyle name="Commentaire 3 5 2 4 7" xfId="47900"/>
    <cellStyle name="Commentaire 3 5 2 5" xfId="4044"/>
    <cellStyle name="Commentaire 3 5 2 5 2" xfId="10576"/>
    <cellStyle name="Commentaire 3 5 2 5 2 2" xfId="30049"/>
    <cellStyle name="Commentaire 3 5 2 5 2 3" xfId="43029"/>
    <cellStyle name="Commentaire 3 5 2 5 2 4" xfId="59258"/>
    <cellStyle name="Commentaire 3 5 2 5 3" xfId="17069"/>
    <cellStyle name="Commentaire 3 5 2 5 4" xfId="23559"/>
    <cellStyle name="Commentaire 3 5 2 5 5" xfId="36539"/>
    <cellStyle name="Commentaire 3 5 2 5 6" xfId="52768"/>
    <cellStyle name="Commentaire 3 5 2 6" xfId="7331"/>
    <cellStyle name="Commentaire 3 5 2 6 2" xfId="26804"/>
    <cellStyle name="Commentaire 3 5 2 6 3" xfId="39784"/>
    <cellStyle name="Commentaire 3 5 2 6 4" xfId="56013"/>
    <cellStyle name="Commentaire 3 5 2 7" xfId="13824"/>
    <cellStyle name="Commentaire 3 5 2 7 2" xfId="49523"/>
    <cellStyle name="Commentaire 3 5 2 8" xfId="20314"/>
    <cellStyle name="Commentaire 3 5 2 9" xfId="33294"/>
    <cellStyle name="Commentaire 3 5 3" xfId="524"/>
    <cellStyle name="Commentaire 3 5 3 2" xfId="1473"/>
    <cellStyle name="Commentaire 3 5 3 2 2" xfId="3140"/>
    <cellStyle name="Commentaire 3 5 3 2 2 2" xfId="6385"/>
    <cellStyle name="Commentaire 3 5 3 2 2 2 2" xfId="12917"/>
    <cellStyle name="Commentaire 3 5 3 2 2 2 2 2" xfId="32390"/>
    <cellStyle name="Commentaire 3 5 3 2 2 2 2 3" xfId="45370"/>
    <cellStyle name="Commentaire 3 5 3 2 2 2 2 4" xfId="61599"/>
    <cellStyle name="Commentaire 3 5 3 2 2 2 3" xfId="19410"/>
    <cellStyle name="Commentaire 3 5 3 2 2 2 4" xfId="25900"/>
    <cellStyle name="Commentaire 3 5 3 2 2 2 5" xfId="38880"/>
    <cellStyle name="Commentaire 3 5 3 2 2 2 6" xfId="55109"/>
    <cellStyle name="Commentaire 3 5 3 2 2 3" xfId="9672"/>
    <cellStyle name="Commentaire 3 5 3 2 2 3 2" xfId="29145"/>
    <cellStyle name="Commentaire 3 5 3 2 2 3 3" xfId="42125"/>
    <cellStyle name="Commentaire 3 5 3 2 2 3 4" xfId="58354"/>
    <cellStyle name="Commentaire 3 5 3 2 2 4" xfId="16165"/>
    <cellStyle name="Commentaire 3 5 3 2 2 4 2" xfId="51864"/>
    <cellStyle name="Commentaire 3 5 3 2 2 5" xfId="22655"/>
    <cellStyle name="Commentaire 3 5 3 2 2 6" xfId="35635"/>
    <cellStyle name="Commentaire 3 5 3 2 2 7" xfId="48618"/>
    <cellStyle name="Commentaire 3 5 3 2 3" xfId="4762"/>
    <cellStyle name="Commentaire 3 5 3 2 3 2" xfId="11294"/>
    <cellStyle name="Commentaire 3 5 3 2 3 2 2" xfId="30767"/>
    <cellStyle name="Commentaire 3 5 3 2 3 2 3" xfId="43747"/>
    <cellStyle name="Commentaire 3 5 3 2 3 2 4" xfId="59976"/>
    <cellStyle name="Commentaire 3 5 3 2 3 3" xfId="17787"/>
    <cellStyle name="Commentaire 3 5 3 2 3 4" xfId="24277"/>
    <cellStyle name="Commentaire 3 5 3 2 3 5" xfId="37257"/>
    <cellStyle name="Commentaire 3 5 3 2 3 6" xfId="53486"/>
    <cellStyle name="Commentaire 3 5 3 2 4" xfId="8049"/>
    <cellStyle name="Commentaire 3 5 3 2 4 2" xfId="27522"/>
    <cellStyle name="Commentaire 3 5 3 2 4 3" xfId="40502"/>
    <cellStyle name="Commentaire 3 5 3 2 4 4" xfId="56731"/>
    <cellStyle name="Commentaire 3 5 3 2 5" xfId="14542"/>
    <cellStyle name="Commentaire 3 5 3 2 5 2" xfId="50241"/>
    <cellStyle name="Commentaire 3 5 3 2 6" xfId="21032"/>
    <cellStyle name="Commentaire 3 5 3 2 7" xfId="34012"/>
    <cellStyle name="Commentaire 3 5 3 2 8" xfId="46995"/>
    <cellStyle name="Commentaire 3 5 3 3" xfId="2192"/>
    <cellStyle name="Commentaire 3 5 3 3 2" xfId="5437"/>
    <cellStyle name="Commentaire 3 5 3 3 2 2" xfId="11969"/>
    <cellStyle name="Commentaire 3 5 3 3 2 2 2" xfId="31442"/>
    <cellStyle name="Commentaire 3 5 3 3 2 2 3" xfId="44422"/>
    <cellStyle name="Commentaire 3 5 3 3 2 2 4" xfId="60651"/>
    <cellStyle name="Commentaire 3 5 3 3 2 3" xfId="18462"/>
    <cellStyle name="Commentaire 3 5 3 3 2 4" xfId="24952"/>
    <cellStyle name="Commentaire 3 5 3 3 2 5" xfId="37932"/>
    <cellStyle name="Commentaire 3 5 3 3 2 6" xfId="54161"/>
    <cellStyle name="Commentaire 3 5 3 3 3" xfId="8724"/>
    <cellStyle name="Commentaire 3 5 3 3 3 2" xfId="28197"/>
    <cellStyle name="Commentaire 3 5 3 3 3 3" xfId="41177"/>
    <cellStyle name="Commentaire 3 5 3 3 3 4" xfId="57406"/>
    <cellStyle name="Commentaire 3 5 3 3 4" xfId="15217"/>
    <cellStyle name="Commentaire 3 5 3 3 4 2" xfId="50916"/>
    <cellStyle name="Commentaire 3 5 3 3 5" xfId="21707"/>
    <cellStyle name="Commentaire 3 5 3 3 6" xfId="34687"/>
    <cellStyle name="Commentaire 3 5 3 3 7" xfId="47670"/>
    <cellStyle name="Commentaire 3 5 3 4" xfId="3814"/>
    <cellStyle name="Commentaire 3 5 3 4 2" xfId="10346"/>
    <cellStyle name="Commentaire 3 5 3 4 2 2" xfId="29819"/>
    <cellStyle name="Commentaire 3 5 3 4 2 3" xfId="42799"/>
    <cellStyle name="Commentaire 3 5 3 4 2 4" xfId="59028"/>
    <cellStyle name="Commentaire 3 5 3 4 3" xfId="16839"/>
    <cellStyle name="Commentaire 3 5 3 4 4" xfId="23329"/>
    <cellStyle name="Commentaire 3 5 3 4 5" xfId="36309"/>
    <cellStyle name="Commentaire 3 5 3 4 6" xfId="52538"/>
    <cellStyle name="Commentaire 3 5 3 5" xfId="7101"/>
    <cellStyle name="Commentaire 3 5 3 5 2" xfId="26574"/>
    <cellStyle name="Commentaire 3 5 3 5 3" xfId="39554"/>
    <cellStyle name="Commentaire 3 5 3 5 4" xfId="55783"/>
    <cellStyle name="Commentaire 3 5 3 6" xfId="13594"/>
    <cellStyle name="Commentaire 3 5 3 6 2" xfId="49293"/>
    <cellStyle name="Commentaire 3 5 3 7" xfId="20084"/>
    <cellStyle name="Commentaire 3 5 3 8" xfId="33064"/>
    <cellStyle name="Commentaire 3 5 3 9" xfId="46047"/>
    <cellStyle name="Commentaire 3 5 4" xfId="1010"/>
    <cellStyle name="Commentaire 3 5 4 2" xfId="2677"/>
    <cellStyle name="Commentaire 3 5 4 2 2" xfId="5922"/>
    <cellStyle name="Commentaire 3 5 4 2 2 2" xfId="12454"/>
    <cellStyle name="Commentaire 3 5 4 2 2 2 2" xfId="31927"/>
    <cellStyle name="Commentaire 3 5 4 2 2 2 3" xfId="44907"/>
    <cellStyle name="Commentaire 3 5 4 2 2 2 4" xfId="61136"/>
    <cellStyle name="Commentaire 3 5 4 2 2 3" xfId="18947"/>
    <cellStyle name="Commentaire 3 5 4 2 2 4" xfId="25437"/>
    <cellStyle name="Commentaire 3 5 4 2 2 5" xfId="38417"/>
    <cellStyle name="Commentaire 3 5 4 2 2 6" xfId="54646"/>
    <cellStyle name="Commentaire 3 5 4 2 3" xfId="9209"/>
    <cellStyle name="Commentaire 3 5 4 2 3 2" xfId="28682"/>
    <cellStyle name="Commentaire 3 5 4 2 3 3" xfId="41662"/>
    <cellStyle name="Commentaire 3 5 4 2 3 4" xfId="57891"/>
    <cellStyle name="Commentaire 3 5 4 2 4" xfId="15702"/>
    <cellStyle name="Commentaire 3 5 4 2 4 2" xfId="51401"/>
    <cellStyle name="Commentaire 3 5 4 2 5" xfId="22192"/>
    <cellStyle name="Commentaire 3 5 4 2 6" xfId="35172"/>
    <cellStyle name="Commentaire 3 5 4 2 7" xfId="48155"/>
    <cellStyle name="Commentaire 3 5 4 3" xfId="4299"/>
    <cellStyle name="Commentaire 3 5 4 3 2" xfId="10831"/>
    <cellStyle name="Commentaire 3 5 4 3 2 2" xfId="30304"/>
    <cellStyle name="Commentaire 3 5 4 3 2 3" xfId="43284"/>
    <cellStyle name="Commentaire 3 5 4 3 2 4" xfId="59513"/>
    <cellStyle name="Commentaire 3 5 4 3 3" xfId="17324"/>
    <cellStyle name="Commentaire 3 5 4 3 4" xfId="23814"/>
    <cellStyle name="Commentaire 3 5 4 3 5" xfId="36794"/>
    <cellStyle name="Commentaire 3 5 4 3 6" xfId="53023"/>
    <cellStyle name="Commentaire 3 5 4 4" xfId="7586"/>
    <cellStyle name="Commentaire 3 5 4 4 2" xfId="27059"/>
    <cellStyle name="Commentaire 3 5 4 4 3" xfId="40039"/>
    <cellStyle name="Commentaire 3 5 4 4 4" xfId="56268"/>
    <cellStyle name="Commentaire 3 5 4 5" xfId="14079"/>
    <cellStyle name="Commentaire 3 5 4 5 2" xfId="49778"/>
    <cellStyle name="Commentaire 3 5 4 6" xfId="20569"/>
    <cellStyle name="Commentaire 3 5 4 7" xfId="33549"/>
    <cellStyle name="Commentaire 3 5 4 8" xfId="46532"/>
    <cellStyle name="Commentaire 3 5 5" xfId="1963"/>
    <cellStyle name="Commentaire 3 5 5 2" xfId="5208"/>
    <cellStyle name="Commentaire 3 5 5 2 2" xfId="11740"/>
    <cellStyle name="Commentaire 3 5 5 2 2 2" xfId="31213"/>
    <cellStyle name="Commentaire 3 5 5 2 2 3" xfId="44193"/>
    <cellStyle name="Commentaire 3 5 5 2 2 4" xfId="60422"/>
    <cellStyle name="Commentaire 3 5 5 2 3" xfId="18233"/>
    <cellStyle name="Commentaire 3 5 5 2 4" xfId="24723"/>
    <cellStyle name="Commentaire 3 5 5 2 5" xfId="37703"/>
    <cellStyle name="Commentaire 3 5 5 2 6" xfId="53932"/>
    <cellStyle name="Commentaire 3 5 5 3" xfId="8495"/>
    <cellStyle name="Commentaire 3 5 5 3 2" xfId="27968"/>
    <cellStyle name="Commentaire 3 5 5 3 3" xfId="40948"/>
    <cellStyle name="Commentaire 3 5 5 3 4" xfId="57177"/>
    <cellStyle name="Commentaire 3 5 5 4" xfId="14988"/>
    <cellStyle name="Commentaire 3 5 5 4 2" xfId="50687"/>
    <cellStyle name="Commentaire 3 5 5 5" xfId="21478"/>
    <cellStyle name="Commentaire 3 5 5 6" xfId="34458"/>
    <cellStyle name="Commentaire 3 5 5 7" xfId="47441"/>
    <cellStyle name="Commentaire 3 5 6" xfId="3584"/>
    <cellStyle name="Commentaire 3 5 6 2" xfId="10116"/>
    <cellStyle name="Commentaire 3 5 6 2 2" xfId="29589"/>
    <cellStyle name="Commentaire 3 5 6 2 3" xfId="42569"/>
    <cellStyle name="Commentaire 3 5 6 2 4" xfId="58798"/>
    <cellStyle name="Commentaire 3 5 6 3" xfId="16609"/>
    <cellStyle name="Commentaire 3 5 6 4" xfId="23099"/>
    <cellStyle name="Commentaire 3 5 6 5" xfId="36079"/>
    <cellStyle name="Commentaire 3 5 6 6" xfId="52308"/>
    <cellStyle name="Commentaire 3 5 7" xfId="6871"/>
    <cellStyle name="Commentaire 3 5 7 2" xfId="26344"/>
    <cellStyle name="Commentaire 3 5 7 3" xfId="39324"/>
    <cellStyle name="Commentaire 3 5 7 4" xfId="55553"/>
    <cellStyle name="Commentaire 3 5 8" xfId="13364"/>
    <cellStyle name="Commentaire 3 5 8 2" xfId="49063"/>
    <cellStyle name="Commentaire 3 5 9" xfId="19854"/>
    <cellStyle name="Commentaire 3 6" xfId="622"/>
    <cellStyle name="Commentaire 3 6 10" xfId="46145"/>
    <cellStyle name="Commentaire 3 6 2" xfId="1341"/>
    <cellStyle name="Commentaire 3 6 2 2" xfId="3008"/>
    <cellStyle name="Commentaire 3 6 2 2 2" xfId="6253"/>
    <cellStyle name="Commentaire 3 6 2 2 2 2" xfId="12785"/>
    <cellStyle name="Commentaire 3 6 2 2 2 2 2" xfId="32258"/>
    <cellStyle name="Commentaire 3 6 2 2 2 2 3" xfId="45238"/>
    <cellStyle name="Commentaire 3 6 2 2 2 2 4" xfId="61467"/>
    <cellStyle name="Commentaire 3 6 2 2 2 3" xfId="19278"/>
    <cellStyle name="Commentaire 3 6 2 2 2 4" xfId="25768"/>
    <cellStyle name="Commentaire 3 6 2 2 2 5" xfId="38748"/>
    <cellStyle name="Commentaire 3 6 2 2 2 6" xfId="54977"/>
    <cellStyle name="Commentaire 3 6 2 2 3" xfId="9540"/>
    <cellStyle name="Commentaire 3 6 2 2 3 2" xfId="29013"/>
    <cellStyle name="Commentaire 3 6 2 2 3 3" xfId="41993"/>
    <cellStyle name="Commentaire 3 6 2 2 3 4" xfId="58222"/>
    <cellStyle name="Commentaire 3 6 2 2 4" xfId="16033"/>
    <cellStyle name="Commentaire 3 6 2 2 4 2" xfId="51732"/>
    <cellStyle name="Commentaire 3 6 2 2 5" xfId="22523"/>
    <cellStyle name="Commentaire 3 6 2 2 6" xfId="35503"/>
    <cellStyle name="Commentaire 3 6 2 2 7" xfId="48486"/>
    <cellStyle name="Commentaire 3 6 2 3" xfId="4630"/>
    <cellStyle name="Commentaire 3 6 2 3 2" xfId="11162"/>
    <cellStyle name="Commentaire 3 6 2 3 2 2" xfId="30635"/>
    <cellStyle name="Commentaire 3 6 2 3 2 3" xfId="43615"/>
    <cellStyle name="Commentaire 3 6 2 3 2 4" xfId="59844"/>
    <cellStyle name="Commentaire 3 6 2 3 3" xfId="17655"/>
    <cellStyle name="Commentaire 3 6 2 3 4" xfId="24145"/>
    <cellStyle name="Commentaire 3 6 2 3 5" xfId="37125"/>
    <cellStyle name="Commentaire 3 6 2 3 6" xfId="53354"/>
    <cellStyle name="Commentaire 3 6 2 4" xfId="7917"/>
    <cellStyle name="Commentaire 3 6 2 4 2" xfId="27390"/>
    <cellStyle name="Commentaire 3 6 2 4 3" xfId="40370"/>
    <cellStyle name="Commentaire 3 6 2 4 4" xfId="56599"/>
    <cellStyle name="Commentaire 3 6 2 5" xfId="14410"/>
    <cellStyle name="Commentaire 3 6 2 5 2" xfId="50109"/>
    <cellStyle name="Commentaire 3 6 2 6" xfId="20900"/>
    <cellStyle name="Commentaire 3 6 2 7" xfId="33880"/>
    <cellStyle name="Commentaire 3 6 2 8" xfId="46863"/>
    <cellStyle name="Commentaire 3 6 3" xfId="877"/>
    <cellStyle name="Commentaire 3 6 3 2" xfId="2545"/>
    <cellStyle name="Commentaire 3 6 3 2 2" xfId="5790"/>
    <cellStyle name="Commentaire 3 6 3 2 2 2" xfId="12322"/>
    <cellStyle name="Commentaire 3 6 3 2 2 2 2" xfId="31795"/>
    <cellStyle name="Commentaire 3 6 3 2 2 2 3" xfId="44775"/>
    <cellStyle name="Commentaire 3 6 3 2 2 2 4" xfId="61004"/>
    <cellStyle name="Commentaire 3 6 3 2 2 3" xfId="18815"/>
    <cellStyle name="Commentaire 3 6 3 2 2 4" xfId="25305"/>
    <cellStyle name="Commentaire 3 6 3 2 2 5" xfId="38285"/>
    <cellStyle name="Commentaire 3 6 3 2 2 6" xfId="54514"/>
    <cellStyle name="Commentaire 3 6 3 2 3" xfId="9077"/>
    <cellStyle name="Commentaire 3 6 3 2 3 2" xfId="28550"/>
    <cellStyle name="Commentaire 3 6 3 2 3 3" xfId="41530"/>
    <cellStyle name="Commentaire 3 6 3 2 3 4" xfId="57759"/>
    <cellStyle name="Commentaire 3 6 3 2 4" xfId="15570"/>
    <cellStyle name="Commentaire 3 6 3 2 4 2" xfId="51269"/>
    <cellStyle name="Commentaire 3 6 3 2 5" xfId="22060"/>
    <cellStyle name="Commentaire 3 6 3 2 6" xfId="35040"/>
    <cellStyle name="Commentaire 3 6 3 2 7" xfId="48023"/>
    <cellStyle name="Commentaire 3 6 3 3" xfId="4167"/>
    <cellStyle name="Commentaire 3 6 3 3 2" xfId="10699"/>
    <cellStyle name="Commentaire 3 6 3 3 2 2" xfId="30172"/>
    <cellStyle name="Commentaire 3 6 3 3 2 3" xfId="43152"/>
    <cellStyle name="Commentaire 3 6 3 3 2 4" xfId="59381"/>
    <cellStyle name="Commentaire 3 6 3 3 3" xfId="17192"/>
    <cellStyle name="Commentaire 3 6 3 3 4" xfId="23682"/>
    <cellStyle name="Commentaire 3 6 3 3 5" xfId="36662"/>
    <cellStyle name="Commentaire 3 6 3 3 6" xfId="52891"/>
    <cellStyle name="Commentaire 3 6 3 4" xfId="7454"/>
    <cellStyle name="Commentaire 3 6 3 4 2" xfId="26927"/>
    <cellStyle name="Commentaire 3 6 3 4 3" xfId="39907"/>
    <cellStyle name="Commentaire 3 6 3 4 4" xfId="56136"/>
    <cellStyle name="Commentaire 3 6 3 5" xfId="13947"/>
    <cellStyle name="Commentaire 3 6 3 5 2" xfId="49646"/>
    <cellStyle name="Commentaire 3 6 3 6" xfId="20437"/>
    <cellStyle name="Commentaire 3 6 3 7" xfId="33417"/>
    <cellStyle name="Commentaire 3 6 3 8" xfId="46400"/>
    <cellStyle name="Commentaire 3 6 4" xfId="2290"/>
    <cellStyle name="Commentaire 3 6 4 2" xfId="5535"/>
    <cellStyle name="Commentaire 3 6 4 2 2" xfId="12067"/>
    <cellStyle name="Commentaire 3 6 4 2 2 2" xfId="31540"/>
    <cellStyle name="Commentaire 3 6 4 2 2 3" xfId="44520"/>
    <cellStyle name="Commentaire 3 6 4 2 2 4" xfId="60749"/>
    <cellStyle name="Commentaire 3 6 4 2 3" xfId="18560"/>
    <cellStyle name="Commentaire 3 6 4 2 4" xfId="25050"/>
    <cellStyle name="Commentaire 3 6 4 2 5" xfId="38030"/>
    <cellStyle name="Commentaire 3 6 4 2 6" xfId="54259"/>
    <cellStyle name="Commentaire 3 6 4 3" xfId="8822"/>
    <cellStyle name="Commentaire 3 6 4 3 2" xfId="28295"/>
    <cellStyle name="Commentaire 3 6 4 3 3" xfId="41275"/>
    <cellStyle name="Commentaire 3 6 4 3 4" xfId="57504"/>
    <cellStyle name="Commentaire 3 6 4 4" xfId="15315"/>
    <cellStyle name="Commentaire 3 6 4 4 2" xfId="51014"/>
    <cellStyle name="Commentaire 3 6 4 5" xfId="21805"/>
    <cellStyle name="Commentaire 3 6 4 6" xfId="34785"/>
    <cellStyle name="Commentaire 3 6 4 7" xfId="47768"/>
    <cellStyle name="Commentaire 3 6 5" xfId="3912"/>
    <cellStyle name="Commentaire 3 6 5 2" xfId="10444"/>
    <cellStyle name="Commentaire 3 6 5 2 2" xfId="29917"/>
    <cellStyle name="Commentaire 3 6 5 2 3" xfId="42897"/>
    <cellStyle name="Commentaire 3 6 5 2 4" xfId="59126"/>
    <cellStyle name="Commentaire 3 6 5 3" xfId="16937"/>
    <cellStyle name="Commentaire 3 6 5 4" xfId="23427"/>
    <cellStyle name="Commentaire 3 6 5 5" xfId="36407"/>
    <cellStyle name="Commentaire 3 6 5 6" xfId="52636"/>
    <cellStyle name="Commentaire 3 6 6" xfId="7199"/>
    <cellStyle name="Commentaire 3 6 6 2" xfId="26672"/>
    <cellStyle name="Commentaire 3 6 6 3" xfId="39652"/>
    <cellStyle name="Commentaire 3 6 6 4" xfId="55881"/>
    <cellStyle name="Commentaire 3 6 7" xfId="13692"/>
    <cellStyle name="Commentaire 3 6 7 2" xfId="49391"/>
    <cellStyle name="Commentaire 3 6 8" xfId="20182"/>
    <cellStyle name="Commentaire 3 6 9" xfId="33162"/>
    <cellStyle name="Commentaire 3 7" xfId="392"/>
    <cellStyle name="Commentaire 3 7 10" xfId="45915"/>
    <cellStyle name="Commentaire 3 7 2" xfId="1561"/>
    <cellStyle name="Commentaire 3 7 2 2" xfId="3228"/>
    <cellStyle name="Commentaire 3 7 2 2 2" xfId="6473"/>
    <cellStyle name="Commentaire 3 7 2 2 2 2" xfId="13005"/>
    <cellStyle name="Commentaire 3 7 2 2 2 2 2" xfId="32478"/>
    <cellStyle name="Commentaire 3 7 2 2 2 2 3" xfId="45458"/>
    <cellStyle name="Commentaire 3 7 2 2 2 2 4" xfId="61687"/>
    <cellStyle name="Commentaire 3 7 2 2 2 3" xfId="19498"/>
    <cellStyle name="Commentaire 3 7 2 2 2 4" xfId="25988"/>
    <cellStyle name="Commentaire 3 7 2 2 2 5" xfId="38968"/>
    <cellStyle name="Commentaire 3 7 2 2 2 6" xfId="55197"/>
    <cellStyle name="Commentaire 3 7 2 2 3" xfId="9760"/>
    <cellStyle name="Commentaire 3 7 2 2 3 2" xfId="29233"/>
    <cellStyle name="Commentaire 3 7 2 2 3 3" xfId="42213"/>
    <cellStyle name="Commentaire 3 7 2 2 3 4" xfId="58442"/>
    <cellStyle name="Commentaire 3 7 2 2 4" xfId="16253"/>
    <cellStyle name="Commentaire 3 7 2 2 4 2" xfId="51952"/>
    <cellStyle name="Commentaire 3 7 2 2 5" xfId="22743"/>
    <cellStyle name="Commentaire 3 7 2 2 6" xfId="35723"/>
    <cellStyle name="Commentaire 3 7 2 2 7" xfId="48706"/>
    <cellStyle name="Commentaire 3 7 2 3" xfId="4850"/>
    <cellStyle name="Commentaire 3 7 2 3 2" xfId="11382"/>
    <cellStyle name="Commentaire 3 7 2 3 2 2" xfId="30855"/>
    <cellStyle name="Commentaire 3 7 2 3 2 3" xfId="43835"/>
    <cellStyle name="Commentaire 3 7 2 3 2 4" xfId="60064"/>
    <cellStyle name="Commentaire 3 7 2 3 3" xfId="17875"/>
    <cellStyle name="Commentaire 3 7 2 3 4" xfId="24365"/>
    <cellStyle name="Commentaire 3 7 2 3 5" xfId="37345"/>
    <cellStyle name="Commentaire 3 7 2 3 6" xfId="53574"/>
    <cellStyle name="Commentaire 3 7 2 4" xfId="8137"/>
    <cellStyle name="Commentaire 3 7 2 4 2" xfId="27610"/>
    <cellStyle name="Commentaire 3 7 2 4 3" xfId="40590"/>
    <cellStyle name="Commentaire 3 7 2 4 4" xfId="56819"/>
    <cellStyle name="Commentaire 3 7 2 5" xfId="14630"/>
    <cellStyle name="Commentaire 3 7 2 5 2" xfId="50329"/>
    <cellStyle name="Commentaire 3 7 2 6" xfId="21120"/>
    <cellStyle name="Commentaire 3 7 2 7" xfId="34100"/>
    <cellStyle name="Commentaire 3 7 2 8" xfId="47083"/>
    <cellStyle name="Commentaire 3 7 3" xfId="1098"/>
    <cellStyle name="Commentaire 3 7 3 2" xfId="2765"/>
    <cellStyle name="Commentaire 3 7 3 2 2" xfId="6010"/>
    <cellStyle name="Commentaire 3 7 3 2 2 2" xfId="12542"/>
    <cellStyle name="Commentaire 3 7 3 2 2 2 2" xfId="32015"/>
    <cellStyle name="Commentaire 3 7 3 2 2 2 3" xfId="44995"/>
    <cellStyle name="Commentaire 3 7 3 2 2 2 4" xfId="61224"/>
    <cellStyle name="Commentaire 3 7 3 2 2 3" xfId="19035"/>
    <cellStyle name="Commentaire 3 7 3 2 2 4" xfId="25525"/>
    <cellStyle name="Commentaire 3 7 3 2 2 5" xfId="38505"/>
    <cellStyle name="Commentaire 3 7 3 2 2 6" xfId="54734"/>
    <cellStyle name="Commentaire 3 7 3 2 3" xfId="9297"/>
    <cellStyle name="Commentaire 3 7 3 2 3 2" xfId="28770"/>
    <cellStyle name="Commentaire 3 7 3 2 3 3" xfId="41750"/>
    <cellStyle name="Commentaire 3 7 3 2 3 4" xfId="57979"/>
    <cellStyle name="Commentaire 3 7 3 2 4" xfId="15790"/>
    <cellStyle name="Commentaire 3 7 3 2 4 2" xfId="51489"/>
    <cellStyle name="Commentaire 3 7 3 2 5" xfId="22280"/>
    <cellStyle name="Commentaire 3 7 3 2 6" xfId="35260"/>
    <cellStyle name="Commentaire 3 7 3 2 7" xfId="48243"/>
    <cellStyle name="Commentaire 3 7 3 3" xfId="4387"/>
    <cellStyle name="Commentaire 3 7 3 3 2" xfId="10919"/>
    <cellStyle name="Commentaire 3 7 3 3 2 2" xfId="30392"/>
    <cellStyle name="Commentaire 3 7 3 3 2 3" xfId="43372"/>
    <cellStyle name="Commentaire 3 7 3 3 2 4" xfId="59601"/>
    <cellStyle name="Commentaire 3 7 3 3 3" xfId="17412"/>
    <cellStyle name="Commentaire 3 7 3 3 4" xfId="23902"/>
    <cellStyle name="Commentaire 3 7 3 3 5" xfId="36882"/>
    <cellStyle name="Commentaire 3 7 3 3 6" xfId="53111"/>
    <cellStyle name="Commentaire 3 7 3 4" xfId="7674"/>
    <cellStyle name="Commentaire 3 7 3 4 2" xfId="27147"/>
    <cellStyle name="Commentaire 3 7 3 4 3" xfId="40127"/>
    <cellStyle name="Commentaire 3 7 3 4 4" xfId="56356"/>
    <cellStyle name="Commentaire 3 7 3 5" xfId="14167"/>
    <cellStyle name="Commentaire 3 7 3 5 2" xfId="49866"/>
    <cellStyle name="Commentaire 3 7 3 6" xfId="20657"/>
    <cellStyle name="Commentaire 3 7 3 7" xfId="33637"/>
    <cellStyle name="Commentaire 3 7 3 8" xfId="46620"/>
    <cellStyle name="Commentaire 3 7 4" xfId="2060"/>
    <cellStyle name="Commentaire 3 7 4 2" xfId="5305"/>
    <cellStyle name="Commentaire 3 7 4 2 2" xfId="11837"/>
    <cellStyle name="Commentaire 3 7 4 2 2 2" xfId="31310"/>
    <cellStyle name="Commentaire 3 7 4 2 2 3" xfId="44290"/>
    <cellStyle name="Commentaire 3 7 4 2 2 4" xfId="60519"/>
    <cellStyle name="Commentaire 3 7 4 2 3" xfId="18330"/>
    <cellStyle name="Commentaire 3 7 4 2 4" xfId="24820"/>
    <cellStyle name="Commentaire 3 7 4 2 5" xfId="37800"/>
    <cellStyle name="Commentaire 3 7 4 2 6" xfId="54029"/>
    <cellStyle name="Commentaire 3 7 4 3" xfId="8592"/>
    <cellStyle name="Commentaire 3 7 4 3 2" xfId="28065"/>
    <cellStyle name="Commentaire 3 7 4 3 3" xfId="41045"/>
    <cellStyle name="Commentaire 3 7 4 3 4" xfId="57274"/>
    <cellStyle name="Commentaire 3 7 4 4" xfId="15085"/>
    <cellStyle name="Commentaire 3 7 4 4 2" xfId="50784"/>
    <cellStyle name="Commentaire 3 7 4 5" xfId="21575"/>
    <cellStyle name="Commentaire 3 7 4 6" xfId="34555"/>
    <cellStyle name="Commentaire 3 7 4 7" xfId="47538"/>
    <cellStyle name="Commentaire 3 7 5" xfId="3682"/>
    <cellStyle name="Commentaire 3 7 5 2" xfId="10214"/>
    <cellStyle name="Commentaire 3 7 5 2 2" xfId="29687"/>
    <cellStyle name="Commentaire 3 7 5 2 3" xfId="42667"/>
    <cellStyle name="Commentaire 3 7 5 2 4" xfId="58896"/>
    <cellStyle name="Commentaire 3 7 5 3" xfId="16707"/>
    <cellStyle name="Commentaire 3 7 5 4" xfId="23197"/>
    <cellStyle name="Commentaire 3 7 5 5" xfId="36177"/>
    <cellStyle name="Commentaire 3 7 5 6" xfId="52406"/>
    <cellStyle name="Commentaire 3 7 6" xfId="6969"/>
    <cellStyle name="Commentaire 3 7 6 2" xfId="26442"/>
    <cellStyle name="Commentaire 3 7 6 3" xfId="39422"/>
    <cellStyle name="Commentaire 3 7 6 4" xfId="55651"/>
    <cellStyle name="Commentaire 3 7 7" xfId="13462"/>
    <cellStyle name="Commentaire 3 7 7 2" xfId="49161"/>
    <cellStyle name="Commentaire 3 7 8" xfId="19952"/>
    <cellStyle name="Commentaire 3 7 9" xfId="32932"/>
    <cellStyle name="Commentaire 3 8" xfId="1318"/>
    <cellStyle name="Commentaire 3 8 2" xfId="2985"/>
    <cellStyle name="Commentaire 3 8 2 2" xfId="6230"/>
    <cellStyle name="Commentaire 3 8 2 2 2" xfId="12762"/>
    <cellStyle name="Commentaire 3 8 2 2 2 2" xfId="32235"/>
    <cellStyle name="Commentaire 3 8 2 2 2 3" xfId="45215"/>
    <cellStyle name="Commentaire 3 8 2 2 2 4" xfId="61444"/>
    <cellStyle name="Commentaire 3 8 2 2 3" xfId="19255"/>
    <cellStyle name="Commentaire 3 8 2 2 4" xfId="25745"/>
    <cellStyle name="Commentaire 3 8 2 2 5" xfId="38725"/>
    <cellStyle name="Commentaire 3 8 2 2 6" xfId="54954"/>
    <cellStyle name="Commentaire 3 8 2 3" xfId="9517"/>
    <cellStyle name="Commentaire 3 8 2 3 2" xfId="28990"/>
    <cellStyle name="Commentaire 3 8 2 3 3" xfId="41970"/>
    <cellStyle name="Commentaire 3 8 2 3 4" xfId="58199"/>
    <cellStyle name="Commentaire 3 8 2 4" xfId="16010"/>
    <cellStyle name="Commentaire 3 8 2 4 2" xfId="51709"/>
    <cellStyle name="Commentaire 3 8 2 5" xfId="22500"/>
    <cellStyle name="Commentaire 3 8 2 6" xfId="35480"/>
    <cellStyle name="Commentaire 3 8 2 7" xfId="48463"/>
    <cellStyle name="Commentaire 3 8 3" xfId="4607"/>
    <cellStyle name="Commentaire 3 8 3 2" xfId="11139"/>
    <cellStyle name="Commentaire 3 8 3 2 2" xfId="30612"/>
    <cellStyle name="Commentaire 3 8 3 2 3" xfId="43592"/>
    <cellStyle name="Commentaire 3 8 3 2 4" xfId="59821"/>
    <cellStyle name="Commentaire 3 8 3 3" xfId="17632"/>
    <cellStyle name="Commentaire 3 8 3 4" xfId="24122"/>
    <cellStyle name="Commentaire 3 8 3 5" xfId="37102"/>
    <cellStyle name="Commentaire 3 8 3 6" xfId="53331"/>
    <cellStyle name="Commentaire 3 8 4" xfId="7894"/>
    <cellStyle name="Commentaire 3 8 4 2" xfId="27367"/>
    <cellStyle name="Commentaire 3 8 4 3" xfId="40347"/>
    <cellStyle name="Commentaire 3 8 4 4" xfId="56576"/>
    <cellStyle name="Commentaire 3 8 5" xfId="14387"/>
    <cellStyle name="Commentaire 3 8 5 2" xfId="50086"/>
    <cellStyle name="Commentaire 3 8 6" xfId="20877"/>
    <cellStyle name="Commentaire 3 8 7" xfId="33857"/>
    <cellStyle name="Commentaire 3 8 8" xfId="46840"/>
    <cellStyle name="Commentaire 3 9" xfId="854"/>
    <cellStyle name="Commentaire 3 9 2" xfId="2522"/>
    <cellStyle name="Commentaire 3 9 2 2" xfId="5767"/>
    <cellStyle name="Commentaire 3 9 2 2 2" xfId="12299"/>
    <cellStyle name="Commentaire 3 9 2 2 2 2" xfId="31772"/>
    <cellStyle name="Commentaire 3 9 2 2 2 3" xfId="44752"/>
    <cellStyle name="Commentaire 3 9 2 2 2 4" xfId="60981"/>
    <cellStyle name="Commentaire 3 9 2 2 3" xfId="18792"/>
    <cellStyle name="Commentaire 3 9 2 2 4" xfId="25282"/>
    <cellStyle name="Commentaire 3 9 2 2 5" xfId="38262"/>
    <cellStyle name="Commentaire 3 9 2 2 6" xfId="54491"/>
    <cellStyle name="Commentaire 3 9 2 3" xfId="9054"/>
    <cellStyle name="Commentaire 3 9 2 3 2" xfId="28527"/>
    <cellStyle name="Commentaire 3 9 2 3 3" xfId="41507"/>
    <cellStyle name="Commentaire 3 9 2 3 4" xfId="57736"/>
    <cellStyle name="Commentaire 3 9 2 4" xfId="15547"/>
    <cellStyle name="Commentaire 3 9 2 4 2" xfId="51246"/>
    <cellStyle name="Commentaire 3 9 2 5" xfId="22037"/>
    <cellStyle name="Commentaire 3 9 2 6" xfId="35017"/>
    <cellStyle name="Commentaire 3 9 2 7" xfId="48000"/>
    <cellStyle name="Commentaire 3 9 3" xfId="4144"/>
    <cellStyle name="Commentaire 3 9 3 2" xfId="10676"/>
    <cellStyle name="Commentaire 3 9 3 2 2" xfId="30149"/>
    <cellStyle name="Commentaire 3 9 3 2 3" xfId="43129"/>
    <cellStyle name="Commentaire 3 9 3 2 4" xfId="59358"/>
    <cellStyle name="Commentaire 3 9 3 3" xfId="17169"/>
    <cellStyle name="Commentaire 3 9 3 4" xfId="23659"/>
    <cellStyle name="Commentaire 3 9 3 5" xfId="36639"/>
    <cellStyle name="Commentaire 3 9 3 6" xfId="52868"/>
    <cellStyle name="Commentaire 3 9 4" xfId="7431"/>
    <cellStyle name="Commentaire 3 9 4 2" xfId="26904"/>
    <cellStyle name="Commentaire 3 9 4 3" xfId="39884"/>
    <cellStyle name="Commentaire 3 9 4 4" xfId="56113"/>
    <cellStyle name="Commentaire 3 9 5" xfId="13924"/>
    <cellStyle name="Commentaire 3 9 5 2" xfId="49623"/>
    <cellStyle name="Commentaire 3 9 6" xfId="20414"/>
    <cellStyle name="Commentaire 3 9 7" xfId="33394"/>
    <cellStyle name="Commentaire 3 9 8" xfId="46377"/>
    <cellStyle name="Commentaire 4" xfId="1812"/>
    <cellStyle name="Commentaire 5" xfId="6721"/>
    <cellStyle name="Commentaire 6" xfId="61910"/>
    <cellStyle name="Commentaire 7" xfId="61928"/>
    <cellStyle name="Commentaire 8" xfId="68"/>
    <cellStyle name="Entrée 2" xfId="112"/>
    <cellStyle name="Entrée 3" xfId="136"/>
    <cellStyle name="Entrée 4" xfId="1813"/>
    <cellStyle name="Entrée 5" xfId="6722"/>
    <cellStyle name="Entrée 6" xfId="69"/>
    <cellStyle name="Explanatory Text" xfId="62034" builtinId="53" customBuiltin="1"/>
    <cellStyle name="Good" xfId="62024" builtinId="26" customBuiltin="1"/>
    <cellStyle name="Heading 1" xfId="62020" builtinId="16" customBuiltin="1"/>
    <cellStyle name="Heading 2" xfId="62021" builtinId="17" customBuiltin="1"/>
    <cellStyle name="Heading 3" xfId="62022" builtinId="18" customBuiltin="1"/>
    <cellStyle name="Heading 4" xfId="62023" builtinId="19" customBuiltin="1"/>
    <cellStyle name="Input" xfId="62027" builtinId="20" customBuiltin="1"/>
    <cellStyle name="Insatisfaisant 2" xfId="113"/>
    <cellStyle name="Insatisfaisant 3" xfId="134"/>
    <cellStyle name="Insatisfaisant 4" xfId="1814"/>
    <cellStyle name="Insatisfaisant 5" xfId="6723"/>
    <cellStyle name="Insatisfaisant 6" xfId="70"/>
    <cellStyle name="Linked Cell" xfId="62030" builtinId="24" customBuiltin="1"/>
    <cellStyle name="Milliers 10" xfId="1780"/>
    <cellStyle name="Milliers 10 2" xfId="3447"/>
    <cellStyle name="Milliers 10 2 2" xfId="6692"/>
    <cellStyle name="Milliers 10 2 2 2" xfId="13224"/>
    <cellStyle name="Milliers 10 2 2 2 2" xfId="32697"/>
    <cellStyle name="Milliers 10 2 2 2 3" xfId="45677"/>
    <cellStyle name="Milliers 10 2 2 2 4" xfId="61906"/>
    <cellStyle name="Milliers 10 2 2 3" xfId="19717"/>
    <cellStyle name="Milliers 10 2 2 4" xfId="26207"/>
    <cellStyle name="Milliers 10 2 2 5" xfId="39187"/>
    <cellStyle name="Milliers 10 2 2 6" xfId="55416"/>
    <cellStyle name="Milliers 10 2 3" xfId="9979"/>
    <cellStyle name="Milliers 10 2 3 2" xfId="29452"/>
    <cellStyle name="Milliers 10 2 3 3" xfId="42432"/>
    <cellStyle name="Milliers 10 2 3 4" xfId="58661"/>
    <cellStyle name="Milliers 10 2 4" xfId="16472"/>
    <cellStyle name="Milliers 10 2 4 2" xfId="52171"/>
    <cellStyle name="Milliers 10 2 5" xfId="22962"/>
    <cellStyle name="Milliers 10 2 6" xfId="35942"/>
    <cellStyle name="Milliers 10 2 7" xfId="48925"/>
    <cellStyle name="Milliers 10 3" xfId="5069"/>
    <cellStyle name="Milliers 10 3 2" xfId="11601"/>
    <cellStyle name="Milliers 10 3 2 2" xfId="31074"/>
    <cellStyle name="Milliers 10 3 2 3" xfId="44054"/>
    <cellStyle name="Milliers 10 3 2 4" xfId="60283"/>
    <cellStyle name="Milliers 10 3 3" xfId="18094"/>
    <cellStyle name="Milliers 10 3 4" xfId="24584"/>
    <cellStyle name="Milliers 10 3 5" xfId="37564"/>
    <cellStyle name="Milliers 10 3 6" xfId="53793"/>
    <cellStyle name="Milliers 10 4" xfId="8356"/>
    <cellStyle name="Milliers 10 4 2" xfId="27829"/>
    <cellStyle name="Milliers 10 4 3" xfId="40809"/>
    <cellStyle name="Milliers 10 4 4" xfId="57038"/>
    <cellStyle name="Milliers 10 5" xfId="14849"/>
    <cellStyle name="Milliers 10 5 2" xfId="50548"/>
    <cellStyle name="Milliers 10 6" xfId="21339"/>
    <cellStyle name="Milliers 10 7" xfId="34319"/>
    <cellStyle name="Milliers 10 8" xfId="47302"/>
    <cellStyle name="Milliers 11" xfId="13227"/>
    <cellStyle name="Milliers 11 2" xfId="61908"/>
    <cellStyle name="Milliers 12" xfId="45678"/>
    <cellStyle name="Milliers 13" xfId="45680"/>
    <cellStyle name="Milliers 14" xfId="61924"/>
    <cellStyle name="Milliers 15" xfId="61925"/>
    <cellStyle name="Milliers 2" xfId="378"/>
    <cellStyle name="Milliers 2 2" xfId="61927"/>
    <cellStyle name="Milliers 3" xfId="379"/>
    <cellStyle name="Milliers 3 10" xfId="45902"/>
    <cellStyle name="Milliers 3 2" xfId="839"/>
    <cellStyle name="Milliers 3 2 2" xfId="2507"/>
    <cellStyle name="Milliers 3 2 2 2" xfId="5752"/>
    <cellStyle name="Milliers 3 2 2 2 2" xfId="12284"/>
    <cellStyle name="Milliers 3 2 2 2 2 2" xfId="31757"/>
    <cellStyle name="Milliers 3 2 2 2 2 3" xfId="44737"/>
    <cellStyle name="Milliers 3 2 2 2 2 4" xfId="60966"/>
    <cellStyle name="Milliers 3 2 2 2 3" xfId="18777"/>
    <cellStyle name="Milliers 3 2 2 2 4" xfId="25267"/>
    <cellStyle name="Milliers 3 2 2 2 5" xfId="38247"/>
    <cellStyle name="Milliers 3 2 2 2 6" xfId="54476"/>
    <cellStyle name="Milliers 3 2 2 3" xfId="9039"/>
    <cellStyle name="Milliers 3 2 2 3 2" xfId="28512"/>
    <cellStyle name="Milliers 3 2 2 3 3" xfId="41492"/>
    <cellStyle name="Milliers 3 2 2 3 4" xfId="57721"/>
    <cellStyle name="Milliers 3 2 2 4" xfId="15532"/>
    <cellStyle name="Milliers 3 2 2 4 2" xfId="51231"/>
    <cellStyle name="Milliers 3 2 2 5" xfId="22022"/>
    <cellStyle name="Milliers 3 2 2 6" xfId="35002"/>
    <cellStyle name="Milliers 3 2 2 7" xfId="47985"/>
    <cellStyle name="Milliers 3 2 3" xfId="4129"/>
    <cellStyle name="Milliers 3 2 3 2" xfId="10661"/>
    <cellStyle name="Milliers 3 2 3 2 2" xfId="30134"/>
    <cellStyle name="Milliers 3 2 3 2 3" xfId="43114"/>
    <cellStyle name="Milliers 3 2 3 2 4" xfId="59343"/>
    <cellStyle name="Milliers 3 2 3 3" xfId="17154"/>
    <cellStyle name="Milliers 3 2 3 4" xfId="23644"/>
    <cellStyle name="Milliers 3 2 3 5" xfId="36624"/>
    <cellStyle name="Milliers 3 2 3 6" xfId="52853"/>
    <cellStyle name="Milliers 3 2 4" xfId="7416"/>
    <cellStyle name="Milliers 3 2 4 2" xfId="26889"/>
    <cellStyle name="Milliers 3 2 4 3" xfId="39869"/>
    <cellStyle name="Milliers 3 2 4 4" xfId="56098"/>
    <cellStyle name="Milliers 3 2 5" xfId="13909"/>
    <cellStyle name="Milliers 3 2 5 2" xfId="49608"/>
    <cellStyle name="Milliers 3 2 6" xfId="20399"/>
    <cellStyle name="Milliers 3 2 7" xfId="33379"/>
    <cellStyle name="Milliers 3 2 8" xfId="46362"/>
    <cellStyle name="Milliers 3 3" xfId="609"/>
    <cellStyle name="Milliers 3 3 2" xfId="2277"/>
    <cellStyle name="Milliers 3 3 2 2" xfId="5522"/>
    <cellStyle name="Milliers 3 3 2 2 2" xfId="12054"/>
    <cellStyle name="Milliers 3 3 2 2 2 2" xfId="31527"/>
    <cellStyle name="Milliers 3 3 2 2 2 3" xfId="44507"/>
    <cellStyle name="Milliers 3 3 2 2 2 4" xfId="60736"/>
    <cellStyle name="Milliers 3 3 2 2 3" xfId="18547"/>
    <cellStyle name="Milliers 3 3 2 2 4" xfId="25037"/>
    <cellStyle name="Milliers 3 3 2 2 5" xfId="38017"/>
    <cellStyle name="Milliers 3 3 2 2 6" xfId="54246"/>
    <cellStyle name="Milliers 3 3 2 3" xfId="8809"/>
    <cellStyle name="Milliers 3 3 2 3 2" xfId="28282"/>
    <cellStyle name="Milliers 3 3 2 3 3" xfId="41262"/>
    <cellStyle name="Milliers 3 3 2 3 4" xfId="57491"/>
    <cellStyle name="Milliers 3 3 2 4" xfId="15302"/>
    <cellStyle name="Milliers 3 3 2 4 2" xfId="51001"/>
    <cellStyle name="Milliers 3 3 2 5" xfId="21792"/>
    <cellStyle name="Milliers 3 3 2 6" xfId="34772"/>
    <cellStyle name="Milliers 3 3 2 7" xfId="47755"/>
    <cellStyle name="Milliers 3 3 3" xfId="3899"/>
    <cellStyle name="Milliers 3 3 3 2" xfId="10431"/>
    <cellStyle name="Milliers 3 3 3 2 2" xfId="29904"/>
    <cellStyle name="Milliers 3 3 3 2 3" xfId="42884"/>
    <cellStyle name="Milliers 3 3 3 2 4" xfId="59113"/>
    <cellStyle name="Milliers 3 3 3 3" xfId="16924"/>
    <cellStyle name="Milliers 3 3 3 4" xfId="23414"/>
    <cellStyle name="Milliers 3 3 3 5" xfId="36394"/>
    <cellStyle name="Milliers 3 3 3 6" xfId="52623"/>
    <cellStyle name="Milliers 3 3 4" xfId="7186"/>
    <cellStyle name="Milliers 3 3 4 2" xfId="26659"/>
    <cellStyle name="Milliers 3 3 4 3" xfId="39639"/>
    <cellStyle name="Milliers 3 3 4 4" xfId="55868"/>
    <cellStyle name="Milliers 3 3 5" xfId="13679"/>
    <cellStyle name="Milliers 3 3 5 2" xfId="49378"/>
    <cellStyle name="Milliers 3 3 6" xfId="20169"/>
    <cellStyle name="Milliers 3 3 7" xfId="33149"/>
    <cellStyle name="Milliers 3 3 8" xfId="46132"/>
    <cellStyle name="Milliers 3 4" xfId="1783"/>
    <cellStyle name="Milliers 3 4 2" xfId="5071"/>
    <cellStyle name="Milliers 3 4 2 2" xfId="11603"/>
    <cellStyle name="Milliers 3 4 2 2 2" xfId="31076"/>
    <cellStyle name="Milliers 3 4 2 2 3" xfId="44056"/>
    <cellStyle name="Milliers 3 4 2 2 4" xfId="60285"/>
    <cellStyle name="Milliers 3 4 2 3" xfId="18096"/>
    <cellStyle name="Milliers 3 4 2 4" xfId="24586"/>
    <cellStyle name="Milliers 3 4 2 5" xfId="37566"/>
    <cellStyle name="Milliers 3 4 2 6" xfId="53795"/>
    <cellStyle name="Milliers 3 4 3" xfId="8358"/>
    <cellStyle name="Milliers 3 4 3 2" xfId="27831"/>
    <cellStyle name="Milliers 3 4 3 3" xfId="40811"/>
    <cellStyle name="Milliers 3 4 3 4" xfId="57040"/>
    <cellStyle name="Milliers 3 4 4" xfId="14851"/>
    <cellStyle name="Milliers 3 4 4 2" xfId="50550"/>
    <cellStyle name="Milliers 3 4 5" xfId="21341"/>
    <cellStyle name="Milliers 3 4 6" xfId="34321"/>
    <cellStyle name="Milliers 3 4 7" xfId="47304"/>
    <cellStyle name="Milliers 3 5" xfId="3669"/>
    <cellStyle name="Milliers 3 5 2" xfId="10201"/>
    <cellStyle name="Milliers 3 5 2 2" xfId="29674"/>
    <cellStyle name="Milliers 3 5 2 3" xfId="42654"/>
    <cellStyle name="Milliers 3 5 2 4" xfId="58883"/>
    <cellStyle name="Milliers 3 5 3" xfId="16694"/>
    <cellStyle name="Milliers 3 5 4" xfId="23184"/>
    <cellStyle name="Milliers 3 5 5" xfId="36164"/>
    <cellStyle name="Milliers 3 5 6" xfId="52393"/>
    <cellStyle name="Milliers 3 6" xfId="6956"/>
    <cellStyle name="Milliers 3 6 2" xfId="26429"/>
    <cellStyle name="Milliers 3 6 3" xfId="39409"/>
    <cellStyle name="Milliers 3 6 4" xfId="55638"/>
    <cellStyle name="Milliers 3 7" xfId="13449"/>
    <cellStyle name="Milliers 3 7 2" xfId="49148"/>
    <cellStyle name="Milliers 3 8" xfId="19939"/>
    <cellStyle name="Milliers 3 9" xfId="32919"/>
    <cellStyle name="Milliers 4" xfId="381"/>
    <cellStyle name="Milliers 4 10" xfId="45904"/>
    <cellStyle name="Milliers 4 2" xfId="841"/>
    <cellStyle name="Milliers 4 2 2" xfId="2509"/>
    <cellStyle name="Milliers 4 2 2 2" xfId="5754"/>
    <cellStyle name="Milliers 4 2 2 2 2" xfId="12286"/>
    <cellStyle name="Milliers 4 2 2 2 2 2" xfId="31759"/>
    <cellStyle name="Milliers 4 2 2 2 2 3" xfId="44739"/>
    <cellStyle name="Milliers 4 2 2 2 2 4" xfId="60968"/>
    <cellStyle name="Milliers 4 2 2 2 3" xfId="18779"/>
    <cellStyle name="Milliers 4 2 2 2 4" xfId="25269"/>
    <cellStyle name="Milliers 4 2 2 2 5" xfId="38249"/>
    <cellStyle name="Milliers 4 2 2 2 6" xfId="54478"/>
    <cellStyle name="Milliers 4 2 2 3" xfId="9041"/>
    <cellStyle name="Milliers 4 2 2 3 2" xfId="28514"/>
    <cellStyle name="Milliers 4 2 2 3 3" xfId="41494"/>
    <cellStyle name="Milliers 4 2 2 3 4" xfId="57723"/>
    <cellStyle name="Milliers 4 2 2 4" xfId="15534"/>
    <cellStyle name="Milliers 4 2 2 4 2" xfId="51233"/>
    <cellStyle name="Milliers 4 2 2 5" xfId="22024"/>
    <cellStyle name="Milliers 4 2 2 6" xfId="35004"/>
    <cellStyle name="Milliers 4 2 2 7" xfId="47987"/>
    <cellStyle name="Milliers 4 2 3" xfId="4131"/>
    <cellStyle name="Milliers 4 2 3 2" xfId="10663"/>
    <cellStyle name="Milliers 4 2 3 2 2" xfId="30136"/>
    <cellStyle name="Milliers 4 2 3 2 3" xfId="43116"/>
    <cellStyle name="Milliers 4 2 3 2 4" xfId="59345"/>
    <cellStyle name="Milliers 4 2 3 3" xfId="17156"/>
    <cellStyle name="Milliers 4 2 3 4" xfId="23646"/>
    <cellStyle name="Milliers 4 2 3 5" xfId="36626"/>
    <cellStyle name="Milliers 4 2 3 6" xfId="52855"/>
    <cellStyle name="Milliers 4 2 4" xfId="7418"/>
    <cellStyle name="Milliers 4 2 4 2" xfId="26891"/>
    <cellStyle name="Milliers 4 2 4 3" xfId="39871"/>
    <cellStyle name="Milliers 4 2 4 4" xfId="56100"/>
    <cellStyle name="Milliers 4 2 5" xfId="13911"/>
    <cellStyle name="Milliers 4 2 5 2" xfId="49610"/>
    <cellStyle name="Milliers 4 2 6" xfId="20401"/>
    <cellStyle name="Milliers 4 2 7" xfId="33381"/>
    <cellStyle name="Milliers 4 2 8" xfId="46364"/>
    <cellStyle name="Milliers 4 3" xfId="611"/>
    <cellStyle name="Milliers 4 3 2" xfId="2279"/>
    <cellStyle name="Milliers 4 3 2 2" xfId="5524"/>
    <cellStyle name="Milliers 4 3 2 2 2" xfId="12056"/>
    <cellStyle name="Milliers 4 3 2 2 2 2" xfId="31529"/>
    <cellStyle name="Milliers 4 3 2 2 2 3" xfId="44509"/>
    <cellStyle name="Milliers 4 3 2 2 2 4" xfId="60738"/>
    <cellStyle name="Milliers 4 3 2 2 3" xfId="18549"/>
    <cellStyle name="Milliers 4 3 2 2 4" xfId="25039"/>
    <cellStyle name="Milliers 4 3 2 2 5" xfId="38019"/>
    <cellStyle name="Milliers 4 3 2 2 6" xfId="54248"/>
    <cellStyle name="Milliers 4 3 2 3" xfId="8811"/>
    <cellStyle name="Milliers 4 3 2 3 2" xfId="28284"/>
    <cellStyle name="Milliers 4 3 2 3 3" xfId="41264"/>
    <cellStyle name="Milliers 4 3 2 3 4" xfId="57493"/>
    <cellStyle name="Milliers 4 3 2 4" xfId="15304"/>
    <cellStyle name="Milliers 4 3 2 4 2" xfId="51003"/>
    <cellStyle name="Milliers 4 3 2 5" xfId="21794"/>
    <cellStyle name="Milliers 4 3 2 6" xfId="34774"/>
    <cellStyle name="Milliers 4 3 2 7" xfId="47757"/>
    <cellStyle name="Milliers 4 3 3" xfId="3901"/>
    <cellStyle name="Milliers 4 3 3 2" xfId="10433"/>
    <cellStyle name="Milliers 4 3 3 2 2" xfId="29906"/>
    <cellStyle name="Milliers 4 3 3 2 3" xfId="42886"/>
    <cellStyle name="Milliers 4 3 3 2 4" xfId="59115"/>
    <cellStyle name="Milliers 4 3 3 3" xfId="16926"/>
    <cellStyle name="Milliers 4 3 3 4" xfId="23416"/>
    <cellStyle name="Milliers 4 3 3 5" xfId="36396"/>
    <cellStyle name="Milliers 4 3 3 6" xfId="52625"/>
    <cellStyle name="Milliers 4 3 4" xfId="7188"/>
    <cellStyle name="Milliers 4 3 4 2" xfId="26661"/>
    <cellStyle name="Milliers 4 3 4 3" xfId="39641"/>
    <cellStyle name="Milliers 4 3 4 4" xfId="55870"/>
    <cellStyle name="Milliers 4 3 5" xfId="13681"/>
    <cellStyle name="Milliers 4 3 5 2" xfId="49380"/>
    <cellStyle name="Milliers 4 3 6" xfId="20171"/>
    <cellStyle name="Milliers 4 3 7" xfId="33151"/>
    <cellStyle name="Milliers 4 3 8" xfId="46134"/>
    <cellStyle name="Milliers 4 4" xfId="2049"/>
    <cellStyle name="Milliers 4 4 2" xfId="5294"/>
    <cellStyle name="Milliers 4 4 2 2" xfId="11826"/>
    <cellStyle name="Milliers 4 4 2 2 2" xfId="31299"/>
    <cellStyle name="Milliers 4 4 2 2 3" xfId="44279"/>
    <cellStyle name="Milliers 4 4 2 2 4" xfId="60508"/>
    <cellStyle name="Milliers 4 4 2 3" xfId="18319"/>
    <cellStyle name="Milliers 4 4 2 4" xfId="24809"/>
    <cellStyle name="Milliers 4 4 2 5" xfId="37789"/>
    <cellStyle name="Milliers 4 4 2 6" xfId="54018"/>
    <cellStyle name="Milliers 4 4 3" xfId="8581"/>
    <cellStyle name="Milliers 4 4 3 2" xfId="28054"/>
    <cellStyle name="Milliers 4 4 3 3" xfId="41034"/>
    <cellStyle name="Milliers 4 4 3 4" xfId="57263"/>
    <cellStyle name="Milliers 4 4 4" xfId="15074"/>
    <cellStyle name="Milliers 4 4 4 2" xfId="50773"/>
    <cellStyle name="Milliers 4 4 5" xfId="21564"/>
    <cellStyle name="Milliers 4 4 6" xfId="34544"/>
    <cellStyle name="Milliers 4 4 7" xfId="47527"/>
    <cellStyle name="Milliers 4 5" xfId="3671"/>
    <cellStyle name="Milliers 4 5 2" xfId="10203"/>
    <cellStyle name="Milliers 4 5 2 2" xfId="29676"/>
    <cellStyle name="Milliers 4 5 2 3" xfId="42656"/>
    <cellStyle name="Milliers 4 5 2 4" xfId="58885"/>
    <cellStyle name="Milliers 4 5 3" xfId="16696"/>
    <cellStyle name="Milliers 4 5 4" xfId="23186"/>
    <cellStyle name="Milliers 4 5 5" xfId="36166"/>
    <cellStyle name="Milliers 4 5 6" xfId="52395"/>
    <cellStyle name="Milliers 4 6" xfId="6958"/>
    <cellStyle name="Milliers 4 6 2" xfId="26431"/>
    <cellStyle name="Milliers 4 6 3" xfId="39411"/>
    <cellStyle name="Milliers 4 6 4" xfId="55640"/>
    <cellStyle name="Milliers 4 7" xfId="13451"/>
    <cellStyle name="Milliers 4 7 2" xfId="49150"/>
    <cellStyle name="Milliers 4 8" xfId="19941"/>
    <cellStyle name="Milliers 4 9" xfId="32921"/>
    <cellStyle name="Milliers 5" xfId="383"/>
    <cellStyle name="Milliers 5 10" xfId="45906"/>
    <cellStyle name="Milliers 5 2" xfId="843"/>
    <cellStyle name="Milliers 5 2 2" xfId="2511"/>
    <cellStyle name="Milliers 5 2 2 2" xfId="5756"/>
    <cellStyle name="Milliers 5 2 2 2 2" xfId="12288"/>
    <cellStyle name="Milliers 5 2 2 2 2 2" xfId="31761"/>
    <cellStyle name="Milliers 5 2 2 2 2 3" xfId="44741"/>
    <cellStyle name="Milliers 5 2 2 2 2 4" xfId="60970"/>
    <cellStyle name="Milliers 5 2 2 2 3" xfId="18781"/>
    <cellStyle name="Milliers 5 2 2 2 4" xfId="25271"/>
    <cellStyle name="Milliers 5 2 2 2 5" xfId="38251"/>
    <cellStyle name="Milliers 5 2 2 2 6" xfId="54480"/>
    <cellStyle name="Milliers 5 2 2 3" xfId="9043"/>
    <cellStyle name="Milliers 5 2 2 3 2" xfId="28516"/>
    <cellStyle name="Milliers 5 2 2 3 3" xfId="41496"/>
    <cellStyle name="Milliers 5 2 2 3 4" xfId="57725"/>
    <cellStyle name="Milliers 5 2 2 4" xfId="15536"/>
    <cellStyle name="Milliers 5 2 2 4 2" xfId="51235"/>
    <cellStyle name="Milliers 5 2 2 5" xfId="22026"/>
    <cellStyle name="Milliers 5 2 2 6" xfId="35006"/>
    <cellStyle name="Milliers 5 2 2 7" xfId="47989"/>
    <cellStyle name="Milliers 5 2 3" xfId="4133"/>
    <cellStyle name="Milliers 5 2 3 2" xfId="10665"/>
    <cellStyle name="Milliers 5 2 3 2 2" xfId="30138"/>
    <cellStyle name="Milliers 5 2 3 2 3" xfId="43118"/>
    <cellStyle name="Milliers 5 2 3 2 4" xfId="59347"/>
    <cellStyle name="Milliers 5 2 3 3" xfId="17158"/>
    <cellStyle name="Milliers 5 2 3 4" xfId="23648"/>
    <cellStyle name="Milliers 5 2 3 5" xfId="36628"/>
    <cellStyle name="Milliers 5 2 3 6" xfId="52857"/>
    <cellStyle name="Milliers 5 2 4" xfId="7420"/>
    <cellStyle name="Milliers 5 2 4 2" xfId="26893"/>
    <cellStyle name="Milliers 5 2 4 3" xfId="39873"/>
    <cellStyle name="Milliers 5 2 4 4" xfId="56102"/>
    <cellStyle name="Milliers 5 2 5" xfId="13913"/>
    <cellStyle name="Milliers 5 2 5 2" xfId="49612"/>
    <cellStyle name="Milliers 5 2 6" xfId="20403"/>
    <cellStyle name="Milliers 5 2 7" xfId="33383"/>
    <cellStyle name="Milliers 5 2 8" xfId="46366"/>
    <cellStyle name="Milliers 5 3" xfId="613"/>
    <cellStyle name="Milliers 5 3 2" xfId="2281"/>
    <cellStyle name="Milliers 5 3 2 2" xfId="5526"/>
    <cellStyle name="Milliers 5 3 2 2 2" xfId="12058"/>
    <cellStyle name="Milliers 5 3 2 2 2 2" xfId="31531"/>
    <cellStyle name="Milliers 5 3 2 2 2 3" xfId="44511"/>
    <cellStyle name="Milliers 5 3 2 2 2 4" xfId="60740"/>
    <cellStyle name="Milliers 5 3 2 2 3" xfId="18551"/>
    <cellStyle name="Milliers 5 3 2 2 4" xfId="25041"/>
    <cellStyle name="Milliers 5 3 2 2 5" xfId="38021"/>
    <cellStyle name="Milliers 5 3 2 2 6" xfId="54250"/>
    <cellStyle name="Milliers 5 3 2 3" xfId="8813"/>
    <cellStyle name="Milliers 5 3 2 3 2" xfId="28286"/>
    <cellStyle name="Milliers 5 3 2 3 3" xfId="41266"/>
    <cellStyle name="Milliers 5 3 2 3 4" xfId="57495"/>
    <cellStyle name="Milliers 5 3 2 4" xfId="15306"/>
    <cellStyle name="Milliers 5 3 2 4 2" xfId="51005"/>
    <cellStyle name="Milliers 5 3 2 5" xfId="21796"/>
    <cellStyle name="Milliers 5 3 2 6" xfId="34776"/>
    <cellStyle name="Milliers 5 3 2 7" xfId="47759"/>
    <cellStyle name="Milliers 5 3 3" xfId="3903"/>
    <cellStyle name="Milliers 5 3 3 2" xfId="10435"/>
    <cellStyle name="Milliers 5 3 3 2 2" xfId="29908"/>
    <cellStyle name="Milliers 5 3 3 2 3" xfId="42888"/>
    <cellStyle name="Milliers 5 3 3 2 4" xfId="59117"/>
    <cellStyle name="Milliers 5 3 3 3" xfId="16928"/>
    <cellStyle name="Milliers 5 3 3 4" xfId="23418"/>
    <cellStyle name="Milliers 5 3 3 5" xfId="36398"/>
    <cellStyle name="Milliers 5 3 3 6" xfId="52627"/>
    <cellStyle name="Milliers 5 3 4" xfId="7190"/>
    <cellStyle name="Milliers 5 3 4 2" xfId="26663"/>
    <cellStyle name="Milliers 5 3 4 3" xfId="39643"/>
    <cellStyle name="Milliers 5 3 4 4" xfId="55872"/>
    <cellStyle name="Milliers 5 3 5" xfId="13683"/>
    <cellStyle name="Milliers 5 3 5 2" xfId="49382"/>
    <cellStyle name="Milliers 5 3 6" xfId="20173"/>
    <cellStyle name="Milliers 5 3 7" xfId="33153"/>
    <cellStyle name="Milliers 5 3 8" xfId="46136"/>
    <cellStyle name="Milliers 5 4" xfId="2051"/>
    <cellStyle name="Milliers 5 4 2" xfId="5296"/>
    <cellStyle name="Milliers 5 4 2 2" xfId="11828"/>
    <cellStyle name="Milliers 5 4 2 2 2" xfId="31301"/>
    <cellStyle name="Milliers 5 4 2 2 3" xfId="44281"/>
    <cellStyle name="Milliers 5 4 2 2 4" xfId="60510"/>
    <cellStyle name="Milliers 5 4 2 3" xfId="18321"/>
    <cellStyle name="Milliers 5 4 2 4" xfId="24811"/>
    <cellStyle name="Milliers 5 4 2 5" xfId="37791"/>
    <cellStyle name="Milliers 5 4 2 6" xfId="54020"/>
    <cellStyle name="Milliers 5 4 3" xfId="8583"/>
    <cellStyle name="Milliers 5 4 3 2" xfId="28056"/>
    <cellStyle name="Milliers 5 4 3 3" xfId="41036"/>
    <cellStyle name="Milliers 5 4 3 4" xfId="57265"/>
    <cellStyle name="Milliers 5 4 4" xfId="15076"/>
    <cellStyle name="Milliers 5 4 4 2" xfId="50775"/>
    <cellStyle name="Milliers 5 4 5" xfId="21566"/>
    <cellStyle name="Milliers 5 4 6" xfId="34546"/>
    <cellStyle name="Milliers 5 4 7" xfId="47529"/>
    <cellStyle name="Milliers 5 5" xfId="3673"/>
    <cellStyle name="Milliers 5 5 2" xfId="10205"/>
    <cellStyle name="Milliers 5 5 2 2" xfId="29678"/>
    <cellStyle name="Milliers 5 5 2 3" xfId="42658"/>
    <cellStyle name="Milliers 5 5 2 4" xfId="58887"/>
    <cellStyle name="Milliers 5 5 3" xfId="16698"/>
    <cellStyle name="Milliers 5 5 4" xfId="23188"/>
    <cellStyle name="Milliers 5 5 5" xfId="36168"/>
    <cellStyle name="Milliers 5 5 6" xfId="52397"/>
    <cellStyle name="Milliers 5 6" xfId="6960"/>
    <cellStyle name="Milliers 5 6 2" xfId="26433"/>
    <cellStyle name="Milliers 5 6 3" xfId="39413"/>
    <cellStyle name="Milliers 5 6 4" xfId="55642"/>
    <cellStyle name="Milliers 5 7" xfId="13453"/>
    <cellStyle name="Milliers 5 7 2" xfId="49152"/>
    <cellStyle name="Milliers 5 8" xfId="19943"/>
    <cellStyle name="Milliers 5 9" xfId="32923"/>
    <cellStyle name="Milliers 6" xfId="385"/>
    <cellStyle name="Milliers 6 10" xfId="45908"/>
    <cellStyle name="Milliers 6 2" xfId="845"/>
    <cellStyle name="Milliers 6 2 2" xfId="2513"/>
    <cellStyle name="Milliers 6 2 2 2" xfId="5758"/>
    <cellStyle name="Milliers 6 2 2 2 2" xfId="12290"/>
    <cellStyle name="Milliers 6 2 2 2 2 2" xfId="31763"/>
    <cellStyle name="Milliers 6 2 2 2 2 3" xfId="44743"/>
    <cellStyle name="Milliers 6 2 2 2 2 4" xfId="60972"/>
    <cellStyle name="Milliers 6 2 2 2 3" xfId="18783"/>
    <cellStyle name="Milliers 6 2 2 2 4" xfId="25273"/>
    <cellStyle name="Milliers 6 2 2 2 5" xfId="38253"/>
    <cellStyle name="Milliers 6 2 2 2 6" xfId="54482"/>
    <cellStyle name="Milliers 6 2 2 3" xfId="9045"/>
    <cellStyle name="Milliers 6 2 2 3 2" xfId="28518"/>
    <cellStyle name="Milliers 6 2 2 3 3" xfId="41498"/>
    <cellStyle name="Milliers 6 2 2 3 4" xfId="57727"/>
    <cellStyle name="Milliers 6 2 2 4" xfId="15538"/>
    <cellStyle name="Milliers 6 2 2 4 2" xfId="51237"/>
    <cellStyle name="Milliers 6 2 2 5" xfId="22028"/>
    <cellStyle name="Milliers 6 2 2 6" xfId="35008"/>
    <cellStyle name="Milliers 6 2 2 7" xfId="47991"/>
    <cellStyle name="Milliers 6 2 3" xfId="4135"/>
    <cellStyle name="Milliers 6 2 3 2" xfId="10667"/>
    <cellStyle name="Milliers 6 2 3 2 2" xfId="30140"/>
    <cellStyle name="Milliers 6 2 3 2 3" xfId="43120"/>
    <cellStyle name="Milliers 6 2 3 2 4" xfId="59349"/>
    <cellStyle name="Milliers 6 2 3 3" xfId="17160"/>
    <cellStyle name="Milliers 6 2 3 4" xfId="23650"/>
    <cellStyle name="Milliers 6 2 3 5" xfId="36630"/>
    <cellStyle name="Milliers 6 2 3 6" xfId="52859"/>
    <cellStyle name="Milliers 6 2 4" xfId="7422"/>
    <cellStyle name="Milliers 6 2 4 2" xfId="26895"/>
    <cellStyle name="Milliers 6 2 4 3" xfId="39875"/>
    <cellStyle name="Milliers 6 2 4 4" xfId="56104"/>
    <cellStyle name="Milliers 6 2 5" xfId="13915"/>
    <cellStyle name="Milliers 6 2 5 2" xfId="49614"/>
    <cellStyle name="Milliers 6 2 6" xfId="20405"/>
    <cellStyle name="Milliers 6 2 7" xfId="33385"/>
    <cellStyle name="Milliers 6 2 8" xfId="46368"/>
    <cellStyle name="Milliers 6 3" xfId="615"/>
    <cellStyle name="Milliers 6 3 2" xfId="2283"/>
    <cellStyle name="Milliers 6 3 2 2" xfId="5528"/>
    <cellStyle name="Milliers 6 3 2 2 2" xfId="12060"/>
    <cellStyle name="Milliers 6 3 2 2 2 2" xfId="31533"/>
    <cellStyle name="Milliers 6 3 2 2 2 3" xfId="44513"/>
    <cellStyle name="Milliers 6 3 2 2 2 4" xfId="60742"/>
    <cellStyle name="Milliers 6 3 2 2 3" xfId="18553"/>
    <cellStyle name="Milliers 6 3 2 2 4" xfId="25043"/>
    <cellStyle name="Milliers 6 3 2 2 5" xfId="38023"/>
    <cellStyle name="Milliers 6 3 2 2 6" xfId="54252"/>
    <cellStyle name="Milliers 6 3 2 3" xfId="8815"/>
    <cellStyle name="Milliers 6 3 2 3 2" xfId="28288"/>
    <cellStyle name="Milliers 6 3 2 3 3" xfId="41268"/>
    <cellStyle name="Milliers 6 3 2 3 4" xfId="57497"/>
    <cellStyle name="Milliers 6 3 2 4" xfId="15308"/>
    <cellStyle name="Milliers 6 3 2 4 2" xfId="51007"/>
    <cellStyle name="Milliers 6 3 2 5" xfId="21798"/>
    <cellStyle name="Milliers 6 3 2 6" xfId="34778"/>
    <cellStyle name="Milliers 6 3 2 7" xfId="47761"/>
    <cellStyle name="Milliers 6 3 3" xfId="3905"/>
    <cellStyle name="Milliers 6 3 3 2" xfId="10437"/>
    <cellStyle name="Milliers 6 3 3 2 2" xfId="29910"/>
    <cellStyle name="Milliers 6 3 3 2 3" xfId="42890"/>
    <cellStyle name="Milliers 6 3 3 2 4" xfId="59119"/>
    <cellStyle name="Milliers 6 3 3 3" xfId="16930"/>
    <cellStyle name="Milliers 6 3 3 4" xfId="23420"/>
    <cellStyle name="Milliers 6 3 3 5" xfId="36400"/>
    <cellStyle name="Milliers 6 3 3 6" xfId="52629"/>
    <cellStyle name="Milliers 6 3 4" xfId="7192"/>
    <cellStyle name="Milliers 6 3 4 2" xfId="26665"/>
    <cellStyle name="Milliers 6 3 4 3" xfId="39645"/>
    <cellStyle name="Milliers 6 3 4 4" xfId="55874"/>
    <cellStyle name="Milliers 6 3 5" xfId="13685"/>
    <cellStyle name="Milliers 6 3 5 2" xfId="49384"/>
    <cellStyle name="Milliers 6 3 6" xfId="20175"/>
    <cellStyle name="Milliers 6 3 7" xfId="33155"/>
    <cellStyle name="Milliers 6 3 8" xfId="46138"/>
    <cellStyle name="Milliers 6 4" xfId="2053"/>
    <cellStyle name="Milliers 6 4 2" xfId="5298"/>
    <cellStyle name="Milliers 6 4 2 2" xfId="11830"/>
    <cellStyle name="Milliers 6 4 2 2 2" xfId="31303"/>
    <cellStyle name="Milliers 6 4 2 2 3" xfId="44283"/>
    <cellStyle name="Milliers 6 4 2 2 4" xfId="60512"/>
    <cellStyle name="Milliers 6 4 2 3" xfId="18323"/>
    <cellStyle name="Milliers 6 4 2 4" xfId="24813"/>
    <cellStyle name="Milliers 6 4 2 5" xfId="37793"/>
    <cellStyle name="Milliers 6 4 2 6" xfId="54022"/>
    <cellStyle name="Milliers 6 4 3" xfId="8585"/>
    <cellStyle name="Milliers 6 4 3 2" xfId="28058"/>
    <cellStyle name="Milliers 6 4 3 3" xfId="41038"/>
    <cellStyle name="Milliers 6 4 3 4" xfId="57267"/>
    <cellStyle name="Milliers 6 4 4" xfId="15078"/>
    <cellStyle name="Milliers 6 4 4 2" xfId="50777"/>
    <cellStyle name="Milliers 6 4 5" xfId="21568"/>
    <cellStyle name="Milliers 6 4 6" xfId="34548"/>
    <cellStyle name="Milliers 6 4 7" xfId="47531"/>
    <cellStyle name="Milliers 6 5" xfId="3675"/>
    <cellStyle name="Milliers 6 5 2" xfId="10207"/>
    <cellStyle name="Milliers 6 5 2 2" xfId="29680"/>
    <cellStyle name="Milliers 6 5 2 3" xfId="42660"/>
    <cellStyle name="Milliers 6 5 2 4" xfId="58889"/>
    <cellStyle name="Milliers 6 5 3" xfId="16700"/>
    <cellStyle name="Milliers 6 5 4" xfId="23190"/>
    <cellStyle name="Milliers 6 5 5" xfId="36170"/>
    <cellStyle name="Milliers 6 5 6" xfId="52399"/>
    <cellStyle name="Milliers 6 6" xfId="6962"/>
    <cellStyle name="Milliers 6 6 2" xfId="26435"/>
    <cellStyle name="Milliers 6 6 3" xfId="39415"/>
    <cellStyle name="Milliers 6 6 4" xfId="55644"/>
    <cellStyle name="Milliers 6 7" xfId="13455"/>
    <cellStyle name="Milliers 6 7 2" xfId="49154"/>
    <cellStyle name="Milliers 6 8" xfId="19945"/>
    <cellStyle name="Milliers 6 9" xfId="32925"/>
    <cellStyle name="Milliers 7" xfId="387"/>
    <cellStyle name="Milliers 7 10" xfId="45910"/>
    <cellStyle name="Milliers 7 2" xfId="847"/>
    <cellStyle name="Milliers 7 2 2" xfId="2515"/>
    <cellStyle name="Milliers 7 2 2 2" xfId="5760"/>
    <cellStyle name="Milliers 7 2 2 2 2" xfId="12292"/>
    <cellStyle name="Milliers 7 2 2 2 2 2" xfId="31765"/>
    <cellStyle name="Milliers 7 2 2 2 2 3" xfId="44745"/>
    <cellStyle name="Milliers 7 2 2 2 2 4" xfId="60974"/>
    <cellStyle name="Milliers 7 2 2 2 3" xfId="18785"/>
    <cellStyle name="Milliers 7 2 2 2 4" xfId="25275"/>
    <cellStyle name="Milliers 7 2 2 2 5" xfId="38255"/>
    <cellStyle name="Milliers 7 2 2 2 6" xfId="54484"/>
    <cellStyle name="Milliers 7 2 2 3" xfId="9047"/>
    <cellStyle name="Milliers 7 2 2 3 2" xfId="28520"/>
    <cellStyle name="Milliers 7 2 2 3 3" xfId="41500"/>
    <cellStyle name="Milliers 7 2 2 3 4" xfId="57729"/>
    <cellStyle name="Milliers 7 2 2 4" xfId="15540"/>
    <cellStyle name="Milliers 7 2 2 4 2" xfId="51239"/>
    <cellStyle name="Milliers 7 2 2 5" xfId="22030"/>
    <cellStyle name="Milliers 7 2 2 6" xfId="35010"/>
    <cellStyle name="Milliers 7 2 2 7" xfId="47993"/>
    <cellStyle name="Milliers 7 2 3" xfId="4137"/>
    <cellStyle name="Milliers 7 2 3 2" xfId="10669"/>
    <cellStyle name="Milliers 7 2 3 2 2" xfId="30142"/>
    <cellStyle name="Milliers 7 2 3 2 3" xfId="43122"/>
    <cellStyle name="Milliers 7 2 3 2 4" xfId="59351"/>
    <cellStyle name="Milliers 7 2 3 3" xfId="17162"/>
    <cellStyle name="Milliers 7 2 3 4" xfId="23652"/>
    <cellStyle name="Milliers 7 2 3 5" xfId="36632"/>
    <cellStyle name="Milliers 7 2 3 6" xfId="52861"/>
    <cellStyle name="Milliers 7 2 4" xfId="7424"/>
    <cellStyle name="Milliers 7 2 4 2" xfId="26897"/>
    <cellStyle name="Milliers 7 2 4 3" xfId="39877"/>
    <cellStyle name="Milliers 7 2 4 4" xfId="56106"/>
    <cellStyle name="Milliers 7 2 5" xfId="13917"/>
    <cellStyle name="Milliers 7 2 5 2" xfId="49616"/>
    <cellStyle name="Milliers 7 2 6" xfId="20407"/>
    <cellStyle name="Milliers 7 2 7" xfId="33387"/>
    <cellStyle name="Milliers 7 2 8" xfId="46370"/>
    <cellStyle name="Milliers 7 3" xfId="617"/>
    <cellStyle name="Milliers 7 3 2" xfId="2285"/>
    <cellStyle name="Milliers 7 3 2 2" xfId="5530"/>
    <cellStyle name="Milliers 7 3 2 2 2" xfId="12062"/>
    <cellStyle name="Milliers 7 3 2 2 2 2" xfId="31535"/>
    <cellStyle name="Milliers 7 3 2 2 2 3" xfId="44515"/>
    <cellStyle name="Milliers 7 3 2 2 2 4" xfId="60744"/>
    <cellStyle name="Milliers 7 3 2 2 3" xfId="18555"/>
    <cellStyle name="Milliers 7 3 2 2 4" xfId="25045"/>
    <cellStyle name="Milliers 7 3 2 2 5" xfId="38025"/>
    <cellStyle name="Milliers 7 3 2 2 6" xfId="54254"/>
    <cellStyle name="Milliers 7 3 2 3" xfId="8817"/>
    <cellStyle name="Milliers 7 3 2 3 2" xfId="28290"/>
    <cellStyle name="Milliers 7 3 2 3 3" xfId="41270"/>
    <cellStyle name="Milliers 7 3 2 3 4" xfId="57499"/>
    <cellStyle name="Milliers 7 3 2 4" xfId="15310"/>
    <cellStyle name="Milliers 7 3 2 4 2" xfId="51009"/>
    <cellStyle name="Milliers 7 3 2 5" xfId="21800"/>
    <cellStyle name="Milliers 7 3 2 6" xfId="34780"/>
    <cellStyle name="Milliers 7 3 2 7" xfId="47763"/>
    <cellStyle name="Milliers 7 3 3" xfId="3907"/>
    <cellStyle name="Milliers 7 3 3 2" xfId="10439"/>
    <cellStyle name="Milliers 7 3 3 2 2" xfId="29912"/>
    <cellStyle name="Milliers 7 3 3 2 3" xfId="42892"/>
    <cellStyle name="Milliers 7 3 3 2 4" xfId="59121"/>
    <cellStyle name="Milliers 7 3 3 3" xfId="16932"/>
    <cellStyle name="Milliers 7 3 3 4" xfId="23422"/>
    <cellStyle name="Milliers 7 3 3 5" xfId="36402"/>
    <cellStyle name="Milliers 7 3 3 6" xfId="52631"/>
    <cellStyle name="Milliers 7 3 4" xfId="7194"/>
    <cellStyle name="Milliers 7 3 4 2" xfId="26667"/>
    <cellStyle name="Milliers 7 3 4 3" xfId="39647"/>
    <cellStyle name="Milliers 7 3 4 4" xfId="55876"/>
    <cellStyle name="Milliers 7 3 5" xfId="13687"/>
    <cellStyle name="Milliers 7 3 5 2" xfId="49386"/>
    <cellStyle name="Milliers 7 3 6" xfId="20177"/>
    <cellStyle name="Milliers 7 3 7" xfId="33157"/>
    <cellStyle name="Milliers 7 3 8" xfId="46140"/>
    <cellStyle name="Milliers 7 4" xfId="2055"/>
    <cellStyle name="Milliers 7 4 2" xfId="5300"/>
    <cellStyle name="Milliers 7 4 2 2" xfId="11832"/>
    <cellStyle name="Milliers 7 4 2 2 2" xfId="31305"/>
    <cellStyle name="Milliers 7 4 2 2 3" xfId="44285"/>
    <cellStyle name="Milliers 7 4 2 2 4" xfId="60514"/>
    <cellStyle name="Milliers 7 4 2 3" xfId="18325"/>
    <cellStyle name="Milliers 7 4 2 4" xfId="24815"/>
    <cellStyle name="Milliers 7 4 2 5" xfId="37795"/>
    <cellStyle name="Milliers 7 4 2 6" xfId="54024"/>
    <cellStyle name="Milliers 7 4 3" xfId="8587"/>
    <cellStyle name="Milliers 7 4 3 2" xfId="28060"/>
    <cellStyle name="Milliers 7 4 3 3" xfId="41040"/>
    <cellStyle name="Milliers 7 4 3 4" xfId="57269"/>
    <cellStyle name="Milliers 7 4 4" xfId="15080"/>
    <cellStyle name="Milliers 7 4 4 2" xfId="50779"/>
    <cellStyle name="Milliers 7 4 5" xfId="21570"/>
    <cellStyle name="Milliers 7 4 6" xfId="34550"/>
    <cellStyle name="Milliers 7 4 7" xfId="47533"/>
    <cellStyle name="Milliers 7 5" xfId="3677"/>
    <cellStyle name="Milliers 7 5 2" xfId="10209"/>
    <cellStyle name="Milliers 7 5 2 2" xfId="29682"/>
    <cellStyle name="Milliers 7 5 2 3" xfId="42662"/>
    <cellStyle name="Milliers 7 5 2 4" xfId="58891"/>
    <cellStyle name="Milliers 7 5 3" xfId="16702"/>
    <cellStyle name="Milliers 7 5 4" xfId="23192"/>
    <cellStyle name="Milliers 7 5 5" xfId="36172"/>
    <cellStyle name="Milliers 7 5 6" xfId="52401"/>
    <cellStyle name="Milliers 7 6" xfId="6964"/>
    <cellStyle name="Milliers 7 6 2" xfId="26437"/>
    <cellStyle name="Milliers 7 6 3" xfId="39417"/>
    <cellStyle name="Milliers 7 6 4" xfId="55646"/>
    <cellStyle name="Milliers 7 7" xfId="13457"/>
    <cellStyle name="Milliers 7 7 2" xfId="49156"/>
    <cellStyle name="Milliers 7 8" xfId="19947"/>
    <cellStyle name="Milliers 7 9" xfId="32927"/>
    <cellStyle name="Milliers 8" xfId="849"/>
    <cellStyle name="Milliers 8 2" xfId="2517"/>
    <cellStyle name="Milliers 8 2 2" xfId="5762"/>
    <cellStyle name="Milliers 8 2 2 2" xfId="12294"/>
    <cellStyle name="Milliers 8 2 2 2 2" xfId="31767"/>
    <cellStyle name="Milliers 8 2 2 2 3" xfId="44747"/>
    <cellStyle name="Milliers 8 2 2 2 4" xfId="60976"/>
    <cellStyle name="Milliers 8 2 2 3" xfId="18787"/>
    <cellStyle name="Milliers 8 2 2 4" xfId="25277"/>
    <cellStyle name="Milliers 8 2 2 5" xfId="38257"/>
    <cellStyle name="Milliers 8 2 2 6" xfId="54486"/>
    <cellStyle name="Milliers 8 2 3" xfId="9049"/>
    <cellStyle name="Milliers 8 2 3 2" xfId="28522"/>
    <cellStyle name="Milliers 8 2 3 3" xfId="41502"/>
    <cellStyle name="Milliers 8 2 3 4" xfId="57731"/>
    <cellStyle name="Milliers 8 2 4" xfId="15542"/>
    <cellStyle name="Milliers 8 2 4 2" xfId="51241"/>
    <cellStyle name="Milliers 8 2 5" xfId="22032"/>
    <cellStyle name="Milliers 8 2 6" xfId="35012"/>
    <cellStyle name="Milliers 8 2 7" xfId="47995"/>
    <cellStyle name="Milliers 8 3" xfId="4139"/>
    <cellStyle name="Milliers 8 3 2" xfId="10671"/>
    <cellStyle name="Milliers 8 3 2 2" xfId="30144"/>
    <cellStyle name="Milliers 8 3 2 3" xfId="43124"/>
    <cellStyle name="Milliers 8 3 2 4" xfId="59353"/>
    <cellStyle name="Milliers 8 3 3" xfId="17164"/>
    <cellStyle name="Milliers 8 3 4" xfId="23654"/>
    <cellStyle name="Milliers 8 3 5" xfId="36634"/>
    <cellStyle name="Milliers 8 3 6" xfId="52863"/>
    <cellStyle name="Milliers 8 4" xfId="7426"/>
    <cellStyle name="Milliers 8 4 2" xfId="26899"/>
    <cellStyle name="Milliers 8 4 3" xfId="39879"/>
    <cellStyle name="Milliers 8 4 4" xfId="56108"/>
    <cellStyle name="Milliers 8 5" xfId="13919"/>
    <cellStyle name="Milliers 8 5 2" xfId="49618"/>
    <cellStyle name="Milliers 8 6" xfId="20409"/>
    <cellStyle name="Milliers 8 7" xfId="33389"/>
    <cellStyle name="Milliers 8 8" xfId="46372"/>
    <cellStyle name="Milliers 9" xfId="1778"/>
    <cellStyle name="Milliers 9 2" xfId="3445"/>
    <cellStyle name="Milliers 9 2 2" xfId="6690"/>
    <cellStyle name="Milliers 9 2 2 2" xfId="13222"/>
    <cellStyle name="Milliers 9 2 2 2 2" xfId="32695"/>
    <cellStyle name="Milliers 9 2 2 2 3" xfId="45675"/>
    <cellStyle name="Milliers 9 2 2 2 4" xfId="61904"/>
    <cellStyle name="Milliers 9 2 2 3" xfId="19715"/>
    <cellStyle name="Milliers 9 2 2 4" xfId="26205"/>
    <cellStyle name="Milliers 9 2 2 5" xfId="39185"/>
    <cellStyle name="Milliers 9 2 2 6" xfId="55414"/>
    <cellStyle name="Milliers 9 2 3" xfId="9977"/>
    <cellStyle name="Milliers 9 2 3 2" xfId="29450"/>
    <cellStyle name="Milliers 9 2 3 3" xfId="42430"/>
    <cellStyle name="Milliers 9 2 3 4" xfId="58659"/>
    <cellStyle name="Milliers 9 2 4" xfId="16470"/>
    <cellStyle name="Milliers 9 2 4 2" xfId="52169"/>
    <cellStyle name="Milliers 9 2 5" xfId="22960"/>
    <cellStyle name="Milliers 9 2 6" xfId="35940"/>
    <cellStyle name="Milliers 9 2 7" xfId="48923"/>
    <cellStyle name="Milliers 9 3" xfId="5067"/>
    <cellStyle name="Milliers 9 3 2" xfId="11599"/>
    <cellStyle name="Milliers 9 3 2 2" xfId="31072"/>
    <cellStyle name="Milliers 9 3 2 3" xfId="44052"/>
    <cellStyle name="Milliers 9 3 2 4" xfId="60281"/>
    <cellStyle name="Milliers 9 3 3" xfId="18092"/>
    <cellStyle name="Milliers 9 3 4" xfId="24582"/>
    <cellStyle name="Milliers 9 3 5" xfId="37562"/>
    <cellStyle name="Milliers 9 3 6" xfId="53791"/>
    <cellStyle name="Milliers 9 4" xfId="8354"/>
    <cellStyle name="Milliers 9 4 2" xfId="27827"/>
    <cellStyle name="Milliers 9 4 3" xfId="40807"/>
    <cellStyle name="Milliers 9 4 4" xfId="57036"/>
    <cellStyle name="Milliers 9 5" xfId="14847"/>
    <cellStyle name="Milliers 9 5 2" xfId="50546"/>
    <cellStyle name="Milliers 9 6" xfId="21337"/>
    <cellStyle name="Milliers 9 7" xfId="34317"/>
    <cellStyle name="Milliers 9 8" xfId="47300"/>
    <cellStyle name="Neutral" xfId="62026" builtinId="28" customBuiltin="1"/>
    <cellStyle name="Neutre 2" xfId="114"/>
    <cellStyle name="Neutre 3" xfId="135"/>
    <cellStyle name="Neutre 4" xfId="1815"/>
    <cellStyle name="Neutre 5" xfId="6724"/>
    <cellStyle name="Neutre 6" xfId="71"/>
    <cellStyle name="Normal" xfId="0" builtinId="0"/>
    <cellStyle name="Normal 10" xfId="382"/>
    <cellStyle name="Normal 10 10" xfId="45905"/>
    <cellStyle name="Normal 10 11" xfId="24"/>
    <cellStyle name="Normal 10 2" xfId="842"/>
    <cellStyle name="Normal 10 2 2" xfId="2510"/>
    <cellStyle name="Normal 10 2 2 2" xfId="5755"/>
    <cellStyle name="Normal 10 2 2 2 2" xfId="12287"/>
    <cellStyle name="Normal 10 2 2 2 2 2" xfId="31760"/>
    <cellStyle name="Normal 10 2 2 2 2 3" xfId="44740"/>
    <cellStyle name="Normal 10 2 2 2 2 3 2" xfId="35"/>
    <cellStyle name="Normal 10 2 2 2 2 3 3" xfId="19"/>
    <cellStyle name="Normal 10 2 2 2 2 3 4" xfId="27"/>
    <cellStyle name="Normal 10 2 2 2 2 3 5" xfId="2"/>
    <cellStyle name="Normal 10 2 2 2 2 4" xfId="60969"/>
    <cellStyle name="Normal 10 2 2 2 3" xfId="18780"/>
    <cellStyle name="Normal 10 2 2 2 4" xfId="25270"/>
    <cellStyle name="Normal 10 2 2 2 5" xfId="38250"/>
    <cellStyle name="Normal 10 2 2 2 6" xfId="54479"/>
    <cellStyle name="Normal 10 2 2 2 7" xfId="61995"/>
    <cellStyle name="Normal 10 2 2 3" xfId="9042"/>
    <cellStyle name="Normal 10 2 2 3 2" xfId="28515"/>
    <cellStyle name="Normal 10 2 2 3 3" xfId="41495"/>
    <cellStyle name="Normal 10 2 2 3 4" xfId="57724"/>
    <cellStyle name="Normal 10 2 2 3 5" xfId="62014"/>
    <cellStyle name="Normal 10 2 2 4" xfId="15535"/>
    <cellStyle name="Normal 10 2 2 4 2" xfId="51234"/>
    <cellStyle name="Normal 10 2 2 5" xfId="22025"/>
    <cellStyle name="Normal 10 2 2 6" xfId="35005"/>
    <cellStyle name="Normal 10 2 2 7" xfId="47988"/>
    <cellStyle name="Normal 10 2 2 8" xfId="61978"/>
    <cellStyle name="Normal 10 2 3" xfId="4132"/>
    <cellStyle name="Normal 10 2 3 2" xfId="10664"/>
    <cellStyle name="Normal 10 2 3 2 2" xfId="30137"/>
    <cellStyle name="Normal 10 2 3 2 3" xfId="43117"/>
    <cellStyle name="Normal 10 2 3 2 4" xfId="59346"/>
    <cellStyle name="Normal 10 2 3 3" xfId="17157"/>
    <cellStyle name="Normal 10 2 3 4" xfId="23647"/>
    <cellStyle name="Normal 10 2 3 5" xfId="36627"/>
    <cellStyle name="Normal 10 2 3 6" xfId="52856"/>
    <cellStyle name="Normal 10 2 4" xfId="7419"/>
    <cellStyle name="Normal 10 2 4 2" xfId="26892"/>
    <cellStyle name="Normal 10 2 4 3" xfId="39872"/>
    <cellStyle name="Normal 10 2 4 4" xfId="56101"/>
    <cellStyle name="Normal 10 2 5" xfId="13912"/>
    <cellStyle name="Normal 10 2 5 2" xfId="49611"/>
    <cellStyle name="Normal 10 2 6" xfId="20402"/>
    <cellStyle name="Normal 10 2 7" xfId="33382"/>
    <cellStyle name="Normal 10 2 8" xfId="46365"/>
    <cellStyle name="Normal 10 2 9" xfId="61970"/>
    <cellStyle name="Normal 10 3" xfId="612"/>
    <cellStyle name="Normal 10 3 2" xfId="2280"/>
    <cellStyle name="Normal 10 3 2 2" xfId="5525"/>
    <cellStyle name="Normal 10 3 2 2 2" xfId="12057"/>
    <cellStyle name="Normal 10 3 2 2 2 2" xfId="31530"/>
    <cellStyle name="Normal 10 3 2 2 2 3" xfId="44510"/>
    <cellStyle name="Normal 10 3 2 2 2 4" xfId="60739"/>
    <cellStyle name="Normal 10 3 2 2 3" xfId="18550"/>
    <cellStyle name="Normal 10 3 2 2 4" xfId="25040"/>
    <cellStyle name="Normal 10 3 2 2 5" xfId="38020"/>
    <cellStyle name="Normal 10 3 2 2 6" xfId="54249"/>
    <cellStyle name="Normal 10 3 2 3" xfId="8812"/>
    <cellStyle name="Normal 10 3 2 3 2" xfId="28285"/>
    <cellStyle name="Normal 10 3 2 3 3" xfId="41265"/>
    <cellStyle name="Normal 10 3 2 3 4" xfId="57494"/>
    <cellStyle name="Normal 10 3 2 4" xfId="15305"/>
    <cellStyle name="Normal 10 3 2 4 2" xfId="51004"/>
    <cellStyle name="Normal 10 3 2 5" xfId="21795"/>
    <cellStyle name="Normal 10 3 2 6" xfId="34775"/>
    <cellStyle name="Normal 10 3 2 7" xfId="47758"/>
    <cellStyle name="Normal 10 3 3" xfId="3902"/>
    <cellStyle name="Normal 10 3 3 2" xfId="10434"/>
    <cellStyle name="Normal 10 3 3 2 2" xfId="29907"/>
    <cellStyle name="Normal 10 3 3 2 3" xfId="42887"/>
    <cellStyle name="Normal 10 3 3 2 4" xfId="59116"/>
    <cellStyle name="Normal 10 3 3 3" xfId="16927"/>
    <cellStyle name="Normal 10 3 3 4" xfId="23417"/>
    <cellStyle name="Normal 10 3 3 5" xfId="36397"/>
    <cellStyle name="Normal 10 3 3 6" xfId="52626"/>
    <cellStyle name="Normal 10 3 4" xfId="7189"/>
    <cellStyle name="Normal 10 3 4 2" xfId="26662"/>
    <cellStyle name="Normal 10 3 4 3" xfId="39642"/>
    <cellStyle name="Normal 10 3 4 4" xfId="55871"/>
    <cellStyle name="Normal 10 3 5" xfId="13682"/>
    <cellStyle name="Normal 10 3 5 2" xfId="49381"/>
    <cellStyle name="Normal 10 3 6" xfId="20172"/>
    <cellStyle name="Normal 10 3 7" xfId="33152"/>
    <cellStyle name="Normal 10 3 8" xfId="46135"/>
    <cellStyle name="Normal 10 3 9" xfId="62068"/>
    <cellStyle name="Normal 10 4" xfId="2050"/>
    <cellStyle name="Normal 10 4 2" xfId="5295"/>
    <cellStyle name="Normal 10 4 2 2" xfId="11827"/>
    <cellStyle name="Normal 10 4 2 2 2" xfId="31300"/>
    <cellStyle name="Normal 10 4 2 2 3" xfId="44280"/>
    <cellStyle name="Normal 10 4 2 2 4" xfId="60509"/>
    <cellStyle name="Normal 10 4 2 3" xfId="18320"/>
    <cellStyle name="Normal 10 4 2 4" xfId="24810"/>
    <cellStyle name="Normal 10 4 2 5" xfId="37790"/>
    <cellStyle name="Normal 10 4 2 6" xfId="54019"/>
    <cellStyle name="Normal 10 4 3" xfId="8582"/>
    <cellStyle name="Normal 10 4 3 2" xfId="28055"/>
    <cellStyle name="Normal 10 4 3 3" xfId="41035"/>
    <cellStyle name="Normal 10 4 3 4" xfId="57264"/>
    <cellStyle name="Normal 10 4 4" xfId="15075"/>
    <cellStyle name="Normal 10 4 4 2" xfId="50774"/>
    <cellStyle name="Normal 10 4 5" xfId="21565"/>
    <cellStyle name="Normal 10 4 6" xfId="34545"/>
    <cellStyle name="Normal 10 4 7" xfId="47528"/>
    <cellStyle name="Normal 10 5" xfId="3672"/>
    <cellStyle name="Normal 10 5 2" xfId="10204"/>
    <cellStyle name="Normal 10 5 2 2" xfId="29677"/>
    <cellStyle name="Normal 10 5 2 3" xfId="42657"/>
    <cellStyle name="Normal 10 5 2 4" xfId="58886"/>
    <cellStyle name="Normal 10 5 3" xfId="16697"/>
    <cellStyle name="Normal 10 5 4" xfId="23187"/>
    <cellStyle name="Normal 10 5 5" xfId="36167"/>
    <cellStyle name="Normal 10 5 6" xfId="52396"/>
    <cellStyle name="Normal 10 6" xfId="6959"/>
    <cellStyle name="Normal 10 6 2" xfId="26432"/>
    <cellStyle name="Normal 10 6 3" xfId="39412"/>
    <cellStyle name="Normal 10 6 4" xfId="55641"/>
    <cellStyle name="Normal 10 7" xfId="13452"/>
    <cellStyle name="Normal 10 7 2" xfId="49151"/>
    <cellStyle name="Normal 10 8" xfId="19942"/>
    <cellStyle name="Normal 10 9" xfId="32922"/>
    <cellStyle name="Normal 11" xfId="384"/>
    <cellStyle name="Normal 11 10" xfId="45907"/>
    <cellStyle name="Normal 11 11" xfId="61968"/>
    <cellStyle name="Normal 11 2" xfId="844"/>
    <cellStyle name="Normal 11 2 2" xfId="2512"/>
    <cellStyle name="Normal 11 2 2 2" xfId="5757"/>
    <cellStyle name="Normal 11 2 2 2 2" xfId="12289"/>
    <cellStyle name="Normal 11 2 2 2 2 2" xfId="31762"/>
    <cellStyle name="Normal 11 2 2 2 2 3" xfId="44742"/>
    <cellStyle name="Normal 11 2 2 2 2 4" xfId="60971"/>
    <cellStyle name="Normal 11 2 2 2 3" xfId="18782"/>
    <cellStyle name="Normal 11 2 2 2 4" xfId="25272"/>
    <cellStyle name="Normal 11 2 2 2 5" xfId="38252"/>
    <cellStyle name="Normal 11 2 2 2 6" xfId="54481"/>
    <cellStyle name="Normal 11 2 2 3" xfId="9044"/>
    <cellStyle name="Normal 11 2 2 3 2" xfId="28517"/>
    <cellStyle name="Normal 11 2 2 3 3" xfId="41497"/>
    <cellStyle name="Normal 11 2 2 3 4" xfId="57726"/>
    <cellStyle name="Normal 11 2 2 4" xfId="15537"/>
    <cellStyle name="Normal 11 2 2 4 2" xfId="51236"/>
    <cellStyle name="Normal 11 2 2 5" xfId="22027"/>
    <cellStyle name="Normal 11 2 2 6" xfId="35007"/>
    <cellStyle name="Normal 11 2 2 7" xfId="47990"/>
    <cellStyle name="Normal 11 2 2 8" xfId="61993"/>
    <cellStyle name="Normal 11 2 3" xfId="4134"/>
    <cellStyle name="Normal 11 2 3 2" xfId="10666"/>
    <cellStyle name="Normal 11 2 3 2 2" xfId="30139"/>
    <cellStyle name="Normal 11 2 3 2 3" xfId="43119"/>
    <cellStyle name="Normal 11 2 3 2 4" xfId="59348"/>
    <cellStyle name="Normal 11 2 3 3" xfId="17159"/>
    <cellStyle name="Normal 11 2 3 4" xfId="23649"/>
    <cellStyle name="Normal 11 2 3 5" xfId="36629"/>
    <cellStyle name="Normal 11 2 3 6" xfId="52858"/>
    <cellStyle name="Normal 11 2 3 7" xfId="62012"/>
    <cellStyle name="Normal 11 2 4" xfId="7421"/>
    <cellStyle name="Normal 11 2 4 2" xfId="26894"/>
    <cellStyle name="Normal 11 2 4 3" xfId="39874"/>
    <cellStyle name="Normal 11 2 4 4" xfId="56103"/>
    <cellStyle name="Normal 11 2 5" xfId="13914"/>
    <cellStyle name="Normal 11 2 5 2" xfId="49613"/>
    <cellStyle name="Normal 11 2 6" xfId="20404"/>
    <cellStyle name="Normal 11 2 7" xfId="33384"/>
    <cellStyle name="Normal 11 2 8" xfId="46367"/>
    <cellStyle name="Normal 11 2 9" xfId="61976"/>
    <cellStyle name="Normal 11 3" xfId="614"/>
    <cellStyle name="Normal 11 3 2" xfId="2282"/>
    <cellStyle name="Normal 11 3 2 2" xfId="5527"/>
    <cellStyle name="Normal 11 3 2 2 2" xfId="12059"/>
    <cellStyle name="Normal 11 3 2 2 2 2" xfId="31532"/>
    <cellStyle name="Normal 11 3 2 2 2 3" xfId="44512"/>
    <cellStyle name="Normal 11 3 2 2 2 4" xfId="60741"/>
    <cellStyle name="Normal 11 3 2 2 3" xfId="18552"/>
    <cellStyle name="Normal 11 3 2 2 4" xfId="25042"/>
    <cellStyle name="Normal 11 3 2 2 5" xfId="38022"/>
    <cellStyle name="Normal 11 3 2 2 6" xfId="54251"/>
    <cellStyle name="Normal 11 3 2 3" xfId="8814"/>
    <cellStyle name="Normal 11 3 2 3 2" xfId="28287"/>
    <cellStyle name="Normal 11 3 2 3 3" xfId="41267"/>
    <cellStyle name="Normal 11 3 2 3 4" xfId="57496"/>
    <cellStyle name="Normal 11 3 2 4" xfId="15307"/>
    <cellStyle name="Normal 11 3 2 4 2" xfId="51006"/>
    <cellStyle name="Normal 11 3 2 5" xfId="21797"/>
    <cellStyle name="Normal 11 3 2 6" xfId="34777"/>
    <cellStyle name="Normal 11 3 2 7" xfId="47760"/>
    <cellStyle name="Normal 11 3 3" xfId="3904"/>
    <cellStyle name="Normal 11 3 3 2" xfId="10436"/>
    <cellStyle name="Normal 11 3 3 2 2" xfId="29909"/>
    <cellStyle name="Normal 11 3 3 2 3" xfId="42889"/>
    <cellStyle name="Normal 11 3 3 2 4" xfId="59118"/>
    <cellStyle name="Normal 11 3 3 3" xfId="16929"/>
    <cellStyle name="Normal 11 3 3 4" xfId="23419"/>
    <cellStyle name="Normal 11 3 3 5" xfId="36399"/>
    <cellStyle name="Normal 11 3 3 6" xfId="52628"/>
    <cellStyle name="Normal 11 3 4" xfId="7191"/>
    <cellStyle name="Normal 11 3 4 2" xfId="26664"/>
    <cellStyle name="Normal 11 3 4 3" xfId="39644"/>
    <cellStyle name="Normal 11 3 4 4" xfId="55873"/>
    <cellStyle name="Normal 11 3 5" xfId="13684"/>
    <cellStyle name="Normal 11 3 5 2" xfId="49383"/>
    <cellStyle name="Normal 11 3 6" xfId="20174"/>
    <cellStyle name="Normal 11 3 7" xfId="33154"/>
    <cellStyle name="Normal 11 3 8" xfId="46137"/>
    <cellStyle name="Normal 11 4" xfId="2052"/>
    <cellStyle name="Normal 11 4 2" xfId="5297"/>
    <cellStyle name="Normal 11 4 2 2" xfId="11829"/>
    <cellStyle name="Normal 11 4 2 2 2" xfId="31302"/>
    <cellStyle name="Normal 11 4 2 2 3" xfId="44282"/>
    <cellStyle name="Normal 11 4 2 2 4" xfId="60511"/>
    <cellStyle name="Normal 11 4 2 3" xfId="18322"/>
    <cellStyle name="Normal 11 4 2 4" xfId="24812"/>
    <cellStyle name="Normal 11 4 2 5" xfId="37792"/>
    <cellStyle name="Normal 11 4 2 6" xfId="54021"/>
    <cellStyle name="Normal 11 4 3" xfId="8584"/>
    <cellStyle name="Normal 11 4 3 2" xfId="28057"/>
    <cellStyle name="Normal 11 4 3 3" xfId="41037"/>
    <cellStyle name="Normal 11 4 3 4" xfId="57266"/>
    <cellStyle name="Normal 11 4 4" xfId="15077"/>
    <cellStyle name="Normal 11 4 4 2" xfId="50776"/>
    <cellStyle name="Normal 11 4 5" xfId="21567"/>
    <cellStyle name="Normal 11 4 6" xfId="34547"/>
    <cellStyle name="Normal 11 4 7" xfId="47530"/>
    <cellStyle name="Normal 11 5" xfId="3674"/>
    <cellStyle name="Normal 11 5 2" xfId="10206"/>
    <cellStyle name="Normal 11 5 2 2" xfId="29679"/>
    <cellStyle name="Normal 11 5 2 3" xfId="42659"/>
    <cellStyle name="Normal 11 5 2 4" xfId="58888"/>
    <cellStyle name="Normal 11 5 3" xfId="16699"/>
    <cellStyle name="Normal 11 5 4" xfId="23189"/>
    <cellStyle name="Normal 11 5 5" xfId="36169"/>
    <cellStyle name="Normal 11 5 6" xfId="52398"/>
    <cellStyle name="Normal 11 6" xfId="6961"/>
    <cellStyle name="Normal 11 6 2" xfId="26434"/>
    <cellStyle name="Normal 11 6 3" xfId="39414"/>
    <cellStyle name="Normal 11 6 4" xfId="55643"/>
    <cellStyle name="Normal 11 7" xfId="13454"/>
    <cellStyle name="Normal 11 7 2" xfId="49153"/>
    <cellStyle name="Normal 11 8" xfId="19944"/>
    <cellStyle name="Normal 11 9" xfId="32924"/>
    <cellStyle name="Normal 12" xfId="386"/>
    <cellStyle name="Normal 12 10" xfId="45909"/>
    <cellStyle name="Normal 12 11" xfId="61969"/>
    <cellStyle name="Normal 12 2" xfId="846"/>
    <cellStyle name="Normal 12 2 2" xfId="2514"/>
    <cellStyle name="Normal 12 2 2 2" xfId="5759"/>
    <cellStyle name="Normal 12 2 2 2 2" xfId="12291"/>
    <cellStyle name="Normal 12 2 2 2 2 2" xfId="31764"/>
    <cellStyle name="Normal 12 2 2 2 2 3" xfId="44744"/>
    <cellStyle name="Normal 12 2 2 2 2 4" xfId="60973"/>
    <cellStyle name="Normal 12 2 2 2 3" xfId="18784"/>
    <cellStyle name="Normal 12 2 2 2 4" xfId="25274"/>
    <cellStyle name="Normal 12 2 2 2 5" xfId="38254"/>
    <cellStyle name="Normal 12 2 2 2 6" xfId="54483"/>
    <cellStyle name="Normal 12 2 2 3" xfId="9046"/>
    <cellStyle name="Normal 12 2 2 3 2" xfId="28519"/>
    <cellStyle name="Normal 12 2 2 3 3" xfId="41499"/>
    <cellStyle name="Normal 12 2 2 3 4" xfId="57728"/>
    <cellStyle name="Normal 12 2 2 4" xfId="15539"/>
    <cellStyle name="Normal 12 2 2 4 2" xfId="51238"/>
    <cellStyle name="Normal 12 2 2 5" xfId="22029"/>
    <cellStyle name="Normal 12 2 2 6" xfId="35009"/>
    <cellStyle name="Normal 12 2 2 7" xfId="47992"/>
    <cellStyle name="Normal 12 2 2 8" xfId="61994"/>
    <cellStyle name="Normal 12 2 3" xfId="4136"/>
    <cellStyle name="Normal 12 2 3 2" xfId="10668"/>
    <cellStyle name="Normal 12 2 3 2 2" xfId="30141"/>
    <cellStyle name="Normal 12 2 3 2 3" xfId="43121"/>
    <cellStyle name="Normal 12 2 3 2 4" xfId="59350"/>
    <cellStyle name="Normal 12 2 3 3" xfId="17161"/>
    <cellStyle name="Normal 12 2 3 4" xfId="23651"/>
    <cellStyle name="Normal 12 2 3 5" xfId="36631"/>
    <cellStyle name="Normal 12 2 3 6" xfId="52860"/>
    <cellStyle name="Normal 12 2 3 7" xfId="62013"/>
    <cellStyle name="Normal 12 2 4" xfId="7423"/>
    <cellStyle name="Normal 12 2 4 2" xfId="26896"/>
    <cellStyle name="Normal 12 2 4 3" xfId="39876"/>
    <cellStyle name="Normal 12 2 4 4" xfId="56105"/>
    <cellStyle name="Normal 12 2 5" xfId="13916"/>
    <cellStyle name="Normal 12 2 5 2" xfId="49615"/>
    <cellStyle name="Normal 12 2 6" xfId="20406"/>
    <cellStyle name="Normal 12 2 7" xfId="33386"/>
    <cellStyle name="Normal 12 2 8" xfId="46369"/>
    <cellStyle name="Normal 12 2 9" xfId="61977"/>
    <cellStyle name="Normal 12 3" xfId="616"/>
    <cellStyle name="Normal 12 3 2" xfId="2284"/>
    <cellStyle name="Normal 12 3 2 2" xfId="5529"/>
    <cellStyle name="Normal 12 3 2 2 2" xfId="12061"/>
    <cellStyle name="Normal 12 3 2 2 2 2" xfId="31534"/>
    <cellStyle name="Normal 12 3 2 2 2 3" xfId="44514"/>
    <cellStyle name="Normal 12 3 2 2 2 4" xfId="60743"/>
    <cellStyle name="Normal 12 3 2 2 3" xfId="18554"/>
    <cellStyle name="Normal 12 3 2 2 4" xfId="25044"/>
    <cellStyle name="Normal 12 3 2 2 5" xfId="38024"/>
    <cellStyle name="Normal 12 3 2 2 6" xfId="54253"/>
    <cellStyle name="Normal 12 3 2 3" xfId="8816"/>
    <cellStyle name="Normal 12 3 2 3 2" xfId="28289"/>
    <cellStyle name="Normal 12 3 2 3 3" xfId="41269"/>
    <cellStyle name="Normal 12 3 2 3 4" xfId="57498"/>
    <cellStyle name="Normal 12 3 2 4" xfId="15309"/>
    <cellStyle name="Normal 12 3 2 4 2" xfId="51008"/>
    <cellStyle name="Normal 12 3 2 5" xfId="21799"/>
    <cellStyle name="Normal 12 3 2 6" xfId="34779"/>
    <cellStyle name="Normal 12 3 2 7" xfId="47762"/>
    <cellStyle name="Normal 12 3 3" xfId="3906"/>
    <cellStyle name="Normal 12 3 3 2" xfId="10438"/>
    <cellStyle name="Normal 12 3 3 2 2" xfId="29911"/>
    <cellStyle name="Normal 12 3 3 2 3" xfId="42891"/>
    <cellStyle name="Normal 12 3 3 2 4" xfId="59120"/>
    <cellStyle name="Normal 12 3 3 3" xfId="16931"/>
    <cellStyle name="Normal 12 3 3 4" xfId="23421"/>
    <cellStyle name="Normal 12 3 3 5" xfId="36401"/>
    <cellStyle name="Normal 12 3 3 6" xfId="52630"/>
    <cellStyle name="Normal 12 3 4" xfId="7193"/>
    <cellStyle name="Normal 12 3 4 2" xfId="26666"/>
    <cellStyle name="Normal 12 3 4 3" xfId="39646"/>
    <cellStyle name="Normal 12 3 4 4" xfId="55875"/>
    <cellStyle name="Normal 12 3 5" xfId="13686"/>
    <cellStyle name="Normal 12 3 5 2" xfId="49385"/>
    <cellStyle name="Normal 12 3 6" xfId="20176"/>
    <cellStyle name="Normal 12 3 7" xfId="33156"/>
    <cellStyle name="Normal 12 3 8" xfId="46139"/>
    <cellStyle name="Normal 12 4" xfId="2054"/>
    <cellStyle name="Normal 12 4 2" xfId="5299"/>
    <cellStyle name="Normal 12 4 2 2" xfId="11831"/>
    <cellStyle name="Normal 12 4 2 2 2" xfId="31304"/>
    <cellStyle name="Normal 12 4 2 2 3" xfId="44284"/>
    <cellStyle name="Normal 12 4 2 2 4" xfId="60513"/>
    <cellStyle name="Normal 12 4 2 3" xfId="18324"/>
    <cellStyle name="Normal 12 4 2 4" xfId="24814"/>
    <cellStyle name="Normal 12 4 2 5" xfId="37794"/>
    <cellStyle name="Normal 12 4 2 6" xfId="54023"/>
    <cellStyle name="Normal 12 4 3" xfId="8586"/>
    <cellStyle name="Normal 12 4 3 2" xfId="28059"/>
    <cellStyle name="Normal 12 4 3 3" xfId="41039"/>
    <cellStyle name="Normal 12 4 3 4" xfId="57268"/>
    <cellStyle name="Normal 12 4 4" xfId="15079"/>
    <cellStyle name="Normal 12 4 4 2" xfId="50778"/>
    <cellStyle name="Normal 12 4 5" xfId="21569"/>
    <cellStyle name="Normal 12 4 6" xfId="34549"/>
    <cellStyle name="Normal 12 4 7" xfId="47532"/>
    <cellStyle name="Normal 12 5" xfId="3676"/>
    <cellStyle name="Normal 12 5 2" xfId="10208"/>
    <cellStyle name="Normal 12 5 2 2" xfId="29681"/>
    <cellStyle name="Normal 12 5 2 3" xfId="42661"/>
    <cellStyle name="Normal 12 5 2 4" xfId="58890"/>
    <cellStyle name="Normal 12 5 3" xfId="16701"/>
    <cellStyle name="Normal 12 5 4" xfId="23191"/>
    <cellStyle name="Normal 12 5 5" xfId="36171"/>
    <cellStyle name="Normal 12 5 6" xfId="52400"/>
    <cellStyle name="Normal 12 6" xfId="6963"/>
    <cellStyle name="Normal 12 6 2" xfId="26436"/>
    <cellStyle name="Normal 12 6 3" xfId="39416"/>
    <cellStyle name="Normal 12 6 4" xfId="55645"/>
    <cellStyle name="Normal 12 7" xfId="13456"/>
    <cellStyle name="Normal 12 7 2" xfId="49155"/>
    <cellStyle name="Normal 12 8" xfId="19946"/>
    <cellStyle name="Normal 12 9" xfId="32926"/>
    <cellStyle name="Normal 13" xfId="848"/>
    <cellStyle name="Normal 13 10" xfId="62064"/>
    <cellStyle name="Normal 13 2" xfId="2516"/>
    <cellStyle name="Normal 13 2 2" xfId="5761"/>
    <cellStyle name="Normal 13 2 2 2" xfId="12293"/>
    <cellStyle name="Normal 13 2 2 2 2" xfId="31766"/>
    <cellStyle name="Normal 13 2 2 2 3" xfId="44746"/>
    <cellStyle name="Normal 13 2 2 2 4" xfId="60975"/>
    <cellStyle name="Normal 13 2 2 3" xfId="18786"/>
    <cellStyle name="Normal 13 2 2 4" xfId="25276"/>
    <cellStyle name="Normal 13 2 2 5" xfId="38256"/>
    <cellStyle name="Normal 13 2 2 6" xfId="54485"/>
    <cellStyle name="Normal 13 2 3" xfId="9048"/>
    <cellStyle name="Normal 13 2 3 2" xfId="28521"/>
    <cellStyle name="Normal 13 2 3 3" xfId="41501"/>
    <cellStyle name="Normal 13 2 3 4" xfId="57730"/>
    <cellStyle name="Normal 13 2 4" xfId="15541"/>
    <cellStyle name="Normal 13 2 4 2" xfId="51240"/>
    <cellStyle name="Normal 13 2 5" xfId="22031"/>
    <cellStyle name="Normal 13 2 6" xfId="35011"/>
    <cellStyle name="Normal 13 2 7" xfId="47994"/>
    <cellStyle name="Normal 13 2 8" xfId="62001"/>
    <cellStyle name="Normal 13 3" xfId="4138"/>
    <cellStyle name="Normal 13 3 2" xfId="10670"/>
    <cellStyle name="Normal 13 3 2 2" xfId="30143"/>
    <cellStyle name="Normal 13 3 2 3" xfId="43123"/>
    <cellStyle name="Normal 13 3 2 4" xfId="59352"/>
    <cellStyle name="Normal 13 3 3" xfId="17163"/>
    <cellStyle name="Normal 13 3 4" xfId="23653"/>
    <cellStyle name="Normal 13 3 5" xfId="36633"/>
    <cellStyle name="Normal 13 3 6" xfId="52862"/>
    <cellStyle name="Normal 13 4" xfId="7425"/>
    <cellStyle name="Normal 13 4 2" xfId="26898"/>
    <cellStyle name="Normal 13 4 3" xfId="39878"/>
    <cellStyle name="Normal 13 4 4" xfId="56107"/>
    <cellStyle name="Normal 13 5" xfId="13918"/>
    <cellStyle name="Normal 13 5 2" xfId="49617"/>
    <cellStyle name="Normal 13 6" xfId="20408"/>
    <cellStyle name="Normal 13 7" xfId="33388"/>
    <cellStyle name="Normal 13 8" xfId="46371"/>
    <cellStyle name="Normal 13 9" xfId="62000"/>
    <cellStyle name="Normal 14" xfId="1777"/>
    <cellStyle name="Normal 14 2" xfId="3444"/>
    <cellStyle name="Normal 14 2 2" xfId="6689"/>
    <cellStyle name="Normal 14 2 2 2" xfId="13221"/>
    <cellStyle name="Normal 14 2 2 2 2" xfId="32694"/>
    <cellStyle name="Normal 14 2 2 2 3" xfId="45674"/>
    <cellStyle name="Normal 14 2 2 2 4" xfId="61903"/>
    <cellStyle name="Normal 14 2 2 3" xfId="19714"/>
    <cellStyle name="Normal 14 2 2 4" xfId="26204"/>
    <cellStyle name="Normal 14 2 2 5" xfId="39184"/>
    <cellStyle name="Normal 14 2 2 6" xfId="55413"/>
    <cellStyle name="Normal 14 2 3" xfId="9976"/>
    <cellStyle name="Normal 14 2 3 2" xfId="29449"/>
    <cellStyle name="Normal 14 2 3 3" xfId="42429"/>
    <cellStyle name="Normal 14 2 3 4" xfId="58658"/>
    <cellStyle name="Normal 14 2 4" xfId="16469"/>
    <cellStyle name="Normal 14 2 4 2" xfId="52168"/>
    <cellStyle name="Normal 14 2 5" xfId="22959"/>
    <cellStyle name="Normal 14 2 6" xfId="35939"/>
    <cellStyle name="Normal 14 2 7" xfId="48922"/>
    <cellStyle name="Normal 14 3" xfId="5066"/>
    <cellStyle name="Normal 14 3 2" xfId="11598"/>
    <cellStyle name="Normal 14 3 2 2" xfId="31071"/>
    <cellStyle name="Normal 14 3 2 3" xfId="44051"/>
    <cellStyle name="Normal 14 3 2 4" xfId="60280"/>
    <cellStyle name="Normal 14 3 3" xfId="18091"/>
    <cellStyle name="Normal 14 3 4" xfId="24581"/>
    <cellStyle name="Normal 14 3 5" xfId="37561"/>
    <cellStyle name="Normal 14 3 6" xfId="53790"/>
    <cellStyle name="Normal 14 4" xfId="8353"/>
    <cellStyle name="Normal 14 4 2" xfId="27826"/>
    <cellStyle name="Normal 14 4 3" xfId="40806"/>
    <cellStyle name="Normal 14 4 4" xfId="57035"/>
    <cellStyle name="Normal 14 5" xfId="14846"/>
    <cellStyle name="Normal 14 5 2" xfId="50545"/>
    <cellStyle name="Normal 14 6" xfId="21336"/>
    <cellStyle name="Normal 14 7" xfId="34316"/>
    <cellStyle name="Normal 14 8" xfId="47299"/>
    <cellStyle name="Normal 15" xfId="1779"/>
    <cellStyle name="Normal 15 2" xfId="3446"/>
    <cellStyle name="Normal 15 2 2" xfId="6691"/>
    <cellStyle name="Normal 15 2 2 2" xfId="13223"/>
    <cellStyle name="Normal 15 2 2 2 2" xfId="32696"/>
    <cellStyle name="Normal 15 2 2 2 3" xfId="45676"/>
    <cellStyle name="Normal 15 2 2 2 4" xfId="61905"/>
    <cellStyle name="Normal 15 2 2 3" xfId="19716"/>
    <cellStyle name="Normal 15 2 2 4" xfId="26206"/>
    <cellStyle name="Normal 15 2 2 5" xfId="39186"/>
    <cellStyle name="Normal 15 2 2 6" xfId="55415"/>
    <cellStyle name="Normal 15 2 3" xfId="9978"/>
    <cellStyle name="Normal 15 2 3 2" xfId="29451"/>
    <cellStyle name="Normal 15 2 3 3" xfId="42431"/>
    <cellStyle name="Normal 15 2 3 4" xfId="58660"/>
    <cellStyle name="Normal 15 2 4" xfId="16471"/>
    <cellStyle name="Normal 15 2 4 2" xfId="52170"/>
    <cellStyle name="Normal 15 2 5" xfId="22961"/>
    <cellStyle name="Normal 15 2 6" xfId="35941"/>
    <cellStyle name="Normal 15 2 7" xfId="48924"/>
    <cellStyle name="Normal 15 3" xfId="5068"/>
    <cellStyle name="Normal 15 3 2" xfId="11600"/>
    <cellStyle name="Normal 15 3 2 2" xfId="31073"/>
    <cellStyle name="Normal 15 3 2 3" xfId="44053"/>
    <cellStyle name="Normal 15 3 2 4" xfId="60282"/>
    <cellStyle name="Normal 15 3 3" xfId="18093"/>
    <cellStyle name="Normal 15 3 4" xfId="24583"/>
    <cellStyle name="Normal 15 3 5" xfId="37563"/>
    <cellStyle name="Normal 15 3 6" xfId="53792"/>
    <cellStyle name="Normal 15 4" xfId="8355"/>
    <cellStyle name="Normal 15 4 2" xfId="27828"/>
    <cellStyle name="Normal 15 4 3" xfId="40808"/>
    <cellStyle name="Normal 15 4 4" xfId="57037"/>
    <cellStyle name="Normal 15 5" xfId="14848"/>
    <cellStyle name="Normal 15 5 2" xfId="50547"/>
    <cellStyle name="Normal 15 6" xfId="21338"/>
    <cellStyle name="Normal 15 7" xfId="34318"/>
    <cellStyle name="Normal 15 8" xfId="47301"/>
    <cellStyle name="Normal 16" xfId="1784"/>
    <cellStyle name="Normal 16 2" xfId="5"/>
    <cellStyle name="Normal 17" xfId="1781"/>
    <cellStyle name="Normal 18" xfId="13225"/>
    <cellStyle name="Normal 18 2" xfId="48926"/>
    <cellStyle name="Normal 19" xfId="6693"/>
    <cellStyle name="Normal 19 2" xfId="61907"/>
    <cellStyle name="Normal 19 3" xfId="38"/>
    <cellStyle name="Normal 19 4" xfId="62060"/>
    <cellStyle name="Normal 19 5" xfId="8"/>
    <cellStyle name="Normal 2" xfId="83"/>
    <cellStyle name="Normal 2 2" xfId="1"/>
    <cellStyle name="Normal 2 2 2" xfId="61982"/>
    <cellStyle name="Normal 2 2 2 2" xfId="61999"/>
    <cellStyle name="Normal 2 2 2 3" xfId="62018"/>
    <cellStyle name="Normal 2 2 3" xfId="62061"/>
    <cellStyle name="Normal 2 3" xfId="173"/>
    <cellStyle name="Normal 2 3 2" xfId="196"/>
    <cellStyle name="Normal 2 3 3" xfId="894"/>
    <cellStyle name="Normal 2 3 4" xfId="1847"/>
    <cellStyle name="Normal 2 3 5" xfId="12"/>
    <cellStyle name="Normal 2 3 6" xfId="16"/>
    <cellStyle name="Normal 2 3 7" xfId="22"/>
    <cellStyle name="Normal 2 4" xfId="376"/>
    <cellStyle name="Normal 2 4 2" xfId="61991"/>
    <cellStyle name="Normal 2 4 3" xfId="62010"/>
    <cellStyle name="Normal 2 5" xfId="1782"/>
    <cellStyle name="Normal 2 5 2" xfId="5070"/>
    <cellStyle name="Normal 2 5 2 2" xfId="11602"/>
    <cellStyle name="Normal 2 5 2 2 2" xfId="31075"/>
    <cellStyle name="Normal 2 5 2 2 3" xfId="44055"/>
    <cellStyle name="Normal 2 5 2 2 4" xfId="60284"/>
    <cellStyle name="Normal 2 5 2 3" xfId="18095"/>
    <cellStyle name="Normal 2 5 2 4" xfId="24585"/>
    <cellStyle name="Normal 2 5 2 5" xfId="37565"/>
    <cellStyle name="Normal 2 5 2 6" xfId="53794"/>
    <cellStyle name="Normal 2 5 3" xfId="8357"/>
    <cellStyle name="Normal 2 5 3 2" xfId="27830"/>
    <cellStyle name="Normal 2 5 3 3" xfId="40810"/>
    <cellStyle name="Normal 2 5 3 4" xfId="57039"/>
    <cellStyle name="Normal 2 5 4" xfId="14850"/>
    <cellStyle name="Normal 2 5 4 2" xfId="50549"/>
    <cellStyle name="Normal 2 5 5" xfId="21340"/>
    <cellStyle name="Normal 2 5 6" xfId="34320"/>
    <cellStyle name="Normal 2 5 7" xfId="47303"/>
    <cellStyle name="Normal 2 5 8" xfId="62066"/>
    <cellStyle name="Normal 20" xfId="13226"/>
    <cellStyle name="Normal 21" xfId="9"/>
    <cellStyle name="Normal 21 2" xfId="10"/>
    <cellStyle name="Normal 21 3" xfId="39"/>
    <cellStyle name="Normal 21 4" xfId="37"/>
    <cellStyle name="Normal 21 5" xfId="21"/>
    <cellStyle name="Normal 21 6" xfId="30"/>
    <cellStyle name="Normal 21 7" xfId="11"/>
    <cellStyle name="Normal 21 8" xfId="62062"/>
    <cellStyle name="Normal 22" xfId="14"/>
    <cellStyle name="Normal 22 2" xfId="61955"/>
    <cellStyle name="Normal 22 3" xfId="61956"/>
    <cellStyle name="Normal 22 4" xfId="62063"/>
    <cellStyle name="Normal 23" xfId="45679"/>
    <cellStyle name="Normal 24" xfId="61909"/>
    <cellStyle name="Normal 25" xfId="61923"/>
    <cellStyle name="Normal 26" xfId="7"/>
    <cellStyle name="Normal 26 3" xfId="32"/>
    <cellStyle name="Normal 26 4" xfId="29"/>
    <cellStyle name="Normal 26 5" xfId="26"/>
    <cellStyle name="Normal 27" xfId="3"/>
    <cellStyle name="Normal 28" xfId="34"/>
    <cellStyle name="Normal 29" xfId="15"/>
    <cellStyle name="Normal 3" xfId="82"/>
    <cellStyle name="Normal 3 10" xfId="377"/>
    <cellStyle name="Normal 3 10 2" xfId="1337"/>
    <cellStyle name="Normal 3 10 2 2" xfId="3004"/>
    <cellStyle name="Normal 3 10 2 2 2" xfId="6249"/>
    <cellStyle name="Normal 3 10 2 2 2 2" xfId="12781"/>
    <cellStyle name="Normal 3 10 2 2 2 2 2" xfId="32254"/>
    <cellStyle name="Normal 3 10 2 2 2 2 3" xfId="45234"/>
    <cellStyle name="Normal 3 10 2 2 2 2 4" xfId="61463"/>
    <cellStyle name="Normal 3 10 2 2 2 3" xfId="19274"/>
    <cellStyle name="Normal 3 10 2 2 2 4" xfId="25764"/>
    <cellStyle name="Normal 3 10 2 2 2 5" xfId="38744"/>
    <cellStyle name="Normal 3 10 2 2 2 6" xfId="54973"/>
    <cellStyle name="Normal 3 10 2 2 3" xfId="9536"/>
    <cellStyle name="Normal 3 10 2 2 3 2" xfId="29009"/>
    <cellStyle name="Normal 3 10 2 2 3 3" xfId="41989"/>
    <cellStyle name="Normal 3 10 2 2 3 4" xfId="58218"/>
    <cellStyle name="Normal 3 10 2 2 4" xfId="16029"/>
    <cellStyle name="Normal 3 10 2 2 4 2" xfId="51728"/>
    <cellStyle name="Normal 3 10 2 2 5" xfId="22519"/>
    <cellStyle name="Normal 3 10 2 2 6" xfId="35499"/>
    <cellStyle name="Normal 3 10 2 2 7" xfId="48482"/>
    <cellStyle name="Normal 3 10 2 3" xfId="4626"/>
    <cellStyle name="Normal 3 10 2 3 2" xfId="11158"/>
    <cellStyle name="Normal 3 10 2 3 2 2" xfId="30631"/>
    <cellStyle name="Normal 3 10 2 3 2 3" xfId="43611"/>
    <cellStyle name="Normal 3 10 2 3 2 4" xfId="59840"/>
    <cellStyle name="Normal 3 10 2 3 3" xfId="17651"/>
    <cellStyle name="Normal 3 10 2 3 4" xfId="24141"/>
    <cellStyle name="Normal 3 10 2 3 5" xfId="37121"/>
    <cellStyle name="Normal 3 10 2 3 6" xfId="53350"/>
    <cellStyle name="Normal 3 10 2 4" xfId="7913"/>
    <cellStyle name="Normal 3 10 2 4 2" xfId="27386"/>
    <cellStyle name="Normal 3 10 2 4 3" xfId="40366"/>
    <cellStyle name="Normal 3 10 2 4 4" xfId="56595"/>
    <cellStyle name="Normal 3 10 2 5" xfId="14406"/>
    <cellStyle name="Normal 3 10 2 5 2" xfId="50105"/>
    <cellStyle name="Normal 3 10 2 6" xfId="20896"/>
    <cellStyle name="Normal 3 10 2 7" xfId="33876"/>
    <cellStyle name="Normal 3 10 2 8" xfId="46859"/>
    <cellStyle name="Normal 3 10 3" xfId="873"/>
    <cellStyle name="Normal 3 10 3 2" xfId="2541"/>
    <cellStyle name="Normal 3 10 3 2 2" xfId="5786"/>
    <cellStyle name="Normal 3 10 3 2 2 2" xfId="12318"/>
    <cellStyle name="Normal 3 10 3 2 2 2 2" xfId="31791"/>
    <cellStyle name="Normal 3 10 3 2 2 2 3" xfId="44771"/>
    <cellStyle name="Normal 3 10 3 2 2 2 4" xfId="61000"/>
    <cellStyle name="Normal 3 10 3 2 2 3" xfId="18811"/>
    <cellStyle name="Normal 3 10 3 2 2 4" xfId="25301"/>
    <cellStyle name="Normal 3 10 3 2 2 5" xfId="38281"/>
    <cellStyle name="Normal 3 10 3 2 2 6" xfId="54510"/>
    <cellStyle name="Normal 3 10 3 2 3" xfId="9073"/>
    <cellStyle name="Normal 3 10 3 2 3 2" xfId="28546"/>
    <cellStyle name="Normal 3 10 3 2 3 3" xfId="41526"/>
    <cellStyle name="Normal 3 10 3 2 3 4" xfId="57755"/>
    <cellStyle name="Normal 3 10 3 2 4" xfId="15566"/>
    <cellStyle name="Normal 3 10 3 2 4 2" xfId="51265"/>
    <cellStyle name="Normal 3 10 3 2 5" xfId="22056"/>
    <cellStyle name="Normal 3 10 3 2 6" xfId="35036"/>
    <cellStyle name="Normal 3 10 3 2 7" xfId="48019"/>
    <cellStyle name="Normal 3 10 3 3" xfId="4163"/>
    <cellStyle name="Normal 3 10 3 3 2" xfId="10695"/>
    <cellStyle name="Normal 3 10 3 3 2 2" xfId="30168"/>
    <cellStyle name="Normal 3 10 3 3 2 3" xfId="43148"/>
    <cellStyle name="Normal 3 10 3 3 2 4" xfId="59377"/>
    <cellStyle name="Normal 3 10 3 3 3" xfId="17188"/>
    <cellStyle name="Normal 3 10 3 3 4" xfId="23678"/>
    <cellStyle name="Normal 3 10 3 3 5" xfId="36658"/>
    <cellStyle name="Normal 3 10 3 3 6" xfId="52887"/>
    <cellStyle name="Normal 3 10 3 4" xfId="7450"/>
    <cellStyle name="Normal 3 10 3 4 2" xfId="26923"/>
    <cellStyle name="Normal 3 10 3 4 3" xfId="39903"/>
    <cellStyle name="Normal 3 10 3 4 4" xfId="56132"/>
    <cellStyle name="Normal 3 10 3 5" xfId="13943"/>
    <cellStyle name="Normal 3 10 3 5 2" xfId="49642"/>
    <cellStyle name="Normal 3 10 3 6" xfId="20433"/>
    <cellStyle name="Normal 3 10 3 7" xfId="33413"/>
    <cellStyle name="Normal 3 10 3 8" xfId="46396"/>
    <cellStyle name="Normal 3 11" xfId="618"/>
    <cellStyle name="Normal 3 11 10" xfId="46141"/>
    <cellStyle name="Normal 3 11 2" xfId="1557"/>
    <cellStyle name="Normal 3 11 2 2" xfId="3224"/>
    <cellStyle name="Normal 3 11 2 2 2" xfId="6469"/>
    <cellStyle name="Normal 3 11 2 2 2 2" xfId="13001"/>
    <cellStyle name="Normal 3 11 2 2 2 2 2" xfId="32474"/>
    <cellStyle name="Normal 3 11 2 2 2 2 3" xfId="45454"/>
    <cellStyle name="Normal 3 11 2 2 2 2 4" xfId="61683"/>
    <cellStyle name="Normal 3 11 2 2 2 3" xfId="19494"/>
    <cellStyle name="Normal 3 11 2 2 2 4" xfId="25984"/>
    <cellStyle name="Normal 3 11 2 2 2 5" xfId="38964"/>
    <cellStyle name="Normal 3 11 2 2 2 6" xfId="55193"/>
    <cellStyle name="Normal 3 11 2 2 3" xfId="9756"/>
    <cellStyle name="Normal 3 11 2 2 3 2" xfId="29229"/>
    <cellStyle name="Normal 3 11 2 2 3 3" xfId="42209"/>
    <cellStyle name="Normal 3 11 2 2 3 4" xfId="58438"/>
    <cellStyle name="Normal 3 11 2 2 4" xfId="16249"/>
    <cellStyle name="Normal 3 11 2 2 4 2" xfId="51948"/>
    <cellStyle name="Normal 3 11 2 2 5" xfId="22739"/>
    <cellStyle name="Normal 3 11 2 2 6" xfId="35719"/>
    <cellStyle name="Normal 3 11 2 2 7" xfId="48702"/>
    <cellStyle name="Normal 3 11 2 3" xfId="4846"/>
    <cellStyle name="Normal 3 11 2 3 2" xfId="11378"/>
    <cellStyle name="Normal 3 11 2 3 2 2" xfId="30851"/>
    <cellStyle name="Normal 3 11 2 3 2 3" xfId="43831"/>
    <cellStyle name="Normal 3 11 2 3 2 4" xfId="60060"/>
    <cellStyle name="Normal 3 11 2 3 3" xfId="17871"/>
    <cellStyle name="Normal 3 11 2 3 4" xfId="24361"/>
    <cellStyle name="Normal 3 11 2 3 5" xfId="37341"/>
    <cellStyle name="Normal 3 11 2 3 6" xfId="53570"/>
    <cellStyle name="Normal 3 11 2 4" xfId="8133"/>
    <cellStyle name="Normal 3 11 2 4 2" xfId="27606"/>
    <cellStyle name="Normal 3 11 2 4 3" xfId="40586"/>
    <cellStyle name="Normal 3 11 2 4 4" xfId="56815"/>
    <cellStyle name="Normal 3 11 2 5" xfId="14626"/>
    <cellStyle name="Normal 3 11 2 5 2" xfId="50325"/>
    <cellStyle name="Normal 3 11 2 6" xfId="21116"/>
    <cellStyle name="Normal 3 11 2 7" xfId="34096"/>
    <cellStyle name="Normal 3 11 2 8" xfId="47079"/>
    <cellStyle name="Normal 3 11 3" xfId="1094"/>
    <cellStyle name="Normal 3 11 3 2" xfId="2761"/>
    <cellStyle name="Normal 3 11 3 2 2" xfId="6006"/>
    <cellStyle name="Normal 3 11 3 2 2 2" xfId="12538"/>
    <cellStyle name="Normal 3 11 3 2 2 2 2" xfId="32011"/>
    <cellStyle name="Normal 3 11 3 2 2 2 3" xfId="44991"/>
    <cellStyle name="Normal 3 11 3 2 2 2 4" xfId="61220"/>
    <cellStyle name="Normal 3 11 3 2 2 3" xfId="19031"/>
    <cellStyle name="Normal 3 11 3 2 2 4" xfId="25521"/>
    <cellStyle name="Normal 3 11 3 2 2 5" xfId="38501"/>
    <cellStyle name="Normal 3 11 3 2 2 6" xfId="54730"/>
    <cellStyle name="Normal 3 11 3 2 3" xfId="9293"/>
    <cellStyle name="Normal 3 11 3 2 3 2" xfId="28766"/>
    <cellStyle name="Normal 3 11 3 2 3 3" xfId="41746"/>
    <cellStyle name="Normal 3 11 3 2 3 4" xfId="57975"/>
    <cellStyle name="Normal 3 11 3 2 4" xfId="15786"/>
    <cellStyle name="Normal 3 11 3 2 4 2" xfId="51485"/>
    <cellStyle name="Normal 3 11 3 2 5" xfId="22276"/>
    <cellStyle name="Normal 3 11 3 2 6" xfId="35256"/>
    <cellStyle name="Normal 3 11 3 2 7" xfId="48239"/>
    <cellStyle name="Normal 3 11 3 3" xfId="4383"/>
    <cellStyle name="Normal 3 11 3 3 2" xfId="10915"/>
    <cellStyle name="Normal 3 11 3 3 2 2" xfId="30388"/>
    <cellStyle name="Normal 3 11 3 3 2 3" xfId="43368"/>
    <cellStyle name="Normal 3 11 3 3 2 4" xfId="59597"/>
    <cellStyle name="Normal 3 11 3 3 3" xfId="17408"/>
    <cellStyle name="Normal 3 11 3 3 4" xfId="23898"/>
    <cellStyle name="Normal 3 11 3 3 5" xfId="36878"/>
    <cellStyle name="Normal 3 11 3 3 6" xfId="53107"/>
    <cellStyle name="Normal 3 11 3 4" xfId="7670"/>
    <cellStyle name="Normal 3 11 3 4 2" xfId="27143"/>
    <cellStyle name="Normal 3 11 3 4 3" xfId="40123"/>
    <cellStyle name="Normal 3 11 3 4 4" xfId="56352"/>
    <cellStyle name="Normal 3 11 3 5" xfId="14163"/>
    <cellStyle name="Normal 3 11 3 5 2" xfId="49862"/>
    <cellStyle name="Normal 3 11 3 6" xfId="20653"/>
    <cellStyle name="Normal 3 11 3 7" xfId="33633"/>
    <cellStyle name="Normal 3 11 3 8" xfId="46616"/>
    <cellStyle name="Normal 3 11 4" xfId="2286"/>
    <cellStyle name="Normal 3 11 4 2" xfId="5531"/>
    <cellStyle name="Normal 3 11 4 2 2" xfId="12063"/>
    <cellStyle name="Normal 3 11 4 2 2 2" xfId="31536"/>
    <cellStyle name="Normal 3 11 4 2 2 3" xfId="44516"/>
    <cellStyle name="Normal 3 11 4 2 2 4" xfId="60745"/>
    <cellStyle name="Normal 3 11 4 2 3" xfId="18556"/>
    <cellStyle name="Normal 3 11 4 2 4" xfId="25046"/>
    <cellStyle name="Normal 3 11 4 2 5" xfId="38026"/>
    <cellStyle name="Normal 3 11 4 2 6" xfId="54255"/>
    <cellStyle name="Normal 3 11 4 3" xfId="8818"/>
    <cellStyle name="Normal 3 11 4 3 2" xfId="28291"/>
    <cellStyle name="Normal 3 11 4 3 3" xfId="41271"/>
    <cellStyle name="Normal 3 11 4 3 4" xfId="57500"/>
    <cellStyle name="Normal 3 11 4 4" xfId="15311"/>
    <cellStyle name="Normal 3 11 4 4 2" xfId="51010"/>
    <cellStyle name="Normal 3 11 4 5" xfId="21801"/>
    <cellStyle name="Normal 3 11 4 6" xfId="34781"/>
    <cellStyle name="Normal 3 11 4 7" xfId="47764"/>
    <cellStyle name="Normal 3 11 5" xfId="3908"/>
    <cellStyle name="Normal 3 11 5 2" xfId="10440"/>
    <cellStyle name="Normal 3 11 5 2 2" xfId="29913"/>
    <cellStyle name="Normal 3 11 5 2 3" xfId="42893"/>
    <cellStyle name="Normal 3 11 5 2 4" xfId="59122"/>
    <cellStyle name="Normal 3 11 5 3" xfId="16933"/>
    <cellStyle name="Normal 3 11 5 4" xfId="23423"/>
    <cellStyle name="Normal 3 11 5 5" xfId="36403"/>
    <cellStyle name="Normal 3 11 5 6" xfId="52632"/>
    <cellStyle name="Normal 3 11 6" xfId="7195"/>
    <cellStyle name="Normal 3 11 6 2" xfId="26668"/>
    <cellStyle name="Normal 3 11 6 3" xfId="39648"/>
    <cellStyle name="Normal 3 11 6 4" xfId="55877"/>
    <cellStyle name="Normal 3 11 7" xfId="13688"/>
    <cellStyle name="Normal 3 11 7 2" xfId="49387"/>
    <cellStyle name="Normal 3 11 8" xfId="20178"/>
    <cellStyle name="Normal 3 11 9" xfId="33158"/>
    <cellStyle name="Normal 3 12" xfId="388"/>
    <cellStyle name="Normal 3 12 2" xfId="1314"/>
    <cellStyle name="Normal 3 12 2 2" xfId="2981"/>
    <cellStyle name="Normal 3 12 2 2 2" xfId="6226"/>
    <cellStyle name="Normal 3 12 2 2 2 2" xfId="12758"/>
    <cellStyle name="Normal 3 12 2 2 2 2 2" xfId="32231"/>
    <cellStyle name="Normal 3 12 2 2 2 2 3" xfId="45211"/>
    <cellStyle name="Normal 3 12 2 2 2 2 4" xfId="61440"/>
    <cellStyle name="Normal 3 12 2 2 2 3" xfId="19251"/>
    <cellStyle name="Normal 3 12 2 2 2 4" xfId="25741"/>
    <cellStyle name="Normal 3 12 2 2 2 5" xfId="38721"/>
    <cellStyle name="Normal 3 12 2 2 2 6" xfId="54950"/>
    <cellStyle name="Normal 3 12 2 2 3" xfId="9513"/>
    <cellStyle name="Normal 3 12 2 2 3 2" xfId="28986"/>
    <cellStyle name="Normal 3 12 2 2 3 3" xfId="41966"/>
    <cellStyle name="Normal 3 12 2 2 3 4" xfId="58195"/>
    <cellStyle name="Normal 3 12 2 2 4" xfId="16006"/>
    <cellStyle name="Normal 3 12 2 2 4 2" xfId="51705"/>
    <cellStyle name="Normal 3 12 2 2 5" xfId="22496"/>
    <cellStyle name="Normal 3 12 2 2 6" xfId="35476"/>
    <cellStyle name="Normal 3 12 2 2 7" xfId="48459"/>
    <cellStyle name="Normal 3 12 2 3" xfId="4603"/>
    <cellStyle name="Normal 3 12 2 3 2" xfId="11135"/>
    <cellStyle name="Normal 3 12 2 3 2 2" xfId="30608"/>
    <cellStyle name="Normal 3 12 2 3 2 3" xfId="43588"/>
    <cellStyle name="Normal 3 12 2 3 2 4" xfId="59817"/>
    <cellStyle name="Normal 3 12 2 3 3" xfId="17628"/>
    <cellStyle name="Normal 3 12 2 3 4" xfId="24118"/>
    <cellStyle name="Normal 3 12 2 3 5" xfId="37098"/>
    <cellStyle name="Normal 3 12 2 3 6" xfId="53327"/>
    <cellStyle name="Normal 3 12 2 4" xfId="7890"/>
    <cellStyle name="Normal 3 12 2 4 2" xfId="27363"/>
    <cellStyle name="Normal 3 12 2 4 3" xfId="40343"/>
    <cellStyle name="Normal 3 12 2 4 4" xfId="56572"/>
    <cellStyle name="Normal 3 12 2 5" xfId="14383"/>
    <cellStyle name="Normal 3 12 2 5 2" xfId="50082"/>
    <cellStyle name="Normal 3 12 2 6" xfId="20873"/>
    <cellStyle name="Normal 3 12 2 7" xfId="33853"/>
    <cellStyle name="Normal 3 12 2 8" xfId="46836"/>
    <cellStyle name="Normal 3 12 3" xfId="2056"/>
    <cellStyle name="Normal 3 12 3 2" xfId="5301"/>
    <cellStyle name="Normal 3 12 3 2 2" xfId="11833"/>
    <cellStyle name="Normal 3 12 3 2 2 2" xfId="31306"/>
    <cellStyle name="Normal 3 12 3 2 2 3" xfId="44286"/>
    <cellStyle name="Normal 3 12 3 2 2 4" xfId="60515"/>
    <cellStyle name="Normal 3 12 3 2 3" xfId="18326"/>
    <cellStyle name="Normal 3 12 3 2 4" xfId="24816"/>
    <cellStyle name="Normal 3 12 3 2 5" xfId="37796"/>
    <cellStyle name="Normal 3 12 3 2 6" xfId="54025"/>
    <cellStyle name="Normal 3 12 3 3" xfId="8588"/>
    <cellStyle name="Normal 3 12 3 3 2" xfId="28061"/>
    <cellStyle name="Normal 3 12 3 3 3" xfId="41041"/>
    <cellStyle name="Normal 3 12 3 3 4" xfId="57270"/>
    <cellStyle name="Normal 3 12 3 4" xfId="15081"/>
    <cellStyle name="Normal 3 12 3 4 2" xfId="50780"/>
    <cellStyle name="Normal 3 12 3 5" xfId="21571"/>
    <cellStyle name="Normal 3 12 3 6" xfId="34551"/>
    <cellStyle name="Normal 3 12 3 7" xfId="47534"/>
    <cellStyle name="Normal 3 12 4" xfId="3678"/>
    <cellStyle name="Normal 3 12 4 2" xfId="10210"/>
    <cellStyle name="Normal 3 12 4 2 2" xfId="29683"/>
    <cellStyle name="Normal 3 12 4 2 3" xfId="42663"/>
    <cellStyle name="Normal 3 12 4 2 4" xfId="58892"/>
    <cellStyle name="Normal 3 12 4 3" xfId="16703"/>
    <cellStyle name="Normal 3 12 4 4" xfId="23193"/>
    <cellStyle name="Normal 3 12 4 5" xfId="36173"/>
    <cellStyle name="Normal 3 12 4 6" xfId="52402"/>
    <cellStyle name="Normal 3 12 5" xfId="6965"/>
    <cellStyle name="Normal 3 12 5 2" xfId="26438"/>
    <cellStyle name="Normal 3 12 5 3" xfId="39418"/>
    <cellStyle name="Normal 3 12 5 4" xfId="55647"/>
    <cellStyle name="Normal 3 12 6" xfId="13458"/>
    <cellStyle name="Normal 3 12 6 2" xfId="49157"/>
    <cellStyle name="Normal 3 12 7" xfId="19948"/>
    <cellStyle name="Normal 3 12 8" xfId="32928"/>
    <cellStyle name="Normal 3 12 9" xfId="45911"/>
    <cellStyle name="Normal 3 13" xfId="850"/>
    <cellStyle name="Normal 3 13 2" xfId="2518"/>
    <cellStyle name="Normal 3 13 2 2" xfId="5763"/>
    <cellStyle name="Normal 3 13 2 2 2" xfId="12295"/>
    <cellStyle name="Normal 3 13 2 2 2 2" xfId="31768"/>
    <cellStyle name="Normal 3 13 2 2 2 3" xfId="44748"/>
    <cellStyle name="Normal 3 13 2 2 2 4" xfId="60977"/>
    <cellStyle name="Normal 3 13 2 2 3" xfId="18788"/>
    <cellStyle name="Normal 3 13 2 2 4" xfId="25278"/>
    <cellStyle name="Normal 3 13 2 2 5" xfId="38258"/>
    <cellStyle name="Normal 3 13 2 2 6" xfId="54487"/>
    <cellStyle name="Normal 3 13 2 3" xfId="9050"/>
    <cellStyle name="Normal 3 13 2 3 2" xfId="28523"/>
    <cellStyle name="Normal 3 13 2 3 3" xfId="41503"/>
    <cellStyle name="Normal 3 13 2 3 4" xfId="57732"/>
    <cellStyle name="Normal 3 13 2 4" xfId="15543"/>
    <cellStyle name="Normal 3 13 2 4 2" xfId="51242"/>
    <cellStyle name="Normal 3 13 2 5" xfId="22033"/>
    <cellStyle name="Normal 3 13 2 6" xfId="35013"/>
    <cellStyle name="Normal 3 13 2 7" xfId="47996"/>
    <cellStyle name="Normal 3 13 3" xfId="4140"/>
    <cellStyle name="Normal 3 13 3 2" xfId="10672"/>
    <cellStyle name="Normal 3 13 3 2 2" xfId="30145"/>
    <cellStyle name="Normal 3 13 3 2 3" xfId="43125"/>
    <cellStyle name="Normal 3 13 3 2 4" xfId="59354"/>
    <cellStyle name="Normal 3 13 3 3" xfId="17165"/>
    <cellStyle name="Normal 3 13 3 4" xfId="23655"/>
    <cellStyle name="Normal 3 13 3 5" xfId="36635"/>
    <cellStyle name="Normal 3 13 3 6" xfId="52864"/>
    <cellStyle name="Normal 3 13 4" xfId="7427"/>
    <cellStyle name="Normal 3 13 4 2" xfId="26900"/>
    <cellStyle name="Normal 3 13 4 3" xfId="39880"/>
    <cellStyle name="Normal 3 13 4 4" xfId="56109"/>
    <cellStyle name="Normal 3 13 5" xfId="13920"/>
    <cellStyle name="Normal 3 13 5 2" xfId="49619"/>
    <cellStyle name="Normal 3 13 6" xfId="20410"/>
    <cellStyle name="Normal 3 13 7" xfId="33390"/>
    <cellStyle name="Normal 3 13 8" xfId="46373"/>
    <cellStyle name="Normal 3 14" xfId="1826"/>
    <cellStyle name="Normal 3 14 2" xfId="5072"/>
    <cellStyle name="Normal 3 14 2 2" xfId="11604"/>
    <cellStyle name="Normal 3 14 2 2 2" xfId="31077"/>
    <cellStyle name="Normal 3 14 2 2 3" xfId="44057"/>
    <cellStyle name="Normal 3 14 2 2 4" xfId="60286"/>
    <cellStyle name="Normal 3 14 2 3" xfId="18097"/>
    <cellStyle name="Normal 3 14 2 4" xfId="24587"/>
    <cellStyle name="Normal 3 14 2 5" xfId="37567"/>
    <cellStyle name="Normal 3 14 2 6" xfId="53796"/>
    <cellStyle name="Normal 3 14 3" xfId="8359"/>
    <cellStyle name="Normal 3 14 3 2" xfId="27832"/>
    <cellStyle name="Normal 3 14 3 3" xfId="40812"/>
    <cellStyle name="Normal 3 14 3 4" xfId="57041"/>
    <cellStyle name="Normal 3 14 4" xfId="14852"/>
    <cellStyle name="Normal 3 14 4 2" xfId="50551"/>
    <cellStyle name="Normal 3 14 5" xfId="21342"/>
    <cellStyle name="Normal 3 14 6" xfId="34322"/>
    <cellStyle name="Normal 3 14 7" xfId="47305"/>
    <cellStyle name="Normal 3 15" xfId="3448"/>
    <cellStyle name="Normal 3 15 2" xfId="9980"/>
    <cellStyle name="Normal 3 15 2 2" xfId="29453"/>
    <cellStyle name="Normal 3 15 2 3" xfId="42433"/>
    <cellStyle name="Normal 3 15 2 4" xfId="58662"/>
    <cellStyle name="Normal 3 15 3" xfId="16473"/>
    <cellStyle name="Normal 3 15 4" xfId="22963"/>
    <cellStyle name="Normal 3 15 5" xfId="35943"/>
    <cellStyle name="Normal 3 15 6" xfId="52172"/>
    <cellStyle name="Normal 3 16" xfId="6735"/>
    <cellStyle name="Normal 3 16 2" xfId="26208"/>
    <cellStyle name="Normal 3 16 3" xfId="39188"/>
    <cellStyle name="Normal 3 16 4" xfId="55417"/>
    <cellStyle name="Normal 3 17" xfId="13228"/>
    <cellStyle name="Normal 3 17 2" xfId="48927"/>
    <cellStyle name="Normal 3 18" xfId="19718"/>
    <cellStyle name="Normal 3 19" xfId="32698"/>
    <cellStyle name="Normal 3 2" xfId="126"/>
    <cellStyle name="Normal 3 2 10" xfId="1828"/>
    <cellStyle name="Normal 3 2 10 2" xfId="5074"/>
    <cellStyle name="Normal 3 2 10 2 2" xfId="11606"/>
    <cellStyle name="Normal 3 2 10 2 2 2" xfId="31079"/>
    <cellStyle name="Normal 3 2 10 2 2 3" xfId="44059"/>
    <cellStyle name="Normal 3 2 10 2 2 4" xfId="60288"/>
    <cellStyle name="Normal 3 2 10 2 3" xfId="18099"/>
    <cellStyle name="Normal 3 2 10 2 4" xfId="24589"/>
    <cellStyle name="Normal 3 2 10 2 5" xfId="37569"/>
    <cellStyle name="Normal 3 2 10 2 6" xfId="53798"/>
    <cellStyle name="Normal 3 2 10 3" xfId="8361"/>
    <cellStyle name="Normal 3 2 10 3 2" xfId="27834"/>
    <cellStyle name="Normal 3 2 10 3 3" xfId="40814"/>
    <cellStyle name="Normal 3 2 10 3 4" xfId="57043"/>
    <cellStyle name="Normal 3 2 10 4" xfId="14854"/>
    <cellStyle name="Normal 3 2 10 4 2" xfId="50553"/>
    <cellStyle name="Normal 3 2 10 5" xfId="21344"/>
    <cellStyle name="Normal 3 2 10 6" xfId="34324"/>
    <cellStyle name="Normal 3 2 10 7" xfId="47307"/>
    <cellStyle name="Normal 3 2 11" xfId="3450"/>
    <cellStyle name="Normal 3 2 11 2" xfId="9982"/>
    <cellStyle name="Normal 3 2 11 2 2" xfId="29455"/>
    <cellStyle name="Normal 3 2 11 2 3" xfId="42435"/>
    <cellStyle name="Normal 3 2 11 2 4" xfId="58664"/>
    <cellStyle name="Normal 3 2 11 3" xfId="16475"/>
    <cellStyle name="Normal 3 2 11 4" xfId="22965"/>
    <cellStyle name="Normal 3 2 11 5" xfId="35945"/>
    <cellStyle name="Normal 3 2 11 6" xfId="52174"/>
    <cellStyle name="Normal 3 2 12" xfId="6737"/>
    <cellStyle name="Normal 3 2 12 2" xfId="26210"/>
    <cellStyle name="Normal 3 2 12 3" xfId="39190"/>
    <cellStyle name="Normal 3 2 12 4" xfId="55419"/>
    <cellStyle name="Normal 3 2 13" xfId="13230"/>
    <cellStyle name="Normal 3 2 13 2" xfId="48929"/>
    <cellStyle name="Normal 3 2 14" xfId="19720"/>
    <cellStyle name="Normal 3 2 15" xfId="32700"/>
    <cellStyle name="Normal 3 2 16" xfId="45683"/>
    <cellStyle name="Normal 3 2 17" xfId="61926"/>
    <cellStyle name="Normal 3 2 2" xfId="177"/>
    <cellStyle name="Normal 3 2 2 10" xfId="6759"/>
    <cellStyle name="Normal 3 2 2 10 2" xfId="26232"/>
    <cellStyle name="Normal 3 2 2 10 3" xfId="39212"/>
    <cellStyle name="Normal 3 2 2 10 4" xfId="55441"/>
    <cellStyle name="Normal 3 2 2 11" xfId="13252"/>
    <cellStyle name="Normal 3 2 2 11 2" xfId="48951"/>
    <cellStyle name="Normal 3 2 2 12" xfId="19742"/>
    <cellStyle name="Normal 3 2 2 13" xfId="32722"/>
    <cellStyle name="Normal 3 2 2 14" xfId="45705"/>
    <cellStyle name="Normal 3 2 2 15" xfId="61985"/>
    <cellStyle name="Normal 3 2 2 2" xfId="266"/>
    <cellStyle name="Normal 3 2 2 2 10" xfId="19830"/>
    <cellStyle name="Normal 3 2 2 2 11" xfId="32810"/>
    <cellStyle name="Normal 3 2 2 2 12" xfId="45793"/>
    <cellStyle name="Normal 3 2 2 2 2" xfId="354"/>
    <cellStyle name="Normal 3 2 2 2 2 10" xfId="32898"/>
    <cellStyle name="Normal 3 2 2 2 2 11" xfId="45881"/>
    <cellStyle name="Normal 3 2 2 2 2 2" xfId="818"/>
    <cellStyle name="Normal 3 2 2 2 2 2 10" xfId="46341"/>
    <cellStyle name="Normal 3 2 2 2 2 2 2" xfId="1757"/>
    <cellStyle name="Normal 3 2 2 2 2 2 2 2" xfId="3424"/>
    <cellStyle name="Normal 3 2 2 2 2 2 2 2 2" xfId="6669"/>
    <cellStyle name="Normal 3 2 2 2 2 2 2 2 2 2" xfId="13201"/>
    <cellStyle name="Normal 3 2 2 2 2 2 2 2 2 2 2" xfId="32674"/>
    <cellStyle name="Normal 3 2 2 2 2 2 2 2 2 2 3" xfId="45654"/>
    <cellStyle name="Normal 3 2 2 2 2 2 2 2 2 2 4" xfId="61883"/>
    <cellStyle name="Normal 3 2 2 2 2 2 2 2 2 3" xfId="19694"/>
    <cellStyle name="Normal 3 2 2 2 2 2 2 2 2 4" xfId="26184"/>
    <cellStyle name="Normal 3 2 2 2 2 2 2 2 2 5" xfId="39164"/>
    <cellStyle name="Normal 3 2 2 2 2 2 2 2 2 6" xfId="55393"/>
    <cellStyle name="Normal 3 2 2 2 2 2 2 2 3" xfId="9956"/>
    <cellStyle name="Normal 3 2 2 2 2 2 2 2 3 2" xfId="29429"/>
    <cellStyle name="Normal 3 2 2 2 2 2 2 2 3 3" xfId="42409"/>
    <cellStyle name="Normal 3 2 2 2 2 2 2 2 3 4" xfId="58638"/>
    <cellStyle name="Normal 3 2 2 2 2 2 2 2 4" xfId="16449"/>
    <cellStyle name="Normal 3 2 2 2 2 2 2 2 4 2" xfId="52148"/>
    <cellStyle name="Normal 3 2 2 2 2 2 2 2 5" xfId="22939"/>
    <cellStyle name="Normal 3 2 2 2 2 2 2 2 6" xfId="35919"/>
    <cellStyle name="Normal 3 2 2 2 2 2 2 2 7" xfId="48902"/>
    <cellStyle name="Normal 3 2 2 2 2 2 2 3" xfId="5046"/>
    <cellStyle name="Normal 3 2 2 2 2 2 2 3 2" xfId="11578"/>
    <cellStyle name="Normal 3 2 2 2 2 2 2 3 2 2" xfId="31051"/>
    <cellStyle name="Normal 3 2 2 2 2 2 2 3 2 3" xfId="44031"/>
    <cellStyle name="Normal 3 2 2 2 2 2 2 3 2 4" xfId="60260"/>
    <cellStyle name="Normal 3 2 2 2 2 2 2 3 3" xfId="18071"/>
    <cellStyle name="Normal 3 2 2 2 2 2 2 3 4" xfId="24561"/>
    <cellStyle name="Normal 3 2 2 2 2 2 2 3 5" xfId="37541"/>
    <cellStyle name="Normal 3 2 2 2 2 2 2 3 6" xfId="53770"/>
    <cellStyle name="Normal 3 2 2 2 2 2 2 4" xfId="8333"/>
    <cellStyle name="Normal 3 2 2 2 2 2 2 4 2" xfId="27806"/>
    <cellStyle name="Normal 3 2 2 2 2 2 2 4 3" xfId="40786"/>
    <cellStyle name="Normal 3 2 2 2 2 2 2 4 4" xfId="57015"/>
    <cellStyle name="Normal 3 2 2 2 2 2 2 5" xfId="14826"/>
    <cellStyle name="Normal 3 2 2 2 2 2 2 5 2" xfId="50525"/>
    <cellStyle name="Normal 3 2 2 2 2 2 2 6" xfId="21316"/>
    <cellStyle name="Normal 3 2 2 2 2 2 2 7" xfId="34296"/>
    <cellStyle name="Normal 3 2 2 2 2 2 2 8" xfId="47279"/>
    <cellStyle name="Normal 3 2 2 2 2 2 3" xfId="1294"/>
    <cellStyle name="Normal 3 2 2 2 2 2 3 2" xfId="2961"/>
    <cellStyle name="Normal 3 2 2 2 2 2 3 2 2" xfId="6206"/>
    <cellStyle name="Normal 3 2 2 2 2 2 3 2 2 2" xfId="12738"/>
    <cellStyle name="Normal 3 2 2 2 2 2 3 2 2 2 2" xfId="32211"/>
    <cellStyle name="Normal 3 2 2 2 2 2 3 2 2 2 3" xfId="45191"/>
    <cellStyle name="Normal 3 2 2 2 2 2 3 2 2 2 4" xfId="61420"/>
    <cellStyle name="Normal 3 2 2 2 2 2 3 2 2 3" xfId="19231"/>
    <cellStyle name="Normal 3 2 2 2 2 2 3 2 2 4" xfId="25721"/>
    <cellStyle name="Normal 3 2 2 2 2 2 3 2 2 5" xfId="38701"/>
    <cellStyle name="Normal 3 2 2 2 2 2 3 2 2 6" xfId="54930"/>
    <cellStyle name="Normal 3 2 2 2 2 2 3 2 3" xfId="9493"/>
    <cellStyle name="Normal 3 2 2 2 2 2 3 2 3 2" xfId="28966"/>
    <cellStyle name="Normal 3 2 2 2 2 2 3 2 3 3" xfId="41946"/>
    <cellStyle name="Normal 3 2 2 2 2 2 3 2 3 4" xfId="58175"/>
    <cellStyle name="Normal 3 2 2 2 2 2 3 2 4" xfId="15986"/>
    <cellStyle name="Normal 3 2 2 2 2 2 3 2 4 2" xfId="51685"/>
    <cellStyle name="Normal 3 2 2 2 2 2 3 2 5" xfId="22476"/>
    <cellStyle name="Normal 3 2 2 2 2 2 3 2 6" xfId="35456"/>
    <cellStyle name="Normal 3 2 2 2 2 2 3 2 7" xfId="48439"/>
    <cellStyle name="Normal 3 2 2 2 2 2 3 3" xfId="4583"/>
    <cellStyle name="Normal 3 2 2 2 2 2 3 3 2" xfId="11115"/>
    <cellStyle name="Normal 3 2 2 2 2 2 3 3 2 2" xfId="30588"/>
    <cellStyle name="Normal 3 2 2 2 2 2 3 3 2 3" xfId="43568"/>
    <cellStyle name="Normal 3 2 2 2 2 2 3 3 2 4" xfId="59797"/>
    <cellStyle name="Normal 3 2 2 2 2 2 3 3 3" xfId="17608"/>
    <cellStyle name="Normal 3 2 2 2 2 2 3 3 4" xfId="24098"/>
    <cellStyle name="Normal 3 2 2 2 2 2 3 3 5" xfId="37078"/>
    <cellStyle name="Normal 3 2 2 2 2 2 3 3 6" xfId="53307"/>
    <cellStyle name="Normal 3 2 2 2 2 2 3 4" xfId="7870"/>
    <cellStyle name="Normal 3 2 2 2 2 2 3 4 2" xfId="27343"/>
    <cellStyle name="Normal 3 2 2 2 2 2 3 4 3" xfId="40323"/>
    <cellStyle name="Normal 3 2 2 2 2 2 3 4 4" xfId="56552"/>
    <cellStyle name="Normal 3 2 2 2 2 2 3 5" xfId="14363"/>
    <cellStyle name="Normal 3 2 2 2 2 2 3 5 2" xfId="50062"/>
    <cellStyle name="Normal 3 2 2 2 2 2 3 6" xfId="20853"/>
    <cellStyle name="Normal 3 2 2 2 2 2 3 7" xfId="33833"/>
    <cellStyle name="Normal 3 2 2 2 2 2 3 8" xfId="46816"/>
    <cellStyle name="Normal 3 2 2 2 2 2 4" xfId="2486"/>
    <cellStyle name="Normal 3 2 2 2 2 2 4 2" xfId="5731"/>
    <cellStyle name="Normal 3 2 2 2 2 2 4 2 2" xfId="12263"/>
    <cellStyle name="Normal 3 2 2 2 2 2 4 2 2 2" xfId="31736"/>
    <cellStyle name="Normal 3 2 2 2 2 2 4 2 2 3" xfId="44716"/>
    <cellStyle name="Normal 3 2 2 2 2 2 4 2 2 4" xfId="60945"/>
    <cellStyle name="Normal 3 2 2 2 2 2 4 2 3" xfId="18756"/>
    <cellStyle name="Normal 3 2 2 2 2 2 4 2 4" xfId="25246"/>
    <cellStyle name="Normal 3 2 2 2 2 2 4 2 5" xfId="38226"/>
    <cellStyle name="Normal 3 2 2 2 2 2 4 2 6" xfId="54455"/>
    <cellStyle name="Normal 3 2 2 2 2 2 4 3" xfId="9018"/>
    <cellStyle name="Normal 3 2 2 2 2 2 4 3 2" xfId="28491"/>
    <cellStyle name="Normal 3 2 2 2 2 2 4 3 3" xfId="41471"/>
    <cellStyle name="Normal 3 2 2 2 2 2 4 3 4" xfId="57700"/>
    <cellStyle name="Normal 3 2 2 2 2 2 4 4" xfId="15511"/>
    <cellStyle name="Normal 3 2 2 2 2 2 4 4 2" xfId="51210"/>
    <cellStyle name="Normal 3 2 2 2 2 2 4 5" xfId="22001"/>
    <cellStyle name="Normal 3 2 2 2 2 2 4 6" xfId="34981"/>
    <cellStyle name="Normal 3 2 2 2 2 2 4 7" xfId="47964"/>
    <cellStyle name="Normal 3 2 2 2 2 2 5" xfId="4108"/>
    <cellStyle name="Normal 3 2 2 2 2 2 5 2" xfId="10640"/>
    <cellStyle name="Normal 3 2 2 2 2 2 5 2 2" xfId="30113"/>
    <cellStyle name="Normal 3 2 2 2 2 2 5 2 3" xfId="43093"/>
    <cellStyle name="Normal 3 2 2 2 2 2 5 2 4" xfId="59322"/>
    <cellStyle name="Normal 3 2 2 2 2 2 5 3" xfId="17133"/>
    <cellStyle name="Normal 3 2 2 2 2 2 5 4" xfId="23623"/>
    <cellStyle name="Normal 3 2 2 2 2 2 5 5" xfId="36603"/>
    <cellStyle name="Normal 3 2 2 2 2 2 5 6" xfId="52832"/>
    <cellStyle name="Normal 3 2 2 2 2 2 6" xfId="7395"/>
    <cellStyle name="Normal 3 2 2 2 2 2 6 2" xfId="26868"/>
    <cellStyle name="Normal 3 2 2 2 2 2 6 3" xfId="39848"/>
    <cellStyle name="Normal 3 2 2 2 2 2 6 4" xfId="56077"/>
    <cellStyle name="Normal 3 2 2 2 2 2 7" xfId="13888"/>
    <cellStyle name="Normal 3 2 2 2 2 2 7 2" xfId="49587"/>
    <cellStyle name="Normal 3 2 2 2 2 2 8" xfId="20378"/>
    <cellStyle name="Normal 3 2 2 2 2 2 9" xfId="33358"/>
    <cellStyle name="Normal 3 2 2 2 2 3" xfId="588"/>
    <cellStyle name="Normal 3 2 2 2 2 3 2" xfId="1537"/>
    <cellStyle name="Normal 3 2 2 2 2 3 2 2" xfId="3204"/>
    <cellStyle name="Normal 3 2 2 2 2 3 2 2 2" xfId="6449"/>
    <cellStyle name="Normal 3 2 2 2 2 3 2 2 2 2" xfId="12981"/>
    <cellStyle name="Normal 3 2 2 2 2 3 2 2 2 2 2" xfId="32454"/>
    <cellStyle name="Normal 3 2 2 2 2 3 2 2 2 2 3" xfId="45434"/>
    <cellStyle name="Normal 3 2 2 2 2 3 2 2 2 2 4" xfId="61663"/>
    <cellStyle name="Normal 3 2 2 2 2 3 2 2 2 3" xfId="19474"/>
    <cellStyle name="Normal 3 2 2 2 2 3 2 2 2 4" xfId="25964"/>
    <cellStyle name="Normal 3 2 2 2 2 3 2 2 2 5" xfId="38944"/>
    <cellStyle name="Normal 3 2 2 2 2 3 2 2 2 6" xfId="55173"/>
    <cellStyle name="Normal 3 2 2 2 2 3 2 2 3" xfId="9736"/>
    <cellStyle name="Normal 3 2 2 2 2 3 2 2 3 2" xfId="29209"/>
    <cellStyle name="Normal 3 2 2 2 2 3 2 2 3 3" xfId="42189"/>
    <cellStyle name="Normal 3 2 2 2 2 3 2 2 3 4" xfId="58418"/>
    <cellStyle name="Normal 3 2 2 2 2 3 2 2 4" xfId="16229"/>
    <cellStyle name="Normal 3 2 2 2 2 3 2 2 4 2" xfId="51928"/>
    <cellStyle name="Normal 3 2 2 2 2 3 2 2 5" xfId="22719"/>
    <cellStyle name="Normal 3 2 2 2 2 3 2 2 6" xfId="35699"/>
    <cellStyle name="Normal 3 2 2 2 2 3 2 2 7" xfId="48682"/>
    <cellStyle name="Normal 3 2 2 2 2 3 2 3" xfId="4826"/>
    <cellStyle name="Normal 3 2 2 2 2 3 2 3 2" xfId="11358"/>
    <cellStyle name="Normal 3 2 2 2 2 3 2 3 2 2" xfId="30831"/>
    <cellStyle name="Normal 3 2 2 2 2 3 2 3 2 3" xfId="43811"/>
    <cellStyle name="Normal 3 2 2 2 2 3 2 3 2 4" xfId="60040"/>
    <cellStyle name="Normal 3 2 2 2 2 3 2 3 3" xfId="17851"/>
    <cellStyle name="Normal 3 2 2 2 2 3 2 3 4" xfId="24341"/>
    <cellStyle name="Normal 3 2 2 2 2 3 2 3 5" xfId="37321"/>
    <cellStyle name="Normal 3 2 2 2 2 3 2 3 6" xfId="53550"/>
    <cellStyle name="Normal 3 2 2 2 2 3 2 4" xfId="8113"/>
    <cellStyle name="Normal 3 2 2 2 2 3 2 4 2" xfId="27586"/>
    <cellStyle name="Normal 3 2 2 2 2 3 2 4 3" xfId="40566"/>
    <cellStyle name="Normal 3 2 2 2 2 3 2 4 4" xfId="56795"/>
    <cellStyle name="Normal 3 2 2 2 2 3 2 5" xfId="14606"/>
    <cellStyle name="Normal 3 2 2 2 2 3 2 5 2" xfId="50305"/>
    <cellStyle name="Normal 3 2 2 2 2 3 2 6" xfId="21096"/>
    <cellStyle name="Normal 3 2 2 2 2 3 2 7" xfId="34076"/>
    <cellStyle name="Normal 3 2 2 2 2 3 2 8" xfId="47059"/>
    <cellStyle name="Normal 3 2 2 2 2 3 3" xfId="2256"/>
    <cellStyle name="Normal 3 2 2 2 2 3 3 2" xfId="5501"/>
    <cellStyle name="Normal 3 2 2 2 2 3 3 2 2" xfId="12033"/>
    <cellStyle name="Normal 3 2 2 2 2 3 3 2 2 2" xfId="31506"/>
    <cellStyle name="Normal 3 2 2 2 2 3 3 2 2 3" xfId="44486"/>
    <cellStyle name="Normal 3 2 2 2 2 3 3 2 2 4" xfId="60715"/>
    <cellStyle name="Normal 3 2 2 2 2 3 3 2 3" xfId="18526"/>
    <cellStyle name="Normal 3 2 2 2 2 3 3 2 4" xfId="25016"/>
    <cellStyle name="Normal 3 2 2 2 2 3 3 2 5" xfId="37996"/>
    <cellStyle name="Normal 3 2 2 2 2 3 3 2 6" xfId="54225"/>
    <cellStyle name="Normal 3 2 2 2 2 3 3 3" xfId="8788"/>
    <cellStyle name="Normal 3 2 2 2 2 3 3 3 2" xfId="28261"/>
    <cellStyle name="Normal 3 2 2 2 2 3 3 3 3" xfId="41241"/>
    <cellStyle name="Normal 3 2 2 2 2 3 3 3 4" xfId="57470"/>
    <cellStyle name="Normal 3 2 2 2 2 3 3 4" xfId="15281"/>
    <cellStyle name="Normal 3 2 2 2 2 3 3 4 2" xfId="50980"/>
    <cellStyle name="Normal 3 2 2 2 2 3 3 5" xfId="21771"/>
    <cellStyle name="Normal 3 2 2 2 2 3 3 6" xfId="34751"/>
    <cellStyle name="Normal 3 2 2 2 2 3 3 7" xfId="47734"/>
    <cellStyle name="Normal 3 2 2 2 2 3 4" xfId="3878"/>
    <cellStyle name="Normal 3 2 2 2 2 3 4 2" xfId="10410"/>
    <cellStyle name="Normal 3 2 2 2 2 3 4 2 2" xfId="29883"/>
    <cellStyle name="Normal 3 2 2 2 2 3 4 2 3" xfId="42863"/>
    <cellStyle name="Normal 3 2 2 2 2 3 4 2 4" xfId="59092"/>
    <cellStyle name="Normal 3 2 2 2 2 3 4 3" xfId="16903"/>
    <cellStyle name="Normal 3 2 2 2 2 3 4 4" xfId="23393"/>
    <cellStyle name="Normal 3 2 2 2 2 3 4 5" xfId="36373"/>
    <cellStyle name="Normal 3 2 2 2 2 3 4 6" xfId="52602"/>
    <cellStyle name="Normal 3 2 2 2 2 3 5" xfId="7165"/>
    <cellStyle name="Normal 3 2 2 2 2 3 5 2" xfId="26638"/>
    <cellStyle name="Normal 3 2 2 2 2 3 5 3" xfId="39618"/>
    <cellStyle name="Normal 3 2 2 2 2 3 5 4" xfId="55847"/>
    <cellStyle name="Normal 3 2 2 2 2 3 6" xfId="13658"/>
    <cellStyle name="Normal 3 2 2 2 2 3 6 2" xfId="49357"/>
    <cellStyle name="Normal 3 2 2 2 2 3 7" xfId="20148"/>
    <cellStyle name="Normal 3 2 2 2 2 3 8" xfId="33128"/>
    <cellStyle name="Normal 3 2 2 2 2 3 9" xfId="46111"/>
    <cellStyle name="Normal 3 2 2 2 2 4" xfId="1074"/>
    <cellStyle name="Normal 3 2 2 2 2 4 2" xfId="2741"/>
    <cellStyle name="Normal 3 2 2 2 2 4 2 2" xfId="5986"/>
    <cellStyle name="Normal 3 2 2 2 2 4 2 2 2" xfId="12518"/>
    <cellStyle name="Normal 3 2 2 2 2 4 2 2 2 2" xfId="31991"/>
    <cellStyle name="Normal 3 2 2 2 2 4 2 2 2 3" xfId="44971"/>
    <cellStyle name="Normal 3 2 2 2 2 4 2 2 2 4" xfId="61200"/>
    <cellStyle name="Normal 3 2 2 2 2 4 2 2 3" xfId="19011"/>
    <cellStyle name="Normal 3 2 2 2 2 4 2 2 4" xfId="25501"/>
    <cellStyle name="Normal 3 2 2 2 2 4 2 2 5" xfId="38481"/>
    <cellStyle name="Normal 3 2 2 2 2 4 2 2 6" xfId="54710"/>
    <cellStyle name="Normal 3 2 2 2 2 4 2 3" xfId="9273"/>
    <cellStyle name="Normal 3 2 2 2 2 4 2 3 2" xfId="28746"/>
    <cellStyle name="Normal 3 2 2 2 2 4 2 3 3" xfId="41726"/>
    <cellStyle name="Normal 3 2 2 2 2 4 2 3 4" xfId="57955"/>
    <cellStyle name="Normal 3 2 2 2 2 4 2 4" xfId="15766"/>
    <cellStyle name="Normal 3 2 2 2 2 4 2 4 2" xfId="51465"/>
    <cellStyle name="Normal 3 2 2 2 2 4 2 5" xfId="22256"/>
    <cellStyle name="Normal 3 2 2 2 2 4 2 6" xfId="35236"/>
    <cellStyle name="Normal 3 2 2 2 2 4 2 7" xfId="48219"/>
    <cellStyle name="Normal 3 2 2 2 2 4 3" xfId="4363"/>
    <cellStyle name="Normal 3 2 2 2 2 4 3 2" xfId="10895"/>
    <cellStyle name="Normal 3 2 2 2 2 4 3 2 2" xfId="30368"/>
    <cellStyle name="Normal 3 2 2 2 2 4 3 2 3" xfId="43348"/>
    <cellStyle name="Normal 3 2 2 2 2 4 3 2 4" xfId="59577"/>
    <cellStyle name="Normal 3 2 2 2 2 4 3 3" xfId="17388"/>
    <cellStyle name="Normal 3 2 2 2 2 4 3 4" xfId="23878"/>
    <cellStyle name="Normal 3 2 2 2 2 4 3 5" xfId="36858"/>
    <cellStyle name="Normal 3 2 2 2 2 4 3 6" xfId="53087"/>
    <cellStyle name="Normal 3 2 2 2 2 4 4" xfId="7650"/>
    <cellStyle name="Normal 3 2 2 2 2 4 4 2" xfId="27123"/>
    <cellStyle name="Normal 3 2 2 2 2 4 4 3" xfId="40103"/>
    <cellStyle name="Normal 3 2 2 2 2 4 4 4" xfId="56332"/>
    <cellStyle name="Normal 3 2 2 2 2 4 5" xfId="14143"/>
    <cellStyle name="Normal 3 2 2 2 2 4 5 2" xfId="49842"/>
    <cellStyle name="Normal 3 2 2 2 2 4 6" xfId="20633"/>
    <cellStyle name="Normal 3 2 2 2 2 4 7" xfId="33613"/>
    <cellStyle name="Normal 3 2 2 2 2 4 8" xfId="46596"/>
    <cellStyle name="Normal 3 2 2 2 2 5" xfId="2027"/>
    <cellStyle name="Normal 3 2 2 2 2 5 2" xfId="5272"/>
    <cellStyle name="Normal 3 2 2 2 2 5 2 2" xfId="11804"/>
    <cellStyle name="Normal 3 2 2 2 2 5 2 2 2" xfId="31277"/>
    <cellStyle name="Normal 3 2 2 2 2 5 2 2 3" xfId="44257"/>
    <cellStyle name="Normal 3 2 2 2 2 5 2 2 4" xfId="60486"/>
    <cellStyle name="Normal 3 2 2 2 2 5 2 3" xfId="18297"/>
    <cellStyle name="Normal 3 2 2 2 2 5 2 4" xfId="24787"/>
    <cellStyle name="Normal 3 2 2 2 2 5 2 5" xfId="37767"/>
    <cellStyle name="Normal 3 2 2 2 2 5 2 6" xfId="53996"/>
    <cellStyle name="Normal 3 2 2 2 2 5 3" xfId="8559"/>
    <cellStyle name="Normal 3 2 2 2 2 5 3 2" xfId="28032"/>
    <cellStyle name="Normal 3 2 2 2 2 5 3 3" xfId="41012"/>
    <cellStyle name="Normal 3 2 2 2 2 5 3 4" xfId="57241"/>
    <cellStyle name="Normal 3 2 2 2 2 5 4" xfId="15052"/>
    <cellStyle name="Normal 3 2 2 2 2 5 4 2" xfId="50751"/>
    <cellStyle name="Normal 3 2 2 2 2 5 5" xfId="21542"/>
    <cellStyle name="Normal 3 2 2 2 2 5 6" xfId="34522"/>
    <cellStyle name="Normal 3 2 2 2 2 5 7" xfId="47505"/>
    <cellStyle name="Normal 3 2 2 2 2 6" xfId="3648"/>
    <cellStyle name="Normal 3 2 2 2 2 6 2" xfId="10180"/>
    <cellStyle name="Normal 3 2 2 2 2 6 2 2" xfId="29653"/>
    <cellStyle name="Normal 3 2 2 2 2 6 2 3" xfId="42633"/>
    <cellStyle name="Normal 3 2 2 2 2 6 2 4" xfId="58862"/>
    <cellStyle name="Normal 3 2 2 2 2 6 3" xfId="16673"/>
    <cellStyle name="Normal 3 2 2 2 2 6 4" xfId="23163"/>
    <cellStyle name="Normal 3 2 2 2 2 6 5" xfId="36143"/>
    <cellStyle name="Normal 3 2 2 2 2 6 6" xfId="52372"/>
    <cellStyle name="Normal 3 2 2 2 2 7" xfId="6935"/>
    <cellStyle name="Normal 3 2 2 2 2 7 2" xfId="26408"/>
    <cellStyle name="Normal 3 2 2 2 2 7 3" xfId="39388"/>
    <cellStyle name="Normal 3 2 2 2 2 7 4" xfId="55617"/>
    <cellStyle name="Normal 3 2 2 2 2 8" xfId="13428"/>
    <cellStyle name="Normal 3 2 2 2 2 8 2" xfId="49127"/>
    <cellStyle name="Normal 3 2 2 2 2 9" xfId="19918"/>
    <cellStyle name="Normal 3 2 2 2 3" xfId="730"/>
    <cellStyle name="Normal 3 2 2 2 3 10" xfId="46253"/>
    <cellStyle name="Normal 3 2 2 2 3 2" xfId="1669"/>
    <cellStyle name="Normal 3 2 2 2 3 2 2" xfId="3336"/>
    <cellStyle name="Normal 3 2 2 2 3 2 2 2" xfId="6581"/>
    <cellStyle name="Normal 3 2 2 2 3 2 2 2 2" xfId="13113"/>
    <cellStyle name="Normal 3 2 2 2 3 2 2 2 2 2" xfId="32586"/>
    <cellStyle name="Normal 3 2 2 2 3 2 2 2 2 3" xfId="45566"/>
    <cellStyle name="Normal 3 2 2 2 3 2 2 2 2 4" xfId="61795"/>
    <cellStyle name="Normal 3 2 2 2 3 2 2 2 3" xfId="19606"/>
    <cellStyle name="Normal 3 2 2 2 3 2 2 2 4" xfId="26096"/>
    <cellStyle name="Normal 3 2 2 2 3 2 2 2 5" xfId="39076"/>
    <cellStyle name="Normal 3 2 2 2 3 2 2 2 6" xfId="55305"/>
    <cellStyle name="Normal 3 2 2 2 3 2 2 3" xfId="9868"/>
    <cellStyle name="Normal 3 2 2 2 3 2 2 3 2" xfId="29341"/>
    <cellStyle name="Normal 3 2 2 2 3 2 2 3 3" xfId="42321"/>
    <cellStyle name="Normal 3 2 2 2 3 2 2 3 4" xfId="58550"/>
    <cellStyle name="Normal 3 2 2 2 3 2 2 4" xfId="16361"/>
    <cellStyle name="Normal 3 2 2 2 3 2 2 4 2" xfId="52060"/>
    <cellStyle name="Normal 3 2 2 2 3 2 2 5" xfId="22851"/>
    <cellStyle name="Normal 3 2 2 2 3 2 2 6" xfId="35831"/>
    <cellStyle name="Normal 3 2 2 2 3 2 2 7" xfId="48814"/>
    <cellStyle name="Normal 3 2 2 2 3 2 3" xfId="4958"/>
    <cellStyle name="Normal 3 2 2 2 3 2 3 2" xfId="11490"/>
    <cellStyle name="Normal 3 2 2 2 3 2 3 2 2" xfId="30963"/>
    <cellStyle name="Normal 3 2 2 2 3 2 3 2 3" xfId="43943"/>
    <cellStyle name="Normal 3 2 2 2 3 2 3 2 4" xfId="60172"/>
    <cellStyle name="Normal 3 2 2 2 3 2 3 3" xfId="17983"/>
    <cellStyle name="Normal 3 2 2 2 3 2 3 4" xfId="24473"/>
    <cellStyle name="Normal 3 2 2 2 3 2 3 5" xfId="37453"/>
    <cellStyle name="Normal 3 2 2 2 3 2 3 6" xfId="53682"/>
    <cellStyle name="Normal 3 2 2 2 3 2 4" xfId="8245"/>
    <cellStyle name="Normal 3 2 2 2 3 2 4 2" xfId="27718"/>
    <cellStyle name="Normal 3 2 2 2 3 2 4 3" xfId="40698"/>
    <cellStyle name="Normal 3 2 2 2 3 2 4 4" xfId="56927"/>
    <cellStyle name="Normal 3 2 2 2 3 2 5" xfId="14738"/>
    <cellStyle name="Normal 3 2 2 2 3 2 5 2" xfId="50437"/>
    <cellStyle name="Normal 3 2 2 2 3 2 6" xfId="21228"/>
    <cellStyle name="Normal 3 2 2 2 3 2 7" xfId="34208"/>
    <cellStyle name="Normal 3 2 2 2 3 2 8" xfId="47191"/>
    <cellStyle name="Normal 3 2 2 2 3 3" xfId="1206"/>
    <cellStyle name="Normal 3 2 2 2 3 3 2" xfId="2873"/>
    <cellStyle name="Normal 3 2 2 2 3 3 2 2" xfId="6118"/>
    <cellStyle name="Normal 3 2 2 2 3 3 2 2 2" xfId="12650"/>
    <cellStyle name="Normal 3 2 2 2 3 3 2 2 2 2" xfId="32123"/>
    <cellStyle name="Normal 3 2 2 2 3 3 2 2 2 3" xfId="45103"/>
    <cellStyle name="Normal 3 2 2 2 3 3 2 2 2 4" xfId="61332"/>
    <cellStyle name="Normal 3 2 2 2 3 3 2 2 3" xfId="19143"/>
    <cellStyle name="Normal 3 2 2 2 3 3 2 2 4" xfId="25633"/>
    <cellStyle name="Normal 3 2 2 2 3 3 2 2 5" xfId="38613"/>
    <cellStyle name="Normal 3 2 2 2 3 3 2 2 6" xfId="54842"/>
    <cellStyle name="Normal 3 2 2 2 3 3 2 3" xfId="9405"/>
    <cellStyle name="Normal 3 2 2 2 3 3 2 3 2" xfId="28878"/>
    <cellStyle name="Normal 3 2 2 2 3 3 2 3 3" xfId="41858"/>
    <cellStyle name="Normal 3 2 2 2 3 3 2 3 4" xfId="58087"/>
    <cellStyle name="Normal 3 2 2 2 3 3 2 4" xfId="15898"/>
    <cellStyle name="Normal 3 2 2 2 3 3 2 4 2" xfId="51597"/>
    <cellStyle name="Normal 3 2 2 2 3 3 2 5" xfId="22388"/>
    <cellStyle name="Normal 3 2 2 2 3 3 2 6" xfId="35368"/>
    <cellStyle name="Normal 3 2 2 2 3 3 2 7" xfId="48351"/>
    <cellStyle name="Normal 3 2 2 2 3 3 3" xfId="4495"/>
    <cellStyle name="Normal 3 2 2 2 3 3 3 2" xfId="11027"/>
    <cellStyle name="Normal 3 2 2 2 3 3 3 2 2" xfId="30500"/>
    <cellStyle name="Normal 3 2 2 2 3 3 3 2 3" xfId="43480"/>
    <cellStyle name="Normal 3 2 2 2 3 3 3 2 4" xfId="59709"/>
    <cellStyle name="Normal 3 2 2 2 3 3 3 3" xfId="17520"/>
    <cellStyle name="Normal 3 2 2 2 3 3 3 4" xfId="24010"/>
    <cellStyle name="Normal 3 2 2 2 3 3 3 5" xfId="36990"/>
    <cellStyle name="Normal 3 2 2 2 3 3 3 6" xfId="53219"/>
    <cellStyle name="Normal 3 2 2 2 3 3 4" xfId="7782"/>
    <cellStyle name="Normal 3 2 2 2 3 3 4 2" xfId="27255"/>
    <cellStyle name="Normal 3 2 2 2 3 3 4 3" xfId="40235"/>
    <cellStyle name="Normal 3 2 2 2 3 3 4 4" xfId="56464"/>
    <cellStyle name="Normal 3 2 2 2 3 3 5" xfId="14275"/>
    <cellStyle name="Normal 3 2 2 2 3 3 5 2" xfId="49974"/>
    <cellStyle name="Normal 3 2 2 2 3 3 6" xfId="20765"/>
    <cellStyle name="Normal 3 2 2 2 3 3 7" xfId="33745"/>
    <cellStyle name="Normal 3 2 2 2 3 3 8" xfId="46728"/>
    <cellStyle name="Normal 3 2 2 2 3 4" xfId="2398"/>
    <cellStyle name="Normal 3 2 2 2 3 4 2" xfId="5643"/>
    <cellStyle name="Normal 3 2 2 2 3 4 2 2" xfId="12175"/>
    <cellStyle name="Normal 3 2 2 2 3 4 2 2 2" xfId="31648"/>
    <cellStyle name="Normal 3 2 2 2 3 4 2 2 3" xfId="44628"/>
    <cellStyle name="Normal 3 2 2 2 3 4 2 2 4" xfId="60857"/>
    <cellStyle name="Normal 3 2 2 2 3 4 2 3" xfId="18668"/>
    <cellStyle name="Normal 3 2 2 2 3 4 2 4" xfId="25158"/>
    <cellStyle name="Normal 3 2 2 2 3 4 2 5" xfId="38138"/>
    <cellStyle name="Normal 3 2 2 2 3 4 2 6" xfId="54367"/>
    <cellStyle name="Normal 3 2 2 2 3 4 3" xfId="8930"/>
    <cellStyle name="Normal 3 2 2 2 3 4 3 2" xfId="28403"/>
    <cellStyle name="Normal 3 2 2 2 3 4 3 3" xfId="41383"/>
    <cellStyle name="Normal 3 2 2 2 3 4 3 4" xfId="57612"/>
    <cellStyle name="Normal 3 2 2 2 3 4 4" xfId="15423"/>
    <cellStyle name="Normal 3 2 2 2 3 4 4 2" xfId="51122"/>
    <cellStyle name="Normal 3 2 2 2 3 4 5" xfId="21913"/>
    <cellStyle name="Normal 3 2 2 2 3 4 6" xfId="34893"/>
    <cellStyle name="Normal 3 2 2 2 3 4 7" xfId="47876"/>
    <cellStyle name="Normal 3 2 2 2 3 5" xfId="4020"/>
    <cellStyle name="Normal 3 2 2 2 3 5 2" xfId="10552"/>
    <cellStyle name="Normal 3 2 2 2 3 5 2 2" xfId="30025"/>
    <cellStyle name="Normal 3 2 2 2 3 5 2 3" xfId="43005"/>
    <cellStyle name="Normal 3 2 2 2 3 5 2 4" xfId="59234"/>
    <cellStyle name="Normal 3 2 2 2 3 5 3" xfId="17045"/>
    <cellStyle name="Normal 3 2 2 2 3 5 4" xfId="23535"/>
    <cellStyle name="Normal 3 2 2 2 3 5 5" xfId="36515"/>
    <cellStyle name="Normal 3 2 2 2 3 5 6" xfId="52744"/>
    <cellStyle name="Normal 3 2 2 2 3 6" xfId="7307"/>
    <cellStyle name="Normal 3 2 2 2 3 6 2" xfId="26780"/>
    <cellStyle name="Normal 3 2 2 2 3 6 3" xfId="39760"/>
    <cellStyle name="Normal 3 2 2 2 3 6 4" xfId="55989"/>
    <cellStyle name="Normal 3 2 2 2 3 7" xfId="13800"/>
    <cellStyle name="Normal 3 2 2 2 3 7 2" xfId="49499"/>
    <cellStyle name="Normal 3 2 2 2 3 8" xfId="20290"/>
    <cellStyle name="Normal 3 2 2 2 3 9" xfId="33270"/>
    <cellStyle name="Normal 3 2 2 2 4" xfId="500"/>
    <cellStyle name="Normal 3 2 2 2 4 2" xfId="1449"/>
    <cellStyle name="Normal 3 2 2 2 4 2 2" xfId="3116"/>
    <cellStyle name="Normal 3 2 2 2 4 2 2 2" xfId="6361"/>
    <cellStyle name="Normal 3 2 2 2 4 2 2 2 2" xfId="12893"/>
    <cellStyle name="Normal 3 2 2 2 4 2 2 2 2 2" xfId="32366"/>
    <cellStyle name="Normal 3 2 2 2 4 2 2 2 2 3" xfId="45346"/>
    <cellStyle name="Normal 3 2 2 2 4 2 2 2 2 4" xfId="61575"/>
    <cellStyle name="Normal 3 2 2 2 4 2 2 2 3" xfId="19386"/>
    <cellStyle name="Normal 3 2 2 2 4 2 2 2 4" xfId="25876"/>
    <cellStyle name="Normal 3 2 2 2 4 2 2 2 5" xfId="38856"/>
    <cellStyle name="Normal 3 2 2 2 4 2 2 2 6" xfId="55085"/>
    <cellStyle name="Normal 3 2 2 2 4 2 2 3" xfId="9648"/>
    <cellStyle name="Normal 3 2 2 2 4 2 2 3 2" xfId="29121"/>
    <cellStyle name="Normal 3 2 2 2 4 2 2 3 3" xfId="42101"/>
    <cellStyle name="Normal 3 2 2 2 4 2 2 3 4" xfId="58330"/>
    <cellStyle name="Normal 3 2 2 2 4 2 2 4" xfId="16141"/>
    <cellStyle name="Normal 3 2 2 2 4 2 2 4 2" xfId="51840"/>
    <cellStyle name="Normal 3 2 2 2 4 2 2 5" xfId="22631"/>
    <cellStyle name="Normal 3 2 2 2 4 2 2 6" xfId="35611"/>
    <cellStyle name="Normal 3 2 2 2 4 2 2 7" xfId="48594"/>
    <cellStyle name="Normal 3 2 2 2 4 2 3" xfId="4738"/>
    <cellStyle name="Normal 3 2 2 2 4 2 3 2" xfId="11270"/>
    <cellStyle name="Normal 3 2 2 2 4 2 3 2 2" xfId="30743"/>
    <cellStyle name="Normal 3 2 2 2 4 2 3 2 3" xfId="43723"/>
    <cellStyle name="Normal 3 2 2 2 4 2 3 2 4" xfId="59952"/>
    <cellStyle name="Normal 3 2 2 2 4 2 3 3" xfId="17763"/>
    <cellStyle name="Normal 3 2 2 2 4 2 3 4" xfId="24253"/>
    <cellStyle name="Normal 3 2 2 2 4 2 3 5" xfId="37233"/>
    <cellStyle name="Normal 3 2 2 2 4 2 3 6" xfId="53462"/>
    <cellStyle name="Normal 3 2 2 2 4 2 4" xfId="8025"/>
    <cellStyle name="Normal 3 2 2 2 4 2 4 2" xfId="27498"/>
    <cellStyle name="Normal 3 2 2 2 4 2 4 3" xfId="40478"/>
    <cellStyle name="Normal 3 2 2 2 4 2 4 4" xfId="56707"/>
    <cellStyle name="Normal 3 2 2 2 4 2 5" xfId="14518"/>
    <cellStyle name="Normal 3 2 2 2 4 2 5 2" xfId="50217"/>
    <cellStyle name="Normal 3 2 2 2 4 2 6" xfId="21008"/>
    <cellStyle name="Normal 3 2 2 2 4 2 7" xfId="33988"/>
    <cellStyle name="Normal 3 2 2 2 4 2 8" xfId="46971"/>
    <cellStyle name="Normal 3 2 2 2 4 3" xfId="2168"/>
    <cellStyle name="Normal 3 2 2 2 4 3 2" xfId="5413"/>
    <cellStyle name="Normal 3 2 2 2 4 3 2 2" xfId="11945"/>
    <cellStyle name="Normal 3 2 2 2 4 3 2 2 2" xfId="31418"/>
    <cellStyle name="Normal 3 2 2 2 4 3 2 2 3" xfId="44398"/>
    <cellStyle name="Normal 3 2 2 2 4 3 2 2 4" xfId="60627"/>
    <cellStyle name="Normal 3 2 2 2 4 3 2 3" xfId="18438"/>
    <cellStyle name="Normal 3 2 2 2 4 3 2 4" xfId="24928"/>
    <cellStyle name="Normal 3 2 2 2 4 3 2 5" xfId="37908"/>
    <cellStyle name="Normal 3 2 2 2 4 3 2 6" xfId="54137"/>
    <cellStyle name="Normal 3 2 2 2 4 3 3" xfId="8700"/>
    <cellStyle name="Normal 3 2 2 2 4 3 3 2" xfId="28173"/>
    <cellStyle name="Normal 3 2 2 2 4 3 3 3" xfId="41153"/>
    <cellStyle name="Normal 3 2 2 2 4 3 3 4" xfId="57382"/>
    <cellStyle name="Normal 3 2 2 2 4 3 4" xfId="15193"/>
    <cellStyle name="Normal 3 2 2 2 4 3 4 2" xfId="50892"/>
    <cellStyle name="Normal 3 2 2 2 4 3 5" xfId="21683"/>
    <cellStyle name="Normal 3 2 2 2 4 3 6" xfId="34663"/>
    <cellStyle name="Normal 3 2 2 2 4 3 7" xfId="47646"/>
    <cellStyle name="Normal 3 2 2 2 4 4" xfId="3790"/>
    <cellStyle name="Normal 3 2 2 2 4 4 2" xfId="10322"/>
    <cellStyle name="Normal 3 2 2 2 4 4 2 2" xfId="29795"/>
    <cellStyle name="Normal 3 2 2 2 4 4 2 3" xfId="42775"/>
    <cellStyle name="Normal 3 2 2 2 4 4 2 4" xfId="59004"/>
    <cellStyle name="Normal 3 2 2 2 4 4 3" xfId="16815"/>
    <cellStyle name="Normal 3 2 2 2 4 4 4" xfId="23305"/>
    <cellStyle name="Normal 3 2 2 2 4 4 5" xfId="36285"/>
    <cellStyle name="Normal 3 2 2 2 4 4 6" xfId="52514"/>
    <cellStyle name="Normal 3 2 2 2 4 5" xfId="7077"/>
    <cellStyle name="Normal 3 2 2 2 4 5 2" xfId="26550"/>
    <cellStyle name="Normal 3 2 2 2 4 5 3" xfId="39530"/>
    <cellStyle name="Normal 3 2 2 2 4 5 4" xfId="55759"/>
    <cellStyle name="Normal 3 2 2 2 4 6" xfId="13570"/>
    <cellStyle name="Normal 3 2 2 2 4 6 2" xfId="49269"/>
    <cellStyle name="Normal 3 2 2 2 4 7" xfId="20060"/>
    <cellStyle name="Normal 3 2 2 2 4 8" xfId="33040"/>
    <cellStyle name="Normal 3 2 2 2 4 9" xfId="46023"/>
    <cellStyle name="Normal 3 2 2 2 5" xfId="986"/>
    <cellStyle name="Normal 3 2 2 2 5 2" xfId="2653"/>
    <cellStyle name="Normal 3 2 2 2 5 2 2" xfId="5898"/>
    <cellStyle name="Normal 3 2 2 2 5 2 2 2" xfId="12430"/>
    <cellStyle name="Normal 3 2 2 2 5 2 2 2 2" xfId="31903"/>
    <cellStyle name="Normal 3 2 2 2 5 2 2 2 3" xfId="44883"/>
    <cellStyle name="Normal 3 2 2 2 5 2 2 2 4" xfId="61112"/>
    <cellStyle name="Normal 3 2 2 2 5 2 2 3" xfId="18923"/>
    <cellStyle name="Normal 3 2 2 2 5 2 2 4" xfId="25413"/>
    <cellStyle name="Normal 3 2 2 2 5 2 2 5" xfId="38393"/>
    <cellStyle name="Normal 3 2 2 2 5 2 2 6" xfId="54622"/>
    <cellStyle name="Normal 3 2 2 2 5 2 3" xfId="9185"/>
    <cellStyle name="Normal 3 2 2 2 5 2 3 2" xfId="28658"/>
    <cellStyle name="Normal 3 2 2 2 5 2 3 3" xfId="41638"/>
    <cellStyle name="Normal 3 2 2 2 5 2 3 4" xfId="57867"/>
    <cellStyle name="Normal 3 2 2 2 5 2 4" xfId="15678"/>
    <cellStyle name="Normal 3 2 2 2 5 2 4 2" xfId="51377"/>
    <cellStyle name="Normal 3 2 2 2 5 2 5" xfId="22168"/>
    <cellStyle name="Normal 3 2 2 2 5 2 6" xfId="35148"/>
    <cellStyle name="Normal 3 2 2 2 5 2 7" xfId="48131"/>
    <cellStyle name="Normal 3 2 2 2 5 3" xfId="4275"/>
    <cellStyle name="Normal 3 2 2 2 5 3 2" xfId="10807"/>
    <cellStyle name="Normal 3 2 2 2 5 3 2 2" xfId="30280"/>
    <cellStyle name="Normal 3 2 2 2 5 3 2 3" xfId="43260"/>
    <cellStyle name="Normal 3 2 2 2 5 3 2 4" xfId="59489"/>
    <cellStyle name="Normal 3 2 2 2 5 3 3" xfId="17300"/>
    <cellStyle name="Normal 3 2 2 2 5 3 4" xfId="23790"/>
    <cellStyle name="Normal 3 2 2 2 5 3 5" xfId="36770"/>
    <cellStyle name="Normal 3 2 2 2 5 3 6" xfId="52999"/>
    <cellStyle name="Normal 3 2 2 2 5 4" xfId="7562"/>
    <cellStyle name="Normal 3 2 2 2 5 4 2" xfId="27035"/>
    <cellStyle name="Normal 3 2 2 2 5 4 3" xfId="40015"/>
    <cellStyle name="Normal 3 2 2 2 5 4 4" xfId="56244"/>
    <cellStyle name="Normal 3 2 2 2 5 5" xfId="14055"/>
    <cellStyle name="Normal 3 2 2 2 5 5 2" xfId="49754"/>
    <cellStyle name="Normal 3 2 2 2 5 6" xfId="20545"/>
    <cellStyle name="Normal 3 2 2 2 5 7" xfId="33525"/>
    <cellStyle name="Normal 3 2 2 2 5 8" xfId="46508"/>
    <cellStyle name="Normal 3 2 2 2 6" xfId="1939"/>
    <cellStyle name="Normal 3 2 2 2 6 2" xfId="5184"/>
    <cellStyle name="Normal 3 2 2 2 6 2 2" xfId="11716"/>
    <cellStyle name="Normal 3 2 2 2 6 2 2 2" xfId="31189"/>
    <cellStyle name="Normal 3 2 2 2 6 2 2 3" xfId="44169"/>
    <cellStyle name="Normal 3 2 2 2 6 2 2 4" xfId="60398"/>
    <cellStyle name="Normal 3 2 2 2 6 2 3" xfId="18209"/>
    <cellStyle name="Normal 3 2 2 2 6 2 4" xfId="24699"/>
    <cellStyle name="Normal 3 2 2 2 6 2 5" xfId="37679"/>
    <cellStyle name="Normal 3 2 2 2 6 2 6" xfId="53908"/>
    <cellStyle name="Normal 3 2 2 2 6 3" xfId="8471"/>
    <cellStyle name="Normal 3 2 2 2 6 3 2" xfId="27944"/>
    <cellStyle name="Normal 3 2 2 2 6 3 3" xfId="40924"/>
    <cellStyle name="Normal 3 2 2 2 6 3 4" xfId="57153"/>
    <cellStyle name="Normal 3 2 2 2 6 4" xfId="14964"/>
    <cellStyle name="Normal 3 2 2 2 6 4 2" xfId="50663"/>
    <cellStyle name="Normal 3 2 2 2 6 5" xfId="21454"/>
    <cellStyle name="Normal 3 2 2 2 6 6" xfId="34434"/>
    <cellStyle name="Normal 3 2 2 2 6 7" xfId="47417"/>
    <cellStyle name="Normal 3 2 2 2 7" xfId="3560"/>
    <cellStyle name="Normal 3 2 2 2 7 2" xfId="10092"/>
    <cellStyle name="Normal 3 2 2 2 7 2 2" xfId="29565"/>
    <cellStyle name="Normal 3 2 2 2 7 2 3" xfId="42545"/>
    <cellStyle name="Normal 3 2 2 2 7 2 4" xfId="58774"/>
    <cellStyle name="Normal 3 2 2 2 7 3" xfId="16585"/>
    <cellStyle name="Normal 3 2 2 2 7 4" xfId="23075"/>
    <cellStyle name="Normal 3 2 2 2 7 5" xfId="36055"/>
    <cellStyle name="Normal 3 2 2 2 7 6" xfId="52284"/>
    <cellStyle name="Normal 3 2 2 2 8" xfId="6847"/>
    <cellStyle name="Normal 3 2 2 2 8 2" xfId="26320"/>
    <cellStyle name="Normal 3 2 2 2 8 3" xfId="39300"/>
    <cellStyle name="Normal 3 2 2 2 8 4" xfId="55529"/>
    <cellStyle name="Normal 3 2 2 2 9" xfId="13340"/>
    <cellStyle name="Normal 3 2 2 2 9 2" xfId="49039"/>
    <cellStyle name="Normal 3 2 2 3" xfId="222"/>
    <cellStyle name="Normal 3 2 2 3 10" xfId="32766"/>
    <cellStyle name="Normal 3 2 2 3 11" xfId="45749"/>
    <cellStyle name="Normal 3 2 2 3 2" xfId="686"/>
    <cellStyle name="Normal 3 2 2 3 2 10" xfId="46209"/>
    <cellStyle name="Normal 3 2 2 3 2 2" xfId="1625"/>
    <cellStyle name="Normal 3 2 2 3 2 2 2" xfId="3292"/>
    <cellStyle name="Normal 3 2 2 3 2 2 2 2" xfId="6537"/>
    <cellStyle name="Normal 3 2 2 3 2 2 2 2 2" xfId="13069"/>
    <cellStyle name="Normal 3 2 2 3 2 2 2 2 2 2" xfId="32542"/>
    <cellStyle name="Normal 3 2 2 3 2 2 2 2 2 3" xfId="45522"/>
    <cellStyle name="Normal 3 2 2 3 2 2 2 2 2 4" xfId="61751"/>
    <cellStyle name="Normal 3 2 2 3 2 2 2 2 3" xfId="19562"/>
    <cellStyle name="Normal 3 2 2 3 2 2 2 2 4" xfId="26052"/>
    <cellStyle name="Normal 3 2 2 3 2 2 2 2 5" xfId="39032"/>
    <cellStyle name="Normal 3 2 2 3 2 2 2 2 6" xfId="55261"/>
    <cellStyle name="Normal 3 2 2 3 2 2 2 3" xfId="9824"/>
    <cellStyle name="Normal 3 2 2 3 2 2 2 3 2" xfId="29297"/>
    <cellStyle name="Normal 3 2 2 3 2 2 2 3 3" xfId="42277"/>
    <cellStyle name="Normal 3 2 2 3 2 2 2 3 4" xfId="58506"/>
    <cellStyle name="Normal 3 2 2 3 2 2 2 4" xfId="16317"/>
    <cellStyle name="Normal 3 2 2 3 2 2 2 4 2" xfId="52016"/>
    <cellStyle name="Normal 3 2 2 3 2 2 2 5" xfId="22807"/>
    <cellStyle name="Normal 3 2 2 3 2 2 2 6" xfId="35787"/>
    <cellStyle name="Normal 3 2 2 3 2 2 2 7" xfId="48770"/>
    <cellStyle name="Normal 3 2 2 3 2 2 3" xfId="4914"/>
    <cellStyle name="Normal 3 2 2 3 2 2 3 2" xfId="11446"/>
    <cellStyle name="Normal 3 2 2 3 2 2 3 2 2" xfId="30919"/>
    <cellStyle name="Normal 3 2 2 3 2 2 3 2 3" xfId="43899"/>
    <cellStyle name="Normal 3 2 2 3 2 2 3 2 4" xfId="60128"/>
    <cellStyle name="Normal 3 2 2 3 2 2 3 3" xfId="17939"/>
    <cellStyle name="Normal 3 2 2 3 2 2 3 4" xfId="24429"/>
    <cellStyle name="Normal 3 2 2 3 2 2 3 5" xfId="37409"/>
    <cellStyle name="Normal 3 2 2 3 2 2 3 6" xfId="53638"/>
    <cellStyle name="Normal 3 2 2 3 2 2 4" xfId="8201"/>
    <cellStyle name="Normal 3 2 2 3 2 2 4 2" xfId="27674"/>
    <cellStyle name="Normal 3 2 2 3 2 2 4 3" xfId="40654"/>
    <cellStyle name="Normal 3 2 2 3 2 2 4 4" xfId="56883"/>
    <cellStyle name="Normal 3 2 2 3 2 2 5" xfId="14694"/>
    <cellStyle name="Normal 3 2 2 3 2 2 5 2" xfId="50393"/>
    <cellStyle name="Normal 3 2 2 3 2 2 6" xfId="21184"/>
    <cellStyle name="Normal 3 2 2 3 2 2 7" xfId="34164"/>
    <cellStyle name="Normal 3 2 2 3 2 2 8" xfId="47147"/>
    <cellStyle name="Normal 3 2 2 3 2 3" xfId="1162"/>
    <cellStyle name="Normal 3 2 2 3 2 3 2" xfId="2829"/>
    <cellStyle name="Normal 3 2 2 3 2 3 2 2" xfId="6074"/>
    <cellStyle name="Normal 3 2 2 3 2 3 2 2 2" xfId="12606"/>
    <cellStyle name="Normal 3 2 2 3 2 3 2 2 2 2" xfId="32079"/>
    <cellStyle name="Normal 3 2 2 3 2 3 2 2 2 3" xfId="45059"/>
    <cellStyle name="Normal 3 2 2 3 2 3 2 2 2 4" xfId="61288"/>
    <cellStyle name="Normal 3 2 2 3 2 3 2 2 3" xfId="19099"/>
    <cellStyle name="Normal 3 2 2 3 2 3 2 2 4" xfId="25589"/>
    <cellStyle name="Normal 3 2 2 3 2 3 2 2 5" xfId="38569"/>
    <cellStyle name="Normal 3 2 2 3 2 3 2 2 6" xfId="54798"/>
    <cellStyle name="Normal 3 2 2 3 2 3 2 3" xfId="9361"/>
    <cellStyle name="Normal 3 2 2 3 2 3 2 3 2" xfId="28834"/>
    <cellStyle name="Normal 3 2 2 3 2 3 2 3 3" xfId="41814"/>
    <cellStyle name="Normal 3 2 2 3 2 3 2 3 4" xfId="58043"/>
    <cellStyle name="Normal 3 2 2 3 2 3 2 4" xfId="15854"/>
    <cellStyle name="Normal 3 2 2 3 2 3 2 4 2" xfId="51553"/>
    <cellStyle name="Normal 3 2 2 3 2 3 2 5" xfId="22344"/>
    <cellStyle name="Normal 3 2 2 3 2 3 2 6" xfId="35324"/>
    <cellStyle name="Normal 3 2 2 3 2 3 2 7" xfId="48307"/>
    <cellStyle name="Normal 3 2 2 3 2 3 3" xfId="4451"/>
    <cellStyle name="Normal 3 2 2 3 2 3 3 2" xfId="10983"/>
    <cellStyle name="Normal 3 2 2 3 2 3 3 2 2" xfId="30456"/>
    <cellStyle name="Normal 3 2 2 3 2 3 3 2 3" xfId="43436"/>
    <cellStyle name="Normal 3 2 2 3 2 3 3 2 4" xfId="59665"/>
    <cellStyle name="Normal 3 2 2 3 2 3 3 3" xfId="17476"/>
    <cellStyle name="Normal 3 2 2 3 2 3 3 4" xfId="23966"/>
    <cellStyle name="Normal 3 2 2 3 2 3 3 5" xfId="36946"/>
    <cellStyle name="Normal 3 2 2 3 2 3 3 6" xfId="53175"/>
    <cellStyle name="Normal 3 2 2 3 2 3 4" xfId="7738"/>
    <cellStyle name="Normal 3 2 2 3 2 3 4 2" xfId="27211"/>
    <cellStyle name="Normal 3 2 2 3 2 3 4 3" xfId="40191"/>
    <cellStyle name="Normal 3 2 2 3 2 3 4 4" xfId="56420"/>
    <cellStyle name="Normal 3 2 2 3 2 3 5" xfId="14231"/>
    <cellStyle name="Normal 3 2 2 3 2 3 5 2" xfId="49930"/>
    <cellStyle name="Normal 3 2 2 3 2 3 6" xfId="20721"/>
    <cellStyle name="Normal 3 2 2 3 2 3 7" xfId="33701"/>
    <cellStyle name="Normal 3 2 2 3 2 3 8" xfId="46684"/>
    <cellStyle name="Normal 3 2 2 3 2 4" xfId="2354"/>
    <cellStyle name="Normal 3 2 2 3 2 4 2" xfId="5599"/>
    <cellStyle name="Normal 3 2 2 3 2 4 2 2" xfId="12131"/>
    <cellStyle name="Normal 3 2 2 3 2 4 2 2 2" xfId="31604"/>
    <cellStyle name="Normal 3 2 2 3 2 4 2 2 3" xfId="44584"/>
    <cellStyle name="Normal 3 2 2 3 2 4 2 2 4" xfId="60813"/>
    <cellStyle name="Normal 3 2 2 3 2 4 2 3" xfId="18624"/>
    <cellStyle name="Normal 3 2 2 3 2 4 2 4" xfId="25114"/>
    <cellStyle name="Normal 3 2 2 3 2 4 2 5" xfId="38094"/>
    <cellStyle name="Normal 3 2 2 3 2 4 2 6" xfId="54323"/>
    <cellStyle name="Normal 3 2 2 3 2 4 3" xfId="8886"/>
    <cellStyle name="Normal 3 2 2 3 2 4 3 2" xfId="28359"/>
    <cellStyle name="Normal 3 2 2 3 2 4 3 3" xfId="41339"/>
    <cellStyle name="Normal 3 2 2 3 2 4 3 4" xfId="57568"/>
    <cellStyle name="Normal 3 2 2 3 2 4 4" xfId="15379"/>
    <cellStyle name="Normal 3 2 2 3 2 4 4 2" xfId="51078"/>
    <cellStyle name="Normal 3 2 2 3 2 4 5" xfId="21869"/>
    <cellStyle name="Normal 3 2 2 3 2 4 6" xfId="34849"/>
    <cellStyle name="Normal 3 2 2 3 2 4 7" xfId="47832"/>
    <cellStyle name="Normal 3 2 2 3 2 5" xfId="3976"/>
    <cellStyle name="Normal 3 2 2 3 2 5 2" xfId="10508"/>
    <cellStyle name="Normal 3 2 2 3 2 5 2 2" xfId="29981"/>
    <cellStyle name="Normal 3 2 2 3 2 5 2 3" xfId="42961"/>
    <cellStyle name="Normal 3 2 2 3 2 5 2 4" xfId="59190"/>
    <cellStyle name="Normal 3 2 2 3 2 5 3" xfId="17001"/>
    <cellStyle name="Normal 3 2 2 3 2 5 4" xfId="23491"/>
    <cellStyle name="Normal 3 2 2 3 2 5 5" xfId="36471"/>
    <cellStyle name="Normal 3 2 2 3 2 5 6" xfId="52700"/>
    <cellStyle name="Normal 3 2 2 3 2 6" xfId="7263"/>
    <cellStyle name="Normal 3 2 2 3 2 6 2" xfId="26736"/>
    <cellStyle name="Normal 3 2 2 3 2 6 3" xfId="39716"/>
    <cellStyle name="Normal 3 2 2 3 2 6 4" xfId="55945"/>
    <cellStyle name="Normal 3 2 2 3 2 7" xfId="13756"/>
    <cellStyle name="Normal 3 2 2 3 2 7 2" xfId="49455"/>
    <cellStyle name="Normal 3 2 2 3 2 8" xfId="20246"/>
    <cellStyle name="Normal 3 2 2 3 2 9" xfId="33226"/>
    <cellStyle name="Normal 3 2 2 3 3" xfId="456"/>
    <cellStyle name="Normal 3 2 2 3 3 2" xfId="1405"/>
    <cellStyle name="Normal 3 2 2 3 3 2 2" xfId="3072"/>
    <cellStyle name="Normal 3 2 2 3 3 2 2 2" xfId="6317"/>
    <cellStyle name="Normal 3 2 2 3 3 2 2 2 2" xfId="12849"/>
    <cellStyle name="Normal 3 2 2 3 3 2 2 2 2 2" xfId="32322"/>
    <cellStyle name="Normal 3 2 2 3 3 2 2 2 2 3" xfId="45302"/>
    <cellStyle name="Normal 3 2 2 3 3 2 2 2 2 4" xfId="61531"/>
    <cellStyle name="Normal 3 2 2 3 3 2 2 2 3" xfId="19342"/>
    <cellStyle name="Normal 3 2 2 3 3 2 2 2 4" xfId="25832"/>
    <cellStyle name="Normal 3 2 2 3 3 2 2 2 5" xfId="38812"/>
    <cellStyle name="Normal 3 2 2 3 3 2 2 2 6" xfId="55041"/>
    <cellStyle name="Normal 3 2 2 3 3 2 2 3" xfId="9604"/>
    <cellStyle name="Normal 3 2 2 3 3 2 2 3 2" xfId="29077"/>
    <cellStyle name="Normal 3 2 2 3 3 2 2 3 3" xfId="42057"/>
    <cellStyle name="Normal 3 2 2 3 3 2 2 3 4" xfId="58286"/>
    <cellStyle name="Normal 3 2 2 3 3 2 2 4" xfId="16097"/>
    <cellStyle name="Normal 3 2 2 3 3 2 2 4 2" xfId="51796"/>
    <cellStyle name="Normal 3 2 2 3 3 2 2 5" xfId="22587"/>
    <cellStyle name="Normal 3 2 2 3 3 2 2 6" xfId="35567"/>
    <cellStyle name="Normal 3 2 2 3 3 2 2 7" xfId="48550"/>
    <cellStyle name="Normal 3 2 2 3 3 2 3" xfId="4694"/>
    <cellStyle name="Normal 3 2 2 3 3 2 3 2" xfId="11226"/>
    <cellStyle name="Normal 3 2 2 3 3 2 3 2 2" xfId="30699"/>
    <cellStyle name="Normal 3 2 2 3 3 2 3 2 3" xfId="43679"/>
    <cellStyle name="Normal 3 2 2 3 3 2 3 2 4" xfId="59908"/>
    <cellStyle name="Normal 3 2 2 3 3 2 3 3" xfId="17719"/>
    <cellStyle name="Normal 3 2 2 3 3 2 3 4" xfId="24209"/>
    <cellStyle name="Normal 3 2 2 3 3 2 3 5" xfId="37189"/>
    <cellStyle name="Normal 3 2 2 3 3 2 3 6" xfId="53418"/>
    <cellStyle name="Normal 3 2 2 3 3 2 4" xfId="7981"/>
    <cellStyle name="Normal 3 2 2 3 3 2 4 2" xfId="27454"/>
    <cellStyle name="Normal 3 2 2 3 3 2 4 3" xfId="40434"/>
    <cellStyle name="Normal 3 2 2 3 3 2 4 4" xfId="56663"/>
    <cellStyle name="Normal 3 2 2 3 3 2 5" xfId="14474"/>
    <cellStyle name="Normal 3 2 2 3 3 2 5 2" xfId="50173"/>
    <cellStyle name="Normal 3 2 2 3 3 2 6" xfId="20964"/>
    <cellStyle name="Normal 3 2 2 3 3 2 7" xfId="33944"/>
    <cellStyle name="Normal 3 2 2 3 3 2 8" xfId="46927"/>
    <cellStyle name="Normal 3 2 2 3 3 3" xfId="2124"/>
    <cellStyle name="Normal 3 2 2 3 3 3 2" xfId="5369"/>
    <cellStyle name="Normal 3 2 2 3 3 3 2 2" xfId="11901"/>
    <cellStyle name="Normal 3 2 2 3 3 3 2 2 2" xfId="31374"/>
    <cellStyle name="Normal 3 2 2 3 3 3 2 2 3" xfId="44354"/>
    <cellStyle name="Normal 3 2 2 3 3 3 2 2 4" xfId="60583"/>
    <cellStyle name="Normal 3 2 2 3 3 3 2 3" xfId="18394"/>
    <cellStyle name="Normal 3 2 2 3 3 3 2 4" xfId="24884"/>
    <cellStyle name="Normal 3 2 2 3 3 3 2 5" xfId="37864"/>
    <cellStyle name="Normal 3 2 2 3 3 3 2 6" xfId="54093"/>
    <cellStyle name="Normal 3 2 2 3 3 3 3" xfId="8656"/>
    <cellStyle name="Normal 3 2 2 3 3 3 3 2" xfId="28129"/>
    <cellStyle name="Normal 3 2 2 3 3 3 3 3" xfId="41109"/>
    <cellStyle name="Normal 3 2 2 3 3 3 3 4" xfId="57338"/>
    <cellStyle name="Normal 3 2 2 3 3 3 4" xfId="15149"/>
    <cellStyle name="Normal 3 2 2 3 3 3 4 2" xfId="50848"/>
    <cellStyle name="Normal 3 2 2 3 3 3 5" xfId="21639"/>
    <cellStyle name="Normal 3 2 2 3 3 3 6" xfId="34619"/>
    <cellStyle name="Normal 3 2 2 3 3 3 7" xfId="47602"/>
    <cellStyle name="Normal 3 2 2 3 3 4" xfId="3746"/>
    <cellStyle name="Normal 3 2 2 3 3 4 2" xfId="10278"/>
    <cellStyle name="Normal 3 2 2 3 3 4 2 2" xfId="29751"/>
    <cellStyle name="Normal 3 2 2 3 3 4 2 3" xfId="42731"/>
    <cellStyle name="Normal 3 2 2 3 3 4 2 4" xfId="58960"/>
    <cellStyle name="Normal 3 2 2 3 3 4 3" xfId="16771"/>
    <cellStyle name="Normal 3 2 2 3 3 4 4" xfId="23261"/>
    <cellStyle name="Normal 3 2 2 3 3 4 5" xfId="36241"/>
    <cellStyle name="Normal 3 2 2 3 3 4 6" xfId="52470"/>
    <cellStyle name="Normal 3 2 2 3 3 5" xfId="7033"/>
    <cellStyle name="Normal 3 2 2 3 3 5 2" xfId="26506"/>
    <cellStyle name="Normal 3 2 2 3 3 5 3" xfId="39486"/>
    <cellStyle name="Normal 3 2 2 3 3 5 4" xfId="55715"/>
    <cellStyle name="Normal 3 2 2 3 3 6" xfId="13526"/>
    <cellStyle name="Normal 3 2 2 3 3 6 2" xfId="49225"/>
    <cellStyle name="Normal 3 2 2 3 3 7" xfId="20016"/>
    <cellStyle name="Normal 3 2 2 3 3 8" xfId="32996"/>
    <cellStyle name="Normal 3 2 2 3 3 9" xfId="45979"/>
    <cellStyle name="Normal 3 2 2 3 4" xfId="942"/>
    <cellStyle name="Normal 3 2 2 3 4 2" xfId="2609"/>
    <cellStyle name="Normal 3 2 2 3 4 2 2" xfId="5854"/>
    <cellStyle name="Normal 3 2 2 3 4 2 2 2" xfId="12386"/>
    <cellStyle name="Normal 3 2 2 3 4 2 2 2 2" xfId="31859"/>
    <cellStyle name="Normal 3 2 2 3 4 2 2 2 3" xfId="44839"/>
    <cellStyle name="Normal 3 2 2 3 4 2 2 2 4" xfId="61068"/>
    <cellStyle name="Normal 3 2 2 3 4 2 2 3" xfId="18879"/>
    <cellStyle name="Normal 3 2 2 3 4 2 2 4" xfId="25369"/>
    <cellStyle name="Normal 3 2 2 3 4 2 2 5" xfId="38349"/>
    <cellStyle name="Normal 3 2 2 3 4 2 2 6" xfId="54578"/>
    <cellStyle name="Normal 3 2 2 3 4 2 3" xfId="9141"/>
    <cellStyle name="Normal 3 2 2 3 4 2 3 2" xfId="28614"/>
    <cellStyle name="Normal 3 2 2 3 4 2 3 3" xfId="41594"/>
    <cellStyle name="Normal 3 2 2 3 4 2 3 4" xfId="57823"/>
    <cellStyle name="Normal 3 2 2 3 4 2 4" xfId="15634"/>
    <cellStyle name="Normal 3 2 2 3 4 2 4 2" xfId="51333"/>
    <cellStyle name="Normal 3 2 2 3 4 2 5" xfId="22124"/>
    <cellStyle name="Normal 3 2 2 3 4 2 6" xfId="35104"/>
    <cellStyle name="Normal 3 2 2 3 4 2 7" xfId="48087"/>
    <cellStyle name="Normal 3 2 2 3 4 3" xfId="4231"/>
    <cellStyle name="Normal 3 2 2 3 4 3 2" xfId="10763"/>
    <cellStyle name="Normal 3 2 2 3 4 3 2 2" xfId="30236"/>
    <cellStyle name="Normal 3 2 2 3 4 3 2 3" xfId="43216"/>
    <cellStyle name="Normal 3 2 2 3 4 3 2 4" xfId="59445"/>
    <cellStyle name="Normal 3 2 2 3 4 3 3" xfId="17256"/>
    <cellStyle name="Normal 3 2 2 3 4 3 4" xfId="23746"/>
    <cellStyle name="Normal 3 2 2 3 4 3 5" xfId="36726"/>
    <cellStyle name="Normal 3 2 2 3 4 3 6" xfId="52955"/>
    <cellStyle name="Normal 3 2 2 3 4 4" xfId="7518"/>
    <cellStyle name="Normal 3 2 2 3 4 4 2" xfId="26991"/>
    <cellStyle name="Normal 3 2 2 3 4 4 3" xfId="39971"/>
    <cellStyle name="Normal 3 2 2 3 4 4 4" xfId="56200"/>
    <cellStyle name="Normal 3 2 2 3 4 5" xfId="14011"/>
    <cellStyle name="Normal 3 2 2 3 4 5 2" xfId="49710"/>
    <cellStyle name="Normal 3 2 2 3 4 6" xfId="20501"/>
    <cellStyle name="Normal 3 2 2 3 4 7" xfId="33481"/>
    <cellStyle name="Normal 3 2 2 3 4 8" xfId="46464"/>
    <cellStyle name="Normal 3 2 2 3 5" xfId="1895"/>
    <cellStyle name="Normal 3 2 2 3 5 2" xfId="5140"/>
    <cellStyle name="Normal 3 2 2 3 5 2 2" xfId="11672"/>
    <cellStyle name="Normal 3 2 2 3 5 2 2 2" xfId="31145"/>
    <cellStyle name="Normal 3 2 2 3 5 2 2 3" xfId="44125"/>
    <cellStyle name="Normal 3 2 2 3 5 2 2 4" xfId="60354"/>
    <cellStyle name="Normal 3 2 2 3 5 2 3" xfId="18165"/>
    <cellStyle name="Normal 3 2 2 3 5 2 4" xfId="24655"/>
    <cellStyle name="Normal 3 2 2 3 5 2 5" xfId="37635"/>
    <cellStyle name="Normal 3 2 2 3 5 2 6" xfId="53864"/>
    <cellStyle name="Normal 3 2 2 3 5 3" xfId="8427"/>
    <cellStyle name="Normal 3 2 2 3 5 3 2" xfId="27900"/>
    <cellStyle name="Normal 3 2 2 3 5 3 3" xfId="40880"/>
    <cellStyle name="Normal 3 2 2 3 5 3 4" xfId="57109"/>
    <cellStyle name="Normal 3 2 2 3 5 4" xfId="14920"/>
    <cellStyle name="Normal 3 2 2 3 5 4 2" xfId="50619"/>
    <cellStyle name="Normal 3 2 2 3 5 5" xfId="21410"/>
    <cellStyle name="Normal 3 2 2 3 5 6" xfId="34390"/>
    <cellStyle name="Normal 3 2 2 3 5 7" xfId="47373"/>
    <cellStyle name="Normal 3 2 2 3 6" xfId="3516"/>
    <cellStyle name="Normal 3 2 2 3 6 2" xfId="10048"/>
    <cellStyle name="Normal 3 2 2 3 6 2 2" xfId="29521"/>
    <cellStyle name="Normal 3 2 2 3 6 2 3" xfId="42501"/>
    <cellStyle name="Normal 3 2 2 3 6 2 4" xfId="58730"/>
    <cellStyle name="Normal 3 2 2 3 6 3" xfId="16541"/>
    <cellStyle name="Normal 3 2 2 3 6 4" xfId="23031"/>
    <cellStyle name="Normal 3 2 2 3 6 5" xfId="36011"/>
    <cellStyle name="Normal 3 2 2 3 6 6" xfId="52240"/>
    <cellStyle name="Normal 3 2 2 3 7" xfId="6803"/>
    <cellStyle name="Normal 3 2 2 3 7 2" xfId="26276"/>
    <cellStyle name="Normal 3 2 2 3 7 3" xfId="39256"/>
    <cellStyle name="Normal 3 2 2 3 7 4" xfId="55485"/>
    <cellStyle name="Normal 3 2 2 3 8" xfId="13296"/>
    <cellStyle name="Normal 3 2 2 3 8 2" xfId="48995"/>
    <cellStyle name="Normal 3 2 2 3 9" xfId="19786"/>
    <cellStyle name="Normal 3 2 2 4" xfId="310"/>
    <cellStyle name="Normal 3 2 2 4 10" xfId="32854"/>
    <cellStyle name="Normal 3 2 2 4 11" xfId="45837"/>
    <cellStyle name="Normal 3 2 2 4 2" xfId="774"/>
    <cellStyle name="Normal 3 2 2 4 2 10" xfId="46297"/>
    <cellStyle name="Normal 3 2 2 4 2 2" xfId="1713"/>
    <cellStyle name="Normal 3 2 2 4 2 2 2" xfId="3380"/>
    <cellStyle name="Normal 3 2 2 4 2 2 2 2" xfId="6625"/>
    <cellStyle name="Normal 3 2 2 4 2 2 2 2 2" xfId="13157"/>
    <cellStyle name="Normal 3 2 2 4 2 2 2 2 2 2" xfId="32630"/>
    <cellStyle name="Normal 3 2 2 4 2 2 2 2 2 3" xfId="45610"/>
    <cellStyle name="Normal 3 2 2 4 2 2 2 2 2 4" xfId="61839"/>
    <cellStyle name="Normal 3 2 2 4 2 2 2 2 3" xfId="19650"/>
    <cellStyle name="Normal 3 2 2 4 2 2 2 2 4" xfId="26140"/>
    <cellStyle name="Normal 3 2 2 4 2 2 2 2 5" xfId="39120"/>
    <cellStyle name="Normal 3 2 2 4 2 2 2 2 6" xfId="55349"/>
    <cellStyle name="Normal 3 2 2 4 2 2 2 3" xfId="9912"/>
    <cellStyle name="Normal 3 2 2 4 2 2 2 3 2" xfId="29385"/>
    <cellStyle name="Normal 3 2 2 4 2 2 2 3 3" xfId="42365"/>
    <cellStyle name="Normal 3 2 2 4 2 2 2 3 4" xfId="58594"/>
    <cellStyle name="Normal 3 2 2 4 2 2 2 4" xfId="16405"/>
    <cellStyle name="Normal 3 2 2 4 2 2 2 4 2" xfId="52104"/>
    <cellStyle name="Normal 3 2 2 4 2 2 2 5" xfId="22895"/>
    <cellStyle name="Normal 3 2 2 4 2 2 2 6" xfId="35875"/>
    <cellStyle name="Normal 3 2 2 4 2 2 2 7" xfId="48858"/>
    <cellStyle name="Normal 3 2 2 4 2 2 3" xfId="5002"/>
    <cellStyle name="Normal 3 2 2 4 2 2 3 2" xfId="11534"/>
    <cellStyle name="Normal 3 2 2 4 2 2 3 2 2" xfId="31007"/>
    <cellStyle name="Normal 3 2 2 4 2 2 3 2 3" xfId="43987"/>
    <cellStyle name="Normal 3 2 2 4 2 2 3 2 4" xfId="60216"/>
    <cellStyle name="Normal 3 2 2 4 2 2 3 3" xfId="18027"/>
    <cellStyle name="Normal 3 2 2 4 2 2 3 4" xfId="24517"/>
    <cellStyle name="Normal 3 2 2 4 2 2 3 5" xfId="37497"/>
    <cellStyle name="Normal 3 2 2 4 2 2 3 6" xfId="53726"/>
    <cellStyle name="Normal 3 2 2 4 2 2 4" xfId="8289"/>
    <cellStyle name="Normal 3 2 2 4 2 2 4 2" xfId="27762"/>
    <cellStyle name="Normal 3 2 2 4 2 2 4 3" xfId="40742"/>
    <cellStyle name="Normal 3 2 2 4 2 2 4 4" xfId="56971"/>
    <cellStyle name="Normal 3 2 2 4 2 2 5" xfId="14782"/>
    <cellStyle name="Normal 3 2 2 4 2 2 5 2" xfId="50481"/>
    <cellStyle name="Normal 3 2 2 4 2 2 6" xfId="21272"/>
    <cellStyle name="Normal 3 2 2 4 2 2 7" xfId="34252"/>
    <cellStyle name="Normal 3 2 2 4 2 2 8" xfId="47235"/>
    <cellStyle name="Normal 3 2 2 4 2 3" xfId="1250"/>
    <cellStyle name="Normal 3 2 2 4 2 3 2" xfId="2917"/>
    <cellStyle name="Normal 3 2 2 4 2 3 2 2" xfId="6162"/>
    <cellStyle name="Normal 3 2 2 4 2 3 2 2 2" xfId="12694"/>
    <cellStyle name="Normal 3 2 2 4 2 3 2 2 2 2" xfId="32167"/>
    <cellStyle name="Normal 3 2 2 4 2 3 2 2 2 3" xfId="45147"/>
    <cellStyle name="Normal 3 2 2 4 2 3 2 2 2 4" xfId="61376"/>
    <cellStyle name="Normal 3 2 2 4 2 3 2 2 3" xfId="19187"/>
    <cellStyle name="Normal 3 2 2 4 2 3 2 2 4" xfId="25677"/>
    <cellStyle name="Normal 3 2 2 4 2 3 2 2 5" xfId="38657"/>
    <cellStyle name="Normal 3 2 2 4 2 3 2 2 6" xfId="54886"/>
    <cellStyle name="Normal 3 2 2 4 2 3 2 3" xfId="9449"/>
    <cellStyle name="Normal 3 2 2 4 2 3 2 3 2" xfId="28922"/>
    <cellStyle name="Normal 3 2 2 4 2 3 2 3 3" xfId="41902"/>
    <cellStyle name="Normal 3 2 2 4 2 3 2 3 4" xfId="58131"/>
    <cellStyle name="Normal 3 2 2 4 2 3 2 4" xfId="15942"/>
    <cellStyle name="Normal 3 2 2 4 2 3 2 4 2" xfId="51641"/>
    <cellStyle name="Normal 3 2 2 4 2 3 2 5" xfId="22432"/>
    <cellStyle name="Normal 3 2 2 4 2 3 2 6" xfId="35412"/>
    <cellStyle name="Normal 3 2 2 4 2 3 2 7" xfId="48395"/>
    <cellStyle name="Normal 3 2 2 4 2 3 3" xfId="4539"/>
    <cellStyle name="Normal 3 2 2 4 2 3 3 2" xfId="11071"/>
    <cellStyle name="Normal 3 2 2 4 2 3 3 2 2" xfId="30544"/>
    <cellStyle name="Normal 3 2 2 4 2 3 3 2 3" xfId="43524"/>
    <cellStyle name="Normal 3 2 2 4 2 3 3 2 4" xfId="59753"/>
    <cellStyle name="Normal 3 2 2 4 2 3 3 3" xfId="17564"/>
    <cellStyle name="Normal 3 2 2 4 2 3 3 4" xfId="24054"/>
    <cellStyle name="Normal 3 2 2 4 2 3 3 5" xfId="37034"/>
    <cellStyle name="Normal 3 2 2 4 2 3 3 6" xfId="53263"/>
    <cellStyle name="Normal 3 2 2 4 2 3 4" xfId="7826"/>
    <cellStyle name="Normal 3 2 2 4 2 3 4 2" xfId="27299"/>
    <cellStyle name="Normal 3 2 2 4 2 3 4 3" xfId="40279"/>
    <cellStyle name="Normal 3 2 2 4 2 3 4 4" xfId="56508"/>
    <cellStyle name="Normal 3 2 2 4 2 3 5" xfId="14319"/>
    <cellStyle name="Normal 3 2 2 4 2 3 5 2" xfId="50018"/>
    <cellStyle name="Normal 3 2 2 4 2 3 6" xfId="20809"/>
    <cellStyle name="Normal 3 2 2 4 2 3 7" xfId="33789"/>
    <cellStyle name="Normal 3 2 2 4 2 3 8" xfId="46772"/>
    <cellStyle name="Normal 3 2 2 4 2 4" xfId="2442"/>
    <cellStyle name="Normal 3 2 2 4 2 4 2" xfId="5687"/>
    <cellStyle name="Normal 3 2 2 4 2 4 2 2" xfId="12219"/>
    <cellStyle name="Normal 3 2 2 4 2 4 2 2 2" xfId="31692"/>
    <cellStyle name="Normal 3 2 2 4 2 4 2 2 3" xfId="44672"/>
    <cellStyle name="Normal 3 2 2 4 2 4 2 2 4" xfId="60901"/>
    <cellStyle name="Normal 3 2 2 4 2 4 2 3" xfId="18712"/>
    <cellStyle name="Normal 3 2 2 4 2 4 2 4" xfId="25202"/>
    <cellStyle name="Normal 3 2 2 4 2 4 2 5" xfId="38182"/>
    <cellStyle name="Normal 3 2 2 4 2 4 2 6" xfId="54411"/>
    <cellStyle name="Normal 3 2 2 4 2 4 3" xfId="8974"/>
    <cellStyle name="Normal 3 2 2 4 2 4 3 2" xfId="28447"/>
    <cellStyle name="Normal 3 2 2 4 2 4 3 3" xfId="41427"/>
    <cellStyle name="Normal 3 2 2 4 2 4 3 4" xfId="57656"/>
    <cellStyle name="Normal 3 2 2 4 2 4 4" xfId="15467"/>
    <cellStyle name="Normal 3 2 2 4 2 4 4 2" xfId="51166"/>
    <cellStyle name="Normal 3 2 2 4 2 4 5" xfId="21957"/>
    <cellStyle name="Normal 3 2 2 4 2 4 6" xfId="34937"/>
    <cellStyle name="Normal 3 2 2 4 2 4 7" xfId="47920"/>
    <cellStyle name="Normal 3 2 2 4 2 5" xfId="4064"/>
    <cellStyle name="Normal 3 2 2 4 2 5 2" xfId="10596"/>
    <cellStyle name="Normal 3 2 2 4 2 5 2 2" xfId="30069"/>
    <cellStyle name="Normal 3 2 2 4 2 5 2 3" xfId="43049"/>
    <cellStyle name="Normal 3 2 2 4 2 5 2 4" xfId="59278"/>
    <cellStyle name="Normal 3 2 2 4 2 5 3" xfId="17089"/>
    <cellStyle name="Normal 3 2 2 4 2 5 4" xfId="23579"/>
    <cellStyle name="Normal 3 2 2 4 2 5 5" xfId="36559"/>
    <cellStyle name="Normal 3 2 2 4 2 5 6" xfId="52788"/>
    <cellStyle name="Normal 3 2 2 4 2 6" xfId="7351"/>
    <cellStyle name="Normal 3 2 2 4 2 6 2" xfId="26824"/>
    <cellStyle name="Normal 3 2 2 4 2 6 3" xfId="39804"/>
    <cellStyle name="Normal 3 2 2 4 2 6 4" xfId="56033"/>
    <cellStyle name="Normal 3 2 2 4 2 7" xfId="13844"/>
    <cellStyle name="Normal 3 2 2 4 2 7 2" xfId="49543"/>
    <cellStyle name="Normal 3 2 2 4 2 8" xfId="20334"/>
    <cellStyle name="Normal 3 2 2 4 2 9" xfId="33314"/>
    <cellStyle name="Normal 3 2 2 4 3" xfId="544"/>
    <cellStyle name="Normal 3 2 2 4 3 2" xfId="1493"/>
    <cellStyle name="Normal 3 2 2 4 3 2 2" xfId="3160"/>
    <cellStyle name="Normal 3 2 2 4 3 2 2 2" xfId="6405"/>
    <cellStyle name="Normal 3 2 2 4 3 2 2 2 2" xfId="12937"/>
    <cellStyle name="Normal 3 2 2 4 3 2 2 2 2 2" xfId="32410"/>
    <cellStyle name="Normal 3 2 2 4 3 2 2 2 2 3" xfId="45390"/>
    <cellStyle name="Normal 3 2 2 4 3 2 2 2 2 4" xfId="61619"/>
    <cellStyle name="Normal 3 2 2 4 3 2 2 2 3" xfId="19430"/>
    <cellStyle name="Normal 3 2 2 4 3 2 2 2 4" xfId="25920"/>
    <cellStyle name="Normal 3 2 2 4 3 2 2 2 5" xfId="38900"/>
    <cellStyle name="Normal 3 2 2 4 3 2 2 2 6" xfId="55129"/>
    <cellStyle name="Normal 3 2 2 4 3 2 2 3" xfId="9692"/>
    <cellStyle name="Normal 3 2 2 4 3 2 2 3 2" xfId="29165"/>
    <cellStyle name="Normal 3 2 2 4 3 2 2 3 3" xfId="42145"/>
    <cellStyle name="Normal 3 2 2 4 3 2 2 3 4" xfId="58374"/>
    <cellStyle name="Normal 3 2 2 4 3 2 2 4" xfId="16185"/>
    <cellStyle name="Normal 3 2 2 4 3 2 2 4 2" xfId="51884"/>
    <cellStyle name="Normal 3 2 2 4 3 2 2 5" xfId="22675"/>
    <cellStyle name="Normal 3 2 2 4 3 2 2 6" xfId="35655"/>
    <cellStyle name="Normal 3 2 2 4 3 2 2 7" xfId="48638"/>
    <cellStyle name="Normal 3 2 2 4 3 2 3" xfId="4782"/>
    <cellStyle name="Normal 3 2 2 4 3 2 3 2" xfId="11314"/>
    <cellStyle name="Normal 3 2 2 4 3 2 3 2 2" xfId="30787"/>
    <cellStyle name="Normal 3 2 2 4 3 2 3 2 3" xfId="43767"/>
    <cellStyle name="Normal 3 2 2 4 3 2 3 2 4" xfId="59996"/>
    <cellStyle name="Normal 3 2 2 4 3 2 3 3" xfId="17807"/>
    <cellStyle name="Normal 3 2 2 4 3 2 3 4" xfId="24297"/>
    <cellStyle name="Normal 3 2 2 4 3 2 3 5" xfId="37277"/>
    <cellStyle name="Normal 3 2 2 4 3 2 3 6" xfId="53506"/>
    <cellStyle name="Normal 3 2 2 4 3 2 4" xfId="8069"/>
    <cellStyle name="Normal 3 2 2 4 3 2 4 2" xfId="27542"/>
    <cellStyle name="Normal 3 2 2 4 3 2 4 3" xfId="40522"/>
    <cellStyle name="Normal 3 2 2 4 3 2 4 4" xfId="56751"/>
    <cellStyle name="Normal 3 2 2 4 3 2 5" xfId="14562"/>
    <cellStyle name="Normal 3 2 2 4 3 2 5 2" xfId="50261"/>
    <cellStyle name="Normal 3 2 2 4 3 2 6" xfId="21052"/>
    <cellStyle name="Normal 3 2 2 4 3 2 7" xfId="34032"/>
    <cellStyle name="Normal 3 2 2 4 3 2 8" xfId="47015"/>
    <cellStyle name="Normal 3 2 2 4 3 3" xfId="2212"/>
    <cellStyle name="Normal 3 2 2 4 3 3 2" xfId="5457"/>
    <cellStyle name="Normal 3 2 2 4 3 3 2 2" xfId="11989"/>
    <cellStyle name="Normal 3 2 2 4 3 3 2 2 2" xfId="31462"/>
    <cellStyle name="Normal 3 2 2 4 3 3 2 2 3" xfId="44442"/>
    <cellStyle name="Normal 3 2 2 4 3 3 2 2 4" xfId="60671"/>
    <cellStyle name="Normal 3 2 2 4 3 3 2 3" xfId="18482"/>
    <cellStyle name="Normal 3 2 2 4 3 3 2 4" xfId="24972"/>
    <cellStyle name="Normal 3 2 2 4 3 3 2 5" xfId="37952"/>
    <cellStyle name="Normal 3 2 2 4 3 3 2 6" xfId="54181"/>
    <cellStyle name="Normal 3 2 2 4 3 3 3" xfId="8744"/>
    <cellStyle name="Normal 3 2 2 4 3 3 3 2" xfId="28217"/>
    <cellStyle name="Normal 3 2 2 4 3 3 3 3" xfId="41197"/>
    <cellStyle name="Normal 3 2 2 4 3 3 3 4" xfId="57426"/>
    <cellStyle name="Normal 3 2 2 4 3 3 4" xfId="15237"/>
    <cellStyle name="Normal 3 2 2 4 3 3 4 2" xfId="50936"/>
    <cellStyle name="Normal 3 2 2 4 3 3 5" xfId="21727"/>
    <cellStyle name="Normal 3 2 2 4 3 3 6" xfId="34707"/>
    <cellStyle name="Normal 3 2 2 4 3 3 7" xfId="47690"/>
    <cellStyle name="Normal 3 2 2 4 3 4" xfId="3834"/>
    <cellStyle name="Normal 3 2 2 4 3 4 2" xfId="10366"/>
    <cellStyle name="Normal 3 2 2 4 3 4 2 2" xfId="29839"/>
    <cellStyle name="Normal 3 2 2 4 3 4 2 3" xfId="42819"/>
    <cellStyle name="Normal 3 2 2 4 3 4 2 4" xfId="59048"/>
    <cellStyle name="Normal 3 2 2 4 3 4 3" xfId="16859"/>
    <cellStyle name="Normal 3 2 2 4 3 4 4" xfId="23349"/>
    <cellStyle name="Normal 3 2 2 4 3 4 5" xfId="36329"/>
    <cellStyle name="Normal 3 2 2 4 3 4 6" xfId="52558"/>
    <cellStyle name="Normal 3 2 2 4 3 5" xfId="7121"/>
    <cellStyle name="Normal 3 2 2 4 3 5 2" xfId="26594"/>
    <cellStyle name="Normal 3 2 2 4 3 5 3" xfId="39574"/>
    <cellStyle name="Normal 3 2 2 4 3 5 4" xfId="55803"/>
    <cellStyle name="Normal 3 2 2 4 3 6" xfId="13614"/>
    <cellStyle name="Normal 3 2 2 4 3 6 2" xfId="49313"/>
    <cellStyle name="Normal 3 2 2 4 3 7" xfId="20104"/>
    <cellStyle name="Normal 3 2 2 4 3 8" xfId="33084"/>
    <cellStyle name="Normal 3 2 2 4 3 9" xfId="46067"/>
    <cellStyle name="Normal 3 2 2 4 4" xfId="1030"/>
    <cellStyle name="Normal 3 2 2 4 4 2" xfId="2697"/>
    <cellStyle name="Normal 3 2 2 4 4 2 2" xfId="5942"/>
    <cellStyle name="Normal 3 2 2 4 4 2 2 2" xfId="12474"/>
    <cellStyle name="Normal 3 2 2 4 4 2 2 2 2" xfId="31947"/>
    <cellStyle name="Normal 3 2 2 4 4 2 2 2 3" xfId="44927"/>
    <cellStyle name="Normal 3 2 2 4 4 2 2 2 4" xfId="61156"/>
    <cellStyle name="Normal 3 2 2 4 4 2 2 3" xfId="18967"/>
    <cellStyle name="Normal 3 2 2 4 4 2 2 4" xfId="25457"/>
    <cellStyle name="Normal 3 2 2 4 4 2 2 5" xfId="38437"/>
    <cellStyle name="Normal 3 2 2 4 4 2 2 6" xfId="54666"/>
    <cellStyle name="Normal 3 2 2 4 4 2 3" xfId="9229"/>
    <cellStyle name="Normal 3 2 2 4 4 2 3 2" xfId="28702"/>
    <cellStyle name="Normal 3 2 2 4 4 2 3 3" xfId="41682"/>
    <cellStyle name="Normal 3 2 2 4 4 2 3 4" xfId="57911"/>
    <cellStyle name="Normal 3 2 2 4 4 2 4" xfId="15722"/>
    <cellStyle name="Normal 3 2 2 4 4 2 4 2" xfId="51421"/>
    <cellStyle name="Normal 3 2 2 4 4 2 5" xfId="22212"/>
    <cellStyle name="Normal 3 2 2 4 4 2 6" xfId="35192"/>
    <cellStyle name="Normal 3 2 2 4 4 2 7" xfId="48175"/>
    <cellStyle name="Normal 3 2 2 4 4 3" xfId="4319"/>
    <cellStyle name="Normal 3 2 2 4 4 3 2" xfId="10851"/>
    <cellStyle name="Normal 3 2 2 4 4 3 2 2" xfId="30324"/>
    <cellStyle name="Normal 3 2 2 4 4 3 2 3" xfId="43304"/>
    <cellStyle name="Normal 3 2 2 4 4 3 2 4" xfId="59533"/>
    <cellStyle name="Normal 3 2 2 4 4 3 3" xfId="17344"/>
    <cellStyle name="Normal 3 2 2 4 4 3 4" xfId="23834"/>
    <cellStyle name="Normal 3 2 2 4 4 3 5" xfId="36814"/>
    <cellStyle name="Normal 3 2 2 4 4 3 6" xfId="53043"/>
    <cellStyle name="Normal 3 2 2 4 4 4" xfId="7606"/>
    <cellStyle name="Normal 3 2 2 4 4 4 2" xfId="27079"/>
    <cellStyle name="Normal 3 2 2 4 4 4 3" xfId="40059"/>
    <cellStyle name="Normal 3 2 2 4 4 4 4" xfId="56288"/>
    <cellStyle name="Normal 3 2 2 4 4 5" xfId="14099"/>
    <cellStyle name="Normal 3 2 2 4 4 5 2" xfId="49798"/>
    <cellStyle name="Normal 3 2 2 4 4 6" xfId="20589"/>
    <cellStyle name="Normal 3 2 2 4 4 7" xfId="33569"/>
    <cellStyle name="Normal 3 2 2 4 4 8" xfId="46552"/>
    <cellStyle name="Normal 3 2 2 4 5" xfId="1983"/>
    <cellStyle name="Normal 3 2 2 4 5 2" xfId="5228"/>
    <cellStyle name="Normal 3 2 2 4 5 2 2" xfId="11760"/>
    <cellStyle name="Normal 3 2 2 4 5 2 2 2" xfId="31233"/>
    <cellStyle name="Normal 3 2 2 4 5 2 2 3" xfId="44213"/>
    <cellStyle name="Normal 3 2 2 4 5 2 2 4" xfId="60442"/>
    <cellStyle name="Normal 3 2 2 4 5 2 3" xfId="18253"/>
    <cellStyle name="Normal 3 2 2 4 5 2 4" xfId="24743"/>
    <cellStyle name="Normal 3 2 2 4 5 2 5" xfId="37723"/>
    <cellStyle name="Normal 3 2 2 4 5 2 6" xfId="53952"/>
    <cellStyle name="Normal 3 2 2 4 5 3" xfId="8515"/>
    <cellStyle name="Normal 3 2 2 4 5 3 2" xfId="27988"/>
    <cellStyle name="Normal 3 2 2 4 5 3 3" xfId="40968"/>
    <cellStyle name="Normal 3 2 2 4 5 3 4" xfId="57197"/>
    <cellStyle name="Normal 3 2 2 4 5 4" xfId="15008"/>
    <cellStyle name="Normal 3 2 2 4 5 4 2" xfId="50707"/>
    <cellStyle name="Normal 3 2 2 4 5 5" xfId="21498"/>
    <cellStyle name="Normal 3 2 2 4 5 6" xfId="34478"/>
    <cellStyle name="Normal 3 2 2 4 5 7" xfId="47461"/>
    <cellStyle name="Normal 3 2 2 4 6" xfId="3604"/>
    <cellStyle name="Normal 3 2 2 4 6 2" xfId="10136"/>
    <cellStyle name="Normal 3 2 2 4 6 2 2" xfId="29609"/>
    <cellStyle name="Normal 3 2 2 4 6 2 3" xfId="42589"/>
    <cellStyle name="Normal 3 2 2 4 6 2 4" xfId="58818"/>
    <cellStyle name="Normal 3 2 2 4 6 3" xfId="16629"/>
    <cellStyle name="Normal 3 2 2 4 6 4" xfId="23119"/>
    <cellStyle name="Normal 3 2 2 4 6 5" xfId="36099"/>
    <cellStyle name="Normal 3 2 2 4 6 6" xfId="52328"/>
    <cellStyle name="Normal 3 2 2 4 7" xfId="6891"/>
    <cellStyle name="Normal 3 2 2 4 7 2" xfId="26364"/>
    <cellStyle name="Normal 3 2 2 4 7 3" xfId="39344"/>
    <cellStyle name="Normal 3 2 2 4 7 4" xfId="55573"/>
    <cellStyle name="Normal 3 2 2 4 8" xfId="13384"/>
    <cellStyle name="Normal 3 2 2 4 8 2" xfId="49083"/>
    <cellStyle name="Normal 3 2 2 4 9" xfId="19874"/>
    <cellStyle name="Normal 3 2 2 5" xfId="642"/>
    <cellStyle name="Normal 3 2 2 5 10" xfId="46165"/>
    <cellStyle name="Normal 3 2 2 5 2" xfId="1581"/>
    <cellStyle name="Normal 3 2 2 5 2 2" xfId="3248"/>
    <cellStyle name="Normal 3 2 2 5 2 2 2" xfId="6493"/>
    <cellStyle name="Normal 3 2 2 5 2 2 2 2" xfId="13025"/>
    <cellStyle name="Normal 3 2 2 5 2 2 2 2 2" xfId="32498"/>
    <cellStyle name="Normal 3 2 2 5 2 2 2 2 3" xfId="45478"/>
    <cellStyle name="Normal 3 2 2 5 2 2 2 2 4" xfId="61707"/>
    <cellStyle name="Normal 3 2 2 5 2 2 2 3" xfId="19518"/>
    <cellStyle name="Normal 3 2 2 5 2 2 2 4" xfId="26008"/>
    <cellStyle name="Normal 3 2 2 5 2 2 2 5" xfId="38988"/>
    <cellStyle name="Normal 3 2 2 5 2 2 2 6" xfId="55217"/>
    <cellStyle name="Normal 3 2 2 5 2 2 3" xfId="9780"/>
    <cellStyle name="Normal 3 2 2 5 2 2 3 2" xfId="29253"/>
    <cellStyle name="Normal 3 2 2 5 2 2 3 3" xfId="42233"/>
    <cellStyle name="Normal 3 2 2 5 2 2 3 4" xfId="58462"/>
    <cellStyle name="Normal 3 2 2 5 2 2 4" xfId="16273"/>
    <cellStyle name="Normal 3 2 2 5 2 2 4 2" xfId="51972"/>
    <cellStyle name="Normal 3 2 2 5 2 2 5" xfId="22763"/>
    <cellStyle name="Normal 3 2 2 5 2 2 6" xfId="35743"/>
    <cellStyle name="Normal 3 2 2 5 2 2 7" xfId="48726"/>
    <cellStyle name="Normal 3 2 2 5 2 3" xfId="4870"/>
    <cellStyle name="Normal 3 2 2 5 2 3 2" xfId="11402"/>
    <cellStyle name="Normal 3 2 2 5 2 3 2 2" xfId="30875"/>
    <cellStyle name="Normal 3 2 2 5 2 3 2 3" xfId="43855"/>
    <cellStyle name="Normal 3 2 2 5 2 3 2 4" xfId="60084"/>
    <cellStyle name="Normal 3 2 2 5 2 3 3" xfId="17895"/>
    <cellStyle name="Normal 3 2 2 5 2 3 4" xfId="24385"/>
    <cellStyle name="Normal 3 2 2 5 2 3 5" xfId="37365"/>
    <cellStyle name="Normal 3 2 2 5 2 3 6" xfId="53594"/>
    <cellStyle name="Normal 3 2 2 5 2 4" xfId="8157"/>
    <cellStyle name="Normal 3 2 2 5 2 4 2" xfId="27630"/>
    <cellStyle name="Normal 3 2 2 5 2 4 3" xfId="40610"/>
    <cellStyle name="Normal 3 2 2 5 2 4 4" xfId="56839"/>
    <cellStyle name="Normal 3 2 2 5 2 5" xfId="14650"/>
    <cellStyle name="Normal 3 2 2 5 2 5 2" xfId="50349"/>
    <cellStyle name="Normal 3 2 2 5 2 6" xfId="21140"/>
    <cellStyle name="Normal 3 2 2 5 2 7" xfId="34120"/>
    <cellStyle name="Normal 3 2 2 5 2 8" xfId="47103"/>
    <cellStyle name="Normal 3 2 2 5 3" xfId="1118"/>
    <cellStyle name="Normal 3 2 2 5 3 2" xfId="2785"/>
    <cellStyle name="Normal 3 2 2 5 3 2 2" xfId="6030"/>
    <cellStyle name="Normal 3 2 2 5 3 2 2 2" xfId="12562"/>
    <cellStyle name="Normal 3 2 2 5 3 2 2 2 2" xfId="32035"/>
    <cellStyle name="Normal 3 2 2 5 3 2 2 2 3" xfId="45015"/>
    <cellStyle name="Normal 3 2 2 5 3 2 2 2 4" xfId="61244"/>
    <cellStyle name="Normal 3 2 2 5 3 2 2 3" xfId="19055"/>
    <cellStyle name="Normal 3 2 2 5 3 2 2 4" xfId="25545"/>
    <cellStyle name="Normal 3 2 2 5 3 2 2 5" xfId="38525"/>
    <cellStyle name="Normal 3 2 2 5 3 2 2 6" xfId="54754"/>
    <cellStyle name="Normal 3 2 2 5 3 2 3" xfId="9317"/>
    <cellStyle name="Normal 3 2 2 5 3 2 3 2" xfId="28790"/>
    <cellStyle name="Normal 3 2 2 5 3 2 3 3" xfId="41770"/>
    <cellStyle name="Normal 3 2 2 5 3 2 3 4" xfId="57999"/>
    <cellStyle name="Normal 3 2 2 5 3 2 4" xfId="15810"/>
    <cellStyle name="Normal 3 2 2 5 3 2 4 2" xfId="51509"/>
    <cellStyle name="Normal 3 2 2 5 3 2 5" xfId="22300"/>
    <cellStyle name="Normal 3 2 2 5 3 2 6" xfId="35280"/>
    <cellStyle name="Normal 3 2 2 5 3 2 7" xfId="48263"/>
    <cellStyle name="Normal 3 2 2 5 3 3" xfId="4407"/>
    <cellStyle name="Normal 3 2 2 5 3 3 2" xfId="10939"/>
    <cellStyle name="Normal 3 2 2 5 3 3 2 2" xfId="30412"/>
    <cellStyle name="Normal 3 2 2 5 3 3 2 3" xfId="43392"/>
    <cellStyle name="Normal 3 2 2 5 3 3 2 4" xfId="59621"/>
    <cellStyle name="Normal 3 2 2 5 3 3 3" xfId="17432"/>
    <cellStyle name="Normal 3 2 2 5 3 3 4" xfId="23922"/>
    <cellStyle name="Normal 3 2 2 5 3 3 5" xfId="36902"/>
    <cellStyle name="Normal 3 2 2 5 3 3 6" xfId="53131"/>
    <cellStyle name="Normal 3 2 2 5 3 4" xfId="7694"/>
    <cellStyle name="Normal 3 2 2 5 3 4 2" xfId="27167"/>
    <cellStyle name="Normal 3 2 2 5 3 4 3" xfId="40147"/>
    <cellStyle name="Normal 3 2 2 5 3 4 4" xfId="56376"/>
    <cellStyle name="Normal 3 2 2 5 3 5" xfId="14187"/>
    <cellStyle name="Normal 3 2 2 5 3 5 2" xfId="49886"/>
    <cellStyle name="Normal 3 2 2 5 3 6" xfId="20677"/>
    <cellStyle name="Normal 3 2 2 5 3 7" xfId="33657"/>
    <cellStyle name="Normal 3 2 2 5 3 8" xfId="46640"/>
    <cellStyle name="Normal 3 2 2 5 4" xfId="2310"/>
    <cellStyle name="Normal 3 2 2 5 4 2" xfId="5555"/>
    <cellStyle name="Normal 3 2 2 5 4 2 2" xfId="12087"/>
    <cellStyle name="Normal 3 2 2 5 4 2 2 2" xfId="31560"/>
    <cellStyle name="Normal 3 2 2 5 4 2 2 3" xfId="44540"/>
    <cellStyle name="Normal 3 2 2 5 4 2 2 4" xfId="60769"/>
    <cellStyle name="Normal 3 2 2 5 4 2 3" xfId="18580"/>
    <cellStyle name="Normal 3 2 2 5 4 2 4" xfId="25070"/>
    <cellStyle name="Normal 3 2 2 5 4 2 5" xfId="38050"/>
    <cellStyle name="Normal 3 2 2 5 4 2 6" xfId="54279"/>
    <cellStyle name="Normal 3 2 2 5 4 3" xfId="8842"/>
    <cellStyle name="Normal 3 2 2 5 4 3 2" xfId="28315"/>
    <cellStyle name="Normal 3 2 2 5 4 3 3" xfId="41295"/>
    <cellStyle name="Normal 3 2 2 5 4 3 4" xfId="57524"/>
    <cellStyle name="Normal 3 2 2 5 4 4" xfId="15335"/>
    <cellStyle name="Normal 3 2 2 5 4 4 2" xfId="51034"/>
    <cellStyle name="Normal 3 2 2 5 4 5" xfId="21825"/>
    <cellStyle name="Normal 3 2 2 5 4 6" xfId="34805"/>
    <cellStyle name="Normal 3 2 2 5 4 7" xfId="47788"/>
    <cellStyle name="Normal 3 2 2 5 5" xfId="3932"/>
    <cellStyle name="Normal 3 2 2 5 5 2" xfId="10464"/>
    <cellStyle name="Normal 3 2 2 5 5 2 2" xfId="29937"/>
    <cellStyle name="Normal 3 2 2 5 5 2 3" xfId="42917"/>
    <cellStyle name="Normal 3 2 2 5 5 2 4" xfId="59146"/>
    <cellStyle name="Normal 3 2 2 5 5 3" xfId="16957"/>
    <cellStyle name="Normal 3 2 2 5 5 4" xfId="23447"/>
    <cellStyle name="Normal 3 2 2 5 5 5" xfId="36427"/>
    <cellStyle name="Normal 3 2 2 5 5 6" xfId="52656"/>
    <cellStyle name="Normal 3 2 2 5 6" xfId="7219"/>
    <cellStyle name="Normal 3 2 2 5 6 2" xfId="26692"/>
    <cellStyle name="Normal 3 2 2 5 6 3" xfId="39672"/>
    <cellStyle name="Normal 3 2 2 5 6 4" xfId="55901"/>
    <cellStyle name="Normal 3 2 2 5 7" xfId="13712"/>
    <cellStyle name="Normal 3 2 2 5 7 2" xfId="49411"/>
    <cellStyle name="Normal 3 2 2 5 8" xfId="20202"/>
    <cellStyle name="Normal 3 2 2 5 9" xfId="33182"/>
    <cellStyle name="Normal 3 2 2 6" xfId="412"/>
    <cellStyle name="Normal 3 2 2 6 2" xfId="1361"/>
    <cellStyle name="Normal 3 2 2 6 2 2" xfId="3028"/>
    <cellStyle name="Normal 3 2 2 6 2 2 2" xfId="6273"/>
    <cellStyle name="Normal 3 2 2 6 2 2 2 2" xfId="12805"/>
    <cellStyle name="Normal 3 2 2 6 2 2 2 2 2" xfId="32278"/>
    <cellStyle name="Normal 3 2 2 6 2 2 2 2 3" xfId="45258"/>
    <cellStyle name="Normal 3 2 2 6 2 2 2 2 4" xfId="61487"/>
    <cellStyle name="Normal 3 2 2 6 2 2 2 3" xfId="19298"/>
    <cellStyle name="Normal 3 2 2 6 2 2 2 4" xfId="25788"/>
    <cellStyle name="Normal 3 2 2 6 2 2 2 5" xfId="38768"/>
    <cellStyle name="Normal 3 2 2 6 2 2 2 6" xfId="54997"/>
    <cellStyle name="Normal 3 2 2 6 2 2 3" xfId="9560"/>
    <cellStyle name="Normal 3 2 2 6 2 2 3 2" xfId="29033"/>
    <cellStyle name="Normal 3 2 2 6 2 2 3 3" xfId="42013"/>
    <cellStyle name="Normal 3 2 2 6 2 2 3 4" xfId="58242"/>
    <cellStyle name="Normal 3 2 2 6 2 2 4" xfId="16053"/>
    <cellStyle name="Normal 3 2 2 6 2 2 4 2" xfId="51752"/>
    <cellStyle name="Normal 3 2 2 6 2 2 5" xfId="22543"/>
    <cellStyle name="Normal 3 2 2 6 2 2 6" xfId="35523"/>
    <cellStyle name="Normal 3 2 2 6 2 2 7" xfId="48506"/>
    <cellStyle name="Normal 3 2 2 6 2 3" xfId="4650"/>
    <cellStyle name="Normal 3 2 2 6 2 3 2" xfId="11182"/>
    <cellStyle name="Normal 3 2 2 6 2 3 2 2" xfId="30655"/>
    <cellStyle name="Normal 3 2 2 6 2 3 2 3" xfId="43635"/>
    <cellStyle name="Normal 3 2 2 6 2 3 2 4" xfId="59864"/>
    <cellStyle name="Normal 3 2 2 6 2 3 3" xfId="17675"/>
    <cellStyle name="Normal 3 2 2 6 2 3 4" xfId="24165"/>
    <cellStyle name="Normal 3 2 2 6 2 3 5" xfId="37145"/>
    <cellStyle name="Normal 3 2 2 6 2 3 6" xfId="53374"/>
    <cellStyle name="Normal 3 2 2 6 2 4" xfId="7937"/>
    <cellStyle name="Normal 3 2 2 6 2 4 2" xfId="27410"/>
    <cellStyle name="Normal 3 2 2 6 2 4 3" xfId="40390"/>
    <cellStyle name="Normal 3 2 2 6 2 4 4" xfId="56619"/>
    <cellStyle name="Normal 3 2 2 6 2 5" xfId="14430"/>
    <cellStyle name="Normal 3 2 2 6 2 5 2" xfId="50129"/>
    <cellStyle name="Normal 3 2 2 6 2 6" xfId="20920"/>
    <cellStyle name="Normal 3 2 2 6 2 7" xfId="33900"/>
    <cellStyle name="Normal 3 2 2 6 2 8" xfId="46883"/>
    <cellStyle name="Normal 3 2 2 6 3" xfId="2080"/>
    <cellStyle name="Normal 3 2 2 6 3 2" xfId="5325"/>
    <cellStyle name="Normal 3 2 2 6 3 2 2" xfId="11857"/>
    <cellStyle name="Normal 3 2 2 6 3 2 2 2" xfId="31330"/>
    <cellStyle name="Normal 3 2 2 6 3 2 2 3" xfId="44310"/>
    <cellStyle name="Normal 3 2 2 6 3 2 2 4" xfId="60539"/>
    <cellStyle name="Normal 3 2 2 6 3 2 3" xfId="18350"/>
    <cellStyle name="Normal 3 2 2 6 3 2 4" xfId="24840"/>
    <cellStyle name="Normal 3 2 2 6 3 2 5" xfId="37820"/>
    <cellStyle name="Normal 3 2 2 6 3 2 6" xfId="54049"/>
    <cellStyle name="Normal 3 2 2 6 3 3" xfId="8612"/>
    <cellStyle name="Normal 3 2 2 6 3 3 2" xfId="28085"/>
    <cellStyle name="Normal 3 2 2 6 3 3 3" xfId="41065"/>
    <cellStyle name="Normal 3 2 2 6 3 3 4" xfId="57294"/>
    <cellStyle name="Normal 3 2 2 6 3 4" xfId="15105"/>
    <cellStyle name="Normal 3 2 2 6 3 4 2" xfId="50804"/>
    <cellStyle name="Normal 3 2 2 6 3 5" xfId="21595"/>
    <cellStyle name="Normal 3 2 2 6 3 6" xfId="34575"/>
    <cellStyle name="Normal 3 2 2 6 3 7" xfId="47558"/>
    <cellStyle name="Normal 3 2 2 6 4" xfId="3702"/>
    <cellStyle name="Normal 3 2 2 6 4 2" xfId="10234"/>
    <cellStyle name="Normal 3 2 2 6 4 2 2" xfId="29707"/>
    <cellStyle name="Normal 3 2 2 6 4 2 3" xfId="42687"/>
    <cellStyle name="Normal 3 2 2 6 4 2 4" xfId="58916"/>
    <cellStyle name="Normal 3 2 2 6 4 3" xfId="16727"/>
    <cellStyle name="Normal 3 2 2 6 4 4" xfId="23217"/>
    <cellStyle name="Normal 3 2 2 6 4 5" xfId="36197"/>
    <cellStyle name="Normal 3 2 2 6 4 6" xfId="52426"/>
    <cellStyle name="Normal 3 2 2 6 5" xfId="6989"/>
    <cellStyle name="Normal 3 2 2 6 5 2" xfId="26462"/>
    <cellStyle name="Normal 3 2 2 6 5 3" xfId="39442"/>
    <cellStyle name="Normal 3 2 2 6 5 4" xfId="55671"/>
    <cellStyle name="Normal 3 2 2 6 6" xfId="13482"/>
    <cellStyle name="Normal 3 2 2 6 6 2" xfId="49181"/>
    <cellStyle name="Normal 3 2 2 6 7" xfId="19972"/>
    <cellStyle name="Normal 3 2 2 6 8" xfId="32952"/>
    <cellStyle name="Normal 3 2 2 6 9" xfId="45935"/>
    <cellStyle name="Normal 3 2 2 7" xfId="898"/>
    <cellStyle name="Normal 3 2 2 7 2" xfId="2565"/>
    <cellStyle name="Normal 3 2 2 7 2 2" xfId="5810"/>
    <cellStyle name="Normal 3 2 2 7 2 2 2" xfId="12342"/>
    <cellStyle name="Normal 3 2 2 7 2 2 2 2" xfId="31815"/>
    <cellStyle name="Normal 3 2 2 7 2 2 2 3" xfId="44795"/>
    <cellStyle name="Normal 3 2 2 7 2 2 2 4" xfId="61024"/>
    <cellStyle name="Normal 3 2 2 7 2 2 3" xfId="18835"/>
    <cellStyle name="Normal 3 2 2 7 2 2 4" xfId="25325"/>
    <cellStyle name="Normal 3 2 2 7 2 2 5" xfId="38305"/>
    <cellStyle name="Normal 3 2 2 7 2 2 6" xfId="54534"/>
    <cellStyle name="Normal 3 2 2 7 2 3" xfId="9097"/>
    <cellStyle name="Normal 3 2 2 7 2 3 2" xfId="28570"/>
    <cellStyle name="Normal 3 2 2 7 2 3 3" xfId="41550"/>
    <cellStyle name="Normal 3 2 2 7 2 3 4" xfId="57779"/>
    <cellStyle name="Normal 3 2 2 7 2 4" xfId="15590"/>
    <cellStyle name="Normal 3 2 2 7 2 4 2" xfId="51289"/>
    <cellStyle name="Normal 3 2 2 7 2 5" xfId="22080"/>
    <cellStyle name="Normal 3 2 2 7 2 6" xfId="35060"/>
    <cellStyle name="Normal 3 2 2 7 2 7" xfId="48043"/>
    <cellStyle name="Normal 3 2 2 7 3" xfId="4187"/>
    <cellStyle name="Normal 3 2 2 7 3 2" xfId="10719"/>
    <cellStyle name="Normal 3 2 2 7 3 2 2" xfId="30192"/>
    <cellStyle name="Normal 3 2 2 7 3 2 3" xfId="43172"/>
    <cellStyle name="Normal 3 2 2 7 3 2 4" xfId="59401"/>
    <cellStyle name="Normal 3 2 2 7 3 3" xfId="17212"/>
    <cellStyle name="Normal 3 2 2 7 3 4" xfId="23702"/>
    <cellStyle name="Normal 3 2 2 7 3 5" xfId="36682"/>
    <cellStyle name="Normal 3 2 2 7 3 6" xfId="52911"/>
    <cellStyle name="Normal 3 2 2 7 4" xfId="7474"/>
    <cellStyle name="Normal 3 2 2 7 4 2" xfId="26947"/>
    <cellStyle name="Normal 3 2 2 7 4 3" xfId="39927"/>
    <cellStyle name="Normal 3 2 2 7 4 4" xfId="56156"/>
    <cellStyle name="Normal 3 2 2 7 5" xfId="13967"/>
    <cellStyle name="Normal 3 2 2 7 5 2" xfId="49666"/>
    <cellStyle name="Normal 3 2 2 7 6" xfId="20457"/>
    <cellStyle name="Normal 3 2 2 7 7" xfId="33437"/>
    <cellStyle name="Normal 3 2 2 7 8" xfId="46420"/>
    <cellStyle name="Normal 3 2 2 8" xfId="1851"/>
    <cellStyle name="Normal 3 2 2 8 2" xfId="5096"/>
    <cellStyle name="Normal 3 2 2 8 2 2" xfId="11628"/>
    <cellStyle name="Normal 3 2 2 8 2 2 2" xfId="31101"/>
    <cellStyle name="Normal 3 2 2 8 2 2 3" xfId="44081"/>
    <cellStyle name="Normal 3 2 2 8 2 2 4" xfId="60310"/>
    <cellStyle name="Normal 3 2 2 8 2 3" xfId="18121"/>
    <cellStyle name="Normal 3 2 2 8 2 4" xfId="24611"/>
    <cellStyle name="Normal 3 2 2 8 2 5" xfId="37591"/>
    <cellStyle name="Normal 3 2 2 8 2 6" xfId="53820"/>
    <cellStyle name="Normal 3 2 2 8 3" xfId="8383"/>
    <cellStyle name="Normal 3 2 2 8 3 2" xfId="27856"/>
    <cellStyle name="Normal 3 2 2 8 3 3" xfId="40836"/>
    <cellStyle name="Normal 3 2 2 8 3 4" xfId="57065"/>
    <cellStyle name="Normal 3 2 2 8 4" xfId="14876"/>
    <cellStyle name="Normal 3 2 2 8 4 2" xfId="50575"/>
    <cellStyle name="Normal 3 2 2 8 5" xfId="21366"/>
    <cellStyle name="Normal 3 2 2 8 6" xfId="34346"/>
    <cellStyle name="Normal 3 2 2 8 7" xfId="47329"/>
    <cellStyle name="Normal 3 2 2 9" xfId="3472"/>
    <cellStyle name="Normal 3 2 2 9 2" xfId="10004"/>
    <cellStyle name="Normal 3 2 2 9 2 2" xfId="29477"/>
    <cellStyle name="Normal 3 2 2 9 2 3" xfId="42457"/>
    <cellStyle name="Normal 3 2 2 9 2 4" xfId="58686"/>
    <cellStyle name="Normal 3 2 2 9 3" xfId="16497"/>
    <cellStyle name="Normal 3 2 2 9 4" xfId="22987"/>
    <cellStyle name="Normal 3 2 2 9 5" xfId="35967"/>
    <cellStyle name="Normal 3 2 2 9 6" xfId="52196"/>
    <cellStyle name="Normal 3 2 3" xfId="244"/>
    <cellStyle name="Normal 3 2 3 10" xfId="19808"/>
    <cellStyle name="Normal 3 2 3 11" xfId="32788"/>
    <cellStyle name="Normal 3 2 3 12" xfId="45771"/>
    <cellStyle name="Normal 3 2 3 13" xfId="62004"/>
    <cellStyle name="Normal 3 2 3 2" xfId="332"/>
    <cellStyle name="Normal 3 2 3 2 10" xfId="32876"/>
    <cellStyle name="Normal 3 2 3 2 11" xfId="45859"/>
    <cellStyle name="Normal 3 2 3 2 2" xfId="796"/>
    <cellStyle name="Normal 3 2 3 2 2 10" xfId="46319"/>
    <cellStyle name="Normal 3 2 3 2 2 2" xfId="1735"/>
    <cellStyle name="Normal 3 2 3 2 2 2 2" xfId="3402"/>
    <cellStyle name="Normal 3 2 3 2 2 2 2 2" xfId="6647"/>
    <cellStyle name="Normal 3 2 3 2 2 2 2 2 2" xfId="13179"/>
    <cellStyle name="Normal 3 2 3 2 2 2 2 2 2 2" xfId="32652"/>
    <cellStyle name="Normal 3 2 3 2 2 2 2 2 2 3" xfId="45632"/>
    <cellStyle name="Normal 3 2 3 2 2 2 2 2 2 4" xfId="61861"/>
    <cellStyle name="Normal 3 2 3 2 2 2 2 2 3" xfId="19672"/>
    <cellStyle name="Normal 3 2 3 2 2 2 2 2 4" xfId="26162"/>
    <cellStyle name="Normal 3 2 3 2 2 2 2 2 5" xfId="39142"/>
    <cellStyle name="Normal 3 2 3 2 2 2 2 2 6" xfId="55371"/>
    <cellStyle name="Normal 3 2 3 2 2 2 2 3" xfId="9934"/>
    <cellStyle name="Normal 3 2 3 2 2 2 2 3 2" xfId="29407"/>
    <cellStyle name="Normal 3 2 3 2 2 2 2 3 3" xfId="42387"/>
    <cellStyle name="Normal 3 2 3 2 2 2 2 3 4" xfId="58616"/>
    <cellStyle name="Normal 3 2 3 2 2 2 2 4" xfId="16427"/>
    <cellStyle name="Normal 3 2 3 2 2 2 2 4 2" xfId="52126"/>
    <cellStyle name="Normal 3 2 3 2 2 2 2 5" xfId="22917"/>
    <cellStyle name="Normal 3 2 3 2 2 2 2 6" xfId="35897"/>
    <cellStyle name="Normal 3 2 3 2 2 2 2 7" xfId="48880"/>
    <cellStyle name="Normal 3 2 3 2 2 2 3" xfId="5024"/>
    <cellStyle name="Normal 3 2 3 2 2 2 3 2" xfId="11556"/>
    <cellStyle name="Normal 3 2 3 2 2 2 3 2 2" xfId="31029"/>
    <cellStyle name="Normal 3 2 3 2 2 2 3 2 3" xfId="44009"/>
    <cellStyle name="Normal 3 2 3 2 2 2 3 2 4" xfId="60238"/>
    <cellStyle name="Normal 3 2 3 2 2 2 3 3" xfId="18049"/>
    <cellStyle name="Normal 3 2 3 2 2 2 3 4" xfId="24539"/>
    <cellStyle name="Normal 3 2 3 2 2 2 3 5" xfId="37519"/>
    <cellStyle name="Normal 3 2 3 2 2 2 3 6" xfId="53748"/>
    <cellStyle name="Normal 3 2 3 2 2 2 4" xfId="8311"/>
    <cellStyle name="Normal 3 2 3 2 2 2 4 2" xfId="27784"/>
    <cellStyle name="Normal 3 2 3 2 2 2 4 3" xfId="40764"/>
    <cellStyle name="Normal 3 2 3 2 2 2 4 4" xfId="56993"/>
    <cellStyle name="Normal 3 2 3 2 2 2 5" xfId="14804"/>
    <cellStyle name="Normal 3 2 3 2 2 2 5 2" xfId="50503"/>
    <cellStyle name="Normal 3 2 3 2 2 2 6" xfId="21294"/>
    <cellStyle name="Normal 3 2 3 2 2 2 7" xfId="34274"/>
    <cellStyle name="Normal 3 2 3 2 2 2 8" xfId="47257"/>
    <cellStyle name="Normal 3 2 3 2 2 3" xfId="1272"/>
    <cellStyle name="Normal 3 2 3 2 2 3 2" xfId="2939"/>
    <cellStyle name="Normal 3 2 3 2 2 3 2 2" xfId="6184"/>
    <cellStyle name="Normal 3 2 3 2 2 3 2 2 2" xfId="12716"/>
    <cellStyle name="Normal 3 2 3 2 2 3 2 2 2 2" xfId="32189"/>
    <cellStyle name="Normal 3 2 3 2 2 3 2 2 2 3" xfId="45169"/>
    <cellStyle name="Normal 3 2 3 2 2 3 2 2 2 4" xfId="61398"/>
    <cellStyle name="Normal 3 2 3 2 2 3 2 2 3" xfId="19209"/>
    <cellStyle name="Normal 3 2 3 2 2 3 2 2 4" xfId="25699"/>
    <cellStyle name="Normal 3 2 3 2 2 3 2 2 5" xfId="38679"/>
    <cellStyle name="Normal 3 2 3 2 2 3 2 2 6" xfId="54908"/>
    <cellStyle name="Normal 3 2 3 2 2 3 2 3" xfId="9471"/>
    <cellStyle name="Normal 3 2 3 2 2 3 2 3 2" xfId="28944"/>
    <cellStyle name="Normal 3 2 3 2 2 3 2 3 3" xfId="41924"/>
    <cellStyle name="Normal 3 2 3 2 2 3 2 3 4" xfId="58153"/>
    <cellStyle name="Normal 3 2 3 2 2 3 2 4" xfId="15964"/>
    <cellStyle name="Normal 3 2 3 2 2 3 2 4 2" xfId="51663"/>
    <cellStyle name="Normal 3 2 3 2 2 3 2 5" xfId="22454"/>
    <cellStyle name="Normal 3 2 3 2 2 3 2 6" xfId="35434"/>
    <cellStyle name="Normal 3 2 3 2 2 3 2 7" xfId="48417"/>
    <cellStyle name="Normal 3 2 3 2 2 3 3" xfId="4561"/>
    <cellStyle name="Normal 3 2 3 2 2 3 3 2" xfId="11093"/>
    <cellStyle name="Normal 3 2 3 2 2 3 3 2 2" xfId="30566"/>
    <cellStyle name="Normal 3 2 3 2 2 3 3 2 3" xfId="43546"/>
    <cellStyle name="Normal 3 2 3 2 2 3 3 2 4" xfId="59775"/>
    <cellStyle name="Normal 3 2 3 2 2 3 3 3" xfId="17586"/>
    <cellStyle name="Normal 3 2 3 2 2 3 3 4" xfId="24076"/>
    <cellStyle name="Normal 3 2 3 2 2 3 3 5" xfId="37056"/>
    <cellStyle name="Normal 3 2 3 2 2 3 3 6" xfId="53285"/>
    <cellStyle name="Normal 3 2 3 2 2 3 4" xfId="7848"/>
    <cellStyle name="Normal 3 2 3 2 2 3 4 2" xfId="27321"/>
    <cellStyle name="Normal 3 2 3 2 2 3 4 3" xfId="40301"/>
    <cellStyle name="Normal 3 2 3 2 2 3 4 4" xfId="56530"/>
    <cellStyle name="Normal 3 2 3 2 2 3 5" xfId="14341"/>
    <cellStyle name="Normal 3 2 3 2 2 3 5 2" xfId="50040"/>
    <cellStyle name="Normal 3 2 3 2 2 3 6" xfId="20831"/>
    <cellStyle name="Normal 3 2 3 2 2 3 7" xfId="33811"/>
    <cellStyle name="Normal 3 2 3 2 2 3 8" xfId="46794"/>
    <cellStyle name="Normal 3 2 3 2 2 4" xfId="2464"/>
    <cellStyle name="Normal 3 2 3 2 2 4 2" xfId="5709"/>
    <cellStyle name="Normal 3 2 3 2 2 4 2 2" xfId="12241"/>
    <cellStyle name="Normal 3 2 3 2 2 4 2 2 2" xfId="31714"/>
    <cellStyle name="Normal 3 2 3 2 2 4 2 2 3" xfId="44694"/>
    <cellStyle name="Normal 3 2 3 2 2 4 2 2 4" xfId="60923"/>
    <cellStyle name="Normal 3 2 3 2 2 4 2 3" xfId="18734"/>
    <cellStyle name="Normal 3 2 3 2 2 4 2 4" xfId="25224"/>
    <cellStyle name="Normal 3 2 3 2 2 4 2 5" xfId="38204"/>
    <cellStyle name="Normal 3 2 3 2 2 4 2 6" xfId="54433"/>
    <cellStyle name="Normal 3 2 3 2 2 4 3" xfId="8996"/>
    <cellStyle name="Normal 3 2 3 2 2 4 3 2" xfId="28469"/>
    <cellStyle name="Normal 3 2 3 2 2 4 3 3" xfId="41449"/>
    <cellStyle name="Normal 3 2 3 2 2 4 3 4" xfId="57678"/>
    <cellStyle name="Normal 3 2 3 2 2 4 4" xfId="15489"/>
    <cellStyle name="Normal 3 2 3 2 2 4 4 2" xfId="51188"/>
    <cellStyle name="Normal 3 2 3 2 2 4 5" xfId="21979"/>
    <cellStyle name="Normal 3 2 3 2 2 4 6" xfId="34959"/>
    <cellStyle name="Normal 3 2 3 2 2 4 7" xfId="47942"/>
    <cellStyle name="Normal 3 2 3 2 2 5" xfId="4086"/>
    <cellStyle name="Normal 3 2 3 2 2 5 2" xfId="10618"/>
    <cellStyle name="Normal 3 2 3 2 2 5 2 2" xfId="30091"/>
    <cellStyle name="Normal 3 2 3 2 2 5 2 3" xfId="43071"/>
    <cellStyle name="Normal 3 2 3 2 2 5 2 4" xfId="59300"/>
    <cellStyle name="Normal 3 2 3 2 2 5 3" xfId="17111"/>
    <cellStyle name="Normal 3 2 3 2 2 5 4" xfId="23601"/>
    <cellStyle name="Normal 3 2 3 2 2 5 5" xfId="36581"/>
    <cellStyle name="Normal 3 2 3 2 2 5 6" xfId="52810"/>
    <cellStyle name="Normal 3 2 3 2 2 6" xfId="7373"/>
    <cellStyle name="Normal 3 2 3 2 2 6 2" xfId="26846"/>
    <cellStyle name="Normal 3 2 3 2 2 6 3" xfId="39826"/>
    <cellStyle name="Normal 3 2 3 2 2 6 4" xfId="56055"/>
    <cellStyle name="Normal 3 2 3 2 2 7" xfId="13866"/>
    <cellStyle name="Normal 3 2 3 2 2 7 2" xfId="49565"/>
    <cellStyle name="Normal 3 2 3 2 2 8" xfId="20356"/>
    <cellStyle name="Normal 3 2 3 2 2 9" xfId="33336"/>
    <cellStyle name="Normal 3 2 3 2 3" xfId="566"/>
    <cellStyle name="Normal 3 2 3 2 3 2" xfId="1515"/>
    <cellStyle name="Normal 3 2 3 2 3 2 2" xfId="3182"/>
    <cellStyle name="Normal 3 2 3 2 3 2 2 2" xfId="6427"/>
    <cellStyle name="Normal 3 2 3 2 3 2 2 2 2" xfId="12959"/>
    <cellStyle name="Normal 3 2 3 2 3 2 2 2 2 2" xfId="32432"/>
    <cellStyle name="Normal 3 2 3 2 3 2 2 2 2 3" xfId="45412"/>
    <cellStyle name="Normal 3 2 3 2 3 2 2 2 2 4" xfId="61641"/>
    <cellStyle name="Normal 3 2 3 2 3 2 2 2 3" xfId="19452"/>
    <cellStyle name="Normal 3 2 3 2 3 2 2 2 4" xfId="25942"/>
    <cellStyle name="Normal 3 2 3 2 3 2 2 2 5" xfId="38922"/>
    <cellStyle name="Normal 3 2 3 2 3 2 2 2 6" xfId="55151"/>
    <cellStyle name="Normal 3 2 3 2 3 2 2 3" xfId="9714"/>
    <cellStyle name="Normal 3 2 3 2 3 2 2 3 2" xfId="29187"/>
    <cellStyle name="Normal 3 2 3 2 3 2 2 3 3" xfId="42167"/>
    <cellStyle name="Normal 3 2 3 2 3 2 2 3 4" xfId="58396"/>
    <cellStyle name="Normal 3 2 3 2 3 2 2 4" xfId="16207"/>
    <cellStyle name="Normal 3 2 3 2 3 2 2 4 2" xfId="51906"/>
    <cellStyle name="Normal 3 2 3 2 3 2 2 5" xfId="22697"/>
    <cellStyle name="Normal 3 2 3 2 3 2 2 6" xfId="35677"/>
    <cellStyle name="Normal 3 2 3 2 3 2 2 7" xfId="48660"/>
    <cellStyle name="Normal 3 2 3 2 3 2 3" xfId="4804"/>
    <cellStyle name="Normal 3 2 3 2 3 2 3 2" xfId="11336"/>
    <cellStyle name="Normal 3 2 3 2 3 2 3 2 2" xfId="30809"/>
    <cellStyle name="Normal 3 2 3 2 3 2 3 2 3" xfId="43789"/>
    <cellStyle name="Normal 3 2 3 2 3 2 3 2 4" xfId="60018"/>
    <cellStyle name="Normal 3 2 3 2 3 2 3 3" xfId="17829"/>
    <cellStyle name="Normal 3 2 3 2 3 2 3 4" xfId="24319"/>
    <cellStyle name="Normal 3 2 3 2 3 2 3 5" xfId="37299"/>
    <cellStyle name="Normal 3 2 3 2 3 2 3 6" xfId="53528"/>
    <cellStyle name="Normal 3 2 3 2 3 2 4" xfId="8091"/>
    <cellStyle name="Normal 3 2 3 2 3 2 4 2" xfId="27564"/>
    <cellStyle name="Normal 3 2 3 2 3 2 4 3" xfId="40544"/>
    <cellStyle name="Normal 3 2 3 2 3 2 4 4" xfId="56773"/>
    <cellStyle name="Normal 3 2 3 2 3 2 5" xfId="14584"/>
    <cellStyle name="Normal 3 2 3 2 3 2 5 2" xfId="50283"/>
    <cellStyle name="Normal 3 2 3 2 3 2 6" xfId="21074"/>
    <cellStyle name="Normal 3 2 3 2 3 2 7" xfId="34054"/>
    <cellStyle name="Normal 3 2 3 2 3 2 8" xfId="47037"/>
    <cellStyle name="Normal 3 2 3 2 3 3" xfId="2234"/>
    <cellStyle name="Normal 3 2 3 2 3 3 2" xfId="5479"/>
    <cellStyle name="Normal 3 2 3 2 3 3 2 2" xfId="12011"/>
    <cellStyle name="Normal 3 2 3 2 3 3 2 2 2" xfId="31484"/>
    <cellStyle name="Normal 3 2 3 2 3 3 2 2 3" xfId="44464"/>
    <cellStyle name="Normal 3 2 3 2 3 3 2 2 4" xfId="60693"/>
    <cellStyle name="Normal 3 2 3 2 3 3 2 3" xfId="18504"/>
    <cellStyle name="Normal 3 2 3 2 3 3 2 4" xfId="24994"/>
    <cellStyle name="Normal 3 2 3 2 3 3 2 5" xfId="37974"/>
    <cellStyle name="Normal 3 2 3 2 3 3 2 6" xfId="54203"/>
    <cellStyle name="Normal 3 2 3 2 3 3 3" xfId="8766"/>
    <cellStyle name="Normal 3 2 3 2 3 3 3 2" xfId="28239"/>
    <cellStyle name="Normal 3 2 3 2 3 3 3 3" xfId="41219"/>
    <cellStyle name="Normal 3 2 3 2 3 3 3 4" xfId="57448"/>
    <cellStyle name="Normal 3 2 3 2 3 3 4" xfId="15259"/>
    <cellStyle name="Normal 3 2 3 2 3 3 4 2" xfId="50958"/>
    <cellStyle name="Normal 3 2 3 2 3 3 5" xfId="21749"/>
    <cellStyle name="Normal 3 2 3 2 3 3 6" xfId="34729"/>
    <cellStyle name="Normal 3 2 3 2 3 3 7" xfId="47712"/>
    <cellStyle name="Normal 3 2 3 2 3 4" xfId="3856"/>
    <cellStyle name="Normal 3 2 3 2 3 4 2" xfId="10388"/>
    <cellStyle name="Normal 3 2 3 2 3 4 2 2" xfId="29861"/>
    <cellStyle name="Normal 3 2 3 2 3 4 2 3" xfId="42841"/>
    <cellStyle name="Normal 3 2 3 2 3 4 2 4" xfId="59070"/>
    <cellStyle name="Normal 3 2 3 2 3 4 3" xfId="16881"/>
    <cellStyle name="Normal 3 2 3 2 3 4 4" xfId="23371"/>
    <cellStyle name="Normal 3 2 3 2 3 4 5" xfId="36351"/>
    <cellStyle name="Normal 3 2 3 2 3 4 6" xfId="52580"/>
    <cellStyle name="Normal 3 2 3 2 3 5" xfId="7143"/>
    <cellStyle name="Normal 3 2 3 2 3 5 2" xfId="26616"/>
    <cellStyle name="Normal 3 2 3 2 3 5 3" xfId="39596"/>
    <cellStyle name="Normal 3 2 3 2 3 5 4" xfId="55825"/>
    <cellStyle name="Normal 3 2 3 2 3 6" xfId="13636"/>
    <cellStyle name="Normal 3 2 3 2 3 6 2" xfId="49335"/>
    <cellStyle name="Normal 3 2 3 2 3 7" xfId="20126"/>
    <cellStyle name="Normal 3 2 3 2 3 8" xfId="33106"/>
    <cellStyle name="Normal 3 2 3 2 3 9" xfId="46089"/>
    <cellStyle name="Normal 3 2 3 2 4" xfId="1052"/>
    <cellStyle name="Normal 3 2 3 2 4 2" xfId="2719"/>
    <cellStyle name="Normal 3 2 3 2 4 2 2" xfId="5964"/>
    <cellStyle name="Normal 3 2 3 2 4 2 2 2" xfId="12496"/>
    <cellStyle name="Normal 3 2 3 2 4 2 2 2 2" xfId="31969"/>
    <cellStyle name="Normal 3 2 3 2 4 2 2 2 3" xfId="44949"/>
    <cellStyle name="Normal 3 2 3 2 4 2 2 2 4" xfId="61178"/>
    <cellStyle name="Normal 3 2 3 2 4 2 2 3" xfId="18989"/>
    <cellStyle name="Normal 3 2 3 2 4 2 2 4" xfId="25479"/>
    <cellStyle name="Normal 3 2 3 2 4 2 2 5" xfId="38459"/>
    <cellStyle name="Normal 3 2 3 2 4 2 2 6" xfId="54688"/>
    <cellStyle name="Normal 3 2 3 2 4 2 3" xfId="9251"/>
    <cellStyle name="Normal 3 2 3 2 4 2 3 2" xfId="28724"/>
    <cellStyle name="Normal 3 2 3 2 4 2 3 3" xfId="41704"/>
    <cellStyle name="Normal 3 2 3 2 4 2 3 4" xfId="57933"/>
    <cellStyle name="Normal 3 2 3 2 4 2 4" xfId="15744"/>
    <cellStyle name="Normal 3 2 3 2 4 2 4 2" xfId="51443"/>
    <cellStyle name="Normal 3 2 3 2 4 2 5" xfId="22234"/>
    <cellStyle name="Normal 3 2 3 2 4 2 6" xfId="35214"/>
    <cellStyle name="Normal 3 2 3 2 4 2 7" xfId="48197"/>
    <cellStyle name="Normal 3 2 3 2 4 3" xfId="4341"/>
    <cellStyle name="Normal 3 2 3 2 4 3 2" xfId="10873"/>
    <cellStyle name="Normal 3 2 3 2 4 3 2 2" xfId="30346"/>
    <cellStyle name="Normal 3 2 3 2 4 3 2 3" xfId="43326"/>
    <cellStyle name="Normal 3 2 3 2 4 3 2 4" xfId="59555"/>
    <cellStyle name="Normal 3 2 3 2 4 3 3" xfId="17366"/>
    <cellStyle name="Normal 3 2 3 2 4 3 4" xfId="23856"/>
    <cellStyle name="Normal 3 2 3 2 4 3 5" xfId="36836"/>
    <cellStyle name="Normal 3 2 3 2 4 3 6" xfId="53065"/>
    <cellStyle name="Normal 3 2 3 2 4 4" xfId="7628"/>
    <cellStyle name="Normal 3 2 3 2 4 4 2" xfId="27101"/>
    <cellStyle name="Normal 3 2 3 2 4 4 3" xfId="40081"/>
    <cellStyle name="Normal 3 2 3 2 4 4 4" xfId="56310"/>
    <cellStyle name="Normal 3 2 3 2 4 5" xfId="14121"/>
    <cellStyle name="Normal 3 2 3 2 4 5 2" xfId="49820"/>
    <cellStyle name="Normal 3 2 3 2 4 6" xfId="20611"/>
    <cellStyle name="Normal 3 2 3 2 4 7" xfId="33591"/>
    <cellStyle name="Normal 3 2 3 2 4 8" xfId="46574"/>
    <cellStyle name="Normal 3 2 3 2 5" xfId="2005"/>
    <cellStyle name="Normal 3 2 3 2 5 2" xfId="5250"/>
    <cellStyle name="Normal 3 2 3 2 5 2 2" xfId="11782"/>
    <cellStyle name="Normal 3 2 3 2 5 2 2 2" xfId="31255"/>
    <cellStyle name="Normal 3 2 3 2 5 2 2 3" xfId="44235"/>
    <cellStyle name="Normal 3 2 3 2 5 2 2 4" xfId="60464"/>
    <cellStyle name="Normal 3 2 3 2 5 2 3" xfId="18275"/>
    <cellStyle name="Normal 3 2 3 2 5 2 4" xfId="24765"/>
    <cellStyle name="Normal 3 2 3 2 5 2 5" xfId="37745"/>
    <cellStyle name="Normal 3 2 3 2 5 2 6" xfId="53974"/>
    <cellStyle name="Normal 3 2 3 2 5 3" xfId="8537"/>
    <cellStyle name="Normal 3 2 3 2 5 3 2" xfId="28010"/>
    <cellStyle name="Normal 3 2 3 2 5 3 3" xfId="40990"/>
    <cellStyle name="Normal 3 2 3 2 5 3 4" xfId="57219"/>
    <cellStyle name="Normal 3 2 3 2 5 4" xfId="15030"/>
    <cellStyle name="Normal 3 2 3 2 5 4 2" xfId="50729"/>
    <cellStyle name="Normal 3 2 3 2 5 5" xfId="21520"/>
    <cellStyle name="Normal 3 2 3 2 5 6" xfId="34500"/>
    <cellStyle name="Normal 3 2 3 2 5 7" xfId="47483"/>
    <cellStyle name="Normal 3 2 3 2 6" xfId="3626"/>
    <cellStyle name="Normal 3 2 3 2 6 2" xfId="10158"/>
    <cellStyle name="Normal 3 2 3 2 6 2 2" xfId="29631"/>
    <cellStyle name="Normal 3 2 3 2 6 2 3" xfId="42611"/>
    <cellStyle name="Normal 3 2 3 2 6 2 4" xfId="58840"/>
    <cellStyle name="Normal 3 2 3 2 6 3" xfId="16651"/>
    <cellStyle name="Normal 3 2 3 2 6 4" xfId="23141"/>
    <cellStyle name="Normal 3 2 3 2 6 5" xfId="36121"/>
    <cellStyle name="Normal 3 2 3 2 6 6" xfId="52350"/>
    <cellStyle name="Normal 3 2 3 2 7" xfId="6913"/>
    <cellStyle name="Normal 3 2 3 2 7 2" xfId="26386"/>
    <cellStyle name="Normal 3 2 3 2 7 3" xfId="39366"/>
    <cellStyle name="Normal 3 2 3 2 7 4" xfId="55595"/>
    <cellStyle name="Normal 3 2 3 2 8" xfId="13406"/>
    <cellStyle name="Normal 3 2 3 2 8 2" xfId="49105"/>
    <cellStyle name="Normal 3 2 3 2 9" xfId="19896"/>
    <cellStyle name="Normal 3 2 3 3" xfId="708"/>
    <cellStyle name="Normal 3 2 3 3 10" xfId="46231"/>
    <cellStyle name="Normal 3 2 3 3 2" xfId="1647"/>
    <cellStyle name="Normal 3 2 3 3 2 2" xfId="3314"/>
    <cellStyle name="Normal 3 2 3 3 2 2 2" xfId="6559"/>
    <cellStyle name="Normal 3 2 3 3 2 2 2 2" xfId="13091"/>
    <cellStyle name="Normal 3 2 3 3 2 2 2 2 2" xfId="32564"/>
    <cellStyle name="Normal 3 2 3 3 2 2 2 2 3" xfId="45544"/>
    <cellStyle name="Normal 3 2 3 3 2 2 2 2 4" xfId="61773"/>
    <cellStyle name="Normal 3 2 3 3 2 2 2 3" xfId="19584"/>
    <cellStyle name="Normal 3 2 3 3 2 2 2 4" xfId="26074"/>
    <cellStyle name="Normal 3 2 3 3 2 2 2 5" xfId="39054"/>
    <cellStyle name="Normal 3 2 3 3 2 2 2 6" xfId="55283"/>
    <cellStyle name="Normal 3 2 3 3 2 2 3" xfId="9846"/>
    <cellStyle name="Normal 3 2 3 3 2 2 3 2" xfId="29319"/>
    <cellStyle name="Normal 3 2 3 3 2 2 3 3" xfId="42299"/>
    <cellStyle name="Normal 3 2 3 3 2 2 3 4" xfId="58528"/>
    <cellStyle name="Normal 3 2 3 3 2 2 4" xfId="16339"/>
    <cellStyle name="Normal 3 2 3 3 2 2 4 2" xfId="52038"/>
    <cellStyle name="Normal 3 2 3 3 2 2 5" xfId="22829"/>
    <cellStyle name="Normal 3 2 3 3 2 2 6" xfId="35809"/>
    <cellStyle name="Normal 3 2 3 3 2 2 7" xfId="48792"/>
    <cellStyle name="Normal 3 2 3 3 2 3" xfId="4936"/>
    <cellStyle name="Normal 3 2 3 3 2 3 2" xfId="11468"/>
    <cellStyle name="Normal 3 2 3 3 2 3 2 2" xfId="30941"/>
    <cellStyle name="Normal 3 2 3 3 2 3 2 3" xfId="43921"/>
    <cellStyle name="Normal 3 2 3 3 2 3 2 4" xfId="60150"/>
    <cellStyle name="Normal 3 2 3 3 2 3 3" xfId="17961"/>
    <cellStyle name="Normal 3 2 3 3 2 3 4" xfId="24451"/>
    <cellStyle name="Normal 3 2 3 3 2 3 5" xfId="37431"/>
    <cellStyle name="Normal 3 2 3 3 2 3 6" xfId="53660"/>
    <cellStyle name="Normal 3 2 3 3 2 4" xfId="8223"/>
    <cellStyle name="Normal 3 2 3 3 2 4 2" xfId="27696"/>
    <cellStyle name="Normal 3 2 3 3 2 4 3" xfId="40676"/>
    <cellStyle name="Normal 3 2 3 3 2 4 4" xfId="56905"/>
    <cellStyle name="Normal 3 2 3 3 2 5" xfId="14716"/>
    <cellStyle name="Normal 3 2 3 3 2 5 2" xfId="50415"/>
    <cellStyle name="Normal 3 2 3 3 2 6" xfId="21206"/>
    <cellStyle name="Normal 3 2 3 3 2 7" xfId="34186"/>
    <cellStyle name="Normal 3 2 3 3 2 8" xfId="47169"/>
    <cellStyle name="Normal 3 2 3 3 3" xfId="1184"/>
    <cellStyle name="Normal 3 2 3 3 3 2" xfId="2851"/>
    <cellStyle name="Normal 3 2 3 3 3 2 2" xfId="6096"/>
    <cellStyle name="Normal 3 2 3 3 3 2 2 2" xfId="12628"/>
    <cellStyle name="Normal 3 2 3 3 3 2 2 2 2" xfId="32101"/>
    <cellStyle name="Normal 3 2 3 3 3 2 2 2 3" xfId="45081"/>
    <cellStyle name="Normal 3 2 3 3 3 2 2 2 4" xfId="61310"/>
    <cellStyle name="Normal 3 2 3 3 3 2 2 3" xfId="19121"/>
    <cellStyle name="Normal 3 2 3 3 3 2 2 4" xfId="25611"/>
    <cellStyle name="Normal 3 2 3 3 3 2 2 5" xfId="38591"/>
    <cellStyle name="Normal 3 2 3 3 3 2 2 6" xfId="54820"/>
    <cellStyle name="Normal 3 2 3 3 3 2 3" xfId="9383"/>
    <cellStyle name="Normal 3 2 3 3 3 2 3 2" xfId="28856"/>
    <cellStyle name="Normal 3 2 3 3 3 2 3 3" xfId="41836"/>
    <cellStyle name="Normal 3 2 3 3 3 2 3 4" xfId="58065"/>
    <cellStyle name="Normal 3 2 3 3 3 2 4" xfId="15876"/>
    <cellStyle name="Normal 3 2 3 3 3 2 4 2" xfId="51575"/>
    <cellStyle name="Normal 3 2 3 3 3 2 5" xfId="22366"/>
    <cellStyle name="Normal 3 2 3 3 3 2 6" xfId="35346"/>
    <cellStyle name="Normal 3 2 3 3 3 2 7" xfId="48329"/>
    <cellStyle name="Normal 3 2 3 3 3 3" xfId="4473"/>
    <cellStyle name="Normal 3 2 3 3 3 3 2" xfId="11005"/>
    <cellStyle name="Normal 3 2 3 3 3 3 2 2" xfId="30478"/>
    <cellStyle name="Normal 3 2 3 3 3 3 2 3" xfId="43458"/>
    <cellStyle name="Normal 3 2 3 3 3 3 2 4" xfId="59687"/>
    <cellStyle name="Normal 3 2 3 3 3 3 3" xfId="17498"/>
    <cellStyle name="Normal 3 2 3 3 3 3 4" xfId="23988"/>
    <cellStyle name="Normal 3 2 3 3 3 3 5" xfId="36968"/>
    <cellStyle name="Normal 3 2 3 3 3 3 6" xfId="53197"/>
    <cellStyle name="Normal 3 2 3 3 3 4" xfId="7760"/>
    <cellStyle name="Normal 3 2 3 3 3 4 2" xfId="27233"/>
    <cellStyle name="Normal 3 2 3 3 3 4 3" xfId="40213"/>
    <cellStyle name="Normal 3 2 3 3 3 4 4" xfId="56442"/>
    <cellStyle name="Normal 3 2 3 3 3 5" xfId="14253"/>
    <cellStyle name="Normal 3 2 3 3 3 5 2" xfId="49952"/>
    <cellStyle name="Normal 3 2 3 3 3 6" xfId="20743"/>
    <cellStyle name="Normal 3 2 3 3 3 7" xfId="33723"/>
    <cellStyle name="Normal 3 2 3 3 3 8" xfId="46706"/>
    <cellStyle name="Normal 3 2 3 3 4" xfId="2376"/>
    <cellStyle name="Normal 3 2 3 3 4 2" xfId="5621"/>
    <cellStyle name="Normal 3 2 3 3 4 2 2" xfId="12153"/>
    <cellStyle name="Normal 3 2 3 3 4 2 2 2" xfId="31626"/>
    <cellStyle name="Normal 3 2 3 3 4 2 2 3" xfId="44606"/>
    <cellStyle name="Normal 3 2 3 3 4 2 2 4" xfId="60835"/>
    <cellStyle name="Normal 3 2 3 3 4 2 3" xfId="18646"/>
    <cellStyle name="Normal 3 2 3 3 4 2 4" xfId="25136"/>
    <cellStyle name="Normal 3 2 3 3 4 2 5" xfId="38116"/>
    <cellStyle name="Normal 3 2 3 3 4 2 6" xfId="54345"/>
    <cellStyle name="Normal 3 2 3 3 4 3" xfId="8908"/>
    <cellStyle name="Normal 3 2 3 3 4 3 2" xfId="28381"/>
    <cellStyle name="Normal 3 2 3 3 4 3 3" xfId="41361"/>
    <cellStyle name="Normal 3 2 3 3 4 3 4" xfId="57590"/>
    <cellStyle name="Normal 3 2 3 3 4 4" xfId="15401"/>
    <cellStyle name="Normal 3 2 3 3 4 4 2" xfId="51100"/>
    <cellStyle name="Normal 3 2 3 3 4 5" xfId="21891"/>
    <cellStyle name="Normal 3 2 3 3 4 6" xfId="34871"/>
    <cellStyle name="Normal 3 2 3 3 4 7" xfId="47854"/>
    <cellStyle name="Normal 3 2 3 3 5" xfId="3998"/>
    <cellStyle name="Normal 3 2 3 3 5 2" xfId="10530"/>
    <cellStyle name="Normal 3 2 3 3 5 2 2" xfId="30003"/>
    <cellStyle name="Normal 3 2 3 3 5 2 3" xfId="42983"/>
    <cellStyle name="Normal 3 2 3 3 5 2 4" xfId="59212"/>
    <cellStyle name="Normal 3 2 3 3 5 3" xfId="17023"/>
    <cellStyle name="Normal 3 2 3 3 5 4" xfId="23513"/>
    <cellStyle name="Normal 3 2 3 3 5 5" xfId="36493"/>
    <cellStyle name="Normal 3 2 3 3 5 6" xfId="52722"/>
    <cellStyle name="Normal 3 2 3 3 6" xfId="7285"/>
    <cellStyle name="Normal 3 2 3 3 6 2" xfId="26758"/>
    <cellStyle name="Normal 3 2 3 3 6 3" xfId="39738"/>
    <cellStyle name="Normal 3 2 3 3 6 4" xfId="55967"/>
    <cellStyle name="Normal 3 2 3 3 7" xfId="13778"/>
    <cellStyle name="Normal 3 2 3 3 7 2" xfId="49477"/>
    <cellStyle name="Normal 3 2 3 3 8" xfId="20268"/>
    <cellStyle name="Normal 3 2 3 3 9" xfId="33248"/>
    <cellStyle name="Normal 3 2 3 4" xfId="478"/>
    <cellStyle name="Normal 3 2 3 4 2" xfId="1427"/>
    <cellStyle name="Normal 3 2 3 4 2 2" xfId="3094"/>
    <cellStyle name="Normal 3 2 3 4 2 2 2" xfId="6339"/>
    <cellStyle name="Normal 3 2 3 4 2 2 2 2" xfId="12871"/>
    <cellStyle name="Normal 3 2 3 4 2 2 2 2 2" xfId="32344"/>
    <cellStyle name="Normal 3 2 3 4 2 2 2 2 3" xfId="45324"/>
    <cellStyle name="Normal 3 2 3 4 2 2 2 2 4" xfId="61553"/>
    <cellStyle name="Normal 3 2 3 4 2 2 2 3" xfId="19364"/>
    <cellStyle name="Normal 3 2 3 4 2 2 2 4" xfId="25854"/>
    <cellStyle name="Normal 3 2 3 4 2 2 2 5" xfId="38834"/>
    <cellStyle name="Normal 3 2 3 4 2 2 2 6" xfId="55063"/>
    <cellStyle name="Normal 3 2 3 4 2 2 3" xfId="9626"/>
    <cellStyle name="Normal 3 2 3 4 2 2 3 2" xfId="29099"/>
    <cellStyle name="Normal 3 2 3 4 2 2 3 3" xfId="42079"/>
    <cellStyle name="Normal 3 2 3 4 2 2 3 4" xfId="58308"/>
    <cellStyle name="Normal 3 2 3 4 2 2 4" xfId="16119"/>
    <cellStyle name="Normal 3 2 3 4 2 2 4 2" xfId="51818"/>
    <cellStyle name="Normal 3 2 3 4 2 2 5" xfId="22609"/>
    <cellStyle name="Normal 3 2 3 4 2 2 6" xfId="35589"/>
    <cellStyle name="Normal 3 2 3 4 2 2 7" xfId="48572"/>
    <cellStyle name="Normal 3 2 3 4 2 3" xfId="4716"/>
    <cellStyle name="Normal 3 2 3 4 2 3 2" xfId="11248"/>
    <cellStyle name="Normal 3 2 3 4 2 3 2 2" xfId="30721"/>
    <cellStyle name="Normal 3 2 3 4 2 3 2 3" xfId="43701"/>
    <cellStyle name="Normal 3 2 3 4 2 3 2 4" xfId="59930"/>
    <cellStyle name="Normal 3 2 3 4 2 3 3" xfId="17741"/>
    <cellStyle name="Normal 3 2 3 4 2 3 4" xfId="24231"/>
    <cellStyle name="Normal 3 2 3 4 2 3 5" xfId="37211"/>
    <cellStyle name="Normal 3 2 3 4 2 3 6" xfId="53440"/>
    <cellStyle name="Normal 3 2 3 4 2 4" xfId="8003"/>
    <cellStyle name="Normal 3 2 3 4 2 4 2" xfId="27476"/>
    <cellStyle name="Normal 3 2 3 4 2 4 3" xfId="40456"/>
    <cellStyle name="Normal 3 2 3 4 2 4 4" xfId="56685"/>
    <cellStyle name="Normal 3 2 3 4 2 5" xfId="14496"/>
    <cellStyle name="Normal 3 2 3 4 2 5 2" xfId="50195"/>
    <cellStyle name="Normal 3 2 3 4 2 6" xfId="20986"/>
    <cellStyle name="Normal 3 2 3 4 2 7" xfId="33966"/>
    <cellStyle name="Normal 3 2 3 4 2 8" xfId="46949"/>
    <cellStyle name="Normal 3 2 3 4 3" xfId="2146"/>
    <cellStyle name="Normal 3 2 3 4 3 2" xfId="5391"/>
    <cellStyle name="Normal 3 2 3 4 3 2 2" xfId="11923"/>
    <cellStyle name="Normal 3 2 3 4 3 2 2 2" xfId="31396"/>
    <cellStyle name="Normal 3 2 3 4 3 2 2 3" xfId="44376"/>
    <cellStyle name="Normal 3 2 3 4 3 2 2 4" xfId="60605"/>
    <cellStyle name="Normal 3 2 3 4 3 2 3" xfId="18416"/>
    <cellStyle name="Normal 3 2 3 4 3 2 4" xfId="24906"/>
    <cellStyle name="Normal 3 2 3 4 3 2 5" xfId="37886"/>
    <cellStyle name="Normal 3 2 3 4 3 2 6" xfId="54115"/>
    <cellStyle name="Normal 3 2 3 4 3 3" xfId="8678"/>
    <cellStyle name="Normal 3 2 3 4 3 3 2" xfId="28151"/>
    <cellStyle name="Normal 3 2 3 4 3 3 3" xfId="41131"/>
    <cellStyle name="Normal 3 2 3 4 3 3 4" xfId="57360"/>
    <cellStyle name="Normal 3 2 3 4 3 4" xfId="15171"/>
    <cellStyle name="Normal 3 2 3 4 3 4 2" xfId="50870"/>
    <cellStyle name="Normal 3 2 3 4 3 5" xfId="21661"/>
    <cellStyle name="Normal 3 2 3 4 3 6" xfId="34641"/>
    <cellStyle name="Normal 3 2 3 4 3 7" xfId="47624"/>
    <cellStyle name="Normal 3 2 3 4 4" xfId="3768"/>
    <cellStyle name="Normal 3 2 3 4 4 2" xfId="10300"/>
    <cellStyle name="Normal 3 2 3 4 4 2 2" xfId="29773"/>
    <cellStyle name="Normal 3 2 3 4 4 2 3" xfId="42753"/>
    <cellStyle name="Normal 3 2 3 4 4 2 4" xfId="58982"/>
    <cellStyle name="Normal 3 2 3 4 4 3" xfId="16793"/>
    <cellStyle name="Normal 3 2 3 4 4 4" xfId="23283"/>
    <cellStyle name="Normal 3 2 3 4 4 5" xfId="36263"/>
    <cellStyle name="Normal 3 2 3 4 4 6" xfId="52492"/>
    <cellStyle name="Normal 3 2 3 4 5" xfId="7055"/>
    <cellStyle name="Normal 3 2 3 4 5 2" xfId="26528"/>
    <cellStyle name="Normal 3 2 3 4 5 3" xfId="39508"/>
    <cellStyle name="Normal 3 2 3 4 5 4" xfId="55737"/>
    <cellStyle name="Normal 3 2 3 4 6" xfId="13548"/>
    <cellStyle name="Normal 3 2 3 4 6 2" xfId="49247"/>
    <cellStyle name="Normal 3 2 3 4 7" xfId="20038"/>
    <cellStyle name="Normal 3 2 3 4 8" xfId="33018"/>
    <cellStyle name="Normal 3 2 3 4 9" xfId="46001"/>
    <cellStyle name="Normal 3 2 3 5" xfId="964"/>
    <cellStyle name="Normal 3 2 3 5 2" xfId="2631"/>
    <cellStyle name="Normal 3 2 3 5 2 2" xfId="5876"/>
    <cellStyle name="Normal 3 2 3 5 2 2 2" xfId="12408"/>
    <cellStyle name="Normal 3 2 3 5 2 2 2 2" xfId="31881"/>
    <cellStyle name="Normal 3 2 3 5 2 2 2 3" xfId="44861"/>
    <cellStyle name="Normal 3 2 3 5 2 2 2 4" xfId="61090"/>
    <cellStyle name="Normal 3 2 3 5 2 2 3" xfId="18901"/>
    <cellStyle name="Normal 3 2 3 5 2 2 4" xfId="25391"/>
    <cellStyle name="Normal 3 2 3 5 2 2 5" xfId="38371"/>
    <cellStyle name="Normal 3 2 3 5 2 2 6" xfId="54600"/>
    <cellStyle name="Normal 3 2 3 5 2 3" xfId="9163"/>
    <cellStyle name="Normal 3 2 3 5 2 3 2" xfId="28636"/>
    <cellStyle name="Normal 3 2 3 5 2 3 3" xfId="41616"/>
    <cellStyle name="Normal 3 2 3 5 2 3 4" xfId="57845"/>
    <cellStyle name="Normal 3 2 3 5 2 4" xfId="15656"/>
    <cellStyle name="Normal 3 2 3 5 2 4 2" xfId="51355"/>
    <cellStyle name="Normal 3 2 3 5 2 5" xfId="22146"/>
    <cellStyle name="Normal 3 2 3 5 2 6" xfId="35126"/>
    <cellStyle name="Normal 3 2 3 5 2 7" xfId="48109"/>
    <cellStyle name="Normal 3 2 3 5 3" xfId="4253"/>
    <cellStyle name="Normal 3 2 3 5 3 2" xfId="10785"/>
    <cellStyle name="Normal 3 2 3 5 3 2 2" xfId="30258"/>
    <cellStyle name="Normal 3 2 3 5 3 2 3" xfId="43238"/>
    <cellStyle name="Normal 3 2 3 5 3 2 4" xfId="59467"/>
    <cellStyle name="Normal 3 2 3 5 3 3" xfId="17278"/>
    <cellStyle name="Normal 3 2 3 5 3 4" xfId="23768"/>
    <cellStyle name="Normal 3 2 3 5 3 5" xfId="36748"/>
    <cellStyle name="Normal 3 2 3 5 3 6" xfId="52977"/>
    <cellStyle name="Normal 3 2 3 5 4" xfId="7540"/>
    <cellStyle name="Normal 3 2 3 5 4 2" xfId="27013"/>
    <cellStyle name="Normal 3 2 3 5 4 3" xfId="39993"/>
    <cellStyle name="Normal 3 2 3 5 4 4" xfId="56222"/>
    <cellStyle name="Normal 3 2 3 5 5" xfId="14033"/>
    <cellStyle name="Normal 3 2 3 5 5 2" xfId="49732"/>
    <cellStyle name="Normal 3 2 3 5 6" xfId="20523"/>
    <cellStyle name="Normal 3 2 3 5 7" xfId="33503"/>
    <cellStyle name="Normal 3 2 3 5 8" xfId="46486"/>
    <cellStyle name="Normal 3 2 3 6" xfId="1917"/>
    <cellStyle name="Normal 3 2 3 6 2" xfId="5162"/>
    <cellStyle name="Normal 3 2 3 6 2 2" xfId="11694"/>
    <cellStyle name="Normal 3 2 3 6 2 2 2" xfId="31167"/>
    <cellStyle name="Normal 3 2 3 6 2 2 3" xfId="44147"/>
    <cellStyle name="Normal 3 2 3 6 2 2 4" xfId="60376"/>
    <cellStyle name="Normal 3 2 3 6 2 3" xfId="18187"/>
    <cellStyle name="Normal 3 2 3 6 2 4" xfId="24677"/>
    <cellStyle name="Normal 3 2 3 6 2 5" xfId="37657"/>
    <cellStyle name="Normal 3 2 3 6 2 6" xfId="53886"/>
    <cellStyle name="Normal 3 2 3 6 3" xfId="8449"/>
    <cellStyle name="Normal 3 2 3 6 3 2" xfId="27922"/>
    <cellStyle name="Normal 3 2 3 6 3 3" xfId="40902"/>
    <cellStyle name="Normal 3 2 3 6 3 4" xfId="57131"/>
    <cellStyle name="Normal 3 2 3 6 4" xfId="14942"/>
    <cellStyle name="Normal 3 2 3 6 4 2" xfId="50641"/>
    <cellStyle name="Normal 3 2 3 6 5" xfId="21432"/>
    <cellStyle name="Normal 3 2 3 6 6" xfId="34412"/>
    <cellStyle name="Normal 3 2 3 6 7" xfId="47395"/>
    <cellStyle name="Normal 3 2 3 7" xfId="3538"/>
    <cellStyle name="Normal 3 2 3 7 2" xfId="10070"/>
    <cellStyle name="Normal 3 2 3 7 2 2" xfId="29543"/>
    <cellStyle name="Normal 3 2 3 7 2 3" xfId="42523"/>
    <cellStyle name="Normal 3 2 3 7 2 4" xfId="58752"/>
    <cellStyle name="Normal 3 2 3 7 3" xfId="16563"/>
    <cellStyle name="Normal 3 2 3 7 4" xfId="23053"/>
    <cellStyle name="Normal 3 2 3 7 5" xfId="36033"/>
    <cellStyle name="Normal 3 2 3 7 6" xfId="52262"/>
    <cellStyle name="Normal 3 2 3 8" xfId="6825"/>
    <cellStyle name="Normal 3 2 3 8 2" xfId="26298"/>
    <cellStyle name="Normal 3 2 3 8 3" xfId="39278"/>
    <cellStyle name="Normal 3 2 3 8 4" xfId="55507"/>
    <cellStyle name="Normal 3 2 3 9" xfId="13318"/>
    <cellStyle name="Normal 3 2 3 9 2" xfId="49017"/>
    <cellStyle name="Normal 3 2 4" xfId="200"/>
    <cellStyle name="Normal 3 2 4 10" xfId="32744"/>
    <cellStyle name="Normal 3 2 4 11" xfId="45727"/>
    <cellStyle name="Normal 3 2 4 2" xfId="664"/>
    <cellStyle name="Normal 3 2 4 2 10" xfId="46187"/>
    <cellStyle name="Normal 3 2 4 2 2" xfId="1603"/>
    <cellStyle name="Normal 3 2 4 2 2 2" xfId="3270"/>
    <cellStyle name="Normal 3 2 4 2 2 2 2" xfId="6515"/>
    <cellStyle name="Normal 3 2 4 2 2 2 2 2" xfId="13047"/>
    <cellStyle name="Normal 3 2 4 2 2 2 2 2 2" xfId="32520"/>
    <cellStyle name="Normal 3 2 4 2 2 2 2 2 3" xfId="45500"/>
    <cellStyle name="Normal 3 2 4 2 2 2 2 2 4" xfId="61729"/>
    <cellStyle name="Normal 3 2 4 2 2 2 2 3" xfId="19540"/>
    <cellStyle name="Normal 3 2 4 2 2 2 2 4" xfId="26030"/>
    <cellStyle name="Normal 3 2 4 2 2 2 2 5" xfId="39010"/>
    <cellStyle name="Normal 3 2 4 2 2 2 2 6" xfId="55239"/>
    <cellStyle name="Normal 3 2 4 2 2 2 3" xfId="9802"/>
    <cellStyle name="Normal 3 2 4 2 2 2 3 2" xfId="29275"/>
    <cellStyle name="Normal 3 2 4 2 2 2 3 3" xfId="42255"/>
    <cellStyle name="Normal 3 2 4 2 2 2 3 4" xfId="58484"/>
    <cellStyle name="Normal 3 2 4 2 2 2 4" xfId="16295"/>
    <cellStyle name="Normal 3 2 4 2 2 2 4 2" xfId="51994"/>
    <cellStyle name="Normal 3 2 4 2 2 2 5" xfId="22785"/>
    <cellStyle name="Normal 3 2 4 2 2 2 6" xfId="35765"/>
    <cellStyle name="Normal 3 2 4 2 2 2 7" xfId="48748"/>
    <cellStyle name="Normal 3 2 4 2 2 3" xfId="4892"/>
    <cellStyle name="Normal 3 2 4 2 2 3 2" xfId="11424"/>
    <cellStyle name="Normal 3 2 4 2 2 3 2 2" xfId="30897"/>
    <cellStyle name="Normal 3 2 4 2 2 3 2 3" xfId="43877"/>
    <cellStyle name="Normal 3 2 4 2 2 3 2 4" xfId="60106"/>
    <cellStyle name="Normal 3 2 4 2 2 3 3" xfId="17917"/>
    <cellStyle name="Normal 3 2 4 2 2 3 4" xfId="24407"/>
    <cellStyle name="Normal 3 2 4 2 2 3 5" xfId="37387"/>
    <cellStyle name="Normal 3 2 4 2 2 3 6" xfId="53616"/>
    <cellStyle name="Normal 3 2 4 2 2 4" xfId="8179"/>
    <cellStyle name="Normal 3 2 4 2 2 4 2" xfId="27652"/>
    <cellStyle name="Normal 3 2 4 2 2 4 3" xfId="40632"/>
    <cellStyle name="Normal 3 2 4 2 2 4 4" xfId="56861"/>
    <cellStyle name="Normal 3 2 4 2 2 5" xfId="14672"/>
    <cellStyle name="Normal 3 2 4 2 2 5 2" xfId="50371"/>
    <cellStyle name="Normal 3 2 4 2 2 6" xfId="21162"/>
    <cellStyle name="Normal 3 2 4 2 2 7" xfId="34142"/>
    <cellStyle name="Normal 3 2 4 2 2 8" xfId="47125"/>
    <cellStyle name="Normal 3 2 4 2 3" xfId="1140"/>
    <cellStyle name="Normal 3 2 4 2 3 2" xfId="2807"/>
    <cellStyle name="Normal 3 2 4 2 3 2 2" xfId="6052"/>
    <cellStyle name="Normal 3 2 4 2 3 2 2 2" xfId="12584"/>
    <cellStyle name="Normal 3 2 4 2 3 2 2 2 2" xfId="32057"/>
    <cellStyle name="Normal 3 2 4 2 3 2 2 2 3" xfId="45037"/>
    <cellStyle name="Normal 3 2 4 2 3 2 2 2 4" xfId="61266"/>
    <cellStyle name="Normal 3 2 4 2 3 2 2 3" xfId="19077"/>
    <cellStyle name="Normal 3 2 4 2 3 2 2 4" xfId="25567"/>
    <cellStyle name="Normal 3 2 4 2 3 2 2 5" xfId="38547"/>
    <cellStyle name="Normal 3 2 4 2 3 2 2 6" xfId="54776"/>
    <cellStyle name="Normal 3 2 4 2 3 2 3" xfId="9339"/>
    <cellStyle name="Normal 3 2 4 2 3 2 3 2" xfId="28812"/>
    <cellStyle name="Normal 3 2 4 2 3 2 3 3" xfId="41792"/>
    <cellStyle name="Normal 3 2 4 2 3 2 3 4" xfId="58021"/>
    <cellStyle name="Normal 3 2 4 2 3 2 4" xfId="15832"/>
    <cellStyle name="Normal 3 2 4 2 3 2 4 2" xfId="51531"/>
    <cellStyle name="Normal 3 2 4 2 3 2 5" xfId="22322"/>
    <cellStyle name="Normal 3 2 4 2 3 2 6" xfId="35302"/>
    <cellStyle name="Normal 3 2 4 2 3 2 7" xfId="48285"/>
    <cellStyle name="Normal 3 2 4 2 3 3" xfId="4429"/>
    <cellStyle name="Normal 3 2 4 2 3 3 2" xfId="10961"/>
    <cellStyle name="Normal 3 2 4 2 3 3 2 2" xfId="30434"/>
    <cellStyle name="Normal 3 2 4 2 3 3 2 3" xfId="43414"/>
    <cellStyle name="Normal 3 2 4 2 3 3 2 4" xfId="59643"/>
    <cellStyle name="Normal 3 2 4 2 3 3 3" xfId="17454"/>
    <cellStyle name="Normal 3 2 4 2 3 3 4" xfId="23944"/>
    <cellStyle name="Normal 3 2 4 2 3 3 5" xfId="36924"/>
    <cellStyle name="Normal 3 2 4 2 3 3 6" xfId="53153"/>
    <cellStyle name="Normal 3 2 4 2 3 4" xfId="7716"/>
    <cellStyle name="Normal 3 2 4 2 3 4 2" xfId="27189"/>
    <cellStyle name="Normal 3 2 4 2 3 4 3" xfId="40169"/>
    <cellStyle name="Normal 3 2 4 2 3 4 4" xfId="56398"/>
    <cellStyle name="Normal 3 2 4 2 3 5" xfId="14209"/>
    <cellStyle name="Normal 3 2 4 2 3 5 2" xfId="49908"/>
    <cellStyle name="Normal 3 2 4 2 3 6" xfId="20699"/>
    <cellStyle name="Normal 3 2 4 2 3 7" xfId="33679"/>
    <cellStyle name="Normal 3 2 4 2 3 8" xfId="46662"/>
    <cellStyle name="Normal 3 2 4 2 4" xfId="2332"/>
    <cellStyle name="Normal 3 2 4 2 4 2" xfId="5577"/>
    <cellStyle name="Normal 3 2 4 2 4 2 2" xfId="12109"/>
    <cellStyle name="Normal 3 2 4 2 4 2 2 2" xfId="31582"/>
    <cellStyle name="Normal 3 2 4 2 4 2 2 3" xfId="44562"/>
    <cellStyle name="Normal 3 2 4 2 4 2 2 4" xfId="60791"/>
    <cellStyle name="Normal 3 2 4 2 4 2 3" xfId="18602"/>
    <cellStyle name="Normal 3 2 4 2 4 2 4" xfId="25092"/>
    <cellStyle name="Normal 3 2 4 2 4 2 5" xfId="38072"/>
    <cellStyle name="Normal 3 2 4 2 4 2 6" xfId="54301"/>
    <cellStyle name="Normal 3 2 4 2 4 3" xfId="8864"/>
    <cellStyle name="Normal 3 2 4 2 4 3 2" xfId="28337"/>
    <cellStyle name="Normal 3 2 4 2 4 3 3" xfId="41317"/>
    <cellStyle name="Normal 3 2 4 2 4 3 4" xfId="57546"/>
    <cellStyle name="Normal 3 2 4 2 4 4" xfId="15357"/>
    <cellStyle name="Normal 3 2 4 2 4 4 2" xfId="51056"/>
    <cellStyle name="Normal 3 2 4 2 4 5" xfId="21847"/>
    <cellStyle name="Normal 3 2 4 2 4 6" xfId="34827"/>
    <cellStyle name="Normal 3 2 4 2 4 7" xfId="47810"/>
    <cellStyle name="Normal 3 2 4 2 5" xfId="3954"/>
    <cellStyle name="Normal 3 2 4 2 5 2" xfId="10486"/>
    <cellStyle name="Normal 3 2 4 2 5 2 2" xfId="29959"/>
    <cellStyle name="Normal 3 2 4 2 5 2 3" xfId="42939"/>
    <cellStyle name="Normal 3 2 4 2 5 2 4" xfId="59168"/>
    <cellStyle name="Normal 3 2 4 2 5 3" xfId="16979"/>
    <cellStyle name="Normal 3 2 4 2 5 4" xfId="23469"/>
    <cellStyle name="Normal 3 2 4 2 5 5" xfId="36449"/>
    <cellStyle name="Normal 3 2 4 2 5 6" xfId="52678"/>
    <cellStyle name="Normal 3 2 4 2 6" xfId="7241"/>
    <cellStyle name="Normal 3 2 4 2 6 2" xfId="26714"/>
    <cellStyle name="Normal 3 2 4 2 6 3" xfId="39694"/>
    <cellStyle name="Normal 3 2 4 2 6 4" xfId="55923"/>
    <cellStyle name="Normal 3 2 4 2 7" xfId="13734"/>
    <cellStyle name="Normal 3 2 4 2 7 2" xfId="49433"/>
    <cellStyle name="Normal 3 2 4 2 8" xfId="20224"/>
    <cellStyle name="Normal 3 2 4 2 9" xfId="33204"/>
    <cellStyle name="Normal 3 2 4 3" xfId="434"/>
    <cellStyle name="Normal 3 2 4 3 2" xfId="1383"/>
    <cellStyle name="Normal 3 2 4 3 2 2" xfId="3050"/>
    <cellStyle name="Normal 3 2 4 3 2 2 2" xfId="6295"/>
    <cellStyle name="Normal 3 2 4 3 2 2 2 2" xfId="12827"/>
    <cellStyle name="Normal 3 2 4 3 2 2 2 2 2" xfId="32300"/>
    <cellStyle name="Normal 3 2 4 3 2 2 2 2 3" xfId="45280"/>
    <cellStyle name="Normal 3 2 4 3 2 2 2 2 4" xfId="61509"/>
    <cellStyle name="Normal 3 2 4 3 2 2 2 3" xfId="19320"/>
    <cellStyle name="Normal 3 2 4 3 2 2 2 4" xfId="25810"/>
    <cellStyle name="Normal 3 2 4 3 2 2 2 5" xfId="38790"/>
    <cellStyle name="Normal 3 2 4 3 2 2 2 6" xfId="55019"/>
    <cellStyle name="Normal 3 2 4 3 2 2 3" xfId="9582"/>
    <cellStyle name="Normal 3 2 4 3 2 2 3 2" xfId="29055"/>
    <cellStyle name="Normal 3 2 4 3 2 2 3 3" xfId="42035"/>
    <cellStyle name="Normal 3 2 4 3 2 2 3 4" xfId="58264"/>
    <cellStyle name="Normal 3 2 4 3 2 2 4" xfId="16075"/>
    <cellStyle name="Normal 3 2 4 3 2 2 4 2" xfId="51774"/>
    <cellStyle name="Normal 3 2 4 3 2 2 5" xfId="22565"/>
    <cellStyle name="Normal 3 2 4 3 2 2 6" xfId="35545"/>
    <cellStyle name="Normal 3 2 4 3 2 2 7" xfId="48528"/>
    <cellStyle name="Normal 3 2 4 3 2 3" xfId="4672"/>
    <cellStyle name="Normal 3 2 4 3 2 3 2" xfId="11204"/>
    <cellStyle name="Normal 3 2 4 3 2 3 2 2" xfId="30677"/>
    <cellStyle name="Normal 3 2 4 3 2 3 2 3" xfId="43657"/>
    <cellStyle name="Normal 3 2 4 3 2 3 2 4" xfId="59886"/>
    <cellStyle name="Normal 3 2 4 3 2 3 3" xfId="17697"/>
    <cellStyle name="Normal 3 2 4 3 2 3 4" xfId="24187"/>
    <cellStyle name="Normal 3 2 4 3 2 3 5" xfId="37167"/>
    <cellStyle name="Normal 3 2 4 3 2 3 6" xfId="53396"/>
    <cellStyle name="Normal 3 2 4 3 2 4" xfId="7959"/>
    <cellStyle name="Normal 3 2 4 3 2 4 2" xfId="27432"/>
    <cellStyle name="Normal 3 2 4 3 2 4 3" xfId="40412"/>
    <cellStyle name="Normal 3 2 4 3 2 4 4" xfId="56641"/>
    <cellStyle name="Normal 3 2 4 3 2 5" xfId="14452"/>
    <cellStyle name="Normal 3 2 4 3 2 5 2" xfId="50151"/>
    <cellStyle name="Normal 3 2 4 3 2 6" xfId="20942"/>
    <cellStyle name="Normal 3 2 4 3 2 7" xfId="33922"/>
    <cellStyle name="Normal 3 2 4 3 2 8" xfId="46905"/>
    <cellStyle name="Normal 3 2 4 3 3" xfId="2102"/>
    <cellStyle name="Normal 3 2 4 3 3 2" xfId="5347"/>
    <cellStyle name="Normal 3 2 4 3 3 2 2" xfId="11879"/>
    <cellStyle name="Normal 3 2 4 3 3 2 2 2" xfId="31352"/>
    <cellStyle name="Normal 3 2 4 3 3 2 2 3" xfId="44332"/>
    <cellStyle name="Normal 3 2 4 3 3 2 2 4" xfId="60561"/>
    <cellStyle name="Normal 3 2 4 3 3 2 3" xfId="18372"/>
    <cellStyle name="Normal 3 2 4 3 3 2 4" xfId="24862"/>
    <cellStyle name="Normal 3 2 4 3 3 2 5" xfId="37842"/>
    <cellStyle name="Normal 3 2 4 3 3 2 6" xfId="54071"/>
    <cellStyle name="Normal 3 2 4 3 3 3" xfId="8634"/>
    <cellStyle name="Normal 3 2 4 3 3 3 2" xfId="28107"/>
    <cellStyle name="Normal 3 2 4 3 3 3 3" xfId="41087"/>
    <cellStyle name="Normal 3 2 4 3 3 3 4" xfId="57316"/>
    <cellStyle name="Normal 3 2 4 3 3 4" xfId="15127"/>
    <cellStyle name="Normal 3 2 4 3 3 4 2" xfId="50826"/>
    <cellStyle name="Normal 3 2 4 3 3 5" xfId="21617"/>
    <cellStyle name="Normal 3 2 4 3 3 6" xfId="34597"/>
    <cellStyle name="Normal 3 2 4 3 3 7" xfId="47580"/>
    <cellStyle name="Normal 3 2 4 3 4" xfId="3724"/>
    <cellStyle name="Normal 3 2 4 3 4 2" xfId="10256"/>
    <cellStyle name="Normal 3 2 4 3 4 2 2" xfId="29729"/>
    <cellStyle name="Normal 3 2 4 3 4 2 3" xfId="42709"/>
    <cellStyle name="Normal 3 2 4 3 4 2 4" xfId="58938"/>
    <cellStyle name="Normal 3 2 4 3 4 3" xfId="16749"/>
    <cellStyle name="Normal 3 2 4 3 4 4" xfId="23239"/>
    <cellStyle name="Normal 3 2 4 3 4 5" xfId="36219"/>
    <cellStyle name="Normal 3 2 4 3 4 6" xfId="52448"/>
    <cellStyle name="Normal 3 2 4 3 5" xfId="7011"/>
    <cellStyle name="Normal 3 2 4 3 5 2" xfId="26484"/>
    <cellStyle name="Normal 3 2 4 3 5 3" xfId="39464"/>
    <cellStyle name="Normal 3 2 4 3 5 4" xfId="55693"/>
    <cellStyle name="Normal 3 2 4 3 6" xfId="13504"/>
    <cellStyle name="Normal 3 2 4 3 6 2" xfId="49203"/>
    <cellStyle name="Normal 3 2 4 3 7" xfId="19994"/>
    <cellStyle name="Normal 3 2 4 3 8" xfId="32974"/>
    <cellStyle name="Normal 3 2 4 3 9" xfId="45957"/>
    <cellStyle name="Normal 3 2 4 4" xfId="920"/>
    <cellStyle name="Normal 3 2 4 4 2" xfId="2587"/>
    <cellStyle name="Normal 3 2 4 4 2 2" xfId="5832"/>
    <cellStyle name="Normal 3 2 4 4 2 2 2" xfId="12364"/>
    <cellStyle name="Normal 3 2 4 4 2 2 2 2" xfId="31837"/>
    <cellStyle name="Normal 3 2 4 4 2 2 2 3" xfId="44817"/>
    <cellStyle name="Normal 3 2 4 4 2 2 2 4" xfId="61046"/>
    <cellStyle name="Normal 3 2 4 4 2 2 3" xfId="18857"/>
    <cellStyle name="Normal 3 2 4 4 2 2 4" xfId="25347"/>
    <cellStyle name="Normal 3 2 4 4 2 2 5" xfId="38327"/>
    <cellStyle name="Normal 3 2 4 4 2 2 6" xfId="54556"/>
    <cellStyle name="Normal 3 2 4 4 2 3" xfId="9119"/>
    <cellStyle name="Normal 3 2 4 4 2 3 2" xfId="28592"/>
    <cellStyle name="Normal 3 2 4 4 2 3 3" xfId="41572"/>
    <cellStyle name="Normal 3 2 4 4 2 3 4" xfId="57801"/>
    <cellStyle name="Normal 3 2 4 4 2 4" xfId="15612"/>
    <cellStyle name="Normal 3 2 4 4 2 4 2" xfId="51311"/>
    <cellStyle name="Normal 3 2 4 4 2 5" xfId="22102"/>
    <cellStyle name="Normal 3 2 4 4 2 6" xfId="35082"/>
    <cellStyle name="Normal 3 2 4 4 2 7" xfId="48065"/>
    <cellStyle name="Normal 3 2 4 4 3" xfId="4209"/>
    <cellStyle name="Normal 3 2 4 4 3 2" xfId="10741"/>
    <cellStyle name="Normal 3 2 4 4 3 2 2" xfId="30214"/>
    <cellStyle name="Normal 3 2 4 4 3 2 3" xfId="43194"/>
    <cellStyle name="Normal 3 2 4 4 3 2 4" xfId="59423"/>
    <cellStyle name="Normal 3 2 4 4 3 3" xfId="17234"/>
    <cellStyle name="Normal 3 2 4 4 3 4" xfId="23724"/>
    <cellStyle name="Normal 3 2 4 4 3 5" xfId="36704"/>
    <cellStyle name="Normal 3 2 4 4 3 6" xfId="52933"/>
    <cellStyle name="Normal 3 2 4 4 4" xfId="7496"/>
    <cellStyle name="Normal 3 2 4 4 4 2" xfId="26969"/>
    <cellStyle name="Normal 3 2 4 4 4 3" xfId="39949"/>
    <cellStyle name="Normal 3 2 4 4 4 4" xfId="56178"/>
    <cellStyle name="Normal 3 2 4 4 5" xfId="13989"/>
    <cellStyle name="Normal 3 2 4 4 5 2" xfId="49688"/>
    <cellStyle name="Normal 3 2 4 4 6" xfId="20479"/>
    <cellStyle name="Normal 3 2 4 4 7" xfId="33459"/>
    <cellStyle name="Normal 3 2 4 4 8" xfId="46442"/>
    <cellStyle name="Normal 3 2 4 5" xfId="1873"/>
    <cellStyle name="Normal 3 2 4 5 2" xfId="5118"/>
    <cellStyle name="Normal 3 2 4 5 2 2" xfId="11650"/>
    <cellStyle name="Normal 3 2 4 5 2 2 2" xfId="31123"/>
    <cellStyle name="Normal 3 2 4 5 2 2 3" xfId="44103"/>
    <cellStyle name="Normal 3 2 4 5 2 2 4" xfId="60332"/>
    <cellStyle name="Normal 3 2 4 5 2 3" xfId="18143"/>
    <cellStyle name="Normal 3 2 4 5 2 4" xfId="24633"/>
    <cellStyle name="Normal 3 2 4 5 2 5" xfId="37613"/>
    <cellStyle name="Normal 3 2 4 5 2 6" xfId="53842"/>
    <cellStyle name="Normal 3 2 4 5 3" xfId="8405"/>
    <cellStyle name="Normal 3 2 4 5 3 2" xfId="27878"/>
    <cellStyle name="Normal 3 2 4 5 3 3" xfId="40858"/>
    <cellStyle name="Normal 3 2 4 5 3 4" xfId="57087"/>
    <cellStyle name="Normal 3 2 4 5 4" xfId="14898"/>
    <cellStyle name="Normal 3 2 4 5 4 2" xfId="50597"/>
    <cellStyle name="Normal 3 2 4 5 5" xfId="21388"/>
    <cellStyle name="Normal 3 2 4 5 6" xfId="34368"/>
    <cellStyle name="Normal 3 2 4 5 7" xfId="47351"/>
    <cellStyle name="Normal 3 2 4 6" xfId="3494"/>
    <cellStyle name="Normal 3 2 4 6 2" xfId="10026"/>
    <cellStyle name="Normal 3 2 4 6 2 2" xfId="29499"/>
    <cellStyle name="Normal 3 2 4 6 2 3" xfId="42479"/>
    <cellStyle name="Normal 3 2 4 6 2 4" xfId="58708"/>
    <cellStyle name="Normal 3 2 4 6 3" xfId="16519"/>
    <cellStyle name="Normal 3 2 4 6 4" xfId="23009"/>
    <cellStyle name="Normal 3 2 4 6 5" xfId="35989"/>
    <cellStyle name="Normal 3 2 4 6 6" xfId="52218"/>
    <cellStyle name="Normal 3 2 4 7" xfId="6781"/>
    <cellStyle name="Normal 3 2 4 7 2" xfId="26254"/>
    <cellStyle name="Normal 3 2 4 7 3" xfId="39234"/>
    <cellStyle name="Normal 3 2 4 7 4" xfId="55463"/>
    <cellStyle name="Normal 3 2 4 8" xfId="13274"/>
    <cellStyle name="Normal 3 2 4 8 2" xfId="48973"/>
    <cellStyle name="Normal 3 2 4 9" xfId="19764"/>
    <cellStyle name="Normal 3 2 5" xfId="288"/>
    <cellStyle name="Normal 3 2 5 10" xfId="32832"/>
    <cellStyle name="Normal 3 2 5 11" xfId="45815"/>
    <cellStyle name="Normal 3 2 5 2" xfId="752"/>
    <cellStyle name="Normal 3 2 5 2 10" xfId="46275"/>
    <cellStyle name="Normal 3 2 5 2 2" xfId="1691"/>
    <cellStyle name="Normal 3 2 5 2 2 2" xfId="3358"/>
    <cellStyle name="Normal 3 2 5 2 2 2 2" xfId="6603"/>
    <cellStyle name="Normal 3 2 5 2 2 2 2 2" xfId="13135"/>
    <cellStyle name="Normal 3 2 5 2 2 2 2 2 2" xfId="32608"/>
    <cellStyle name="Normal 3 2 5 2 2 2 2 2 3" xfId="45588"/>
    <cellStyle name="Normal 3 2 5 2 2 2 2 2 4" xfId="61817"/>
    <cellStyle name="Normal 3 2 5 2 2 2 2 3" xfId="19628"/>
    <cellStyle name="Normal 3 2 5 2 2 2 2 4" xfId="26118"/>
    <cellStyle name="Normal 3 2 5 2 2 2 2 5" xfId="39098"/>
    <cellStyle name="Normal 3 2 5 2 2 2 2 6" xfId="55327"/>
    <cellStyle name="Normal 3 2 5 2 2 2 3" xfId="9890"/>
    <cellStyle name="Normal 3 2 5 2 2 2 3 2" xfId="29363"/>
    <cellStyle name="Normal 3 2 5 2 2 2 3 3" xfId="42343"/>
    <cellStyle name="Normal 3 2 5 2 2 2 3 4" xfId="58572"/>
    <cellStyle name="Normal 3 2 5 2 2 2 4" xfId="16383"/>
    <cellStyle name="Normal 3 2 5 2 2 2 4 2" xfId="52082"/>
    <cellStyle name="Normal 3 2 5 2 2 2 5" xfId="22873"/>
    <cellStyle name="Normal 3 2 5 2 2 2 6" xfId="35853"/>
    <cellStyle name="Normal 3 2 5 2 2 2 7" xfId="48836"/>
    <cellStyle name="Normal 3 2 5 2 2 3" xfId="4980"/>
    <cellStyle name="Normal 3 2 5 2 2 3 2" xfId="11512"/>
    <cellStyle name="Normal 3 2 5 2 2 3 2 2" xfId="30985"/>
    <cellStyle name="Normal 3 2 5 2 2 3 2 3" xfId="43965"/>
    <cellStyle name="Normal 3 2 5 2 2 3 2 4" xfId="60194"/>
    <cellStyle name="Normal 3 2 5 2 2 3 3" xfId="18005"/>
    <cellStyle name="Normal 3 2 5 2 2 3 4" xfId="24495"/>
    <cellStyle name="Normal 3 2 5 2 2 3 5" xfId="37475"/>
    <cellStyle name="Normal 3 2 5 2 2 3 6" xfId="53704"/>
    <cellStyle name="Normal 3 2 5 2 2 4" xfId="8267"/>
    <cellStyle name="Normal 3 2 5 2 2 4 2" xfId="27740"/>
    <cellStyle name="Normal 3 2 5 2 2 4 3" xfId="40720"/>
    <cellStyle name="Normal 3 2 5 2 2 4 4" xfId="56949"/>
    <cellStyle name="Normal 3 2 5 2 2 5" xfId="14760"/>
    <cellStyle name="Normal 3 2 5 2 2 5 2" xfId="50459"/>
    <cellStyle name="Normal 3 2 5 2 2 6" xfId="21250"/>
    <cellStyle name="Normal 3 2 5 2 2 7" xfId="34230"/>
    <cellStyle name="Normal 3 2 5 2 2 8" xfId="47213"/>
    <cellStyle name="Normal 3 2 5 2 3" xfId="1228"/>
    <cellStyle name="Normal 3 2 5 2 3 2" xfId="2895"/>
    <cellStyle name="Normal 3 2 5 2 3 2 2" xfId="6140"/>
    <cellStyle name="Normal 3 2 5 2 3 2 2 2" xfId="12672"/>
    <cellStyle name="Normal 3 2 5 2 3 2 2 2 2" xfId="32145"/>
    <cellStyle name="Normal 3 2 5 2 3 2 2 2 3" xfId="45125"/>
    <cellStyle name="Normal 3 2 5 2 3 2 2 2 4" xfId="61354"/>
    <cellStyle name="Normal 3 2 5 2 3 2 2 3" xfId="19165"/>
    <cellStyle name="Normal 3 2 5 2 3 2 2 4" xfId="25655"/>
    <cellStyle name="Normal 3 2 5 2 3 2 2 5" xfId="38635"/>
    <cellStyle name="Normal 3 2 5 2 3 2 2 6" xfId="54864"/>
    <cellStyle name="Normal 3 2 5 2 3 2 3" xfId="9427"/>
    <cellStyle name="Normal 3 2 5 2 3 2 3 2" xfId="28900"/>
    <cellStyle name="Normal 3 2 5 2 3 2 3 3" xfId="41880"/>
    <cellStyle name="Normal 3 2 5 2 3 2 3 4" xfId="58109"/>
    <cellStyle name="Normal 3 2 5 2 3 2 4" xfId="15920"/>
    <cellStyle name="Normal 3 2 5 2 3 2 4 2" xfId="51619"/>
    <cellStyle name="Normal 3 2 5 2 3 2 5" xfId="22410"/>
    <cellStyle name="Normal 3 2 5 2 3 2 6" xfId="35390"/>
    <cellStyle name="Normal 3 2 5 2 3 2 7" xfId="48373"/>
    <cellStyle name="Normal 3 2 5 2 3 3" xfId="4517"/>
    <cellStyle name="Normal 3 2 5 2 3 3 2" xfId="11049"/>
    <cellStyle name="Normal 3 2 5 2 3 3 2 2" xfId="30522"/>
    <cellStyle name="Normal 3 2 5 2 3 3 2 3" xfId="43502"/>
    <cellStyle name="Normal 3 2 5 2 3 3 2 4" xfId="59731"/>
    <cellStyle name="Normal 3 2 5 2 3 3 3" xfId="17542"/>
    <cellStyle name="Normal 3 2 5 2 3 3 4" xfId="24032"/>
    <cellStyle name="Normal 3 2 5 2 3 3 5" xfId="37012"/>
    <cellStyle name="Normal 3 2 5 2 3 3 6" xfId="53241"/>
    <cellStyle name="Normal 3 2 5 2 3 4" xfId="7804"/>
    <cellStyle name="Normal 3 2 5 2 3 4 2" xfId="27277"/>
    <cellStyle name="Normal 3 2 5 2 3 4 3" xfId="40257"/>
    <cellStyle name="Normal 3 2 5 2 3 4 4" xfId="56486"/>
    <cellStyle name="Normal 3 2 5 2 3 5" xfId="14297"/>
    <cellStyle name="Normal 3 2 5 2 3 5 2" xfId="49996"/>
    <cellStyle name="Normal 3 2 5 2 3 6" xfId="20787"/>
    <cellStyle name="Normal 3 2 5 2 3 7" xfId="33767"/>
    <cellStyle name="Normal 3 2 5 2 3 8" xfId="46750"/>
    <cellStyle name="Normal 3 2 5 2 4" xfId="2420"/>
    <cellStyle name="Normal 3 2 5 2 4 2" xfId="5665"/>
    <cellStyle name="Normal 3 2 5 2 4 2 2" xfId="12197"/>
    <cellStyle name="Normal 3 2 5 2 4 2 2 2" xfId="31670"/>
    <cellStyle name="Normal 3 2 5 2 4 2 2 3" xfId="44650"/>
    <cellStyle name="Normal 3 2 5 2 4 2 2 4" xfId="60879"/>
    <cellStyle name="Normal 3 2 5 2 4 2 3" xfId="18690"/>
    <cellStyle name="Normal 3 2 5 2 4 2 4" xfId="25180"/>
    <cellStyle name="Normal 3 2 5 2 4 2 5" xfId="38160"/>
    <cellStyle name="Normal 3 2 5 2 4 2 6" xfId="54389"/>
    <cellStyle name="Normal 3 2 5 2 4 3" xfId="8952"/>
    <cellStyle name="Normal 3 2 5 2 4 3 2" xfId="28425"/>
    <cellStyle name="Normal 3 2 5 2 4 3 3" xfId="41405"/>
    <cellStyle name="Normal 3 2 5 2 4 3 4" xfId="57634"/>
    <cellStyle name="Normal 3 2 5 2 4 4" xfId="15445"/>
    <cellStyle name="Normal 3 2 5 2 4 4 2" xfId="51144"/>
    <cellStyle name="Normal 3 2 5 2 4 5" xfId="21935"/>
    <cellStyle name="Normal 3 2 5 2 4 6" xfId="34915"/>
    <cellStyle name="Normal 3 2 5 2 4 7" xfId="47898"/>
    <cellStyle name="Normal 3 2 5 2 5" xfId="4042"/>
    <cellStyle name="Normal 3 2 5 2 5 2" xfId="10574"/>
    <cellStyle name="Normal 3 2 5 2 5 2 2" xfId="30047"/>
    <cellStyle name="Normal 3 2 5 2 5 2 3" xfId="43027"/>
    <cellStyle name="Normal 3 2 5 2 5 2 4" xfId="59256"/>
    <cellStyle name="Normal 3 2 5 2 5 3" xfId="17067"/>
    <cellStyle name="Normal 3 2 5 2 5 4" xfId="23557"/>
    <cellStyle name="Normal 3 2 5 2 5 5" xfId="36537"/>
    <cellStyle name="Normal 3 2 5 2 5 6" xfId="52766"/>
    <cellStyle name="Normal 3 2 5 2 6" xfId="7329"/>
    <cellStyle name="Normal 3 2 5 2 6 2" xfId="26802"/>
    <cellStyle name="Normal 3 2 5 2 6 3" xfId="39782"/>
    <cellStyle name="Normal 3 2 5 2 6 4" xfId="56011"/>
    <cellStyle name="Normal 3 2 5 2 7" xfId="13822"/>
    <cellStyle name="Normal 3 2 5 2 7 2" xfId="49521"/>
    <cellStyle name="Normal 3 2 5 2 8" xfId="20312"/>
    <cellStyle name="Normal 3 2 5 2 9" xfId="33292"/>
    <cellStyle name="Normal 3 2 5 3" xfId="522"/>
    <cellStyle name="Normal 3 2 5 3 2" xfId="1471"/>
    <cellStyle name="Normal 3 2 5 3 2 2" xfId="3138"/>
    <cellStyle name="Normal 3 2 5 3 2 2 2" xfId="6383"/>
    <cellStyle name="Normal 3 2 5 3 2 2 2 2" xfId="12915"/>
    <cellStyle name="Normal 3 2 5 3 2 2 2 2 2" xfId="32388"/>
    <cellStyle name="Normal 3 2 5 3 2 2 2 2 3" xfId="45368"/>
    <cellStyle name="Normal 3 2 5 3 2 2 2 2 4" xfId="61597"/>
    <cellStyle name="Normal 3 2 5 3 2 2 2 3" xfId="19408"/>
    <cellStyle name="Normal 3 2 5 3 2 2 2 4" xfId="25898"/>
    <cellStyle name="Normal 3 2 5 3 2 2 2 5" xfId="38878"/>
    <cellStyle name="Normal 3 2 5 3 2 2 2 6" xfId="55107"/>
    <cellStyle name="Normal 3 2 5 3 2 2 3" xfId="9670"/>
    <cellStyle name="Normal 3 2 5 3 2 2 3 2" xfId="29143"/>
    <cellStyle name="Normal 3 2 5 3 2 2 3 3" xfId="42123"/>
    <cellStyle name="Normal 3 2 5 3 2 2 3 4" xfId="58352"/>
    <cellStyle name="Normal 3 2 5 3 2 2 4" xfId="16163"/>
    <cellStyle name="Normal 3 2 5 3 2 2 4 2" xfId="51862"/>
    <cellStyle name="Normal 3 2 5 3 2 2 5" xfId="22653"/>
    <cellStyle name="Normal 3 2 5 3 2 2 6" xfId="35633"/>
    <cellStyle name="Normal 3 2 5 3 2 2 7" xfId="48616"/>
    <cellStyle name="Normal 3 2 5 3 2 3" xfId="4760"/>
    <cellStyle name="Normal 3 2 5 3 2 3 2" xfId="11292"/>
    <cellStyle name="Normal 3 2 5 3 2 3 2 2" xfId="30765"/>
    <cellStyle name="Normal 3 2 5 3 2 3 2 3" xfId="43745"/>
    <cellStyle name="Normal 3 2 5 3 2 3 2 4" xfId="59974"/>
    <cellStyle name="Normal 3 2 5 3 2 3 3" xfId="17785"/>
    <cellStyle name="Normal 3 2 5 3 2 3 4" xfId="24275"/>
    <cellStyle name="Normal 3 2 5 3 2 3 5" xfId="37255"/>
    <cellStyle name="Normal 3 2 5 3 2 3 6" xfId="53484"/>
    <cellStyle name="Normal 3 2 5 3 2 4" xfId="8047"/>
    <cellStyle name="Normal 3 2 5 3 2 4 2" xfId="27520"/>
    <cellStyle name="Normal 3 2 5 3 2 4 3" xfId="40500"/>
    <cellStyle name="Normal 3 2 5 3 2 4 4" xfId="56729"/>
    <cellStyle name="Normal 3 2 5 3 2 5" xfId="14540"/>
    <cellStyle name="Normal 3 2 5 3 2 5 2" xfId="50239"/>
    <cellStyle name="Normal 3 2 5 3 2 6" xfId="21030"/>
    <cellStyle name="Normal 3 2 5 3 2 7" xfId="34010"/>
    <cellStyle name="Normal 3 2 5 3 2 8" xfId="46993"/>
    <cellStyle name="Normal 3 2 5 3 3" xfId="2190"/>
    <cellStyle name="Normal 3 2 5 3 3 2" xfId="5435"/>
    <cellStyle name="Normal 3 2 5 3 3 2 2" xfId="11967"/>
    <cellStyle name="Normal 3 2 5 3 3 2 2 2" xfId="31440"/>
    <cellStyle name="Normal 3 2 5 3 3 2 2 3" xfId="44420"/>
    <cellStyle name="Normal 3 2 5 3 3 2 2 4" xfId="60649"/>
    <cellStyle name="Normal 3 2 5 3 3 2 3" xfId="18460"/>
    <cellStyle name="Normal 3 2 5 3 3 2 4" xfId="24950"/>
    <cellStyle name="Normal 3 2 5 3 3 2 5" xfId="37930"/>
    <cellStyle name="Normal 3 2 5 3 3 2 6" xfId="54159"/>
    <cellStyle name="Normal 3 2 5 3 3 3" xfId="8722"/>
    <cellStyle name="Normal 3 2 5 3 3 3 2" xfId="28195"/>
    <cellStyle name="Normal 3 2 5 3 3 3 3" xfId="41175"/>
    <cellStyle name="Normal 3 2 5 3 3 3 4" xfId="57404"/>
    <cellStyle name="Normal 3 2 5 3 3 4" xfId="15215"/>
    <cellStyle name="Normal 3 2 5 3 3 4 2" xfId="50914"/>
    <cellStyle name="Normal 3 2 5 3 3 5" xfId="21705"/>
    <cellStyle name="Normal 3 2 5 3 3 6" xfId="34685"/>
    <cellStyle name="Normal 3 2 5 3 3 7" xfId="47668"/>
    <cellStyle name="Normal 3 2 5 3 4" xfId="3812"/>
    <cellStyle name="Normal 3 2 5 3 4 2" xfId="10344"/>
    <cellStyle name="Normal 3 2 5 3 4 2 2" xfId="29817"/>
    <cellStyle name="Normal 3 2 5 3 4 2 3" xfId="42797"/>
    <cellStyle name="Normal 3 2 5 3 4 2 4" xfId="59026"/>
    <cellStyle name="Normal 3 2 5 3 4 3" xfId="16837"/>
    <cellStyle name="Normal 3 2 5 3 4 4" xfId="23327"/>
    <cellStyle name="Normal 3 2 5 3 4 5" xfId="36307"/>
    <cellStyle name="Normal 3 2 5 3 4 6" xfId="52536"/>
    <cellStyle name="Normal 3 2 5 3 5" xfId="7099"/>
    <cellStyle name="Normal 3 2 5 3 5 2" xfId="26572"/>
    <cellStyle name="Normal 3 2 5 3 5 3" xfId="39552"/>
    <cellStyle name="Normal 3 2 5 3 5 4" xfId="55781"/>
    <cellStyle name="Normal 3 2 5 3 6" xfId="13592"/>
    <cellStyle name="Normal 3 2 5 3 6 2" xfId="49291"/>
    <cellStyle name="Normal 3 2 5 3 7" xfId="20082"/>
    <cellStyle name="Normal 3 2 5 3 8" xfId="33062"/>
    <cellStyle name="Normal 3 2 5 3 9" xfId="46045"/>
    <cellStyle name="Normal 3 2 5 4" xfId="1008"/>
    <cellStyle name="Normal 3 2 5 4 2" xfId="2675"/>
    <cellStyle name="Normal 3 2 5 4 2 2" xfId="5920"/>
    <cellStyle name="Normal 3 2 5 4 2 2 2" xfId="12452"/>
    <cellStyle name="Normal 3 2 5 4 2 2 2 2" xfId="31925"/>
    <cellStyle name="Normal 3 2 5 4 2 2 2 3" xfId="44905"/>
    <cellStyle name="Normal 3 2 5 4 2 2 2 4" xfId="61134"/>
    <cellStyle name="Normal 3 2 5 4 2 2 3" xfId="18945"/>
    <cellStyle name="Normal 3 2 5 4 2 2 4" xfId="25435"/>
    <cellStyle name="Normal 3 2 5 4 2 2 5" xfId="38415"/>
    <cellStyle name="Normal 3 2 5 4 2 2 6" xfId="54644"/>
    <cellStyle name="Normal 3 2 5 4 2 3" xfId="9207"/>
    <cellStyle name="Normal 3 2 5 4 2 3 2" xfId="28680"/>
    <cellStyle name="Normal 3 2 5 4 2 3 3" xfId="41660"/>
    <cellStyle name="Normal 3 2 5 4 2 3 4" xfId="57889"/>
    <cellStyle name="Normal 3 2 5 4 2 4" xfId="15700"/>
    <cellStyle name="Normal 3 2 5 4 2 4 2" xfId="51399"/>
    <cellStyle name="Normal 3 2 5 4 2 5" xfId="22190"/>
    <cellStyle name="Normal 3 2 5 4 2 6" xfId="35170"/>
    <cellStyle name="Normal 3 2 5 4 2 7" xfId="48153"/>
    <cellStyle name="Normal 3 2 5 4 3" xfId="4297"/>
    <cellStyle name="Normal 3 2 5 4 3 2" xfId="10829"/>
    <cellStyle name="Normal 3 2 5 4 3 2 2" xfId="30302"/>
    <cellStyle name="Normal 3 2 5 4 3 2 3" xfId="43282"/>
    <cellStyle name="Normal 3 2 5 4 3 2 4" xfId="59511"/>
    <cellStyle name="Normal 3 2 5 4 3 3" xfId="17322"/>
    <cellStyle name="Normal 3 2 5 4 3 4" xfId="23812"/>
    <cellStyle name="Normal 3 2 5 4 3 5" xfId="36792"/>
    <cellStyle name="Normal 3 2 5 4 3 6" xfId="53021"/>
    <cellStyle name="Normal 3 2 5 4 4" xfId="7584"/>
    <cellStyle name="Normal 3 2 5 4 4 2" xfId="27057"/>
    <cellStyle name="Normal 3 2 5 4 4 3" xfId="40037"/>
    <cellStyle name="Normal 3 2 5 4 4 4" xfId="56266"/>
    <cellStyle name="Normal 3 2 5 4 5" xfId="14077"/>
    <cellStyle name="Normal 3 2 5 4 5 2" xfId="49776"/>
    <cellStyle name="Normal 3 2 5 4 6" xfId="20567"/>
    <cellStyle name="Normal 3 2 5 4 7" xfId="33547"/>
    <cellStyle name="Normal 3 2 5 4 8" xfId="46530"/>
    <cellStyle name="Normal 3 2 5 5" xfId="1961"/>
    <cellStyle name="Normal 3 2 5 5 2" xfId="5206"/>
    <cellStyle name="Normal 3 2 5 5 2 2" xfId="11738"/>
    <cellStyle name="Normal 3 2 5 5 2 2 2" xfId="31211"/>
    <cellStyle name="Normal 3 2 5 5 2 2 3" xfId="44191"/>
    <cellStyle name="Normal 3 2 5 5 2 2 4" xfId="60420"/>
    <cellStyle name="Normal 3 2 5 5 2 3" xfId="18231"/>
    <cellStyle name="Normal 3 2 5 5 2 4" xfId="24721"/>
    <cellStyle name="Normal 3 2 5 5 2 5" xfId="37701"/>
    <cellStyle name="Normal 3 2 5 5 2 6" xfId="53930"/>
    <cellStyle name="Normal 3 2 5 5 3" xfId="8493"/>
    <cellStyle name="Normal 3 2 5 5 3 2" xfId="27966"/>
    <cellStyle name="Normal 3 2 5 5 3 3" xfId="40946"/>
    <cellStyle name="Normal 3 2 5 5 3 4" xfId="57175"/>
    <cellStyle name="Normal 3 2 5 5 4" xfId="14986"/>
    <cellStyle name="Normal 3 2 5 5 4 2" xfId="50685"/>
    <cellStyle name="Normal 3 2 5 5 5" xfId="21476"/>
    <cellStyle name="Normal 3 2 5 5 6" xfId="34456"/>
    <cellStyle name="Normal 3 2 5 5 7" xfId="47439"/>
    <cellStyle name="Normal 3 2 5 6" xfId="3582"/>
    <cellStyle name="Normal 3 2 5 6 2" xfId="10114"/>
    <cellStyle name="Normal 3 2 5 6 2 2" xfId="29587"/>
    <cellStyle name="Normal 3 2 5 6 2 3" xfId="42567"/>
    <cellStyle name="Normal 3 2 5 6 2 4" xfId="58796"/>
    <cellStyle name="Normal 3 2 5 6 3" xfId="16607"/>
    <cellStyle name="Normal 3 2 5 6 4" xfId="23097"/>
    <cellStyle name="Normal 3 2 5 6 5" xfId="36077"/>
    <cellStyle name="Normal 3 2 5 6 6" xfId="52306"/>
    <cellStyle name="Normal 3 2 5 7" xfId="6869"/>
    <cellStyle name="Normal 3 2 5 7 2" xfId="26342"/>
    <cellStyle name="Normal 3 2 5 7 3" xfId="39322"/>
    <cellStyle name="Normal 3 2 5 7 4" xfId="55551"/>
    <cellStyle name="Normal 3 2 5 8" xfId="13362"/>
    <cellStyle name="Normal 3 2 5 8 2" xfId="49061"/>
    <cellStyle name="Normal 3 2 5 9" xfId="19852"/>
    <cellStyle name="Normal 3 2 6" xfId="620"/>
    <cellStyle name="Normal 3 2 6 10" xfId="46143"/>
    <cellStyle name="Normal 3 2 6 2" xfId="1339"/>
    <cellStyle name="Normal 3 2 6 2 2" xfId="3006"/>
    <cellStyle name="Normal 3 2 6 2 2 2" xfId="6251"/>
    <cellStyle name="Normal 3 2 6 2 2 2 2" xfId="12783"/>
    <cellStyle name="Normal 3 2 6 2 2 2 2 2" xfId="32256"/>
    <cellStyle name="Normal 3 2 6 2 2 2 2 3" xfId="45236"/>
    <cellStyle name="Normal 3 2 6 2 2 2 2 4" xfId="61465"/>
    <cellStyle name="Normal 3 2 6 2 2 2 3" xfId="19276"/>
    <cellStyle name="Normal 3 2 6 2 2 2 4" xfId="25766"/>
    <cellStyle name="Normal 3 2 6 2 2 2 5" xfId="38746"/>
    <cellStyle name="Normal 3 2 6 2 2 2 6" xfId="54975"/>
    <cellStyle name="Normal 3 2 6 2 2 3" xfId="9538"/>
    <cellStyle name="Normal 3 2 6 2 2 3 2" xfId="29011"/>
    <cellStyle name="Normal 3 2 6 2 2 3 3" xfId="41991"/>
    <cellStyle name="Normal 3 2 6 2 2 3 4" xfId="58220"/>
    <cellStyle name="Normal 3 2 6 2 2 4" xfId="16031"/>
    <cellStyle name="Normal 3 2 6 2 2 4 2" xfId="51730"/>
    <cellStyle name="Normal 3 2 6 2 2 5" xfId="22521"/>
    <cellStyle name="Normal 3 2 6 2 2 6" xfId="35501"/>
    <cellStyle name="Normal 3 2 6 2 2 7" xfId="48484"/>
    <cellStyle name="Normal 3 2 6 2 3" xfId="4628"/>
    <cellStyle name="Normal 3 2 6 2 3 2" xfId="11160"/>
    <cellStyle name="Normal 3 2 6 2 3 2 2" xfId="30633"/>
    <cellStyle name="Normal 3 2 6 2 3 2 3" xfId="43613"/>
    <cellStyle name="Normal 3 2 6 2 3 2 4" xfId="59842"/>
    <cellStyle name="Normal 3 2 6 2 3 3" xfId="17653"/>
    <cellStyle name="Normal 3 2 6 2 3 4" xfId="24143"/>
    <cellStyle name="Normal 3 2 6 2 3 5" xfId="37123"/>
    <cellStyle name="Normal 3 2 6 2 3 6" xfId="53352"/>
    <cellStyle name="Normal 3 2 6 2 4" xfId="7915"/>
    <cellStyle name="Normal 3 2 6 2 4 2" xfId="27388"/>
    <cellStyle name="Normal 3 2 6 2 4 3" xfId="40368"/>
    <cellStyle name="Normal 3 2 6 2 4 4" xfId="56597"/>
    <cellStyle name="Normal 3 2 6 2 5" xfId="14408"/>
    <cellStyle name="Normal 3 2 6 2 5 2" xfId="50107"/>
    <cellStyle name="Normal 3 2 6 2 6" xfId="20898"/>
    <cellStyle name="Normal 3 2 6 2 7" xfId="33878"/>
    <cellStyle name="Normal 3 2 6 2 8" xfId="46861"/>
    <cellStyle name="Normal 3 2 6 3" xfId="875"/>
    <cellStyle name="Normal 3 2 6 3 2" xfId="2543"/>
    <cellStyle name="Normal 3 2 6 3 2 2" xfId="5788"/>
    <cellStyle name="Normal 3 2 6 3 2 2 2" xfId="12320"/>
    <cellStyle name="Normal 3 2 6 3 2 2 2 2" xfId="31793"/>
    <cellStyle name="Normal 3 2 6 3 2 2 2 3" xfId="44773"/>
    <cellStyle name="Normal 3 2 6 3 2 2 2 4" xfId="61002"/>
    <cellStyle name="Normal 3 2 6 3 2 2 3" xfId="18813"/>
    <cellStyle name="Normal 3 2 6 3 2 2 4" xfId="25303"/>
    <cellStyle name="Normal 3 2 6 3 2 2 5" xfId="38283"/>
    <cellStyle name="Normal 3 2 6 3 2 2 6" xfId="54512"/>
    <cellStyle name="Normal 3 2 6 3 2 3" xfId="9075"/>
    <cellStyle name="Normal 3 2 6 3 2 3 2" xfId="28548"/>
    <cellStyle name="Normal 3 2 6 3 2 3 3" xfId="41528"/>
    <cellStyle name="Normal 3 2 6 3 2 3 4" xfId="57757"/>
    <cellStyle name="Normal 3 2 6 3 2 4" xfId="15568"/>
    <cellStyle name="Normal 3 2 6 3 2 4 2" xfId="51267"/>
    <cellStyle name="Normal 3 2 6 3 2 5" xfId="22058"/>
    <cellStyle name="Normal 3 2 6 3 2 6" xfId="35038"/>
    <cellStyle name="Normal 3 2 6 3 2 7" xfId="48021"/>
    <cellStyle name="Normal 3 2 6 3 3" xfId="4165"/>
    <cellStyle name="Normal 3 2 6 3 3 2" xfId="10697"/>
    <cellStyle name="Normal 3 2 6 3 3 2 2" xfId="30170"/>
    <cellStyle name="Normal 3 2 6 3 3 2 3" xfId="43150"/>
    <cellStyle name="Normal 3 2 6 3 3 2 4" xfId="59379"/>
    <cellStyle name="Normal 3 2 6 3 3 3" xfId="17190"/>
    <cellStyle name="Normal 3 2 6 3 3 4" xfId="23680"/>
    <cellStyle name="Normal 3 2 6 3 3 5" xfId="36660"/>
    <cellStyle name="Normal 3 2 6 3 3 6" xfId="52889"/>
    <cellStyle name="Normal 3 2 6 3 4" xfId="7452"/>
    <cellStyle name="Normal 3 2 6 3 4 2" xfId="26925"/>
    <cellStyle name="Normal 3 2 6 3 4 3" xfId="39905"/>
    <cellStyle name="Normal 3 2 6 3 4 4" xfId="56134"/>
    <cellStyle name="Normal 3 2 6 3 5" xfId="13945"/>
    <cellStyle name="Normal 3 2 6 3 5 2" xfId="49644"/>
    <cellStyle name="Normal 3 2 6 3 6" xfId="20435"/>
    <cellStyle name="Normal 3 2 6 3 7" xfId="33415"/>
    <cellStyle name="Normal 3 2 6 3 8" xfId="46398"/>
    <cellStyle name="Normal 3 2 6 4" xfId="2288"/>
    <cellStyle name="Normal 3 2 6 4 2" xfId="5533"/>
    <cellStyle name="Normal 3 2 6 4 2 2" xfId="12065"/>
    <cellStyle name="Normal 3 2 6 4 2 2 2" xfId="31538"/>
    <cellStyle name="Normal 3 2 6 4 2 2 3" xfId="44518"/>
    <cellStyle name="Normal 3 2 6 4 2 2 4" xfId="60747"/>
    <cellStyle name="Normal 3 2 6 4 2 3" xfId="18558"/>
    <cellStyle name="Normal 3 2 6 4 2 4" xfId="25048"/>
    <cellStyle name="Normal 3 2 6 4 2 5" xfId="38028"/>
    <cellStyle name="Normal 3 2 6 4 2 6" xfId="54257"/>
    <cellStyle name="Normal 3 2 6 4 3" xfId="8820"/>
    <cellStyle name="Normal 3 2 6 4 3 2" xfId="28293"/>
    <cellStyle name="Normal 3 2 6 4 3 3" xfId="41273"/>
    <cellStyle name="Normal 3 2 6 4 3 4" xfId="57502"/>
    <cellStyle name="Normal 3 2 6 4 4" xfId="15313"/>
    <cellStyle name="Normal 3 2 6 4 4 2" xfId="51012"/>
    <cellStyle name="Normal 3 2 6 4 5" xfId="21803"/>
    <cellStyle name="Normal 3 2 6 4 6" xfId="34783"/>
    <cellStyle name="Normal 3 2 6 4 7" xfId="47766"/>
    <cellStyle name="Normal 3 2 6 5" xfId="3910"/>
    <cellStyle name="Normal 3 2 6 5 2" xfId="10442"/>
    <cellStyle name="Normal 3 2 6 5 2 2" xfId="29915"/>
    <cellStyle name="Normal 3 2 6 5 2 3" xfId="42895"/>
    <cellStyle name="Normal 3 2 6 5 2 4" xfId="59124"/>
    <cellStyle name="Normal 3 2 6 5 3" xfId="16935"/>
    <cellStyle name="Normal 3 2 6 5 4" xfId="23425"/>
    <cellStyle name="Normal 3 2 6 5 5" xfId="36405"/>
    <cellStyle name="Normal 3 2 6 5 6" xfId="52634"/>
    <cellStyle name="Normal 3 2 6 6" xfId="7197"/>
    <cellStyle name="Normal 3 2 6 6 2" xfId="26670"/>
    <cellStyle name="Normal 3 2 6 6 3" xfId="39650"/>
    <cellStyle name="Normal 3 2 6 6 4" xfId="55879"/>
    <cellStyle name="Normal 3 2 6 7" xfId="13690"/>
    <cellStyle name="Normal 3 2 6 7 2" xfId="49389"/>
    <cellStyle name="Normal 3 2 6 8" xfId="20180"/>
    <cellStyle name="Normal 3 2 6 9" xfId="33160"/>
    <cellStyle name="Normal 3 2 7" xfId="390"/>
    <cellStyle name="Normal 3 2 7 10" xfId="45913"/>
    <cellStyle name="Normal 3 2 7 2" xfId="1559"/>
    <cellStyle name="Normal 3 2 7 2 2" xfId="3226"/>
    <cellStyle name="Normal 3 2 7 2 2 2" xfId="6471"/>
    <cellStyle name="Normal 3 2 7 2 2 2 2" xfId="13003"/>
    <cellStyle name="Normal 3 2 7 2 2 2 2 2" xfId="32476"/>
    <cellStyle name="Normal 3 2 7 2 2 2 2 3" xfId="45456"/>
    <cellStyle name="Normal 3 2 7 2 2 2 2 4" xfId="61685"/>
    <cellStyle name="Normal 3 2 7 2 2 2 3" xfId="19496"/>
    <cellStyle name="Normal 3 2 7 2 2 2 4" xfId="25986"/>
    <cellStyle name="Normal 3 2 7 2 2 2 5" xfId="38966"/>
    <cellStyle name="Normal 3 2 7 2 2 2 6" xfId="55195"/>
    <cellStyle name="Normal 3 2 7 2 2 3" xfId="9758"/>
    <cellStyle name="Normal 3 2 7 2 2 3 2" xfId="29231"/>
    <cellStyle name="Normal 3 2 7 2 2 3 3" xfId="42211"/>
    <cellStyle name="Normal 3 2 7 2 2 3 4" xfId="58440"/>
    <cellStyle name="Normal 3 2 7 2 2 4" xfId="16251"/>
    <cellStyle name="Normal 3 2 7 2 2 4 2" xfId="51950"/>
    <cellStyle name="Normal 3 2 7 2 2 5" xfId="22741"/>
    <cellStyle name="Normal 3 2 7 2 2 6" xfId="35721"/>
    <cellStyle name="Normal 3 2 7 2 2 7" xfId="48704"/>
    <cellStyle name="Normal 3 2 7 2 3" xfId="4848"/>
    <cellStyle name="Normal 3 2 7 2 3 2" xfId="11380"/>
    <cellStyle name="Normal 3 2 7 2 3 2 2" xfId="30853"/>
    <cellStyle name="Normal 3 2 7 2 3 2 3" xfId="43833"/>
    <cellStyle name="Normal 3 2 7 2 3 2 4" xfId="60062"/>
    <cellStyle name="Normal 3 2 7 2 3 3" xfId="17873"/>
    <cellStyle name="Normal 3 2 7 2 3 4" xfId="24363"/>
    <cellStyle name="Normal 3 2 7 2 3 5" xfId="37343"/>
    <cellStyle name="Normal 3 2 7 2 3 6" xfId="53572"/>
    <cellStyle name="Normal 3 2 7 2 4" xfId="8135"/>
    <cellStyle name="Normal 3 2 7 2 4 2" xfId="27608"/>
    <cellStyle name="Normal 3 2 7 2 4 3" xfId="40588"/>
    <cellStyle name="Normal 3 2 7 2 4 4" xfId="56817"/>
    <cellStyle name="Normal 3 2 7 2 5" xfId="14628"/>
    <cellStyle name="Normal 3 2 7 2 5 2" xfId="50327"/>
    <cellStyle name="Normal 3 2 7 2 6" xfId="21118"/>
    <cellStyle name="Normal 3 2 7 2 7" xfId="34098"/>
    <cellStyle name="Normal 3 2 7 2 8" xfId="47081"/>
    <cellStyle name="Normal 3 2 7 3" xfId="1096"/>
    <cellStyle name="Normal 3 2 7 3 2" xfId="2763"/>
    <cellStyle name="Normal 3 2 7 3 2 2" xfId="6008"/>
    <cellStyle name="Normal 3 2 7 3 2 2 2" xfId="12540"/>
    <cellStyle name="Normal 3 2 7 3 2 2 2 2" xfId="32013"/>
    <cellStyle name="Normal 3 2 7 3 2 2 2 3" xfId="44993"/>
    <cellStyle name="Normal 3 2 7 3 2 2 2 4" xfId="61222"/>
    <cellStyle name="Normal 3 2 7 3 2 2 3" xfId="19033"/>
    <cellStyle name="Normal 3 2 7 3 2 2 4" xfId="25523"/>
    <cellStyle name="Normal 3 2 7 3 2 2 5" xfId="38503"/>
    <cellStyle name="Normal 3 2 7 3 2 2 6" xfId="54732"/>
    <cellStyle name="Normal 3 2 7 3 2 3" xfId="9295"/>
    <cellStyle name="Normal 3 2 7 3 2 3 2" xfId="28768"/>
    <cellStyle name="Normal 3 2 7 3 2 3 3" xfId="41748"/>
    <cellStyle name="Normal 3 2 7 3 2 3 4" xfId="57977"/>
    <cellStyle name="Normal 3 2 7 3 2 4" xfId="15788"/>
    <cellStyle name="Normal 3 2 7 3 2 4 2" xfId="51487"/>
    <cellStyle name="Normal 3 2 7 3 2 5" xfId="22278"/>
    <cellStyle name="Normal 3 2 7 3 2 6" xfId="35258"/>
    <cellStyle name="Normal 3 2 7 3 2 7" xfId="48241"/>
    <cellStyle name="Normal 3 2 7 3 3" xfId="4385"/>
    <cellStyle name="Normal 3 2 7 3 3 2" xfId="10917"/>
    <cellStyle name="Normal 3 2 7 3 3 2 2" xfId="30390"/>
    <cellStyle name="Normal 3 2 7 3 3 2 3" xfId="43370"/>
    <cellStyle name="Normal 3 2 7 3 3 2 4" xfId="59599"/>
    <cellStyle name="Normal 3 2 7 3 3 3" xfId="17410"/>
    <cellStyle name="Normal 3 2 7 3 3 4" xfId="23900"/>
    <cellStyle name="Normal 3 2 7 3 3 5" xfId="36880"/>
    <cellStyle name="Normal 3 2 7 3 3 6" xfId="53109"/>
    <cellStyle name="Normal 3 2 7 3 4" xfId="7672"/>
    <cellStyle name="Normal 3 2 7 3 4 2" xfId="27145"/>
    <cellStyle name="Normal 3 2 7 3 4 3" xfId="40125"/>
    <cellStyle name="Normal 3 2 7 3 4 4" xfId="56354"/>
    <cellStyle name="Normal 3 2 7 3 5" xfId="14165"/>
    <cellStyle name="Normal 3 2 7 3 5 2" xfId="49864"/>
    <cellStyle name="Normal 3 2 7 3 6" xfId="20655"/>
    <cellStyle name="Normal 3 2 7 3 7" xfId="33635"/>
    <cellStyle name="Normal 3 2 7 3 8" xfId="46618"/>
    <cellStyle name="Normal 3 2 7 4" xfId="2058"/>
    <cellStyle name="Normal 3 2 7 4 2" xfId="5303"/>
    <cellStyle name="Normal 3 2 7 4 2 2" xfId="11835"/>
    <cellStyle name="Normal 3 2 7 4 2 2 2" xfId="31308"/>
    <cellStyle name="Normal 3 2 7 4 2 2 3" xfId="44288"/>
    <cellStyle name="Normal 3 2 7 4 2 2 4" xfId="60517"/>
    <cellStyle name="Normal 3 2 7 4 2 3" xfId="18328"/>
    <cellStyle name="Normal 3 2 7 4 2 4" xfId="24818"/>
    <cellStyle name="Normal 3 2 7 4 2 5" xfId="37798"/>
    <cellStyle name="Normal 3 2 7 4 2 6" xfId="54027"/>
    <cellStyle name="Normal 3 2 7 4 3" xfId="8590"/>
    <cellStyle name="Normal 3 2 7 4 3 2" xfId="28063"/>
    <cellStyle name="Normal 3 2 7 4 3 3" xfId="41043"/>
    <cellStyle name="Normal 3 2 7 4 3 4" xfId="57272"/>
    <cellStyle name="Normal 3 2 7 4 4" xfId="15083"/>
    <cellStyle name="Normal 3 2 7 4 4 2" xfId="50782"/>
    <cellStyle name="Normal 3 2 7 4 5" xfId="21573"/>
    <cellStyle name="Normal 3 2 7 4 6" xfId="34553"/>
    <cellStyle name="Normal 3 2 7 4 7" xfId="47536"/>
    <cellStyle name="Normal 3 2 7 5" xfId="3680"/>
    <cellStyle name="Normal 3 2 7 5 2" xfId="10212"/>
    <cellStyle name="Normal 3 2 7 5 2 2" xfId="29685"/>
    <cellStyle name="Normal 3 2 7 5 2 3" xfId="42665"/>
    <cellStyle name="Normal 3 2 7 5 2 4" xfId="58894"/>
    <cellStyle name="Normal 3 2 7 5 3" xfId="16705"/>
    <cellStyle name="Normal 3 2 7 5 4" xfId="23195"/>
    <cellStyle name="Normal 3 2 7 5 5" xfId="36175"/>
    <cellStyle name="Normal 3 2 7 5 6" xfId="52404"/>
    <cellStyle name="Normal 3 2 7 6" xfId="6967"/>
    <cellStyle name="Normal 3 2 7 6 2" xfId="26440"/>
    <cellStyle name="Normal 3 2 7 6 3" xfId="39420"/>
    <cellStyle name="Normal 3 2 7 6 4" xfId="55649"/>
    <cellStyle name="Normal 3 2 7 7" xfId="13460"/>
    <cellStyle name="Normal 3 2 7 7 2" xfId="49159"/>
    <cellStyle name="Normal 3 2 7 8" xfId="19950"/>
    <cellStyle name="Normal 3 2 7 9" xfId="32930"/>
    <cellStyle name="Normal 3 2 8" xfId="1316"/>
    <cellStyle name="Normal 3 2 8 2" xfId="2983"/>
    <cellStyle name="Normal 3 2 8 2 2" xfId="6228"/>
    <cellStyle name="Normal 3 2 8 2 2 2" xfId="12760"/>
    <cellStyle name="Normal 3 2 8 2 2 2 2" xfId="32233"/>
    <cellStyle name="Normal 3 2 8 2 2 2 3" xfId="45213"/>
    <cellStyle name="Normal 3 2 8 2 2 2 4" xfId="61442"/>
    <cellStyle name="Normal 3 2 8 2 2 3" xfId="19253"/>
    <cellStyle name="Normal 3 2 8 2 2 4" xfId="25743"/>
    <cellStyle name="Normal 3 2 8 2 2 5" xfId="38723"/>
    <cellStyle name="Normal 3 2 8 2 2 6" xfId="54952"/>
    <cellStyle name="Normal 3 2 8 2 3" xfId="9515"/>
    <cellStyle name="Normal 3 2 8 2 3 2" xfId="28988"/>
    <cellStyle name="Normal 3 2 8 2 3 3" xfId="41968"/>
    <cellStyle name="Normal 3 2 8 2 3 4" xfId="58197"/>
    <cellStyle name="Normal 3 2 8 2 4" xfId="16008"/>
    <cellStyle name="Normal 3 2 8 2 4 2" xfId="51707"/>
    <cellStyle name="Normal 3 2 8 2 5" xfId="22498"/>
    <cellStyle name="Normal 3 2 8 2 6" xfId="35478"/>
    <cellStyle name="Normal 3 2 8 2 7" xfId="48461"/>
    <cellStyle name="Normal 3 2 8 3" xfId="4605"/>
    <cellStyle name="Normal 3 2 8 3 2" xfId="11137"/>
    <cellStyle name="Normal 3 2 8 3 2 2" xfId="30610"/>
    <cellStyle name="Normal 3 2 8 3 2 3" xfId="43590"/>
    <cellStyle name="Normal 3 2 8 3 2 4" xfId="59819"/>
    <cellStyle name="Normal 3 2 8 3 3" xfId="17630"/>
    <cellStyle name="Normal 3 2 8 3 4" xfId="24120"/>
    <cellStyle name="Normal 3 2 8 3 5" xfId="37100"/>
    <cellStyle name="Normal 3 2 8 3 6" xfId="53329"/>
    <cellStyle name="Normal 3 2 8 4" xfId="7892"/>
    <cellStyle name="Normal 3 2 8 4 2" xfId="27365"/>
    <cellStyle name="Normal 3 2 8 4 3" xfId="40345"/>
    <cellStyle name="Normal 3 2 8 4 4" xfId="56574"/>
    <cellStyle name="Normal 3 2 8 5" xfId="14385"/>
    <cellStyle name="Normal 3 2 8 5 2" xfId="50084"/>
    <cellStyle name="Normal 3 2 8 6" xfId="20875"/>
    <cellStyle name="Normal 3 2 8 7" xfId="33855"/>
    <cellStyle name="Normal 3 2 8 8" xfId="46838"/>
    <cellStyle name="Normal 3 2 9" xfId="852"/>
    <cellStyle name="Normal 3 2 9 2" xfId="2520"/>
    <cellStyle name="Normal 3 2 9 2 2" xfId="5765"/>
    <cellStyle name="Normal 3 2 9 2 2 2" xfId="12297"/>
    <cellStyle name="Normal 3 2 9 2 2 2 2" xfId="31770"/>
    <cellStyle name="Normal 3 2 9 2 2 2 3" xfId="44750"/>
    <cellStyle name="Normal 3 2 9 2 2 2 4" xfId="60979"/>
    <cellStyle name="Normal 3 2 9 2 2 3" xfId="18790"/>
    <cellStyle name="Normal 3 2 9 2 2 4" xfId="25280"/>
    <cellStyle name="Normal 3 2 9 2 2 5" xfId="38260"/>
    <cellStyle name="Normal 3 2 9 2 2 6" xfId="54489"/>
    <cellStyle name="Normal 3 2 9 2 3" xfId="9052"/>
    <cellStyle name="Normal 3 2 9 2 3 2" xfId="28525"/>
    <cellStyle name="Normal 3 2 9 2 3 3" xfId="41505"/>
    <cellStyle name="Normal 3 2 9 2 3 4" xfId="57734"/>
    <cellStyle name="Normal 3 2 9 2 4" xfId="15545"/>
    <cellStyle name="Normal 3 2 9 2 4 2" xfId="51244"/>
    <cellStyle name="Normal 3 2 9 2 5" xfId="22035"/>
    <cellStyle name="Normal 3 2 9 2 6" xfId="35015"/>
    <cellStyle name="Normal 3 2 9 2 7" xfId="47998"/>
    <cellStyle name="Normal 3 2 9 3" xfId="4142"/>
    <cellStyle name="Normal 3 2 9 3 2" xfId="10674"/>
    <cellStyle name="Normal 3 2 9 3 2 2" xfId="30147"/>
    <cellStyle name="Normal 3 2 9 3 2 3" xfId="43127"/>
    <cellStyle name="Normal 3 2 9 3 2 4" xfId="59356"/>
    <cellStyle name="Normal 3 2 9 3 3" xfId="17167"/>
    <cellStyle name="Normal 3 2 9 3 4" xfId="23657"/>
    <cellStyle name="Normal 3 2 9 3 5" xfId="36637"/>
    <cellStyle name="Normal 3 2 9 3 6" xfId="52866"/>
    <cellStyle name="Normal 3 2 9 4" xfId="7429"/>
    <cellStyle name="Normal 3 2 9 4 2" xfId="26902"/>
    <cellStyle name="Normal 3 2 9 4 3" xfId="39882"/>
    <cellStyle name="Normal 3 2 9 4 4" xfId="56111"/>
    <cellStyle name="Normal 3 2 9 5" xfId="13922"/>
    <cellStyle name="Normal 3 2 9 5 2" xfId="49621"/>
    <cellStyle name="Normal 3 2 9 6" xfId="20412"/>
    <cellStyle name="Normal 3 2 9 7" xfId="33392"/>
    <cellStyle name="Normal 3 2 9 8" xfId="46375"/>
    <cellStyle name="Normal 3 20" xfId="45681"/>
    <cellStyle name="Normal 3 21" xfId="61953"/>
    <cellStyle name="Normal 3 3" xfId="169"/>
    <cellStyle name="Normal 3 3 10" xfId="1843"/>
    <cellStyle name="Normal 3 3 10 2" xfId="5089"/>
    <cellStyle name="Normal 3 3 10 2 2" xfId="11621"/>
    <cellStyle name="Normal 3 3 10 2 2 2" xfId="31094"/>
    <cellStyle name="Normal 3 3 10 2 2 3" xfId="44074"/>
    <cellStyle name="Normal 3 3 10 2 2 4" xfId="60303"/>
    <cellStyle name="Normal 3 3 10 2 3" xfId="18114"/>
    <cellStyle name="Normal 3 3 10 2 4" xfId="24604"/>
    <cellStyle name="Normal 3 3 10 2 5" xfId="37584"/>
    <cellStyle name="Normal 3 3 10 2 6" xfId="53813"/>
    <cellStyle name="Normal 3 3 10 3" xfId="8376"/>
    <cellStyle name="Normal 3 3 10 3 2" xfId="27849"/>
    <cellStyle name="Normal 3 3 10 3 3" xfId="40829"/>
    <cellStyle name="Normal 3 3 10 3 4" xfId="57058"/>
    <cellStyle name="Normal 3 3 10 4" xfId="14869"/>
    <cellStyle name="Normal 3 3 10 4 2" xfId="50568"/>
    <cellStyle name="Normal 3 3 10 5" xfId="21359"/>
    <cellStyle name="Normal 3 3 10 6" xfId="34339"/>
    <cellStyle name="Normal 3 3 10 7" xfId="47322"/>
    <cellStyle name="Normal 3 3 11" xfId="3465"/>
    <cellStyle name="Normal 3 3 11 2" xfId="9997"/>
    <cellStyle name="Normal 3 3 11 2 2" xfId="29470"/>
    <cellStyle name="Normal 3 3 11 2 3" xfId="42450"/>
    <cellStyle name="Normal 3 3 11 2 4" xfId="58679"/>
    <cellStyle name="Normal 3 3 11 3" xfId="16490"/>
    <cellStyle name="Normal 3 3 11 4" xfId="22980"/>
    <cellStyle name="Normal 3 3 11 5" xfId="35960"/>
    <cellStyle name="Normal 3 3 11 6" xfId="52189"/>
    <cellStyle name="Normal 3 3 12" xfId="6752"/>
    <cellStyle name="Normal 3 3 12 2" xfId="26225"/>
    <cellStyle name="Normal 3 3 12 3" xfId="39205"/>
    <cellStyle name="Normal 3 3 12 4" xfId="55434"/>
    <cellStyle name="Normal 3 3 13" xfId="13245"/>
    <cellStyle name="Normal 3 3 13 2" xfId="48944"/>
    <cellStyle name="Normal 3 3 14" xfId="19735"/>
    <cellStyle name="Normal 3 3 15" xfId="32715"/>
    <cellStyle name="Normal 3 3 16" xfId="45698"/>
    <cellStyle name="Normal 3 3 17" xfId="61960"/>
    <cellStyle name="Normal 3 3 2" xfId="192"/>
    <cellStyle name="Normal 3 3 2 10" xfId="6774"/>
    <cellStyle name="Normal 3 3 2 10 2" xfId="26247"/>
    <cellStyle name="Normal 3 3 2 10 3" xfId="39227"/>
    <cellStyle name="Normal 3 3 2 10 4" xfId="55456"/>
    <cellStyle name="Normal 3 3 2 11" xfId="13267"/>
    <cellStyle name="Normal 3 3 2 11 2" xfId="48966"/>
    <cellStyle name="Normal 3 3 2 12" xfId="19757"/>
    <cellStyle name="Normal 3 3 2 13" xfId="32737"/>
    <cellStyle name="Normal 3 3 2 14" xfId="45720"/>
    <cellStyle name="Normal 3 3 2 15" xfId="61975"/>
    <cellStyle name="Normal 3 3 2 2" xfId="281"/>
    <cellStyle name="Normal 3 3 2 2 10" xfId="19845"/>
    <cellStyle name="Normal 3 3 2 2 11" xfId="32825"/>
    <cellStyle name="Normal 3 3 2 2 12" xfId="45808"/>
    <cellStyle name="Normal 3 3 2 2 13" xfId="61992"/>
    <cellStyle name="Normal 3 3 2 2 2" xfId="369"/>
    <cellStyle name="Normal 3 3 2 2 2 10" xfId="32913"/>
    <cellStyle name="Normal 3 3 2 2 2 11" xfId="45896"/>
    <cellStyle name="Normal 3 3 2 2 2 2" xfId="833"/>
    <cellStyle name="Normal 3 3 2 2 2 2 10" xfId="46356"/>
    <cellStyle name="Normal 3 3 2 2 2 2 2" xfId="1772"/>
    <cellStyle name="Normal 3 3 2 2 2 2 2 2" xfId="3439"/>
    <cellStyle name="Normal 3 3 2 2 2 2 2 2 2" xfId="6684"/>
    <cellStyle name="Normal 3 3 2 2 2 2 2 2 2 2" xfId="13216"/>
    <cellStyle name="Normal 3 3 2 2 2 2 2 2 2 2 2" xfId="32689"/>
    <cellStyle name="Normal 3 3 2 2 2 2 2 2 2 2 3" xfId="45669"/>
    <cellStyle name="Normal 3 3 2 2 2 2 2 2 2 2 4" xfId="61898"/>
    <cellStyle name="Normal 3 3 2 2 2 2 2 2 2 3" xfId="19709"/>
    <cellStyle name="Normal 3 3 2 2 2 2 2 2 2 4" xfId="26199"/>
    <cellStyle name="Normal 3 3 2 2 2 2 2 2 2 5" xfId="39179"/>
    <cellStyle name="Normal 3 3 2 2 2 2 2 2 2 6" xfId="55408"/>
    <cellStyle name="Normal 3 3 2 2 2 2 2 2 3" xfId="9971"/>
    <cellStyle name="Normal 3 3 2 2 2 2 2 2 3 2" xfId="29444"/>
    <cellStyle name="Normal 3 3 2 2 2 2 2 2 3 3" xfId="42424"/>
    <cellStyle name="Normal 3 3 2 2 2 2 2 2 3 4" xfId="58653"/>
    <cellStyle name="Normal 3 3 2 2 2 2 2 2 4" xfId="16464"/>
    <cellStyle name="Normal 3 3 2 2 2 2 2 2 4 2" xfId="52163"/>
    <cellStyle name="Normal 3 3 2 2 2 2 2 2 5" xfId="22954"/>
    <cellStyle name="Normal 3 3 2 2 2 2 2 2 6" xfId="35934"/>
    <cellStyle name="Normal 3 3 2 2 2 2 2 2 7" xfId="48917"/>
    <cellStyle name="Normal 3 3 2 2 2 2 2 3" xfId="5061"/>
    <cellStyle name="Normal 3 3 2 2 2 2 2 3 2" xfId="11593"/>
    <cellStyle name="Normal 3 3 2 2 2 2 2 3 2 2" xfId="31066"/>
    <cellStyle name="Normal 3 3 2 2 2 2 2 3 2 3" xfId="44046"/>
    <cellStyle name="Normal 3 3 2 2 2 2 2 3 2 4" xfId="60275"/>
    <cellStyle name="Normal 3 3 2 2 2 2 2 3 3" xfId="18086"/>
    <cellStyle name="Normal 3 3 2 2 2 2 2 3 4" xfId="24576"/>
    <cellStyle name="Normal 3 3 2 2 2 2 2 3 5" xfId="37556"/>
    <cellStyle name="Normal 3 3 2 2 2 2 2 3 6" xfId="53785"/>
    <cellStyle name="Normal 3 3 2 2 2 2 2 4" xfId="8348"/>
    <cellStyle name="Normal 3 3 2 2 2 2 2 4 2" xfId="27821"/>
    <cellStyle name="Normal 3 3 2 2 2 2 2 4 3" xfId="40801"/>
    <cellStyle name="Normal 3 3 2 2 2 2 2 4 4" xfId="57030"/>
    <cellStyle name="Normal 3 3 2 2 2 2 2 5" xfId="14841"/>
    <cellStyle name="Normal 3 3 2 2 2 2 2 5 2" xfId="50540"/>
    <cellStyle name="Normal 3 3 2 2 2 2 2 6" xfId="21331"/>
    <cellStyle name="Normal 3 3 2 2 2 2 2 7" xfId="34311"/>
    <cellStyle name="Normal 3 3 2 2 2 2 2 8" xfId="47294"/>
    <cellStyle name="Normal 3 3 2 2 2 2 3" xfId="1309"/>
    <cellStyle name="Normal 3 3 2 2 2 2 3 2" xfId="2976"/>
    <cellStyle name="Normal 3 3 2 2 2 2 3 2 2" xfId="6221"/>
    <cellStyle name="Normal 3 3 2 2 2 2 3 2 2 2" xfId="12753"/>
    <cellStyle name="Normal 3 3 2 2 2 2 3 2 2 2 2" xfId="32226"/>
    <cellStyle name="Normal 3 3 2 2 2 2 3 2 2 2 3" xfId="45206"/>
    <cellStyle name="Normal 3 3 2 2 2 2 3 2 2 2 4" xfId="61435"/>
    <cellStyle name="Normal 3 3 2 2 2 2 3 2 2 3" xfId="19246"/>
    <cellStyle name="Normal 3 3 2 2 2 2 3 2 2 4" xfId="25736"/>
    <cellStyle name="Normal 3 3 2 2 2 2 3 2 2 5" xfId="38716"/>
    <cellStyle name="Normal 3 3 2 2 2 2 3 2 2 6" xfId="54945"/>
    <cellStyle name="Normal 3 3 2 2 2 2 3 2 3" xfId="9508"/>
    <cellStyle name="Normal 3 3 2 2 2 2 3 2 3 2" xfId="28981"/>
    <cellStyle name="Normal 3 3 2 2 2 2 3 2 3 3" xfId="41961"/>
    <cellStyle name="Normal 3 3 2 2 2 2 3 2 3 4" xfId="58190"/>
    <cellStyle name="Normal 3 3 2 2 2 2 3 2 4" xfId="16001"/>
    <cellStyle name="Normal 3 3 2 2 2 2 3 2 4 2" xfId="51700"/>
    <cellStyle name="Normal 3 3 2 2 2 2 3 2 5" xfId="22491"/>
    <cellStyle name="Normal 3 3 2 2 2 2 3 2 6" xfId="35471"/>
    <cellStyle name="Normal 3 3 2 2 2 2 3 2 7" xfId="48454"/>
    <cellStyle name="Normal 3 3 2 2 2 2 3 3" xfId="4598"/>
    <cellStyle name="Normal 3 3 2 2 2 2 3 3 2" xfId="11130"/>
    <cellStyle name="Normal 3 3 2 2 2 2 3 3 2 2" xfId="30603"/>
    <cellStyle name="Normal 3 3 2 2 2 2 3 3 2 3" xfId="43583"/>
    <cellStyle name="Normal 3 3 2 2 2 2 3 3 2 4" xfId="59812"/>
    <cellStyle name="Normal 3 3 2 2 2 2 3 3 3" xfId="17623"/>
    <cellStyle name="Normal 3 3 2 2 2 2 3 3 4" xfId="24113"/>
    <cellStyle name="Normal 3 3 2 2 2 2 3 3 5" xfId="37093"/>
    <cellStyle name="Normal 3 3 2 2 2 2 3 3 6" xfId="53322"/>
    <cellStyle name="Normal 3 3 2 2 2 2 3 4" xfId="7885"/>
    <cellStyle name="Normal 3 3 2 2 2 2 3 4 2" xfId="27358"/>
    <cellStyle name="Normal 3 3 2 2 2 2 3 4 3" xfId="40338"/>
    <cellStyle name="Normal 3 3 2 2 2 2 3 4 4" xfId="56567"/>
    <cellStyle name="Normal 3 3 2 2 2 2 3 5" xfId="14378"/>
    <cellStyle name="Normal 3 3 2 2 2 2 3 5 2" xfId="50077"/>
    <cellStyle name="Normal 3 3 2 2 2 2 3 6" xfId="20868"/>
    <cellStyle name="Normal 3 3 2 2 2 2 3 7" xfId="33848"/>
    <cellStyle name="Normal 3 3 2 2 2 2 3 8" xfId="46831"/>
    <cellStyle name="Normal 3 3 2 2 2 2 4" xfId="2501"/>
    <cellStyle name="Normal 3 3 2 2 2 2 4 2" xfId="5746"/>
    <cellStyle name="Normal 3 3 2 2 2 2 4 2 2" xfId="12278"/>
    <cellStyle name="Normal 3 3 2 2 2 2 4 2 2 2" xfId="31751"/>
    <cellStyle name="Normal 3 3 2 2 2 2 4 2 2 3" xfId="44731"/>
    <cellStyle name="Normal 3 3 2 2 2 2 4 2 2 4" xfId="60960"/>
    <cellStyle name="Normal 3 3 2 2 2 2 4 2 3" xfId="18771"/>
    <cellStyle name="Normal 3 3 2 2 2 2 4 2 4" xfId="25261"/>
    <cellStyle name="Normal 3 3 2 2 2 2 4 2 5" xfId="38241"/>
    <cellStyle name="Normal 3 3 2 2 2 2 4 2 6" xfId="54470"/>
    <cellStyle name="Normal 3 3 2 2 2 2 4 3" xfId="9033"/>
    <cellStyle name="Normal 3 3 2 2 2 2 4 3 2" xfId="28506"/>
    <cellStyle name="Normal 3 3 2 2 2 2 4 3 3" xfId="41486"/>
    <cellStyle name="Normal 3 3 2 2 2 2 4 3 4" xfId="57715"/>
    <cellStyle name="Normal 3 3 2 2 2 2 4 4" xfId="15526"/>
    <cellStyle name="Normal 3 3 2 2 2 2 4 4 2" xfId="51225"/>
    <cellStyle name="Normal 3 3 2 2 2 2 4 5" xfId="22016"/>
    <cellStyle name="Normal 3 3 2 2 2 2 4 6" xfId="34996"/>
    <cellStyle name="Normal 3 3 2 2 2 2 4 7" xfId="47979"/>
    <cellStyle name="Normal 3 3 2 2 2 2 5" xfId="4123"/>
    <cellStyle name="Normal 3 3 2 2 2 2 5 2" xfId="10655"/>
    <cellStyle name="Normal 3 3 2 2 2 2 5 2 2" xfId="30128"/>
    <cellStyle name="Normal 3 3 2 2 2 2 5 2 3" xfId="43108"/>
    <cellStyle name="Normal 3 3 2 2 2 2 5 2 4" xfId="59337"/>
    <cellStyle name="Normal 3 3 2 2 2 2 5 3" xfId="17148"/>
    <cellStyle name="Normal 3 3 2 2 2 2 5 4" xfId="23638"/>
    <cellStyle name="Normal 3 3 2 2 2 2 5 5" xfId="36618"/>
    <cellStyle name="Normal 3 3 2 2 2 2 5 6" xfId="52847"/>
    <cellStyle name="Normal 3 3 2 2 2 2 6" xfId="7410"/>
    <cellStyle name="Normal 3 3 2 2 2 2 6 2" xfId="26883"/>
    <cellStyle name="Normal 3 3 2 2 2 2 6 3" xfId="39863"/>
    <cellStyle name="Normal 3 3 2 2 2 2 6 4" xfId="56092"/>
    <cellStyle name="Normal 3 3 2 2 2 2 7" xfId="13903"/>
    <cellStyle name="Normal 3 3 2 2 2 2 7 2" xfId="49602"/>
    <cellStyle name="Normal 3 3 2 2 2 2 8" xfId="20393"/>
    <cellStyle name="Normal 3 3 2 2 2 2 9" xfId="33373"/>
    <cellStyle name="Normal 3 3 2 2 2 3" xfId="603"/>
    <cellStyle name="Normal 3 3 2 2 2 3 2" xfId="1552"/>
    <cellStyle name="Normal 3 3 2 2 2 3 2 2" xfId="3219"/>
    <cellStyle name="Normal 3 3 2 2 2 3 2 2 2" xfId="6464"/>
    <cellStyle name="Normal 3 3 2 2 2 3 2 2 2 2" xfId="12996"/>
    <cellStyle name="Normal 3 3 2 2 2 3 2 2 2 2 2" xfId="32469"/>
    <cellStyle name="Normal 3 3 2 2 2 3 2 2 2 2 3" xfId="45449"/>
    <cellStyle name="Normal 3 3 2 2 2 3 2 2 2 2 4" xfId="61678"/>
    <cellStyle name="Normal 3 3 2 2 2 3 2 2 2 3" xfId="19489"/>
    <cellStyle name="Normal 3 3 2 2 2 3 2 2 2 4" xfId="25979"/>
    <cellStyle name="Normal 3 3 2 2 2 3 2 2 2 5" xfId="38959"/>
    <cellStyle name="Normal 3 3 2 2 2 3 2 2 2 6" xfId="55188"/>
    <cellStyle name="Normal 3 3 2 2 2 3 2 2 3" xfId="9751"/>
    <cellStyle name="Normal 3 3 2 2 2 3 2 2 3 2" xfId="29224"/>
    <cellStyle name="Normal 3 3 2 2 2 3 2 2 3 3" xfId="42204"/>
    <cellStyle name="Normal 3 3 2 2 2 3 2 2 3 4" xfId="58433"/>
    <cellStyle name="Normal 3 3 2 2 2 3 2 2 4" xfId="16244"/>
    <cellStyle name="Normal 3 3 2 2 2 3 2 2 4 2" xfId="51943"/>
    <cellStyle name="Normal 3 3 2 2 2 3 2 2 5" xfId="22734"/>
    <cellStyle name="Normal 3 3 2 2 2 3 2 2 6" xfId="35714"/>
    <cellStyle name="Normal 3 3 2 2 2 3 2 2 7" xfId="48697"/>
    <cellStyle name="Normal 3 3 2 2 2 3 2 3" xfId="4841"/>
    <cellStyle name="Normal 3 3 2 2 2 3 2 3 2" xfId="11373"/>
    <cellStyle name="Normal 3 3 2 2 2 3 2 3 2 2" xfId="30846"/>
    <cellStyle name="Normal 3 3 2 2 2 3 2 3 2 3" xfId="43826"/>
    <cellStyle name="Normal 3 3 2 2 2 3 2 3 2 4" xfId="60055"/>
    <cellStyle name="Normal 3 3 2 2 2 3 2 3 3" xfId="17866"/>
    <cellStyle name="Normal 3 3 2 2 2 3 2 3 4" xfId="24356"/>
    <cellStyle name="Normal 3 3 2 2 2 3 2 3 5" xfId="37336"/>
    <cellStyle name="Normal 3 3 2 2 2 3 2 3 6" xfId="53565"/>
    <cellStyle name="Normal 3 3 2 2 2 3 2 4" xfId="8128"/>
    <cellStyle name="Normal 3 3 2 2 2 3 2 4 2" xfId="27601"/>
    <cellStyle name="Normal 3 3 2 2 2 3 2 4 3" xfId="40581"/>
    <cellStyle name="Normal 3 3 2 2 2 3 2 4 4" xfId="56810"/>
    <cellStyle name="Normal 3 3 2 2 2 3 2 5" xfId="14621"/>
    <cellStyle name="Normal 3 3 2 2 2 3 2 5 2" xfId="50320"/>
    <cellStyle name="Normal 3 3 2 2 2 3 2 6" xfId="21111"/>
    <cellStyle name="Normal 3 3 2 2 2 3 2 7" xfId="34091"/>
    <cellStyle name="Normal 3 3 2 2 2 3 2 8" xfId="47074"/>
    <cellStyle name="Normal 3 3 2 2 2 3 3" xfId="2271"/>
    <cellStyle name="Normal 3 3 2 2 2 3 3 2" xfId="5516"/>
    <cellStyle name="Normal 3 3 2 2 2 3 3 2 2" xfId="12048"/>
    <cellStyle name="Normal 3 3 2 2 2 3 3 2 2 2" xfId="31521"/>
    <cellStyle name="Normal 3 3 2 2 2 3 3 2 2 3" xfId="44501"/>
    <cellStyle name="Normal 3 3 2 2 2 3 3 2 2 4" xfId="60730"/>
    <cellStyle name="Normal 3 3 2 2 2 3 3 2 3" xfId="18541"/>
    <cellStyle name="Normal 3 3 2 2 2 3 3 2 4" xfId="25031"/>
    <cellStyle name="Normal 3 3 2 2 2 3 3 2 5" xfId="38011"/>
    <cellStyle name="Normal 3 3 2 2 2 3 3 2 6" xfId="54240"/>
    <cellStyle name="Normal 3 3 2 2 2 3 3 3" xfId="8803"/>
    <cellStyle name="Normal 3 3 2 2 2 3 3 3 2" xfId="28276"/>
    <cellStyle name="Normal 3 3 2 2 2 3 3 3 3" xfId="41256"/>
    <cellStyle name="Normal 3 3 2 2 2 3 3 3 4" xfId="57485"/>
    <cellStyle name="Normal 3 3 2 2 2 3 3 4" xfId="15296"/>
    <cellStyle name="Normal 3 3 2 2 2 3 3 4 2" xfId="50995"/>
    <cellStyle name="Normal 3 3 2 2 2 3 3 5" xfId="21786"/>
    <cellStyle name="Normal 3 3 2 2 2 3 3 6" xfId="34766"/>
    <cellStyle name="Normal 3 3 2 2 2 3 3 7" xfId="47749"/>
    <cellStyle name="Normal 3 3 2 2 2 3 4" xfId="3893"/>
    <cellStyle name="Normal 3 3 2 2 2 3 4 2" xfId="10425"/>
    <cellStyle name="Normal 3 3 2 2 2 3 4 2 2" xfId="29898"/>
    <cellStyle name="Normal 3 3 2 2 2 3 4 2 3" xfId="42878"/>
    <cellStyle name="Normal 3 3 2 2 2 3 4 2 4" xfId="59107"/>
    <cellStyle name="Normal 3 3 2 2 2 3 4 3" xfId="16918"/>
    <cellStyle name="Normal 3 3 2 2 2 3 4 4" xfId="23408"/>
    <cellStyle name="Normal 3 3 2 2 2 3 4 5" xfId="36388"/>
    <cellStyle name="Normal 3 3 2 2 2 3 4 6" xfId="52617"/>
    <cellStyle name="Normal 3 3 2 2 2 3 5" xfId="7180"/>
    <cellStyle name="Normal 3 3 2 2 2 3 5 2" xfId="26653"/>
    <cellStyle name="Normal 3 3 2 2 2 3 5 3" xfId="39633"/>
    <cellStyle name="Normal 3 3 2 2 2 3 5 4" xfId="55862"/>
    <cellStyle name="Normal 3 3 2 2 2 3 6" xfId="13673"/>
    <cellStyle name="Normal 3 3 2 2 2 3 6 2" xfId="49372"/>
    <cellStyle name="Normal 3 3 2 2 2 3 7" xfId="20163"/>
    <cellStyle name="Normal 3 3 2 2 2 3 8" xfId="33143"/>
    <cellStyle name="Normal 3 3 2 2 2 3 9" xfId="46126"/>
    <cellStyle name="Normal 3 3 2 2 2 4" xfId="1089"/>
    <cellStyle name="Normal 3 3 2 2 2 4 2" xfId="2756"/>
    <cellStyle name="Normal 3 3 2 2 2 4 2 2" xfId="6001"/>
    <cellStyle name="Normal 3 3 2 2 2 4 2 2 2" xfId="12533"/>
    <cellStyle name="Normal 3 3 2 2 2 4 2 2 2 2" xfId="32006"/>
    <cellStyle name="Normal 3 3 2 2 2 4 2 2 2 3" xfId="44986"/>
    <cellStyle name="Normal 3 3 2 2 2 4 2 2 2 4" xfId="61215"/>
    <cellStyle name="Normal 3 3 2 2 2 4 2 2 3" xfId="19026"/>
    <cellStyle name="Normal 3 3 2 2 2 4 2 2 4" xfId="25516"/>
    <cellStyle name="Normal 3 3 2 2 2 4 2 2 5" xfId="38496"/>
    <cellStyle name="Normal 3 3 2 2 2 4 2 2 6" xfId="54725"/>
    <cellStyle name="Normal 3 3 2 2 2 4 2 3" xfId="9288"/>
    <cellStyle name="Normal 3 3 2 2 2 4 2 3 2" xfId="28761"/>
    <cellStyle name="Normal 3 3 2 2 2 4 2 3 3" xfId="41741"/>
    <cellStyle name="Normal 3 3 2 2 2 4 2 3 4" xfId="57970"/>
    <cellStyle name="Normal 3 3 2 2 2 4 2 4" xfId="15781"/>
    <cellStyle name="Normal 3 3 2 2 2 4 2 4 2" xfId="51480"/>
    <cellStyle name="Normal 3 3 2 2 2 4 2 5" xfId="22271"/>
    <cellStyle name="Normal 3 3 2 2 2 4 2 6" xfId="35251"/>
    <cellStyle name="Normal 3 3 2 2 2 4 2 7" xfId="48234"/>
    <cellStyle name="Normal 3 3 2 2 2 4 3" xfId="4378"/>
    <cellStyle name="Normal 3 3 2 2 2 4 3 2" xfId="10910"/>
    <cellStyle name="Normal 3 3 2 2 2 4 3 2 2" xfId="30383"/>
    <cellStyle name="Normal 3 3 2 2 2 4 3 2 3" xfId="43363"/>
    <cellStyle name="Normal 3 3 2 2 2 4 3 2 4" xfId="59592"/>
    <cellStyle name="Normal 3 3 2 2 2 4 3 3" xfId="17403"/>
    <cellStyle name="Normal 3 3 2 2 2 4 3 4" xfId="23893"/>
    <cellStyle name="Normal 3 3 2 2 2 4 3 5" xfId="36873"/>
    <cellStyle name="Normal 3 3 2 2 2 4 3 6" xfId="53102"/>
    <cellStyle name="Normal 3 3 2 2 2 4 4" xfId="7665"/>
    <cellStyle name="Normal 3 3 2 2 2 4 4 2" xfId="27138"/>
    <cellStyle name="Normal 3 3 2 2 2 4 4 3" xfId="40118"/>
    <cellStyle name="Normal 3 3 2 2 2 4 4 4" xfId="56347"/>
    <cellStyle name="Normal 3 3 2 2 2 4 5" xfId="14158"/>
    <cellStyle name="Normal 3 3 2 2 2 4 5 2" xfId="49857"/>
    <cellStyle name="Normal 3 3 2 2 2 4 6" xfId="20648"/>
    <cellStyle name="Normal 3 3 2 2 2 4 7" xfId="33628"/>
    <cellStyle name="Normal 3 3 2 2 2 4 8" xfId="46611"/>
    <cellStyle name="Normal 3 3 2 2 2 5" xfId="2042"/>
    <cellStyle name="Normal 3 3 2 2 2 5 2" xfId="5287"/>
    <cellStyle name="Normal 3 3 2 2 2 5 2 2" xfId="11819"/>
    <cellStyle name="Normal 3 3 2 2 2 5 2 2 2" xfId="31292"/>
    <cellStyle name="Normal 3 3 2 2 2 5 2 2 3" xfId="44272"/>
    <cellStyle name="Normal 3 3 2 2 2 5 2 2 4" xfId="60501"/>
    <cellStyle name="Normal 3 3 2 2 2 5 2 3" xfId="18312"/>
    <cellStyle name="Normal 3 3 2 2 2 5 2 4" xfId="24802"/>
    <cellStyle name="Normal 3 3 2 2 2 5 2 5" xfId="37782"/>
    <cellStyle name="Normal 3 3 2 2 2 5 2 6" xfId="54011"/>
    <cellStyle name="Normal 3 3 2 2 2 5 3" xfId="8574"/>
    <cellStyle name="Normal 3 3 2 2 2 5 3 2" xfId="28047"/>
    <cellStyle name="Normal 3 3 2 2 2 5 3 3" xfId="41027"/>
    <cellStyle name="Normal 3 3 2 2 2 5 3 4" xfId="57256"/>
    <cellStyle name="Normal 3 3 2 2 2 5 4" xfId="15067"/>
    <cellStyle name="Normal 3 3 2 2 2 5 4 2" xfId="50766"/>
    <cellStyle name="Normal 3 3 2 2 2 5 5" xfId="21557"/>
    <cellStyle name="Normal 3 3 2 2 2 5 6" xfId="34537"/>
    <cellStyle name="Normal 3 3 2 2 2 5 7" xfId="47520"/>
    <cellStyle name="Normal 3 3 2 2 2 6" xfId="3663"/>
    <cellStyle name="Normal 3 3 2 2 2 6 2" xfId="10195"/>
    <cellStyle name="Normal 3 3 2 2 2 6 2 2" xfId="29668"/>
    <cellStyle name="Normal 3 3 2 2 2 6 2 3" xfId="42648"/>
    <cellStyle name="Normal 3 3 2 2 2 6 2 4" xfId="58877"/>
    <cellStyle name="Normal 3 3 2 2 2 6 3" xfId="16688"/>
    <cellStyle name="Normal 3 3 2 2 2 6 4" xfId="23178"/>
    <cellStyle name="Normal 3 3 2 2 2 6 5" xfId="36158"/>
    <cellStyle name="Normal 3 3 2 2 2 6 6" xfId="52387"/>
    <cellStyle name="Normal 3 3 2 2 2 7" xfId="6950"/>
    <cellStyle name="Normal 3 3 2 2 2 7 2" xfId="26423"/>
    <cellStyle name="Normal 3 3 2 2 2 7 3" xfId="39403"/>
    <cellStyle name="Normal 3 3 2 2 2 7 4" xfId="55632"/>
    <cellStyle name="Normal 3 3 2 2 2 8" xfId="13443"/>
    <cellStyle name="Normal 3 3 2 2 2 8 2" xfId="49142"/>
    <cellStyle name="Normal 3 3 2 2 2 9" xfId="19933"/>
    <cellStyle name="Normal 3 3 2 2 3" xfId="745"/>
    <cellStyle name="Normal 3 3 2 2 3 10" xfId="46268"/>
    <cellStyle name="Normal 3 3 2 2 3 2" xfId="1684"/>
    <cellStyle name="Normal 3 3 2 2 3 2 2" xfId="3351"/>
    <cellStyle name="Normal 3 3 2 2 3 2 2 2" xfId="6596"/>
    <cellStyle name="Normal 3 3 2 2 3 2 2 2 2" xfId="13128"/>
    <cellStyle name="Normal 3 3 2 2 3 2 2 2 2 2" xfId="32601"/>
    <cellStyle name="Normal 3 3 2 2 3 2 2 2 2 3" xfId="45581"/>
    <cellStyle name="Normal 3 3 2 2 3 2 2 2 2 4" xfId="61810"/>
    <cellStyle name="Normal 3 3 2 2 3 2 2 2 3" xfId="19621"/>
    <cellStyle name="Normal 3 3 2 2 3 2 2 2 4" xfId="26111"/>
    <cellStyle name="Normal 3 3 2 2 3 2 2 2 5" xfId="39091"/>
    <cellStyle name="Normal 3 3 2 2 3 2 2 2 6" xfId="55320"/>
    <cellStyle name="Normal 3 3 2 2 3 2 2 3" xfId="9883"/>
    <cellStyle name="Normal 3 3 2 2 3 2 2 3 2" xfId="29356"/>
    <cellStyle name="Normal 3 3 2 2 3 2 2 3 3" xfId="42336"/>
    <cellStyle name="Normal 3 3 2 2 3 2 2 3 4" xfId="58565"/>
    <cellStyle name="Normal 3 3 2 2 3 2 2 4" xfId="16376"/>
    <cellStyle name="Normal 3 3 2 2 3 2 2 4 2" xfId="52075"/>
    <cellStyle name="Normal 3 3 2 2 3 2 2 5" xfId="22866"/>
    <cellStyle name="Normal 3 3 2 2 3 2 2 6" xfId="35846"/>
    <cellStyle name="Normal 3 3 2 2 3 2 2 7" xfId="48829"/>
    <cellStyle name="Normal 3 3 2 2 3 2 3" xfId="4973"/>
    <cellStyle name="Normal 3 3 2 2 3 2 3 2" xfId="11505"/>
    <cellStyle name="Normal 3 3 2 2 3 2 3 2 2" xfId="30978"/>
    <cellStyle name="Normal 3 3 2 2 3 2 3 2 3" xfId="43958"/>
    <cellStyle name="Normal 3 3 2 2 3 2 3 2 4" xfId="60187"/>
    <cellStyle name="Normal 3 3 2 2 3 2 3 3" xfId="17998"/>
    <cellStyle name="Normal 3 3 2 2 3 2 3 4" xfId="24488"/>
    <cellStyle name="Normal 3 3 2 2 3 2 3 5" xfId="37468"/>
    <cellStyle name="Normal 3 3 2 2 3 2 3 6" xfId="53697"/>
    <cellStyle name="Normal 3 3 2 2 3 2 4" xfId="8260"/>
    <cellStyle name="Normal 3 3 2 2 3 2 4 2" xfId="27733"/>
    <cellStyle name="Normal 3 3 2 2 3 2 4 3" xfId="40713"/>
    <cellStyle name="Normal 3 3 2 2 3 2 4 4" xfId="56942"/>
    <cellStyle name="Normal 3 3 2 2 3 2 5" xfId="14753"/>
    <cellStyle name="Normal 3 3 2 2 3 2 5 2" xfId="50452"/>
    <cellStyle name="Normal 3 3 2 2 3 2 6" xfId="21243"/>
    <cellStyle name="Normal 3 3 2 2 3 2 7" xfId="34223"/>
    <cellStyle name="Normal 3 3 2 2 3 2 8" xfId="47206"/>
    <cellStyle name="Normal 3 3 2 2 3 3" xfId="1221"/>
    <cellStyle name="Normal 3 3 2 2 3 3 2" xfId="2888"/>
    <cellStyle name="Normal 3 3 2 2 3 3 2 2" xfId="6133"/>
    <cellStyle name="Normal 3 3 2 2 3 3 2 2 2" xfId="12665"/>
    <cellStyle name="Normal 3 3 2 2 3 3 2 2 2 2" xfId="32138"/>
    <cellStyle name="Normal 3 3 2 2 3 3 2 2 2 3" xfId="45118"/>
    <cellStyle name="Normal 3 3 2 2 3 3 2 2 2 4" xfId="61347"/>
    <cellStyle name="Normal 3 3 2 2 3 3 2 2 3" xfId="19158"/>
    <cellStyle name="Normal 3 3 2 2 3 3 2 2 4" xfId="25648"/>
    <cellStyle name="Normal 3 3 2 2 3 3 2 2 5" xfId="38628"/>
    <cellStyle name="Normal 3 3 2 2 3 3 2 2 6" xfId="54857"/>
    <cellStyle name="Normal 3 3 2 2 3 3 2 3" xfId="9420"/>
    <cellStyle name="Normal 3 3 2 2 3 3 2 3 2" xfId="28893"/>
    <cellStyle name="Normal 3 3 2 2 3 3 2 3 3" xfId="41873"/>
    <cellStyle name="Normal 3 3 2 2 3 3 2 3 4" xfId="58102"/>
    <cellStyle name="Normal 3 3 2 2 3 3 2 4" xfId="15913"/>
    <cellStyle name="Normal 3 3 2 2 3 3 2 4 2" xfId="51612"/>
    <cellStyle name="Normal 3 3 2 2 3 3 2 5" xfId="22403"/>
    <cellStyle name="Normal 3 3 2 2 3 3 2 6" xfId="35383"/>
    <cellStyle name="Normal 3 3 2 2 3 3 2 7" xfId="48366"/>
    <cellStyle name="Normal 3 3 2 2 3 3 3" xfId="4510"/>
    <cellStyle name="Normal 3 3 2 2 3 3 3 2" xfId="11042"/>
    <cellStyle name="Normal 3 3 2 2 3 3 3 2 2" xfId="30515"/>
    <cellStyle name="Normal 3 3 2 2 3 3 3 2 3" xfId="43495"/>
    <cellStyle name="Normal 3 3 2 2 3 3 3 2 4" xfId="59724"/>
    <cellStyle name="Normal 3 3 2 2 3 3 3 3" xfId="17535"/>
    <cellStyle name="Normal 3 3 2 2 3 3 3 4" xfId="24025"/>
    <cellStyle name="Normal 3 3 2 2 3 3 3 5" xfId="37005"/>
    <cellStyle name="Normal 3 3 2 2 3 3 3 6" xfId="53234"/>
    <cellStyle name="Normal 3 3 2 2 3 3 4" xfId="7797"/>
    <cellStyle name="Normal 3 3 2 2 3 3 4 2" xfId="27270"/>
    <cellStyle name="Normal 3 3 2 2 3 3 4 3" xfId="40250"/>
    <cellStyle name="Normal 3 3 2 2 3 3 4 4" xfId="56479"/>
    <cellStyle name="Normal 3 3 2 2 3 3 5" xfId="14290"/>
    <cellStyle name="Normal 3 3 2 2 3 3 5 2" xfId="49989"/>
    <cellStyle name="Normal 3 3 2 2 3 3 6" xfId="20780"/>
    <cellStyle name="Normal 3 3 2 2 3 3 7" xfId="33760"/>
    <cellStyle name="Normal 3 3 2 2 3 3 8" xfId="46743"/>
    <cellStyle name="Normal 3 3 2 2 3 4" xfId="2413"/>
    <cellStyle name="Normal 3 3 2 2 3 4 2" xfId="5658"/>
    <cellStyle name="Normal 3 3 2 2 3 4 2 2" xfId="12190"/>
    <cellStyle name="Normal 3 3 2 2 3 4 2 2 2" xfId="31663"/>
    <cellStyle name="Normal 3 3 2 2 3 4 2 2 3" xfId="44643"/>
    <cellStyle name="Normal 3 3 2 2 3 4 2 2 4" xfId="60872"/>
    <cellStyle name="Normal 3 3 2 2 3 4 2 3" xfId="18683"/>
    <cellStyle name="Normal 3 3 2 2 3 4 2 4" xfId="25173"/>
    <cellStyle name="Normal 3 3 2 2 3 4 2 5" xfId="38153"/>
    <cellStyle name="Normal 3 3 2 2 3 4 2 6" xfId="54382"/>
    <cellStyle name="Normal 3 3 2 2 3 4 3" xfId="8945"/>
    <cellStyle name="Normal 3 3 2 2 3 4 3 2" xfId="28418"/>
    <cellStyle name="Normal 3 3 2 2 3 4 3 3" xfId="41398"/>
    <cellStyle name="Normal 3 3 2 2 3 4 3 4" xfId="57627"/>
    <cellStyle name="Normal 3 3 2 2 3 4 4" xfId="15438"/>
    <cellStyle name="Normal 3 3 2 2 3 4 4 2" xfId="51137"/>
    <cellStyle name="Normal 3 3 2 2 3 4 5" xfId="21928"/>
    <cellStyle name="Normal 3 3 2 2 3 4 6" xfId="34908"/>
    <cellStyle name="Normal 3 3 2 2 3 4 7" xfId="47891"/>
    <cellStyle name="Normal 3 3 2 2 3 5" xfId="4035"/>
    <cellStyle name="Normal 3 3 2 2 3 5 2" xfId="10567"/>
    <cellStyle name="Normal 3 3 2 2 3 5 2 2" xfId="30040"/>
    <cellStyle name="Normal 3 3 2 2 3 5 2 3" xfId="43020"/>
    <cellStyle name="Normal 3 3 2 2 3 5 2 4" xfId="59249"/>
    <cellStyle name="Normal 3 3 2 2 3 5 3" xfId="17060"/>
    <cellStyle name="Normal 3 3 2 2 3 5 4" xfId="23550"/>
    <cellStyle name="Normal 3 3 2 2 3 5 5" xfId="36530"/>
    <cellStyle name="Normal 3 3 2 2 3 5 6" xfId="52759"/>
    <cellStyle name="Normal 3 3 2 2 3 6" xfId="7322"/>
    <cellStyle name="Normal 3 3 2 2 3 6 2" xfId="26795"/>
    <cellStyle name="Normal 3 3 2 2 3 6 3" xfId="39775"/>
    <cellStyle name="Normal 3 3 2 2 3 6 4" xfId="56004"/>
    <cellStyle name="Normal 3 3 2 2 3 7" xfId="13815"/>
    <cellStyle name="Normal 3 3 2 2 3 7 2" xfId="49514"/>
    <cellStyle name="Normal 3 3 2 2 3 8" xfId="20305"/>
    <cellStyle name="Normal 3 3 2 2 3 9" xfId="33285"/>
    <cellStyle name="Normal 3 3 2 2 4" xfId="515"/>
    <cellStyle name="Normal 3 3 2 2 4 2" xfId="1464"/>
    <cellStyle name="Normal 3 3 2 2 4 2 2" xfId="3131"/>
    <cellStyle name="Normal 3 3 2 2 4 2 2 2" xfId="6376"/>
    <cellStyle name="Normal 3 3 2 2 4 2 2 2 2" xfId="12908"/>
    <cellStyle name="Normal 3 3 2 2 4 2 2 2 2 2" xfId="32381"/>
    <cellStyle name="Normal 3 3 2 2 4 2 2 2 2 3" xfId="45361"/>
    <cellStyle name="Normal 3 3 2 2 4 2 2 2 2 4" xfId="61590"/>
    <cellStyle name="Normal 3 3 2 2 4 2 2 2 3" xfId="19401"/>
    <cellStyle name="Normal 3 3 2 2 4 2 2 2 4" xfId="25891"/>
    <cellStyle name="Normal 3 3 2 2 4 2 2 2 5" xfId="38871"/>
    <cellStyle name="Normal 3 3 2 2 4 2 2 2 6" xfId="55100"/>
    <cellStyle name="Normal 3 3 2 2 4 2 2 3" xfId="9663"/>
    <cellStyle name="Normal 3 3 2 2 4 2 2 3 2" xfId="29136"/>
    <cellStyle name="Normal 3 3 2 2 4 2 2 3 3" xfId="42116"/>
    <cellStyle name="Normal 3 3 2 2 4 2 2 3 4" xfId="58345"/>
    <cellStyle name="Normal 3 3 2 2 4 2 2 4" xfId="16156"/>
    <cellStyle name="Normal 3 3 2 2 4 2 2 4 2" xfId="51855"/>
    <cellStyle name="Normal 3 3 2 2 4 2 2 5" xfId="22646"/>
    <cellStyle name="Normal 3 3 2 2 4 2 2 6" xfId="35626"/>
    <cellStyle name="Normal 3 3 2 2 4 2 2 7" xfId="48609"/>
    <cellStyle name="Normal 3 3 2 2 4 2 3" xfId="4753"/>
    <cellStyle name="Normal 3 3 2 2 4 2 3 2" xfId="11285"/>
    <cellStyle name="Normal 3 3 2 2 4 2 3 2 2" xfId="30758"/>
    <cellStyle name="Normal 3 3 2 2 4 2 3 2 3" xfId="43738"/>
    <cellStyle name="Normal 3 3 2 2 4 2 3 2 4" xfId="59967"/>
    <cellStyle name="Normal 3 3 2 2 4 2 3 3" xfId="17778"/>
    <cellStyle name="Normal 3 3 2 2 4 2 3 4" xfId="24268"/>
    <cellStyle name="Normal 3 3 2 2 4 2 3 5" xfId="37248"/>
    <cellStyle name="Normal 3 3 2 2 4 2 3 6" xfId="53477"/>
    <cellStyle name="Normal 3 3 2 2 4 2 4" xfId="8040"/>
    <cellStyle name="Normal 3 3 2 2 4 2 4 2" xfId="27513"/>
    <cellStyle name="Normal 3 3 2 2 4 2 4 3" xfId="40493"/>
    <cellStyle name="Normal 3 3 2 2 4 2 4 4" xfId="56722"/>
    <cellStyle name="Normal 3 3 2 2 4 2 5" xfId="14533"/>
    <cellStyle name="Normal 3 3 2 2 4 2 5 2" xfId="50232"/>
    <cellStyle name="Normal 3 3 2 2 4 2 6" xfId="21023"/>
    <cellStyle name="Normal 3 3 2 2 4 2 7" xfId="34003"/>
    <cellStyle name="Normal 3 3 2 2 4 2 8" xfId="46986"/>
    <cellStyle name="Normal 3 3 2 2 4 3" xfId="2183"/>
    <cellStyle name="Normal 3 3 2 2 4 3 2" xfId="5428"/>
    <cellStyle name="Normal 3 3 2 2 4 3 2 2" xfId="11960"/>
    <cellStyle name="Normal 3 3 2 2 4 3 2 2 2" xfId="31433"/>
    <cellStyle name="Normal 3 3 2 2 4 3 2 2 3" xfId="44413"/>
    <cellStyle name="Normal 3 3 2 2 4 3 2 2 4" xfId="60642"/>
    <cellStyle name="Normal 3 3 2 2 4 3 2 3" xfId="18453"/>
    <cellStyle name="Normal 3 3 2 2 4 3 2 4" xfId="24943"/>
    <cellStyle name="Normal 3 3 2 2 4 3 2 5" xfId="37923"/>
    <cellStyle name="Normal 3 3 2 2 4 3 2 6" xfId="54152"/>
    <cellStyle name="Normal 3 3 2 2 4 3 3" xfId="8715"/>
    <cellStyle name="Normal 3 3 2 2 4 3 3 2" xfId="28188"/>
    <cellStyle name="Normal 3 3 2 2 4 3 3 3" xfId="41168"/>
    <cellStyle name="Normal 3 3 2 2 4 3 3 4" xfId="57397"/>
    <cellStyle name="Normal 3 3 2 2 4 3 4" xfId="15208"/>
    <cellStyle name="Normal 3 3 2 2 4 3 4 2" xfId="50907"/>
    <cellStyle name="Normal 3 3 2 2 4 3 5" xfId="21698"/>
    <cellStyle name="Normal 3 3 2 2 4 3 6" xfId="34678"/>
    <cellStyle name="Normal 3 3 2 2 4 3 7" xfId="47661"/>
    <cellStyle name="Normal 3 3 2 2 4 4" xfId="3805"/>
    <cellStyle name="Normal 3 3 2 2 4 4 2" xfId="10337"/>
    <cellStyle name="Normal 3 3 2 2 4 4 2 2" xfId="29810"/>
    <cellStyle name="Normal 3 3 2 2 4 4 2 3" xfId="42790"/>
    <cellStyle name="Normal 3 3 2 2 4 4 2 4" xfId="59019"/>
    <cellStyle name="Normal 3 3 2 2 4 4 3" xfId="16830"/>
    <cellStyle name="Normal 3 3 2 2 4 4 4" xfId="23320"/>
    <cellStyle name="Normal 3 3 2 2 4 4 5" xfId="36300"/>
    <cellStyle name="Normal 3 3 2 2 4 4 6" xfId="52529"/>
    <cellStyle name="Normal 3 3 2 2 4 5" xfId="7092"/>
    <cellStyle name="Normal 3 3 2 2 4 5 2" xfId="26565"/>
    <cellStyle name="Normal 3 3 2 2 4 5 3" xfId="39545"/>
    <cellStyle name="Normal 3 3 2 2 4 5 4" xfId="55774"/>
    <cellStyle name="Normal 3 3 2 2 4 6" xfId="13585"/>
    <cellStyle name="Normal 3 3 2 2 4 6 2" xfId="49284"/>
    <cellStyle name="Normal 3 3 2 2 4 7" xfId="20075"/>
    <cellStyle name="Normal 3 3 2 2 4 8" xfId="33055"/>
    <cellStyle name="Normal 3 3 2 2 4 9" xfId="46038"/>
    <cellStyle name="Normal 3 3 2 2 5" xfId="1001"/>
    <cellStyle name="Normal 3 3 2 2 5 2" xfId="2668"/>
    <cellStyle name="Normal 3 3 2 2 5 2 2" xfId="5913"/>
    <cellStyle name="Normal 3 3 2 2 5 2 2 2" xfId="12445"/>
    <cellStyle name="Normal 3 3 2 2 5 2 2 2 2" xfId="31918"/>
    <cellStyle name="Normal 3 3 2 2 5 2 2 2 3" xfId="44898"/>
    <cellStyle name="Normal 3 3 2 2 5 2 2 2 4" xfId="61127"/>
    <cellStyle name="Normal 3 3 2 2 5 2 2 3" xfId="18938"/>
    <cellStyle name="Normal 3 3 2 2 5 2 2 4" xfId="25428"/>
    <cellStyle name="Normal 3 3 2 2 5 2 2 5" xfId="38408"/>
    <cellStyle name="Normal 3 3 2 2 5 2 2 6" xfId="54637"/>
    <cellStyle name="Normal 3 3 2 2 5 2 3" xfId="9200"/>
    <cellStyle name="Normal 3 3 2 2 5 2 3 2" xfId="28673"/>
    <cellStyle name="Normal 3 3 2 2 5 2 3 3" xfId="41653"/>
    <cellStyle name="Normal 3 3 2 2 5 2 3 4" xfId="57882"/>
    <cellStyle name="Normal 3 3 2 2 5 2 4" xfId="15693"/>
    <cellStyle name="Normal 3 3 2 2 5 2 4 2" xfId="51392"/>
    <cellStyle name="Normal 3 3 2 2 5 2 5" xfId="22183"/>
    <cellStyle name="Normal 3 3 2 2 5 2 6" xfId="35163"/>
    <cellStyle name="Normal 3 3 2 2 5 2 7" xfId="48146"/>
    <cellStyle name="Normal 3 3 2 2 5 3" xfId="4290"/>
    <cellStyle name="Normal 3 3 2 2 5 3 2" xfId="10822"/>
    <cellStyle name="Normal 3 3 2 2 5 3 2 2" xfId="30295"/>
    <cellStyle name="Normal 3 3 2 2 5 3 2 3" xfId="43275"/>
    <cellStyle name="Normal 3 3 2 2 5 3 2 4" xfId="59504"/>
    <cellStyle name="Normal 3 3 2 2 5 3 3" xfId="17315"/>
    <cellStyle name="Normal 3 3 2 2 5 3 4" xfId="23805"/>
    <cellStyle name="Normal 3 3 2 2 5 3 5" xfId="36785"/>
    <cellStyle name="Normal 3 3 2 2 5 3 6" xfId="53014"/>
    <cellStyle name="Normal 3 3 2 2 5 4" xfId="7577"/>
    <cellStyle name="Normal 3 3 2 2 5 4 2" xfId="27050"/>
    <cellStyle name="Normal 3 3 2 2 5 4 3" xfId="40030"/>
    <cellStyle name="Normal 3 3 2 2 5 4 4" xfId="56259"/>
    <cellStyle name="Normal 3 3 2 2 5 5" xfId="14070"/>
    <cellStyle name="Normal 3 3 2 2 5 5 2" xfId="49769"/>
    <cellStyle name="Normal 3 3 2 2 5 6" xfId="20560"/>
    <cellStyle name="Normal 3 3 2 2 5 7" xfId="33540"/>
    <cellStyle name="Normal 3 3 2 2 5 8" xfId="46523"/>
    <cellStyle name="Normal 3 3 2 2 6" xfId="1954"/>
    <cellStyle name="Normal 3 3 2 2 6 2" xfId="5199"/>
    <cellStyle name="Normal 3 3 2 2 6 2 2" xfId="11731"/>
    <cellStyle name="Normal 3 3 2 2 6 2 2 2" xfId="31204"/>
    <cellStyle name="Normal 3 3 2 2 6 2 2 3" xfId="44184"/>
    <cellStyle name="Normal 3 3 2 2 6 2 2 4" xfId="60413"/>
    <cellStyle name="Normal 3 3 2 2 6 2 3" xfId="18224"/>
    <cellStyle name="Normal 3 3 2 2 6 2 4" xfId="24714"/>
    <cellStyle name="Normal 3 3 2 2 6 2 5" xfId="37694"/>
    <cellStyle name="Normal 3 3 2 2 6 2 6" xfId="53923"/>
    <cellStyle name="Normal 3 3 2 2 6 3" xfId="8486"/>
    <cellStyle name="Normal 3 3 2 2 6 3 2" xfId="27959"/>
    <cellStyle name="Normal 3 3 2 2 6 3 3" xfId="40939"/>
    <cellStyle name="Normal 3 3 2 2 6 3 4" xfId="57168"/>
    <cellStyle name="Normal 3 3 2 2 6 4" xfId="14979"/>
    <cellStyle name="Normal 3 3 2 2 6 4 2" xfId="50678"/>
    <cellStyle name="Normal 3 3 2 2 6 5" xfId="21469"/>
    <cellStyle name="Normal 3 3 2 2 6 6" xfId="34449"/>
    <cellStyle name="Normal 3 3 2 2 6 7" xfId="47432"/>
    <cellStyle name="Normal 3 3 2 2 7" xfId="3575"/>
    <cellStyle name="Normal 3 3 2 2 7 2" xfId="10107"/>
    <cellStyle name="Normal 3 3 2 2 7 2 2" xfId="29580"/>
    <cellStyle name="Normal 3 3 2 2 7 2 3" xfId="42560"/>
    <cellStyle name="Normal 3 3 2 2 7 2 4" xfId="58789"/>
    <cellStyle name="Normal 3 3 2 2 7 3" xfId="16600"/>
    <cellStyle name="Normal 3 3 2 2 7 4" xfId="23090"/>
    <cellStyle name="Normal 3 3 2 2 7 5" xfId="36070"/>
    <cellStyle name="Normal 3 3 2 2 7 6" xfId="52299"/>
    <cellStyle name="Normal 3 3 2 2 8" xfId="6862"/>
    <cellStyle name="Normal 3 3 2 2 8 2" xfId="26335"/>
    <cellStyle name="Normal 3 3 2 2 8 3" xfId="39315"/>
    <cellStyle name="Normal 3 3 2 2 8 4" xfId="55544"/>
    <cellStyle name="Normal 3 3 2 2 9" xfId="13355"/>
    <cellStyle name="Normal 3 3 2 2 9 2" xfId="49054"/>
    <cellStyle name="Normal 3 3 2 3" xfId="237"/>
    <cellStyle name="Normal 3 3 2 3 10" xfId="32781"/>
    <cellStyle name="Normal 3 3 2 3 11" xfId="45764"/>
    <cellStyle name="Normal 3 3 2 3 12" xfId="62011"/>
    <cellStyle name="Normal 3 3 2 3 2" xfId="701"/>
    <cellStyle name="Normal 3 3 2 3 2 10" xfId="46224"/>
    <cellStyle name="Normal 3 3 2 3 2 2" xfId="1640"/>
    <cellStyle name="Normal 3 3 2 3 2 2 2" xfId="3307"/>
    <cellStyle name="Normal 3 3 2 3 2 2 2 2" xfId="6552"/>
    <cellStyle name="Normal 3 3 2 3 2 2 2 2 2" xfId="13084"/>
    <cellStyle name="Normal 3 3 2 3 2 2 2 2 2 2" xfId="32557"/>
    <cellStyle name="Normal 3 3 2 3 2 2 2 2 2 3" xfId="45537"/>
    <cellStyle name="Normal 3 3 2 3 2 2 2 2 2 4" xfId="61766"/>
    <cellStyle name="Normal 3 3 2 3 2 2 2 2 3" xfId="19577"/>
    <cellStyle name="Normal 3 3 2 3 2 2 2 2 4" xfId="26067"/>
    <cellStyle name="Normal 3 3 2 3 2 2 2 2 5" xfId="39047"/>
    <cellStyle name="Normal 3 3 2 3 2 2 2 2 6" xfId="55276"/>
    <cellStyle name="Normal 3 3 2 3 2 2 2 3" xfId="9839"/>
    <cellStyle name="Normal 3 3 2 3 2 2 2 3 2" xfId="29312"/>
    <cellStyle name="Normal 3 3 2 3 2 2 2 3 3" xfId="42292"/>
    <cellStyle name="Normal 3 3 2 3 2 2 2 3 4" xfId="58521"/>
    <cellStyle name="Normal 3 3 2 3 2 2 2 4" xfId="16332"/>
    <cellStyle name="Normal 3 3 2 3 2 2 2 4 2" xfId="52031"/>
    <cellStyle name="Normal 3 3 2 3 2 2 2 5" xfId="22822"/>
    <cellStyle name="Normal 3 3 2 3 2 2 2 6" xfId="35802"/>
    <cellStyle name="Normal 3 3 2 3 2 2 2 7" xfId="48785"/>
    <cellStyle name="Normal 3 3 2 3 2 2 3" xfId="4929"/>
    <cellStyle name="Normal 3 3 2 3 2 2 3 2" xfId="11461"/>
    <cellStyle name="Normal 3 3 2 3 2 2 3 2 2" xfId="30934"/>
    <cellStyle name="Normal 3 3 2 3 2 2 3 2 3" xfId="43914"/>
    <cellStyle name="Normal 3 3 2 3 2 2 3 2 4" xfId="60143"/>
    <cellStyle name="Normal 3 3 2 3 2 2 3 3" xfId="17954"/>
    <cellStyle name="Normal 3 3 2 3 2 2 3 4" xfId="24444"/>
    <cellStyle name="Normal 3 3 2 3 2 2 3 5" xfId="37424"/>
    <cellStyle name="Normal 3 3 2 3 2 2 3 6" xfId="53653"/>
    <cellStyle name="Normal 3 3 2 3 2 2 4" xfId="8216"/>
    <cellStyle name="Normal 3 3 2 3 2 2 4 2" xfId="27689"/>
    <cellStyle name="Normal 3 3 2 3 2 2 4 3" xfId="40669"/>
    <cellStyle name="Normal 3 3 2 3 2 2 4 4" xfId="56898"/>
    <cellStyle name="Normal 3 3 2 3 2 2 5" xfId="14709"/>
    <cellStyle name="Normal 3 3 2 3 2 2 5 2" xfId="50408"/>
    <cellStyle name="Normal 3 3 2 3 2 2 6" xfId="21199"/>
    <cellStyle name="Normal 3 3 2 3 2 2 7" xfId="34179"/>
    <cellStyle name="Normal 3 3 2 3 2 2 8" xfId="47162"/>
    <cellStyle name="Normal 3 3 2 3 2 3" xfId="1177"/>
    <cellStyle name="Normal 3 3 2 3 2 3 2" xfId="2844"/>
    <cellStyle name="Normal 3 3 2 3 2 3 2 2" xfId="6089"/>
    <cellStyle name="Normal 3 3 2 3 2 3 2 2 2" xfId="12621"/>
    <cellStyle name="Normal 3 3 2 3 2 3 2 2 2 2" xfId="32094"/>
    <cellStyle name="Normal 3 3 2 3 2 3 2 2 2 3" xfId="45074"/>
    <cellStyle name="Normal 3 3 2 3 2 3 2 2 2 4" xfId="61303"/>
    <cellStyle name="Normal 3 3 2 3 2 3 2 2 3" xfId="19114"/>
    <cellStyle name="Normal 3 3 2 3 2 3 2 2 4" xfId="25604"/>
    <cellStyle name="Normal 3 3 2 3 2 3 2 2 5" xfId="38584"/>
    <cellStyle name="Normal 3 3 2 3 2 3 2 2 6" xfId="54813"/>
    <cellStyle name="Normal 3 3 2 3 2 3 2 3" xfId="9376"/>
    <cellStyle name="Normal 3 3 2 3 2 3 2 3 2" xfId="28849"/>
    <cellStyle name="Normal 3 3 2 3 2 3 2 3 3" xfId="41829"/>
    <cellStyle name="Normal 3 3 2 3 2 3 2 3 4" xfId="58058"/>
    <cellStyle name="Normal 3 3 2 3 2 3 2 4" xfId="15869"/>
    <cellStyle name="Normal 3 3 2 3 2 3 2 4 2" xfId="51568"/>
    <cellStyle name="Normal 3 3 2 3 2 3 2 5" xfId="22359"/>
    <cellStyle name="Normal 3 3 2 3 2 3 2 6" xfId="35339"/>
    <cellStyle name="Normal 3 3 2 3 2 3 2 7" xfId="48322"/>
    <cellStyle name="Normal 3 3 2 3 2 3 3" xfId="4466"/>
    <cellStyle name="Normal 3 3 2 3 2 3 3 2" xfId="10998"/>
    <cellStyle name="Normal 3 3 2 3 2 3 3 2 2" xfId="30471"/>
    <cellStyle name="Normal 3 3 2 3 2 3 3 2 3" xfId="43451"/>
    <cellStyle name="Normal 3 3 2 3 2 3 3 2 4" xfId="59680"/>
    <cellStyle name="Normal 3 3 2 3 2 3 3 3" xfId="17491"/>
    <cellStyle name="Normal 3 3 2 3 2 3 3 4" xfId="23981"/>
    <cellStyle name="Normal 3 3 2 3 2 3 3 5" xfId="36961"/>
    <cellStyle name="Normal 3 3 2 3 2 3 3 6" xfId="53190"/>
    <cellStyle name="Normal 3 3 2 3 2 3 4" xfId="7753"/>
    <cellStyle name="Normal 3 3 2 3 2 3 4 2" xfId="27226"/>
    <cellStyle name="Normal 3 3 2 3 2 3 4 3" xfId="40206"/>
    <cellStyle name="Normal 3 3 2 3 2 3 4 4" xfId="56435"/>
    <cellStyle name="Normal 3 3 2 3 2 3 5" xfId="14246"/>
    <cellStyle name="Normal 3 3 2 3 2 3 5 2" xfId="49945"/>
    <cellStyle name="Normal 3 3 2 3 2 3 6" xfId="20736"/>
    <cellStyle name="Normal 3 3 2 3 2 3 7" xfId="33716"/>
    <cellStyle name="Normal 3 3 2 3 2 3 8" xfId="46699"/>
    <cellStyle name="Normal 3 3 2 3 2 4" xfId="2369"/>
    <cellStyle name="Normal 3 3 2 3 2 4 2" xfId="5614"/>
    <cellStyle name="Normal 3 3 2 3 2 4 2 2" xfId="12146"/>
    <cellStyle name="Normal 3 3 2 3 2 4 2 2 2" xfId="31619"/>
    <cellStyle name="Normal 3 3 2 3 2 4 2 2 3" xfId="44599"/>
    <cellStyle name="Normal 3 3 2 3 2 4 2 2 4" xfId="60828"/>
    <cellStyle name="Normal 3 3 2 3 2 4 2 3" xfId="18639"/>
    <cellStyle name="Normal 3 3 2 3 2 4 2 4" xfId="25129"/>
    <cellStyle name="Normal 3 3 2 3 2 4 2 5" xfId="38109"/>
    <cellStyle name="Normal 3 3 2 3 2 4 2 6" xfId="54338"/>
    <cellStyle name="Normal 3 3 2 3 2 4 3" xfId="8901"/>
    <cellStyle name="Normal 3 3 2 3 2 4 3 2" xfId="28374"/>
    <cellStyle name="Normal 3 3 2 3 2 4 3 3" xfId="41354"/>
    <cellStyle name="Normal 3 3 2 3 2 4 3 4" xfId="57583"/>
    <cellStyle name="Normal 3 3 2 3 2 4 4" xfId="15394"/>
    <cellStyle name="Normal 3 3 2 3 2 4 4 2" xfId="51093"/>
    <cellStyle name="Normal 3 3 2 3 2 4 5" xfId="21884"/>
    <cellStyle name="Normal 3 3 2 3 2 4 6" xfId="34864"/>
    <cellStyle name="Normal 3 3 2 3 2 4 7" xfId="47847"/>
    <cellStyle name="Normal 3 3 2 3 2 5" xfId="3991"/>
    <cellStyle name="Normal 3 3 2 3 2 5 2" xfId="10523"/>
    <cellStyle name="Normal 3 3 2 3 2 5 2 2" xfId="29996"/>
    <cellStyle name="Normal 3 3 2 3 2 5 2 3" xfId="42976"/>
    <cellStyle name="Normal 3 3 2 3 2 5 2 4" xfId="59205"/>
    <cellStyle name="Normal 3 3 2 3 2 5 3" xfId="17016"/>
    <cellStyle name="Normal 3 3 2 3 2 5 4" xfId="23506"/>
    <cellStyle name="Normal 3 3 2 3 2 5 5" xfId="36486"/>
    <cellStyle name="Normal 3 3 2 3 2 5 6" xfId="52715"/>
    <cellStyle name="Normal 3 3 2 3 2 6" xfId="7278"/>
    <cellStyle name="Normal 3 3 2 3 2 6 2" xfId="26751"/>
    <cellStyle name="Normal 3 3 2 3 2 6 3" xfId="39731"/>
    <cellStyle name="Normal 3 3 2 3 2 6 4" xfId="55960"/>
    <cellStyle name="Normal 3 3 2 3 2 7" xfId="13771"/>
    <cellStyle name="Normal 3 3 2 3 2 7 2" xfId="49470"/>
    <cellStyle name="Normal 3 3 2 3 2 8" xfId="20261"/>
    <cellStyle name="Normal 3 3 2 3 2 9" xfId="33241"/>
    <cellStyle name="Normal 3 3 2 3 3" xfId="471"/>
    <cellStyle name="Normal 3 3 2 3 3 2" xfId="1420"/>
    <cellStyle name="Normal 3 3 2 3 3 2 2" xfId="3087"/>
    <cellStyle name="Normal 3 3 2 3 3 2 2 2" xfId="6332"/>
    <cellStyle name="Normal 3 3 2 3 3 2 2 2 2" xfId="12864"/>
    <cellStyle name="Normal 3 3 2 3 3 2 2 2 2 2" xfId="32337"/>
    <cellStyle name="Normal 3 3 2 3 3 2 2 2 2 3" xfId="45317"/>
    <cellStyle name="Normal 3 3 2 3 3 2 2 2 2 4" xfId="61546"/>
    <cellStyle name="Normal 3 3 2 3 3 2 2 2 3" xfId="19357"/>
    <cellStyle name="Normal 3 3 2 3 3 2 2 2 4" xfId="25847"/>
    <cellStyle name="Normal 3 3 2 3 3 2 2 2 5" xfId="38827"/>
    <cellStyle name="Normal 3 3 2 3 3 2 2 2 6" xfId="55056"/>
    <cellStyle name="Normal 3 3 2 3 3 2 2 3" xfId="9619"/>
    <cellStyle name="Normal 3 3 2 3 3 2 2 3 2" xfId="29092"/>
    <cellStyle name="Normal 3 3 2 3 3 2 2 3 3" xfId="42072"/>
    <cellStyle name="Normal 3 3 2 3 3 2 2 3 4" xfId="58301"/>
    <cellStyle name="Normal 3 3 2 3 3 2 2 4" xfId="16112"/>
    <cellStyle name="Normal 3 3 2 3 3 2 2 4 2" xfId="51811"/>
    <cellStyle name="Normal 3 3 2 3 3 2 2 5" xfId="22602"/>
    <cellStyle name="Normal 3 3 2 3 3 2 2 6" xfId="35582"/>
    <cellStyle name="Normal 3 3 2 3 3 2 2 7" xfId="48565"/>
    <cellStyle name="Normal 3 3 2 3 3 2 3" xfId="4709"/>
    <cellStyle name="Normal 3 3 2 3 3 2 3 2" xfId="11241"/>
    <cellStyle name="Normal 3 3 2 3 3 2 3 2 2" xfId="30714"/>
    <cellStyle name="Normal 3 3 2 3 3 2 3 2 3" xfId="43694"/>
    <cellStyle name="Normal 3 3 2 3 3 2 3 2 4" xfId="59923"/>
    <cellStyle name="Normal 3 3 2 3 3 2 3 3" xfId="17734"/>
    <cellStyle name="Normal 3 3 2 3 3 2 3 4" xfId="24224"/>
    <cellStyle name="Normal 3 3 2 3 3 2 3 5" xfId="37204"/>
    <cellStyle name="Normal 3 3 2 3 3 2 3 6" xfId="53433"/>
    <cellStyle name="Normal 3 3 2 3 3 2 4" xfId="7996"/>
    <cellStyle name="Normal 3 3 2 3 3 2 4 2" xfId="27469"/>
    <cellStyle name="Normal 3 3 2 3 3 2 4 3" xfId="40449"/>
    <cellStyle name="Normal 3 3 2 3 3 2 4 4" xfId="56678"/>
    <cellStyle name="Normal 3 3 2 3 3 2 5" xfId="14489"/>
    <cellStyle name="Normal 3 3 2 3 3 2 5 2" xfId="50188"/>
    <cellStyle name="Normal 3 3 2 3 3 2 6" xfId="20979"/>
    <cellStyle name="Normal 3 3 2 3 3 2 7" xfId="33959"/>
    <cellStyle name="Normal 3 3 2 3 3 2 8" xfId="46942"/>
    <cellStyle name="Normal 3 3 2 3 3 3" xfId="2139"/>
    <cellStyle name="Normal 3 3 2 3 3 3 2" xfId="5384"/>
    <cellStyle name="Normal 3 3 2 3 3 3 2 2" xfId="11916"/>
    <cellStyle name="Normal 3 3 2 3 3 3 2 2 2" xfId="31389"/>
    <cellStyle name="Normal 3 3 2 3 3 3 2 2 3" xfId="44369"/>
    <cellStyle name="Normal 3 3 2 3 3 3 2 2 4" xfId="60598"/>
    <cellStyle name="Normal 3 3 2 3 3 3 2 3" xfId="18409"/>
    <cellStyle name="Normal 3 3 2 3 3 3 2 4" xfId="24899"/>
    <cellStyle name="Normal 3 3 2 3 3 3 2 5" xfId="37879"/>
    <cellStyle name="Normal 3 3 2 3 3 3 2 6" xfId="54108"/>
    <cellStyle name="Normal 3 3 2 3 3 3 3" xfId="8671"/>
    <cellStyle name="Normal 3 3 2 3 3 3 3 2" xfId="28144"/>
    <cellStyle name="Normal 3 3 2 3 3 3 3 3" xfId="41124"/>
    <cellStyle name="Normal 3 3 2 3 3 3 3 4" xfId="57353"/>
    <cellStyle name="Normal 3 3 2 3 3 3 4" xfId="15164"/>
    <cellStyle name="Normal 3 3 2 3 3 3 4 2" xfId="50863"/>
    <cellStyle name="Normal 3 3 2 3 3 3 5" xfId="21654"/>
    <cellStyle name="Normal 3 3 2 3 3 3 6" xfId="34634"/>
    <cellStyle name="Normal 3 3 2 3 3 3 7" xfId="47617"/>
    <cellStyle name="Normal 3 3 2 3 3 4" xfId="3761"/>
    <cellStyle name="Normal 3 3 2 3 3 4 2" xfId="10293"/>
    <cellStyle name="Normal 3 3 2 3 3 4 2 2" xfId="29766"/>
    <cellStyle name="Normal 3 3 2 3 3 4 2 3" xfId="42746"/>
    <cellStyle name="Normal 3 3 2 3 3 4 2 4" xfId="58975"/>
    <cellStyle name="Normal 3 3 2 3 3 4 3" xfId="16786"/>
    <cellStyle name="Normal 3 3 2 3 3 4 4" xfId="23276"/>
    <cellStyle name="Normal 3 3 2 3 3 4 5" xfId="36256"/>
    <cellStyle name="Normal 3 3 2 3 3 4 6" xfId="52485"/>
    <cellStyle name="Normal 3 3 2 3 3 5" xfId="7048"/>
    <cellStyle name="Normal 3 3 2 3 3 5 2" xfId="26521"/>
    <cellStyle name="Normal 3 3 2 3 3 5 3" xfId="39501"/>
    <cellStyle name="Normal 3 3 2 3 3 5 4" xfId="55730"/>
    <cellStyle name="Normal 3 3 2 3 3 6" xfId="13541"/>
    <cellStyle name="Normal 3 3 2 3 3 6 2" xfId="49240"/>
    <cellStyle name="Normal 3 3 2 3 3 7" xfId="20031"/>
    <cellStyle name="Normal 3 3 2 3 3 8" xfId="33011"/>
    <cellStyle name="Normal 3 3 2 3 3 9" xfId="45994"/>
    <cellStyle name="Normal 3 3 2 3 4" xfId="957"/>
    <cellStyle name="Normal 3 3 2 3 4 2" xfId="2624"/>
    <cellStyle name="Normal 3 3 2 3 4 2 2" xfId="5869"/>
    <cellStyle name="Normal 3 3 2 3 4 2 2 2" xfId="12401"/>
    <cellStyle name="Normal 3 3 2 3 4 2 2 2 2" xfId="31874"/>
    <cellStyle name="Normal 3 3 2 3 4 2 2 2 3" xfId="44854"/>
    <cellStyle name="Normal 3 3 2 3 4 2 2 2 4" xfId="61083"/>
    <cellStyle name="Normal 3 3 2 3 4 2 2 3" xfId="18894"/>
    <cellStyle name="Normal 3 3 2 3 4 2 2 4" xfId="25384"/>
    <cellStyle name="Normal 3 3 2 3 4 2 2 5" xfId="38364"/>
    <cellStyle name="Normal 3 3 2 3 4 2 2 6" xfId="54593"/>
    <cellStyle name="Normal 3 3 2 3 4 2 3" xfId="9156"/>
    <cellStyle name="Normal 3 3 2 3 4 2 3 2" xfId="28629"/>
    <cellStyle name="Normal 3 3 2 3 4 2 3 3" xfId="41609"/>
    <cellStyle name="Normal 3 3 2 3 4 2 3 4" xfId="57838"/>
    <cellStyle name="Normal 3 3 2 3 4 2 4" xfId="15649"/>
    <cellStyle name="Normal 3 3 2 3 4 2 4 2" xfId="51348"/>
    <cellStyle name="Normal 3 3 2 3 4 2 5" xfId="22139"/>
    <cellStyle name="Normal 3 3 2 3 4 2 6" xfId="35119"/>
    <cellStyle name="Normal 3 3 2 3 4 2 7" xfId="48102"/>
    <cellStyle name="Normal 3 3 2 3 4 3" xfId="4246"/>
    <cellStyle name="Normal 3 3 2 3 4 3 2" xfId="10778"/>
    <cellStyle name="Normal 3 3 2 3 4 3 2 2" xfId="30251"/>
    <cellStyle name="Normal 3 3 2 3 4 3 2 3" xfId="43231"/>
    <cellStyle name="Normal 3 3 2 3 4 3 2 4" xfId="59460"/>
    <cellStyle name="Normal 3 3 2 3 4 3 3" xfId="17271"/>
    <cellStyle name="Normal 3 3 2 3 4 3 4" xfId="23761"/>
    <cellStyle name="Normal 3 3 2 3 4 3 5" xfId="36741"/>
    <cellStyle name="Normal 3 3 2 3 4 3 6" xfId="52970"/>
    <cellStyle name="Normal 3 3 2 3 4 4" xfId="7533"/>
    <cellStyle name="Normal 3 3 2 3 4 4 2" xfId="27006"/>
    <cellStyle name="Normal 3 3 2 3 4 4 3" xfId="39986"/>
    <cellStyle name="Normal 3 3 2 3 4 4 4" xfId="56215"/>
    <cellStyle name="Normal 3 3 2 3 4 5" xfId="14026"/>
    <cellStyle name="Normal 3 3 2 3 4 5 2" xfId="49725"/>
    <cellStyle name="Normal 3 3 2 3 4 6" xfId="20516"/>
    <cellStyle name="Normal 3 3 2 3 4 7" xfId="33496"/>
    <cellStyle name="Normal 3 3 2 3 4 8" xfId="46479"/>
    <cellStyle name="Normal 3 3 2 3 5" xfId="1910"/>
    <cellStyle name="Normal 3 3 2 3 5 2" xfId="5155"/>
    <cellStyle name="Normal 3 3 2 3 5 2 2" xfId="11687"/>
    <cellStyle name="Normal 3 3 2 3 5 2 2 2" xfId="31160"/>
    <cellStyle name="Normal 3 3 2 3 5 2 2 3" xfId="44140"/>
    <cellStyle name="Normal 3 3 2 3 5 2 2 4" xfId="60369"/>
    <cellStyle name="Normal 3 3 2 3 5 2 3" xfId="18180"/>
    <cellStyle name="Normal 3 3 2 3 5 2 4" xfId="24670"/>
    <cellStyle name="Normal 3 3 2 3 5 2 5" xfId="37650"/>
    <cellStyle name="Normal 3 3 2 3 5 2 6" xfId="53879"/>
    <cellStyle name="Normal 3 3 2 3 5 3" xfId="8442"/>
    <cellStyle name="Normal 3 3 2 3 5 3 2" xfId="27915"/>
    <cellStyle name="Normal 3 3 2 3 5 3 3" xfId="40895"/>
    <cellStyle name="Normal 3 3 2 3 5 3 4" xfId="57124"/>
    <cellStyle name="Normal 3 3 2 3 5 4" xfId="14935"/>
    <cellStyle name="Normal 3 3 2 3 5 4 2" xfId="50634"/>
    <cellStyle name="Normal 3 3 2 3 5 5" xfId="21425"/>
    <cellStyle name="Normal 3 3 2 3 5 6" xfId="34405"/>
    <cellStyle name="Normal 3 3 2 3 5 7" xfId="47388"/>
    <cellStyle name="Normal 3 3 2 3 6" xfId="3531"/>
    <cellStyle name="Normal 3 3 2 3 6 2" xfId="10063"/>
    <cellStyle name="Normal 3 3 2 3 6 2 2" xfId="29536"/>
    <cellStyle name="Normal 3 3 2 3 6 2 3" xfId="42516"/>
    <cellStyle name="Normal 3 3 2 3 6 2 4" xfId="58745"/>
    <cellStyle name="Normal 3 3 2 3 6 3" xfId="16556"/>
    <cellStyle name="Normal 3 3 2 3 6 4" xfId="23046"/>
    <cellStyle name="Normal 3 3 2 3 6 5" xfId="36026"/>
    <cellStyle name="Normal 3 3 2 3 6 6" xfId="52255"/>
    <cellStyle name="Normal 3 3 2 3 7" xfId="6818"/>
    <cellStyle name="Normal 3 3 2 3 7 2" xfId="26291"/>
    <cellStyle name="Normal 3 3 2 3 7 3" xfId="39271"/>
    <cellStyle name="Normal 3 3 2 3 7 4" xfId="55500"/>
    <cellStyle name="Normal 3 3 2 3 8" xfId="13311"/>
    <cellStyle name="Normal 3 3 2 3 8 2" xfId="49010"/>
    <cellStyle name="Normal 3 3 2 3 9" xfId="19801"/>
    <cellStyle name="Normal 3 3 2 4" xfId="325"/>
    <cellStyle name="Normal 3 3 2 4 10" xfId="32869"/>
    <cellStyle name="Normal 3 3 2 4 11" xfId="45852"/>
    <cellStyle name="Normal 3 3 2 4 2" xfId="789"/>
    <cellStyle name="Normal 3 3 2 4 2 10" xfId="46312"/>
    <cellStyle name="Normal 3 3 2 4 2 2" xfId="1728"/>
    <cellStyle name="Normal 3 3 2 4 2 2 2" xfId="3395"/>
    <cellStyle name="Normal 3 3 2 4 2 2 2 2" xfId="6640"/>
    <cellStyle name="Normal 3 3 2 4 2 2 2 2 2" xfId="13172"/>
    <cellStyle name="Normal 3 3 2 4 2 2 2 2 2 2" xfId="32645"/>
    <cellStyle name="Normal 3 3 2 4 2 2 2 2 2 3" xfId="45625"/>
    <cellStyle name="Normal 3 3 2 4 2 2 2 2 2 4" xfId="61854"/>
    <cellStyle name="Normal 3 3 2 4 2 2 2 2 3" xfId="19665"/>
    <cellStyle name="Normal 3 3 2 4 2 2 2 2 4" xfId="26155"/>
    <cellStyle name="Normal 3 3 2 4 2 2 2 2 5" xfId="39135"/>
    <cellStyle name="Normal 3 3 2 4 2 2 2 2 6" xfId="55364"/>
    <cellStyle name="Normal 3 3 2 4 2 2 2 3" xfId="9927"/>
    <cellStyle name="Normal 3 3 2 4 2 2 2 3 2" xfId="29400"/>
    <cellStyle name="Normal 3 3 2 4 2 2 2 3 3" xfId="42380"/>
    <cellStyle name="Normal 3 3 2 4 2 2 2 3 4" xfId="58609"/>
    <cellStyle name="Normal 3 3 2 4 2 2 2 4" xfId="16420"/>
    <cellStyle name="Normal 3 3 2 4 2 2 2 4 2" xfId="52119"/>
    <cellStyle name="Normal 3 3 2 4 2 2 2 5" xfId="22910"/>
    <cellStyle name="Normal 3 3 2 4 2 2 2 6" xfId="35890"/>
    <cellStyle name="Normal 3 3 2 4 2 2 2 7" xfId="48873"/>
    <cellStyle name="Normal 3 3 2 4 2 2 3" xfId="5017"/>
    <cellStyle name="Normal 3 3 2 4 2 2 3 2" xfId="11549"/>
    <cellStyle name="Normal 3 3 2 4 2 2 3 2 2" xfId="31022"/>
    <cellStyle name="Normal 3 3 2 4 2 2 3 2 3" xfId="44002"/>
    <cellStyle name="Normal 3 3 2 4 2 2 3 2 4" xfId="60231"/>
    <cellStyle name="Normal 3 3 2 4 2 2 3 3" xfId="18042"/>
    <cellStyle name="Normal 3 3 2 4 2 2 3 4" xfId="24532"/>
    <cellStyle name="Normal 3 3 2 4 2 2 3 5" xfId="37512"/>
    <cellStyle name="Normal 3 3 2 4 2 2 3 6" xfId="53741"/>
    <cellStyle name="Normal 3 3 2 4 2 2 4" xfId="8304"/>
    <cellStyle name="Normal 3 3 2 4 2 2 4 2" xfId="27777"/>
    <cellStyle name="Normal 3 3 2 4 2 2 4 3" xfId="40757"/>
    <cellStyle name="Normal 3 3 2 4 2 2 4 4" xfId="56986"/>
    <cellStyle name="Normal 3 3 2 4 2 2 5" xfId="14797"/>
    <cellStyle name="Normal 3 3 2 4 2 2 5 2" xfId="50496"/>
    <cellStyle name="Normal 3 3 2 4 2 2 6" xfId="21287"/>
    <cellStyle name="Normal 3 3 2 4 2 2 7" xfId="34267"/>
    <cellStyle name="Normal 3 3 2 4 2 2 8" xfId="47250"/>
    <cellStyle name="Normal 3 3 2 4 2 3" xfId="1265"/>
    <cellStyle name="Normal 3 3 2 4 2 3 2" xfId="2932"/>
    <cellStyle name="Normal 3 3 2 4 2 3 2 2" xfId="6177"/>
    <cellStyle name="Normal 3 3 2 4 2 3 2 2 2" xfId="12709"/>
    <cellStyle name="Normal 3 3 2 4 2 3 2 2 2 2" xfId="32182"/>
    <cellStyle name="Normal 3 3 2 4 2 3 2 2 2 3" xfId="45162"/>
    <cellStyle name="Normal 3 3 2 4 2 3 2 2 2 4" xfId="61391"/>
    <cellStyle name="Normal 3 3 2 4 2 3 2 2 3" xfId="19202"/>
    <cellStyle name="Normal 3 3 2 4 2 3 2 2 4" xfId="25692"/>
    <cellStyle name="Normal 3 3 2 4 2 3 2 2 5" xfId="38672"/>
    <cellStyle name="Normal 3 3 2 4 2 3 2 2 6" xfId="54901"/>
    <cellStyle name="Normal 3 3 2 4 2 3 2 3" xfId="9464"/>
    <cellStyle name="Normal 3 3 2 4 2 3 2 3 2" xfId="28937"/>
    <cellStyle name="Normal 3 3 2 4 2 3 2 3 3" xfId="41917"/>
    <cellStyle name="Normal 3 3 2 4 2 3 2 3 4" xfId="58146"/>
    <cellStyle name="Normal 3 3 2 4 2 3 2 4" xfId="15957"/>
    <cellStyle name="Normal 3 3 2 4 2 3 2 4 2" xfId="51656"/>
    <cellStyle name="Normal 3 3 2 4 2 3 2 5" xfId="22447"/>
    <cellStyle name="Normal 3 3 2 4 2 3 2 6" xfId="35427"/>
    <cellStyle name="Normal 3 3 2 4 2 3 2 7" xfId="48410"/>
    <cellStyle name="Normal 3 3 2 4 2 3 3" xfId="4554"/>
    <cellStyle name="Normal 3 3 2 4 2 3 3 2" xfId="11086"/>
    <cellStyle name="Normal 3 3 2 4 2 3 3 2 2" xfId="30559"/>
    <cellStyle name="Normal 3 3 2 4 2 3 3 2 3" xfId="43539"/>
    <cellStyle name="Normal 3 3 2 4 2 3 3 2 4" xfId="59768"/>
    <cellStyle name="Normal 3 3 2 4 2 3 3 3" xfId="17579"/>
    <cellStyle name="Normal 3 3 2 4 2 3 3 4" xfId="24069"/>
    <cellStyle name="Normal 3 3 2 4 2 3 3 5" xfId="37049"/>
    <cellStyle name="Normal 3 3 2 4 2 3 3 6" xfId="53278"/>
    <cellStyle name="Normal 3 3 2 4 2 3 4" xfId="7841"/>
    <cellStyle name="Normal 3 3 2 4 2 3 4 2" xfId="27314"/>
    <cellStyle name="Normal 3 3 2 4 2 3 4 3" xfId="40294"/>
    <cellStyle name="Normal 3 3 2 4 2 3 4 4" xfId="56523"/>
    <cellStyle name="Normal 3 3 2 4 2 3 5" xfId="14334"/>
    <cellStyle name="Normal 3 3 2 4 2 3 5 2" xfId="50033"/>
    <cellStyle name="Normal 3 3 2 4 2 3 6" xfId="20824"/>
    <cellStyle name="Normal 3 3 2 4 2 3 7" xfId="33804"/>
    <cellStyle name="Normal 3 3 2 4 2 3 8" xfId="46787"/>
    <cellStyle name="Normal 3 3 2 4 2 4" xfId="2457"/>
    <cellStyle name="Normal 3 3 2 4 2 4 2" xfId="5702"/>
    <cellStyle name="Normal 3 3 2 4 2 4 2 2" xfId="12234"/>
    <cellStyle name="Normal 3 3 2 4 2 4 2 2 2" xfId="31707"/>
    <cellStyle name="Normal 3 3 2 4 2 4 2 2 3" xfId="44687"/>
    <cellStyle name="Normal 3 3 2 4 2 4 2 2 4" xfId="60916"/>
    <cellStyle name="Normal 3 3 2 4 2 4 2 3" xfId="18727"/>
    <cellStyle name="Normal 3 3 2 4 2 4 2 4" xfId="25217"/>
    <cellStyle name="Normal 3 3 2 4 2 4 2 5" xfId="38197"/>
    <cellStyle name="Normal 3 3 2 4 2 4 2 6" xfId="54426"/>
    <cellStyle name="Normal 3 3 2 4 2 4 3" xfId="8989"/>
    <cellStyle name="Normal 3 3 2 4 2 4 3 2" xfId="28462"/>
    <cellStyle name="Normal 3 3 2 4 2 4 3 3" xfId="41442"/>
    <cellStyle name="Normal 3 3 2 4 2 4 3 4" xfId="57671"/>
    <cellStyle name="Normal 3 3 2 4 2 4 4" xfId="15482"/>
    <cellStyle name="Normal 3 3 2 4 2 4 4 2" xfId="51181"/>
    <cellStyle name="Normal 3 3 2 4 2 4 5" xfId="21972"/>
    <cellStyle name="Normal 3 3 2 4 2 4 6" xfId="34952"/>
    <cellStyle name="Normal 3 3 2 4 2 4 7" xfId="47935"/>
    <cellStyle name="Normal 3 3 2 4 2 5" xfId="4079"/>
    <cellStyle name="Normal 3 3 2 4 2 5 2" xfId="10611"/>
    <cellStyle name="Normal 3 3 2 4 2 5 2 2" xfId="30084"/>
    <cellStyle name="Normal 3 3 2 4 2 5 2 3" xfId="43064"/>
    <cellStyle name="Normal 3 3 2 4 2 5 2 4" xfId="59293"/>
    <cellStyle name="Normal 3 3 2 4 2 5 3" xfId="17104"/>
    <cellStyle name="Normal 3 3 2 4 2 5 4" xfId="23594"/>
    <cellStyle name="Normal 3 3 2 4 2 5 5" xfId="36574"/>
    <cellStyle name="Normal 3 3 2 4 2 5 6" xfId="52803"/>
    <cellStyle name="Normal 3 3 2 4 2 6" xfId="7366"/>
    <cellStyle name="Normal 3 3 2 4 2 6 2" xfId="26839"/>
    <cellStyle name="Normal 3 3 2 4 2 6 3" xfId="39819"/>
    <cellStyle name="Normal 3 3 2 4 2 6 4" xfId="56048"/>
    <cellStyle name="Normal 3 3 2 4 2 7" xfId="13859"/>
    <cellStyle name="Normal 3 3 2 4 2 7 2" xfId="49558"/>
    <cellStyle name="Normal 3 3 2 4 2 8" xfId="20349"/>
    <cellStyle name="Normal 3 3 2 4 2 9" xfId="33329"/>
    <cellStyle name="Normal 3 3 2 4 3" xfId="559"/>
    <cellStyle name="Normal 3 3 2 4 3 2" xfId="1508"/>
    <cellStyle name="Normal 3 3 2 4 3 2 2" xfId="3175"/>
    <cellStyle name="Normal 3 3 2 4 3 2 2 2" xfId="6420"/>
    <cellStyle name="Normal 3 3 2 4 3 2 2 2 2" xfId="12952"/>
    <cellStyle name="Normal 3 3 2 4 3 2 2 2 2 2" xfId="32425"/>
    <cellStyle name="Normal 3 3 2 4 3 2 2 2 2 3" xfId="45405"/>
    <cellStyle name="Normal 3 3 2 4 3 2 2 2 2 4" xfId="61634"/>
    <cellStyle name="Normal 3 3 2 4 3 2 2 2 3" xfId="19445"/>
    <cellStyle name="Normal 3 3 2 4 3 2 2 2 4" xfId="25935"/>
    <cellStyle name="Normal 3 3 2 4 3 2 2 2 5" xfId="38915"/>
    <cellStyle name="Normal 3 3 2 4 3 2 2 2 6" xfId="55144"/>
    <cellStyle name="Normal 3 3 2 4 3 2 2 3" xfId="9707"/>
    <cellStyle name="Normal 3 3 2 4 3 2 2 3 2" xfId="29180"/>
    <cellStyle name="Normal 3 3 2 4 3 2 2 3 3" xfId="42160"/>
    <cellStyle name="Normal 3 3 2 4 3 2 2 3 4" xfId="58389"/>
    <cellStyle name="Normal 3 3 2 4 3 2 2 4" xfId="16200"/>
    <cellStyle name="Normal 3 3 2 4 3 2 2 4 2" xfId="51899"/>
    <cellStyle name="Normal 3 3 2 4 3 2 2 5" xfId="22690"/>
    <cellStyle name="Normal 3 3 2 4 3 2 2 6" xfId="35670"/>
    <cellStyle name="Normal 3 3 2 4 3 2 2 7" xfId="48653"/>
    <cellStyle name="Normal 3 3 2 4 3 2 3" xfId="4797"/>
    <cellStyle name="Normal 3 3 2 4 3 2 3 2" xfId="11329"/>
    <cellStyle name="Normal 3 3 2 4 3 2 3 2 2" xfId="30802"/>
    <cellStyle name="Normal 3 3 2 4 3 2 3 2 3" xfId="43782"/>
    <cellStyle name="Normal 3 3 2 4 3 2 3 2 4" xfId="60011"/>
    <cellStyle name="Normal 3 3 2 4 3 2 3 3" xfId="17822"/>
    <cellStyle name="Normal 3 3 2 4 3 2 3 4" xfId="24312"/>
    <cellStyle name="Normal 3 3 2 4 3 2 3 5" xfId="37292"/>
    <cellStyle name="Normal 3 3 2 4 3 2 3 6" xfId="53521"/>
    <cellStyle name="Normal 3 3 2 4 3 2 4" xfId="8084"/>
    <cellStyle name="Normal 3 3 2 4 3 2 4 2" xfId="27557"/>
    <cellStyle name="Normal 3 3 2 4 3 2 4 3" xfId="40537"/>
    <cellStyle name="Normal 3 3 2 4 3 2 4 4" xfId="56766"/>
    <cellStyle name="Normal 3 3 2 4 3 2 5" xfId="14577"/>
    <cellStyle name="Normal 3 3 2 4 3 2 5 2" xfId="50276"/>
    <cellStyle name="Normal 3 3 2 4 3 2 6" xfId="21067"/>
    <cellStyle name="Normal 3 3 2 4 3 2 7" xfId="34047"/>
    <cellStyle name="Normal 3 3 2 4 3 2 8" xfId="47030"/>
    <cellStyle name="Normal 3 3 2 4 3 3" xfId="2227"/>
    <cellStyle name="Normal 3 3 2 4 3 3 2" xfId="5472"/>
    <cellStyle name="Normal 3 3 2 4 3 3 2 2" xfId="12004"/>
    <cellStyle name="Normal 3 3 2 4 3 3 2 2 2" xfId="31477"/>
    <cellStyle name="Normal 3 3 2 4 3 3 2 2 3" xfId="44457"/>
    <cellStyle name="Normal 3 3 2 4 3 3 2 2 4" xfId="60686"/>
    <cellStyle name="Normal 3 3 2 4 3 3 2 3" xfId="18497"/>
    <cellStyle name="Normal 3 3 2 4 3 3 2 4" xfId="24987"/>
    <cellStyle name="Normal 3 3 2 4 3 3 2 5" xfId="37967"/>
    <cellStyle name="Normal 3 3 2 4 3 3 2 6" xfId="54196"/>
    <cellStyle name="Normal 3 3 2 4 3 3 3" xfId="8759"/>
    <cellStyle name="Normal 3 3 2 4 3 3 3 2" xfId="28232"/>
    <cellStyle name="Normal 3 3 2 4 3 3 3 3" xfId="41212"/>
    <cellStyle name="Normal 3 3 2 4 3 3 3 4" xfId="57441"/>
    <cellStyle name="Normal 3 3 2 4 3 3 4" xfId="15252"/>
    <cellStyle name="Normal 3 3 2 4 3 3 4 2" xfId="50951"/>
    <cellStyle name="Normal 3 3 2 4 3 3 5" xfId="21742"/>
    <cellStyle name="Normal 3 3 2 4 3 3 6" xfId="34722"/>
    <cellStyle name="Normal 3 3 2 4 3 3 7" xfId="47705"/>
    <cellStyle name="Normal 3 3 2 4 3 4" xfId="3849"/>
    <cellStyle name="Normal 3 3 2 4 3 4 2" xfId="10381"/>
    <cellStyle name="Normal 3 3 2 4 3 4 2 2" xfId="29854"/>
    <cellStyle name="Normal 3 3 2 4 3 4 2 3" xfId="42834"/>
    <cellStyle name="Normal 3 3 2 4 3 4 2 4" xfId="59063"/>
    <cellStyle name="Normal 3 3 2 4 3 4 3" xfId="16874"/>
    <cellStyle name="Normal 3 3 2 4 3 4 4" xfId="23364"/>
    <cellStyle name="Normal 3 3 2 4 3 4 5" xfId="36344"/>
    <cellStyle name="Normal 3 3 2 4 3 4 6" xfId="52573"/>
    <cellStyle name="Normal 3 3 2 4 3 5" xfId="7136"/>
    <cellStyle name="Normal 3 3 2 4 3 5 2" xfId="26609"/>
    <cellStyle name="Normal 3 3 2 4 3 5 3" xfId="39589"/>
    <cellStyle name="Normal 3 3 2 4 3 5 4" xfId="55818"/>
    <cellStyle name="Normal 3 3 2 4 3 6" xfId="13629"/>
    <cellStyle name="Normal 3 3 2 4 3 6 2" xfId="49328"/>
    <cellStyle name="Normal 3 3 2 4 3 7" xfId="20119"/>
    <cellStyle name="Normal 3 3 2 4 3 8" xfId="33099"/>
    <cellStyle name="Normal 3 3 2 4 3 9" xfId="46082"/>
    <cellStyle name="Normal 3 3 2 4 4" xfId="1045"/>
    <cellStyle name="Normal 3 3 2 4 4 2" xfId="2712"/>
    <cellStyle name="Normal 3 3 2 4 4 2 2" xfId="5957"/>
    <cellStyle name="Normal 3 3 2 4 4 2 2 2" xfId="12489"/>
    <cellStyle name="Normal 3 3 2 4 4 2 2 2 2" xfId="31962"/>
    <cellStyle name="Normal 3 3 2 4 4 2 2 2 3" xfId="44942"/>
    <cellStyle name="Normal 3 3 2 4 4 2 2 2 4" xfId="61171"/>
    <cellStyle name="Normal 3 3 2 4 4 2 2 3" xfId="18982"/>
    <cellStyle name="Normal 3 3 2 4 4 2 2 4" xfId="25472"/>
    <cellStyle name="Normal 3 3 2 4 4 2 2 5" xfId="38452"/>
    <cellStyle name="Normal 3 3 2 4 4 2 2 6" xfId="54681"/>
    <cellStyle name="Normal 3 3 2 4 4 2 3" xfId="9244"/>
    <cellStyle name="Normal 3 3 2 4 4 2 3 2" xfId="28717"/>
    <cellStyle name="Normal 3 3 2 4 4 2 3 3" xfId="41697"/>
    <cellStyle name="Normal 3 3 2 4 4 2 3 4" xfId="57926"/>
    <cellStyle name="Normal 3 3 2 4 4 2 4" xfId="15737"/>
    <cellStyle name="Normal 3 3 2 4 4 2 4 2" xfId="51436"/>
    <cellStyle name="Normal 3 3 2 4 4 2 5" xfId="22227"/>
    <cellStyle name="Normal 3 3 2 4 4 2 6" xfId="35207"/>
    <cellStyle name="Normal 3 3 2 4 4 2 7" xfId="48190"/>
    <cellStyle name="Normal 3 3 2 4 4 3" xfId="4334"/>
    <cellStyle name="Normal 3 3 2 4 4 3 2" xfId="10866"/>
    <cellStyle name="Normal 3 3 2 4 4 3 2 2" xfId="30339"/>
    <cellStyle name="Normal 3 3 2 4 4 3 2 3" xfId="43319"/>
    <cellStyle name="Normal 3 3 2 4 4 3 2 4" xfId="59548"/>
    <cellStyle name="Normal 3 3 2 4 4 3 3" xfId="17359"/>
    <cellStyle name="Normal 3 3 2 4 4 3 4" xfId="23849"/>
    <cellStyle name="Normal 3 3 2 4 4 3 5" xfId="36829"/>
    <cellStyle name="Normal 3 3 2 4 4 3 6" xfId="53058"/>
    <cellStyle name="Normal 3 3 2 4 4 4" xfId="7621"/>
    <cellStyle name="Normal 3 3 2 4 4 4 2" xfId="27094"/>
    <cellStyle name="Normal 3 3 2 4 4 4 3" xfId="40074"/>
    <cellStyle name="Normal 3 3 2 4 4 4 4" xfId="56303"/>
    <cellStyle name="Normal 3 3 2 4 4 5" xfId="14114"/>
    <cellStyle name="Normal 3 3 2 4 4 5 2" xfId="49813"/>
    <cellStyle name="Normal 3 3 2 4 4 6" xfId="20604"/>
    <cellStyle name="Normal 3 3 2 4 4 7" xfId="33584"/>
    <cellStyle name="Normal 3 3 2 4 4 8" xfId="46567"/>
    <cellStyle name="Normal 3 3 2 4 5" xfId="1998"/>
    <cellStyle name="Normal 3 3 2 4 5 2" xfId="5243"/>
    <cellStyle name="Normal 3 3 2 4 5 2 2" xfId="11775"/>
    <cellStyle name="Normal 3 3 2 4 5 2 2 2" xfId="31248"/>
    <cellStyle name="Normal 3 3 2 4 5 2 2 3" xfId="44228"/>
    <cellStyle name="Normal 3 3 2 4 5 2 2 4" xfId="60457"/>
    <cellStyle name="Normal 3 3 2 4 5 2 3" xfId="18268"/>
    <cellStyle name="Normal 3 3 2 4 5 2 4" xfId="24758"/>
    <cellStyle name="Normal 3 3 2 4 5 2 5" xfId="37738"/>
    <cellStyle name="Normal 3 3 2 4 5 2 6" xfId="53967"/>
    <cellStyle name="Normal 3 3 2 4 5 3" xfId="8530"/>
    <cellStyle name="Normal 3 3 2 4 5 3 2" xfId="28003"/>
    <cellStyle name="Normal 3 3 2 4 5 3 3" xfId="40983"/>
    <cellStyle name="Normal 3 3 2 4 5 3 4" xfId="57212"/>
    <cellStyle name="Normal 3 3 2 4 5 4" xfId="15023"/>
    <cellStyle name="Normal 3 3 2 4 5 4 2" xfId="50722"/>
    <cellStyle name="Normal 3 3 2 4 5 5" xfId="21513"/>
    <cellStyle name="Normal 3 3 2 4 5 6" xfId="34493"/>
    <cellStyle name="Normal 3 3 2 4 5 7" xfId="47476"/>
    <cellStyle name="Normal 3 3 2 4 6" xfId="3619"/>
    <cellStyle name="Normal 3 3 2 4 6 2" xfId="10151"/>
    <cellStyle name="Normal 3 3 2 4 6 2 2" xfId="29624"/>
    <cellStyle name="Normal 3 3 2 4 6 2 3" xfId="42604"/>
    <cellStyle name="Normal 3 3 2 4 6 2 4" xfId="58833"/>
    <cellStyle name="Normal 3 3 2 4 6 3" xfId="16644"/>
    <cellStyle name="Normal 3 3 2 4 6 4" xfId="23134"/>
    <cellStyle name="Normal 3 3 2 4 6 5" xfId="36114"/>
    <cellStyle name="Normal 3 3 2 4 6 6" xfId="52343"/>
    <cellStyle name="Normal 3 3 2 4 7" xfId="6906"/>
    <cellStyle name="Normal 3 3 2 4 7 2" xfId="26379"/>
    <cellStyle name="Normal 3 3 2 4 7 3" xfId="39359"/>
    <cellStyle name="Normal 3 3 2 4 7 4" xfId="55588"/>
    <cellStyle name="Normal 3 3 2 4 8" xfId="13399"/>
    <cellStyle name="Normal 3 3 2 4 8 2" xfId="49098"/>
    <cellStyle name="Normal 3 3 2 4 9" xfId="19889"/>
    <cellStyle name="Normal 3 3 2 5" xfId="657"/>
    <cellStyle name="Normal 3 3 2 5 10" xfId="46180"/>
    <cellStyle name="Normal 3 3 2 5 2" xfId="1596"/>
    <cellStyle name="Normal 3 3 2 5 2 2" xfId="3263"/>
    <cellStyle name="Normal 3 3 2 5 2 2 2" xfId="6508"/>
    <cellStyle name="Normal 3 3 2 5 2 2 2 2" xfId="13040"/>
    <cellStyle name="Normal 3 3 2 5 2 2 2 2 2" xfId="32513"/>
    <cellStyle name="Normal 3 3 2 5 2 2 2 2 3" xfId="45493"/>
    <cellStyle name="Normal 3 3 2 5 2 2 2 2 4" xfId="61722"/>
    <cellStyle name="Normal 3 3 2 5 2 2 2 3" xfId="19533"/>
    <cellStyle name="Normal 3 3 2 5 2 2 2 4" xfId="26023"/>
    <cellStyle name="Normal 3 3 2 5 2 2 2 5" xfId="39003"/>
    <cellStyle name="Normal 3 3 2 5 2 2 2 6" xfId="55232"/>
    <cellStyle name="Normal 3 3 2 5 2 2 3" xfId="9795"/>
    <cellStyle name="Normal 3 3 2 5 2 2 3 2" xfId="29268"/>
    <cellStyle name="Normal 3 3 2 5 2 2 3 3" xfId="42248"/>
    <cellStyle name="Normal 3 3 2 5 2 2 3 4" xfId="58477"/>
    <cellStyle name="Normal 3 3 2 5 2 2 4" xfId="16288"/>
    <cellStyle name="Normal 3 3 2 5 2 2 4 2" xfId="51987"/>
    <cellStyle name="Normal 3 3 2 5 2 2 5" xfId="22778"/>
    <cellStyle name="Normal 3 3 2 5 2 2 6" xfId="35758"/>
    <cellStyle name="Normal 3 3 2 5 2 2 7" xfId="48741"/>
    <cellStyle name="Normal 3 3 2 5 2 3" xfId="4885"/>
    <cellStyle name="Normal 3 3 2 5 2 3 2" xfId="11417"/>
    <cellStyle name="Normal 3 3 2 5 2 3 2 2" xfId="30890"/>
    <cellStyle name="Normal 3 3 2 5 2 3 2 3" xfId="43870"/>
    <cellStyle name="Normal 3 3 2 5 2 3 2 4" xfId="60099"/>
    <cellStyle name="Normal 3 3 2 5 2 3 3" xfId="17910"/>
    <cellStyle name="Normal 3 3 2 5 2 3 4" xfId="24400"/>
    <cellStyle name="Normal 3 3 2 5 2 3 5" xfId="37380"/>
    <cellStyle name="Normal 3 3 2 5 2 3 6" xfId="53609"/>
    <cellStyle name="Normal 3 3 2 5 2 4" xfId="8172"/>
    <cellStyle name="Normal 3 3 2 5 2 4 2" xfId="27645"/>
    <cellStyle name="Normal 3 3 2 5 2 4 3" xfId="40625"/>
    <cellStyle name="Normal 3 3 2 5 2 4 4" xfId="56854"/>
    <cellStyle name="Normal 3 3 2 5 2 5" xfId="14665"/>
    <cellStyle name="Normal 3 3 2 5 2 5 2" xfId="50364"/>
    <cellStyle name="Normal 3 3 2 5 2 6" xfId="21155"/>
    <cellStyle name="Normal 3 3 2 5 2 7" xfId="34135"/>
    <cellStyle name="Normal 3 3 2 5 2 8" xfId="47118"/>
    <cellStyle name="Normal 3 3 2 5 3" xfId="1133"/>
    <cellStyle name="Normal 3 3 2 5 3 2" xfId="2800"/>
    <cellStyle name="Normal 3 3 2 5 3 2 2" xfId="6045"/>
    <cellStyle name="Normal 3 3 2 5 3 2 2 2" xfId="12577"/>
    <cellStyle name="Normal 3 3 2 5 3 2 2 2 2" xfId="32050"/>
    <cellStyle name="Normal 3 3 2 5 3 2 2 2 3" xfId="45030"/>
    <cellStyle name="Normal 3 3 2 5 3 2 2 2 4" xfId="61259"/>
    <cellStyle name="Normal 3 3 2 5 3 2 2 3" xfId="19070"/>
    <cellStyle name="Normal 3 3 2 5 3 2 2 4" xfId="25560"/>
    <cellStyle name="Normal 3 3 2 5 3 2 2 5" xfId="38540"/>
    <cellStyle name="Normal 3 3 2 5 3 2 2 6" xfId="54769"/>
    <cellStyle name="Normal 3 3 2 5 3 2 3" xfId="9332"/>
    <cellStyle name="Normal 3 3 2 5 3 2 3 2" xfId="28805"/>
    <cellStyle name="Normal 3 3 2 5 3 2 3 3" xfId="41785"/>
    <cellStyle name="Normal 3 3 2 5 3 2 3 4" xfId="58014"/>
    <cellStyle name="Normal 3 3 2 5 3 2 4" xfId="15825"/>
    <cellStyle name="Normal 3 3 2 5 3 2 4 2" xfId="51524"/>
    <cellStyle name="Normal 3 3 2 5 3 2 5" xfId="22315"/>
    <cellStyle name="Normal 3 3 2 5 3 2 6" xfId="35295"/>
    <cellStyle name="Normal 3 3 2 5 3 2 7" xfId="48278"/>
    <cellStyle name="Normal 3 3 2 5 3 3" xfId="4422"/>
    <cellStyle name="Normal 3 3 2 5 3 3 2" xfId="10954"/>
    <cellStyle name="Normal 3 3 2 5 3 3 2 2" xfId="30427"/>
    <cellStyle name="Normal 3 3 2 5 3 3 2 3" xfId="43407"/>
    <cellStyle name="Normal 3 3 2 5 3 3 2 4" xfId="59636"/>
    <cellStyle name="Normal 3 3 2 5 3 3 3" xfId="17447"/>
    <cellStyle name="Normal 3 3 2 5 3 3 4" xfId="23937"/>
    <cellStyle name="Normal 3 3 2 5 3 3 5" xfId="36917"/>
    <cellStyle name="Normal 3 3 2 5 3 3 6" xfId="53146"/>
    <cellStyle name="Normal 3 3 2 5 3 4" xfId="7709"/>
    <cellStyle name="Normal 3 3 2 5 3 4 2" xfId="27182"/>
    <cellStyle name="Normal 3 3 2 5 3 4 3" xfId="40162"/>
    <cellStyle name="Normal 3 3 2 5 3 4 4" xfId="56391"/>
    <cellStyle name="Normal 3 3 2 5 3 5" xfId="14202"/>
    <cellStyle name="Normal 3 3 2 5 3 5 2" xfId="49901"/>
    <cellStyle name="Normal 3 3 2 5 3 6" xfId="20692"/>
    <cellStyle name="Normal 3 3 2 5 3 7" xfId="33672"/>
    <cellStyle name="Normal 3 3 2 5 3 8" xfId="46655"/>
    <cellStyle name="Normal 3 3 2 5 4" xfId="2325"/>
    <cellStyle name="Normal 3 3 2 5 4 2" xfId="5570"/>
    <cellStyle name="Normal 3 3 2 5 4 2 2" xfId="12102"/>
    <cellStyle name="Normal 3 3 2 5 4 2 2 2" xfId="31575"/>
    <cellStyle name="Normal 3 3 2 5 4 2 2 3" xfId="44555"/>
    <cellStyle name="Normal 3 3 2 5 4 2 2 4" xfId="60784"/>
    <cellStyle name="Normal 3 3 2 5 4 2 3" xfId="18595"/>
    <cellStyle name="Normal 3 3 2 5 4 2 4" xfId="25085"/>
    <cellStyle name="Normal 3 3 2 5 4 2 5" xfId="38065"/>
    <cellStyle name="Normal 3 3 2 5 4 2 6" xfId="54294"/>
    <cellStyle name="Normal 3 3 2 5 4 3" xfId="8857"/>
    <cellStyle name="Normal 3 3 2 5 4 3 2" xfId="28330"/>
    <cellStyle name="Normal 3 3 2 5 4 3 3" xfId="41310"/>
    <cellStyle name="Normal 3 3 2 5 4 3 4" xfId="57539"/>
    <cellStyle name="Normal 3 3 2 5 4 4" xfId="15350"/>
    <cellStyle name="Normal 3 3 2 5 4 4 2" xfId="51049"/>
    <cellStyle name="Normal 3 3 2 5 4 5" xfId="21840"/>
    <cellStyle name="Normal 3 3 2 5 4 6" xfId="34820"/>
    <cellStyle name="Normal 3 3 2 5 4 7" xfId="47803"/>
    <cellStyle name="Normal 3 3 2 5 5" xfId="3947"/>
    <cellStyle name="Normal 3 3 2 5 5 2" xfId="10479"/>
    <cellStyle name="Normal 3 3 2 5 5 2 2" xfId="29952"/>
    <cellStyle name="Normal 3 3 2 5 5 2 3" xfId="42932"/>
    <cellStyle name="Normal 3 3 2 5 5 2 4" xfId="59161"/>
    <cellStyle name="Normal 3 3 2 5 5 3" xfId="16972"/>
    <cellStyle name="Normal 3 3 2 5 5 4" xfId="23462"/>
    <cellStyle name="Normal 3 3 2 5 5 5" xfId="36442"/>
    <cellStyle name="Normal 3 3 2 5 5 6" xfId="52671"/>
    <cellStyle name="Normal 3 3 2 5 6" xfId="7234"/>
    <cellStyle name="Normal 3 3 2 5 6 2" xfId="26707"/>
    <cellStyle name="Normal 3 3 2 5 6 3" xfId="39687"/>
    <cellStyle name="Normal 3 3 2 5 6 4" xfId="55916"/>
    <cellStyle name="Normal 3 3 2 5 7" xfId="13727"/>
    <cellStyle name="Normal 3 3 2 5 7 2" xfId="49426"/>
    <cellStyle name="Normal 3 3 2 5 8" xfId="20217"/>
    <cellStyle name="Normal 3 3 2 5 9" xfId="33197"/>
    <cellStyle name="Normal 3 3 2 6" xfId="427"/>
    <cellStyle name="Normal 3 3 2 6 2" xfId="1376"/>
    <cellStyle name="Normal 3 3 2 6 2 2" xfId="3043"/>
    <cellStyle name="Normal 3 3 2 6 2 2 2" xfId="6288"/>
    <cellStyle name="Normal 3 3 2 6 2 2 2 2" xfId="12820"/>
    <cellStyle name="Normal 3 3 2 6 2 2 2 2 2" xfId="32293"/>
    <cellStyle name="Normal 3 3 2 6 2 2 2 2 3" xfId="45273"/>
    <cellStyle name="Normal 3 3 2 6 2 2 2 2 4" xfId="61502"/>
    <cellStyle name="Normal 3 3 2 6 2 2 2 3" xfId="19313"/>
    <cellStyle name="Normal 3 3 2 6 2 2 2 4" xfId="25803"/>
    <cellStyle name="Normal 3 3 2 6 2 2 2 5" xfId="38783"/>
    <cellStyle name="Normal 3 3 2 6 2 2 2 6" xfId="55012"/>
    <cellStyle name="Normal 3 3 2 6 2 2 3" xfId="9575"/>
    <cellStyle name="Normal 3 3 2 6 2 2 3 2" xfId="29048"/>
    <cellStyle name="Normal 3 3 2 6 2 2 3 3" xfId="42028"/>
    <cellStyle name="Normal 3 3 2 6 2 2 3 4" xfId="58257"/>
    <cellStyle name="Normal 3 3 2 6 2 2 4" xfId="16068"/>
    <cellStyle name="Normal 3 3 2 6 2 2 4 2" xfId="51767"/>
    <cellStyle name="Normal 3 3 2 6 2 2 5" xfId="22558"/>
    <cellStyle name="Normal 3 3 2 6 2 2 6" xfId="35538"/>
    <cellStyle name="Normal 3 3 2 6 2 2 7" xfId="48521"/>
    <cellStyle name="Normal 3 3 2 6 2 3" xfId="4665"/>
    <cellStyle name="Normal 3 3 2 6 2 3 2" xfId="11197"/>
    <cellStyle name="Normal 3 3 2 6 2 3 2 2" xfId="30670"/>
    <cellStyle name="Normal 3 3 2 6 2 3 2 3" xfId="43650"/>
    <cellStyle name="Normal 3 3 2 6 2 3 2 4" xfId="59879"/>
    <cellStyle name="Normal 3 3 2 6 2 3 3" xfId="17690"/>
    <cellStyle name="Normal 3 3 2 6 2 3 4" xfId="24180"/>
    <cellStyle name="Normal 3 3 2 6 2 3 5" xfId="37160"/>
    <cellStyle name="Normal 3 3 2 6 2 3 6" xfId="53389"/>
    <cellStyle name="Normal 3 3 2 6 2 4" xfId="7952"/>
    <cellStyle name="Normal 3 3 2 6 2 4 2" xfId="27425"/>
    <cellStyle name="Normal 3 3 2 6 2 4 3" xfId="40405"/>
    <cellStyle name="Normal 3 3 2 6 2 4 4" xfId="56634"/>
    <cellStyle name="Normal 3 3 2 6 2 5" xfId="14445"/>
    <cellStyle name="Normal 3 3 2 6 2 5 2" xfId="50144"/>
    <cellStyle name="Normal 3 3 2 6 2 6" xfId="20935"/>
    <cellStyle name="Normal 3 3 2 6 2 7" xfId="33915"/>
    <cellStyle name="Normal 3 3 2 6 2 8" xfId="46898"/>
    <cellStyle name="Normal 3 3 2 6 3" xfId="2095"/>
    <cellStyle name="Normal 3 3 2 6 3 2" xfId="5340"/>
    <cellStyle name="Normal 3 3 2 6 3 2 2" xfId="11872"/>
    <cellStyle name="Normal 3 3 2 6 3 2 2 2" xfId="31345"/>
    <cellStyle name="Normal 3 3 2 6 3 2 2 3" xfId="44325"/>
    <cellStyle name="Normal 3 3 2 6 3 2 2 4" xfId="60554"/>
    <cellStyle name="Normal 3 3 2 6 3 2 3" xfId="18365"/>
    <cellStyle name="Normal 3 3 2 6 3 2 4" xfId="24855"/>
    <cellStyle name="Normal 3 3 2 6 3 2 5" xfId="37835"/>
    <cellStyle name="Normal 3 3 2 6 3 2 6" xfId="54064"/>
    <cellStyle name="Normal 3 3 2 6 3 3" xfId="8627"/>
    <cellStyle name="Normal 3 3 2 6 3 3 2" xfId="28100"/>
    <cellStyle name="Normal 3 3 2 6 3 3 3" xfId="41080"/>
    <cellStyle name="Normal 3 3 2 6 3 3 4" xfId="57309"/>
    <cellStyle name="Normal 3 3 2 6 3 4" xfId="15120"/>
    <cellStyle name="Normal 3 3 2 6 3 4 2" xfId="50819"/>
    <cellStyle name="Normal 3 3 2 6 3 5" xfId="21610"/>
    <cellStyle name="Normal 3 3 2 6 3 6" xfId="34590"/>
    <cellStyle name="Normal 3 3 2 6 3 7" xfId="47573"/>
    <cellStyle name="Normal 3 3 2 6 4" xfId="3717"/>
    <cellStyle name="Normal 3 3 2 6 4 2" xfId="10249"/>
    <cellStyle name="Normal 3 3 2 6 4 2 2" xfId="29722"/>
    <cellStyle name="Normal 3 3 2 6 4 2 3" xfId="42702"/>
    <cellStyle name="Normal 3 3 2 6 4 2 4" xfId="58931"/>
    <cellStyle name="Normal 3 3 2 6 4 3" xfId="16742"/>
    <cellStyle name="Normal 3 3 2 6 4 4" xfId="23232"/>
    <cellStyle name="Normal 3 3 2 6 4 5" xfId="36212"/>
    <cellStyle name="Normal 3 3 2 6 4 6" xfId="52441"/>
    <cellStyle name="Normal 3 3 2 6 5" xfId="7004"/>
    <cellStyle name="Normal 3 3 2 6 5 2" xfId="26477"/>
    <cellStyle name="Normal 3 3 2 6 5 3" xfId="39457"/>
    <cellStyle name="Normal 3 3 2 6 5 4" xfId="55686"/>
    <cellStyle name="Normal 3 3 2 6 6" xfId="13497"/>
    <cellStyle name="Normal 3 3 2 6 6 2" xfId="49196"/>
    <cellStyle name="Normal 3 3 2 6 7" xfId="19987"/>
    <cellStyle name="Normal 3 3 2 6 8" xfId="32967"/>
    <cellStyle name="Normal 3 3 2 6 9" xfId="45950"/>
    <cellStyle name="Normal 3 3 2 7" xfId="913"/>
    <cellStyle name="Normal 3 3 2 7 2" xfId="2580"/>
    <cellStyle name="Normal 3 3 2 7 2 2" xfId="5825"/>
    <cellStyle name="Normal 3 3 2 7 2 2 2" xfId="12357"/>
    <cellStyle name="Normal 3 3 2 7 2 2 2 2" xfId="31830"/>
    <cellStyle name="Normal 3 3 2 7 2 2 2 3" xfId="44810"/>
    <cellStyle name="Normal 3 3 2 7 2 2 2 4" xfId="61039"/>
    <cellStyle name="Normal 3 3 2 7 2 2 3" xfId="18850"/>
    <cellStyle name="Normal 3 3 2 7 2 2 4" xfId="25340"/>
    <cellStyle name="Normal 3 3 2 7 2 2 5" xfId="38320"/>
    <cellStyle name="Normal 3 3 2 7 2 2 6" xfId="54549"/>
    <cellStyle name="Normal 3 3 2 7 2 3" xfId="9112"/>
    <cellStyle name="Normal 3 3 2 7 2 3 2" xfId="28585"/>
    <cellStyle name="Normal 3 3 2 7 2 3 3" xfId="41565"/>
    <cellStyle name="Normal 3 3 2 7 2 3 4" xfId="57794"/>
    <cellStyle name="Normal 3 3 2 7 2 4" xfId="15605"/>
    <cellStyle name="Normal 3 3 2 7 2 4 2" xfId="51304"/>
    <cellStyle name="Normal 3 3 2 7 2 5" xfId="22095"/>
    <cellStyle name="Normal 3 3 2 7 2 6" xfId="35075"/>
    <cellStyle name="Normal 3 3 2 7 2 7" xfId="48058"/>
    <cellStyle name="Normal 3 3 2 7 3" xfId="4202"/>
    <cellStyle name="Normal 3 3 2 7 3 2" xfId="10734"/>
    <cellStyle name="Normal 3 3 2 7 3 2 2" xfId="30207"/>
    <cellStyle name="Normal 3 3 2 7 3 2 3" xfId="43187"/>
    <cellStyle name="Normal 3 3 2 7 3 2 4" xfId="59416"/>
    <cellStyle name="Normal 3 3 2 7 3 3" xfId="17227"/>
    <cellStyle name="Normal 3 3 2 7 3 4" xfId="23717"/>
    <cellStyle name="Normal 3 3 2 7 3 5" xfId="36697"/>
    <cellStyle name="Normal 3 3 2 7 3 6" xfId="52926"/>
    <cellStyle name="Normal 3 3 2 7 4" xfId="7489"/>
    <cellStyle name="Normal 3 3 2 7 4 2" xfId="26962"/>
    <cellStyle name="Normal 3 3 2 7 4 3" xfId="39942"/>
    <cellStyle name="Normal 3 3 2 7 4 4" xfId="56171"/>
    <cellStyle name="Normal 3 3 2 7 5" xfId="13982"/>
    <cellStyle name="Normal 3 3 2 7 5 2" xfId="49681"/>
    <cellStyle name="Normal 3 3 2 7 6" xfId="20472"/>
    <cellStyle name="Normal 3 3 2 7 7" xfId="33452"/>
    <cellStyle name="Normal 3 3 2 7 8" xfId="46435"/>
    <cellStyle name="Normal 3 3 2 8" xfId="1866"/>
    <cellStyle name="Normal 3 3 2 8 2" xfId="5111"/>
    <cellStyle name="Normal 3 3 2 8 2 2" xfId="11643"/>
    <cellStyle name="Normal 3 3 2 8 2 2 2" xfId="31116"/>
    <cellStyle name="Normal 3 3 2 8 2 2 3" xfId="44096"/>
    <cellStyle name="Normal 3 3 2 8 2 2 4" xfId="60325"/>
    <cellStyle name="Normal 3 3 2 8 2 3" xfId="18136"/>
    <cellStyle name="Normal 3 3 2 8 2 4" xfId="24626"/>
    <cellStyle name="Normal 3 3 2 8 2 5" xfId="37606"/>
    <cellStyle name="Normal 3 3 2 8 2 6" xfId="53835"/>
    <cellStyle name="Normal 3 3 2 8 3" xfId="8398"/>
    <cellStyle name="Normal 3 3 2 8 3 2" xfId="27871"/>
    <cellStyle name="Normal 3 3 2 8 3 3" xfId="40851"/>
    <cellStyle name="Normal 3 3 2 8 3 4" xfId="57080"/>
    <cellStyle name="Normal 3 3 2 8 4" xfId="14891"/>
    <cellStyle name="Normal 3 3 2 8 4 2" xfId="50590"/>
    <cellStyle name="Normal 3 3 2 8 5" xfId="21381"/>
    <cellStyle name="Normal 3 3 2 8 6" xfId="34361"/>
    <cellStyle name="Normal 3 3 2 8 7" xfId="47344"/>
    <cellStyle name="Normal 3 3 2 9" xfId="3487"/>
    <cellStyle name="Normal 3 3 2 9 2" xfId="10019"/>
    <cellStyle name="Normal 3 3 2 9 2 2" xfId="29492"/>
    <cellStyle name="Normal 3 3 2 9 2 3" xfId="42472"/>
    <cellStyle name="Normal 3 3 2 9 2 4" xfId="58701"/>
    <cellStyle name="Normal 3 3 2 9 3" xfId="16512"/>
    <cellStyle name="Normal 3 3 2 9 4" xfId="23002"/>
    <cellStyle name="Normal 3 3 2 9 5" xfId="35982"/>
    <cellStyle name="Normal 3 3 2 9 6" xfId="52211"/>
    <cellStyle name="Normal 3 3 3" xfId="259"/>
    <cellStyle name="Normal 3 3 3 10" xfId="19823"/>
    <cellStyle name="Normal 3 3 3 11" xfId="32803"/>
    <cellStyle name="Normal 3 3 3 12" xfId="45786"/>
    <cellStyle name="Normal 3 3 3 2" xfId="347"/>
    <cellStyle name="Normal 3 3 3 2 10" xfId="32891"/>
    <cellStyle name="Normal 3 3 3 2 11" xfId="45874"/>
    <cellStyle name="Normal 3 3 3 2 2" xfId="811"/>
    <cellStyle name="Normal 3 3 3 2 2 10" xfId="46334"/>
    <cellStyle name="Normal 3 3 3 2 2 2" xfId="1750"/>
    <cellStyle name="Normal 3 3 3 2 2 2 2" xfId="3417"/>
    <cellStyle name="Normal 3 3 3 2 2 2 2 2" xfId="6662"/>
    <cellStyle name="Normal 3 3 3 2 2 2 2 2 2" xfId="13194"/>
    <cellStyle name="Normal 3 3 3 2 2 2 2 2 2 2" xfId="32667"/>
    <cellStyle name="Normal 3 3 3 2 2 2 2 2 2 3" xfId="45647"/>
    <cellStyle name="Normal 3 3 3 2 2 2 2 2 2 4" xfId="61876"/>
    <cellStyle name="Normal 3 3 3 2 2 2 2 2 3" xfId="19687"/>
    <cellStyle name="Normal 3 3 3 2 2 2 2 2 4" xfId="26177"/>
    <cellStyle name="Normal 3 3 3 2 2 2 2 2 5" xfId="39157"/>
    <cellStyle name="Normal 3 3 3 2 2 2 2 2 6" xfId="55386"/>
    <cellStyle name="Normal 3 3 3 2 2 2 2 3" xfId="9949"/>
    <cellStyle name="Normal 3 3 3 2 2 2 2 3 2" xfId="29422"/>
    <cellStyle name="Normal 3 3 3 2 2 2 2 3 3" xfId="42402"/>
    <cellStyle name="Normal 3 3 3 2 2 2 2 3 4" xfId="58631"/>
    <cellStyle name="Normal 3 3 3 2 2 2 2 4" xfId="16442"/>
    <cellStyle name="Normal 3 3 3 2 2 2 2 4 2" xfId="52141"/>
    <cellStyle name="Normal 3 3 3 2 2 2 2 5" xfId="22932"/>
    <cellStyle name="Normal 3 3 3 2 2 2 2 6" xfId="35912"/>
    <cellStyle name="Normal 3 3 3 2 2 2 2 7" xfId="48895"/>
    <cellStyle name="Normal 3 3 3 2 2 2 3" xfId="5039"/>
    <cellStyle name="Normal 3 3 3 2 2 2 3 2" xfId="11571"/>
    <cellStyle name="Normal 3 3 3 2 2 2 3 2 2" xfId="31044"/>
    <cellStyle name="Normal 3 3 3 2 2 2 3 2 3" xfId="44024"/>
    <cellStyle name="Normal 3 3 3 2 2 2 3 2 4" xfId="60253"/>
    <cellStyle name="Normal 3 3 3 2 2 2 3 3" xfId="18064"/>
    <cellStyle name="Normal 3 3 3 2 2 2 3 4" xfId="24554"/>
    <cellStyle name="Normal 3 3 3 2 2 2 3 5" xfId="37534"/>
    <cellStyle name="Normal 3 3 3 2 2 2 3 6" xfId="53763"/>
    <cellStyle name="Normal 3 3 3 2 2 2 4" xfId="8326"/>
    <cellStyle name="Normal 3 3 3 2 2 2 4 2" xfId="27799"/>
    <cellStyle name="Normal 3 3 3 2 2 2 4 3" xfId="40779"/>
    <cellStyle name="Normal 3 3 3 2 2 2 4 4" xfId="57008"/>
    <cellStyle name="Normal 3 3 3 2 2 2 5" xfId="14819"/>
    <cellStyle name="Normal 3 3 3 2 2 2 5 2" xfId="50518"/>
    <cellStyle name="Normal 3 3 3 2 2 2 6" xfId="21309"/>
    <cellStyle name="Normal 3 3 3 2 2 2 7" xfId="34289"/>
    <cellStyle name="Normal 3 3 3 2 2 2 8" xfId="47272"/>
    <cellStyle name="Normal 3 3 3 2 2 3" xfId="1287"/>
    <cellStyle name="Normal 3 3 3 2 2 3 2" xfId="2954"/>
    <cellStyle name="Normal 3 3 3 2 2 3 2 2" xfId="6199"/>
    <cellStyle name="Normal 3 3 3 2 2 3 2 2 2" xfId="12731"/>
    <cellStyle name="Normal 3 3 3 2 2 3 2 2 2 2" xfId="32204"/>
    <cellStyle name="Normal 3 3 3 2 2 3 2 2 2 3" xfId="45184"/>
    <cellStyle name="Normal 3 3 3 2 2 3 2 2 2 4" xfId="61413"/>
    <cellStyle name="Normal 3 3 3 2 2 3 2 2 3" xfId="19224"/>
    <cellStyle name="Normal 3 3 3 2 2 3 2 2 4" xfId="25714"/>
    <cellStyle name="Normal 3 3 3 2 2 3 2 2 5" xfId="38694"/>
    <cellStyle name="Normal 3 3 3 2 2 3 2 2 6" xfId="54923"/>
    <cellStyle name="Normal 3 3 3 2 2 3 2 3" xfId="9486"/>
    <cellStyle name="Normal 3 3 3 2 2 3 2 3 2" xfId="28959"/>
    <cellStyle name="Normal 3 3 3 2 2 3 2 3 3" xfId="41939"/>
    <cellStyle name="Normal 3 3 3 2 2 3 2 3 4" xfId="58168"/>
    <cellStyle name="Normal 3 3 3 2 2 3 2 4" xfId="15979"/>
    <cellStyle name="Normal 3 3 3 2 2 3 2 4 2" xfId="51678"/>
    <cellStyle name="Normal 3 3 3 2 2 3 2 5" xfId="22469"/>
    <cellStyle name="Normal 3 3 3 2 2 3 2 6" xfId="35449"/>
    <cellStyle name="Normal 3 3 3 2 2 3 2 7" xfId="48432"/>
    <cellStyle name="Normal 3 3 3 2 2 3 3" xfId="4576"/>
    <cellStyle name="Normal 3 3 3 2 2 3 3 2" xfId="11108"/>
    <cellStyle name="Normal 3 3 3 2 2 3 3 2 2" xfId="30581"/>
    <cellStyle name="Normal 3 3 3 2 2 3 3 2 3" xfId="43561"/>
    <cellStyle name="Normal 3 3 3 2 2 3 3 2 4" xfId="59790"/>
    <cellStyle name="Normal 3 3 3 2 2 3 3 3" xfId="17601"/>
    <cellStyle name="Normal 3 3 3 2 2 3 3 4" xfId="24091"/>
    <cellStyle name="Normal 3 3 3 2 2 3 3 5" xfId="37071"/>
    <cellStyle name="Normal 3 3 3 2 2 3 3 6" xfId="53300"/>
    <cellStyle name="Normal 3 3 3 2 2 3 4" xfId="7863"/>
    <cellStyle name="Normal 3 3 3 2 2 3 4 2" xfId="27336"/>
    <cellStyle name="Normal 3 3 3 2 2 3 4 3" xfId="40316"/>
    <cellStyle name="Normal 3 3 3 2 2 3 4 4" xfId="56545"/>
    <cellStyle name="Normal 3 3 3 2 2 3 5" xfId="14356"/>
    <cellStyle name="Normal 3 3 3 2 2 3 5 2" xfId="50055"/>
    <cellStyle name="Normal 3 3 3 2 2 3 6" xfId="20846"/>
    <cellStyle name="Normal 3 3 3 2 2 3 7" xfId="33826"/>
    <cellStyle name="Normal 3 3 3 2 2 3 8" xfId="46809"/>
    <cellStyle name="Normal 3 3 3 2 2 4" xfId="2479"/>
    <cellStyle name="Normal 3 3 3 2 2 4 2" xfId="5724"/>
    <cellStyle name="Normal 3 3 3 2 2 4 2 2" xfId="12256"/>
    <cellStyle name="Normal 3 3 3 2 2 4 2 2 2" xfId="31729"/>
    <cellStyle name="Normal 3 3 3 2 2 4 2 2 3" xfId="44709"/>
    <cellStyle name="Normal 3 3 3 2 2 4 2 2 4" xfId="60938"/>
    <cellStyle name="Normal 3 3 3 2 2 4 2 3" xfId="18749"/>
    <cellStyle name="Normal 3 3 3 2 2 4 2 4" xfId="25239"/>
    <cellStyle name="Normal 3 3 3 2 2 4 2 5" xfId="38219"/>
    <cellStyle name="Normal 3 3 3 2 2 4 2 6" xfId="54448"/>
    <cellStyle name="Normal 3 3 3 2 2 4 3" xfId="9011"/>
    <cellStyle name="Normal 3 3 3 2 2 4 3 2" xfId="28484"/>
    <cellStyle name="Normal 3 3 3 2 2 4 3 3" xfId="41464"/>
    <cellStyle name="Normal 3 3 3 2 2 4 3 4" xfId="57693"/>
    <cellStyle name="Normal 3 3 3 2 2 4 4" xfId="15504"/>
    <cellStyle name="Normal 3 3 3 2 2 4 4 2" xfId="51203"/>
    <cellStyle name="Normal 3 3 3 2 2 4 5" xfId="21994"/>
    <cellStyle name="Normal 3 3 3 2 2 4 6" xfId="34974"/>
    <cellStyle name="Normal 3 3 3 2 2 4 7" xfId="47957"/>
    <cellStyle name="Normal 3 3 3 2 2 5" xfId="4101"/>
    <cellStyle name="Normal 3 3 3 2 2 5 2" xfId="10633"/>
    <cellStyle name="Normal 3 3 3 2 2 5 2 2" xfId="30106"/>
    <cellStyle name="Normal 3 3 3 2 2 5 2 3" xfId="43086"/>
    <cellStyle name="Normal 3 3 3 2 2 5 2 4" xfId="59315"/>
    <cellStyle name="Normal 3 3 3 2 2 5 3" xfId="17126"/>
    <cellStyle name="Normal 3 3 3 2 2 5 4" xfId="23616"/>
    <cellStyle name="Normal 3 3 3 2 2 5 5" xfId="36596"/>
    <cellStyle name="Normal 3 3 3 2 2 5 6" xfId="52825"/>
    <cellStyle name="Normal 3 3 3 2 2 6" xfId="7388"/>
    <cellStyle name="Normal 3 3 3 2 2 6 2" xfId="26861"/>
    <cellStyle name="Normal 3 3 3 2 2 6 3" xfId="39841"/>
    <cellStyle name="Normal 3 3 3 2 2 6 4" xfId="56070"/>
    <cellStyle name="Normal 3 3 3 2 2 7" xfId="13881"/>
    <cellStyle name="Normal 3 3 3 2 2 7 2" xfId="49580"/>
    <cellStyle name="Normal 3 3 3 2 2 8" xfId="20371"/>
    <cellStyle name="Normal 3 3 3 2 2 9" xfId="33351"/>
    <cellStyle name="Normal 3 3 3 2 3" xfId="581"/>
    <cellStyle name="Normal 3 3 3 2 3 2" xfId="1530"/>
    <cellStyle name="Normal 3 3 3 2 3 2 2" xfId="3197"/>
    <cellStyle name="Normal 3 3 3 2 3 2 2 2" xfId="6442"/>
    <cellStyle name="Normal 3 3 3 2 3 2 2 2 2" xfId="12974"/>
    <cellStyle name="Normal 3 3 3 2 3 2 2 2 2 2" xfId="32447"/>
    <cellStyle name="Normal 3 3 3 2 3 2 2 2 2 3" xfId="45427"/>
    <cellStyle name="Normal 3 3 3 2 3 2 2 2 2 4" xfId="61656"/>
    <cellStyle name="Normal 3 3 3 2 3 2 2 2 3" xfId="19467"/>
    <cellStyle name="Normal 3 3 3 2 3 2 2 2 4" xfId="25957"/>
    <cellStyle name="Normal 3 3 3 2 3 2 2 2 5" xfId="38937"/>
    <cellStyle name="Normal 3 3 3 2 3 2 2 2 6" xfId="55166"/>
    <cellStyle name="Normal 3 3 3 2 3 2 2 3" xfId="9729"/>
    <cellStyle name="Normal 3 3 3 2 3 2 2 3 2" xfId="29202"/>
    <cellStyle name="Normal 3 3 3 2 3 2 2 3 3" xfId="42182"/>
    <cellStyle name="Normal 3 3 3 2 3 2 2 3 4" xfId="58411"/>
    <cellStyle name="Normal 3 3 3 2 3 2 2 4" xfId="16222"/>
    <cellStyle name="Normal 3 3 3 2 3 2 2 4 2" xfId="51921"/>
    <cellStyle name="Normal 3 3 3 2 3 2 2 5" xfId="22712"/>
    <cellStyle name="Normal 3 3 3 2 3 2 2 6" xfId="35692"/>
    <cellStyle name="Normal 3 3 3 2 3 2 2 7" xfId="48675"/>
    <cellStyle name="Normal 3 3 3 2 3 2 3" xfId="4819"/>
    <cellStyle name="Normal 3 3 3 2 3 2 3 2" xfId="11351"/>
    <cellStyle name="Normal 3 3 3 2 3 2 3 2 2" xfId="30824"/>
    <cellStyle name="Normal 3 3 3 2 3 2 3 2 3" xfId="43804"/>
    <cellStyle name="Normal 3 3 3 2 3 2 3 2 4" xfId="60033"/>
    <cellStyle name="Normal 3 3 3 2 3 2 3 3" xfId="17844"/>
    <cellStyle name="Normal 3 3 3 2 3 2 3 4" xfId="24334"/>
    <cellStyle name="Normal 3 3 3 2 3 2 3 5" xfId="37314"/>
    <cellStyle name="Normal 3 3 3 2 3 2 3 6" xfId="53543"/>
    <cellStyle name="Normal 3 3 3 2 3 2 4" xfId="8106"/>
    <cellStyle name="Normal 3 3 3 2 3 2 4 2" xfId="27579"/>
    <cellStyle name="Normal 3 3 3 2 3 2 4 3" xfId="40559"/>
    <cellStyle name="Normal 3 3 3 2 3 2 4 4" xfId="56788"/>
    <cellStyle name="Normal 3 3 3 2 3 2 5" xfId="14599"/>
    <cellStyle name="Normal 3 3 3 2 3 2 5 2" xfId="50298"/>
    <cellStyle name="Normal 3 3 3 2 3 2 6" xfId="21089"/>
    <cellStyle name="Normal 3 3 3 2 3 2 7" xfId="34069"/>
    <cellStyle name="Normal 3 3 3 2 3 2 8" xfId="47052"/>
    <cellStyle name="Normal 3 3 3 2 3 3" xfId="2249"/>
    <cellStyle name="Normal 3 3 3 2 3 3 2" xfId="5494"/>
    <cellStyle name="Normal 3 3 3 2 3 3 2 2" xfId="12026"/>
    <cellStyle name="Normal 3 3 3 2 3 3 2 2 2" xfId="31499"/>
    <cellStyle name="Normal 3 3 3 2 3 3 2 2 3" xfId="44479"/>
    <cellStyle name="Normal 3 3 3 2 3 3 2 2 4" xfId="60708"/>
    <cellStyle name="Normal 3 3 3 2 3 3 2 3" xfId="18519"/>
    <cellStyle name="Normal 3 3 3 2 3 3 2 4" xfId="25009"/>
    <cellStyle name="Normal 3 3 3 2 3 3 2 5" xfId="37989"/>
    <cellStyle name="Normal 3 3 3 2 3 3 2 6" xfId="54218"/>
    <cellStyle name="Normal 3 3 3 2 3 3 3" xfId="8781"/>
    <cellStyle name="Normal 3 3 3 2 3 3 3 2" xfId="28254"/>
    <cellStyle name="Normal 3 3 3 2 3 3 3 3" xfId="41234"/>
    <cellStyle name="Normal 3 3 3 2 3 3 3 4" xfId="57463"/>
    <cellStyle name="Normal 3 3 3 2 3 3 4" xfId="15274"/>
    <cellStyle name="Normal 3 3 3 2 3 3 4 2" xfId="50973"/>
    <cellStyle name="Normal 3 3 3 2 3 3 5" xfId="21764"/>
    <cellStyle name="Normal 3 3 3 2 3 3 6" xfId="34744"/>
    <cellStyle name="Normal 3 3 3 2 3 3 7" xfId="47727"/>
    <cellStyle name="Normal 3 3 3 2 3 4" xfId="3871"/>
    <cellStyle name="Normal 3 3 3 2 3 4 2" xfId="10403"/>
    <cellStyle name="Normal 3 3 3 2 3 4 2 2" xfId="29876"/>
    <cellStyle name="Normal 3 3 3 2 3 4 2 3" xfId="42856"/>
    <cellStyle name="Normal 3 3 3 2 3 4 2 4" xfId="59085"/>
    <cellStyle name="Normal 3 3 3 2 3 4 3" xfId="16896"/>
    <cellStyle name="Normal 3 3 3 2 3 4 4" xfId="23386"/>
    <cellStyle name="Normal 3 3 3 2 3 4 5" xfId="36366"/>
    <cellStyle name="Normal 3 3 3 2 3 4 6" xfId="52595"/>
    <cellStyle name="Normal 3 3 3 2 3 5" xfId="7158"/>
    <cellStyle name="Normal 3 3 3 2 3 5 2" xfId="26631"/>
    <cellStyle name="Normal 3 3 3 2 3 5 3" xfId="39611"/>
    <cellStyle name="Normal 3 3 3 2 3 5 4" xfId="55840"/>
    <cellStyle name="Normal 3 3 3 2 3 6" xfId="13651"/>
    <cellStyle name="Normal 3 3 3 2 3 6 2" xfId="49350"/>
    <cellStyle name="Normal 3 3 3 2 3 7" xfId="20141"/>
    <cellStyle name="Normal 3 3 3 2 3 8" xfId="33121"/>
    <cellStyle name="Normal 3 3 3 2 3 9" xfId="46104"/>
    <cellStyle name="Normal 3 3 3 2 4" xfId="1067"/>
    <cellStyle name="Normal 3 3 3 2 4 2" xfId="2734"/>
    <cellStyle name="Normal 3 3 3 2 4 2 2" xfId="5979"/>
    <cellStyle name="Normal 3 3 3 2 4 2 2 2" xfId="12511"/>
    <cellStyle name="Normal 3 3 3 2 4 2 2 2 2" xfId="31984"/>
    <cellStyle name="Normal 3 3 3 2 4 2 2 2 3" xfId="44964"/>
    <cellStyle name="Normal 3 3 3 2 4 2 2 2 4" xfId="61193"/>
    <cellStyle name="Normal 3 3 3 2 4 2 2 3" xfId="19004"/>
    <cellStyle name="Normal 3 3 3 2 4 2 2 4" xfId="25494"/>
    <cellStyle name="Normal 3 3 3 2 4 2 2 5" xfId="38474"/>
    <cellStyle name="Normal 3 3 3 2 4 2 2 6" xfId="54703"/>
    <cellStyle name="Normal 3 3 3 2 4 2 3" xfId="9266"/>
    <cellStyle name="Normal 3 3 3 2 4 2 3 2" xfId="28739"/>
    <cellStyle name="Normal 3 3 3 2 4 2 3 3" xfId="41719"/>
    <cellStyle name="Normal 3 3 3 2 4 2 3 4" xfId="57948"/>
    <cellStyle name="Normal 3 3 3 2 4 2 4" xfId="15759"/>
    <cellStyle name="Normal 3 3 3 2 4 2 4 2" xfId="51458"/>
    <cellStyle name="Normal 3 3 3 2 4 2 5" xfId="22249"/>
    <cellStyle name="Normal 3 3 3 2 4 2 6" xfId="35229"/>
    <cellStyle name="Normal 3 3 3 2 4 2 7" xfId="48212"/>
    <cellStyle name="Normal 3 3 3 2 4 3" xfId="4356"/>
    <cellStyle name="Normal 3 3 3 2 4 3 2" xfId="10888"/>
    <cellStyle name="Normal 3 3 3 2 4 3 2 2" xfId="30361"/>
    <cellStyle name="Normal 3 3 3 2 4 3 2 3" xfId="43341"/>
    <cellStyle name="Normal 3 3 3 2 4 3 2 4" xfId="59570"/>
    <cellStyle name="Normal 3 3 3 2 4 3 3" xfId="17381"/>
    <cellStyle name="Normal 3 3 3 2 4 3 4" xfId="23871"/>
    <cellStyle name="Normal 3 3 3 2 4 3 5" xfId="36851"/>
    <cellStyle name="Normal 3 3 3 2 4 3 6" xfId="53080"/>
    <cellStyle name="Normal 3 3 3 2 4 4" xfId="7643"/>
    <cellStyle name="Normal 3 3 3 2 4 4 2" xfId="27116"/>
    <cellStyle name="Normal 3 3 3 2 4 4 3" xfId="40096"/>
    <cellStyle name="Normal 3 3 3 2 4 4 4" xfId="56325"/>
    <cellStyle name="Normal 3 3 3 2 4 5" xfId="14136"/>
    <cellStyle name="Normal 3 3 3 2 4 5 2" xfId="49835"/>
    <cellStyle name="Normal 3 3 3 2 4 6" xfId="20626"/>
    <cellStyle name="Normal 3 3 3 2 4 7" xfId="33606"/>
    <cellStyle name="Normal 3 3 3 2 4 8" xfId="46589"/>
    <cellStyle name="Normal 3 3 3 2 5" xfId="2020"/>
    <cellStyle name="Normal 3 3 3 2 5 2" xfId="5265"/>
    <cellStyle name="Normal 3 3 3 2 5 2 2" xfId="11797"/>
    <cellStyle name="Normal 3 3 3 2 5 2 2 2" xfId="31270"/>
    <cellStyle name="Normal 3 3 3 2 5 2 2 3" xfId="44250"/>
    <cellStyle name="Normal 3 3 3 2 5 2 2 4" xfId="60479"/>
    <cellStyle name="Normal 3 3 3 2 5 2 3" xfId="18290"/>
    <cellStyle name="Normal 3 3 3 2 5 2 4" xfId="24780"/>
    <cellStyle name="Normal 3 3 3 2 5 2 5" xfId="37760"/>
    <cellStyle name="Normal 3 3 3 2 5 2 6" xfId="53989"/>
    <cellStyle name="Normal 3 3 3 2 5 3" xfId="8552"/>
    <cellStyle name="Normal 3 3 3 2 5 3 2" xfId="28025"/>
    <cellStyle name="Normal 3 3 3 2 5 3 3" xfId="41005"/>
    <cellStyle name="Normal 3 3 3 2 5 3 4" xfId="57234"/>
    <cellStyle name="Normal 3 3 3 2 5 4" xfId="15045"/>
    <cellStyle name="Normal 3 3 3 2 5 4 2" xfId="50744"/>
    <cellStyle name="Normal 3 3 3 2 5 5" xfId="21535"/>
    <cellStyle name="Normal 3 3 3 2 5 6" xfId="34515"/>
    <cellStyle name="Normal 3 3 3 2 5 7" xfId="47498"/>
    <cellStyle name="Normal 3 3 3 2 6" xfId="3641"/>
    <cellStyle name="Normal 3 3 3 2 6 2" xfId="10173"/>
    <cellStyle name="Normal 3 3 3 2 6 2 2" xfId="29646"/>
    <cellStyle name="Normal 3 3 3 2 6 2 3" xfId="42626"/>
    <cellStyle name="Normal 3 3 3 2 6 2 4" xfId="58855"/>
    <cellStyle name="Normal 3 3 3 2 6 3" xfId="16666"/>
    <cellStyle name="Normal 3 3 3 2 6 4" xfId="23156"/>
    <cellStyle name="Normal 3 3 3 2 6 5" xfId="36136"/>
    <cellStyle name="Normal 3 3 3 2 6 6" xfId="52365"/>
    <cellStyle name="Normal 3 3 3 2 7" xfId="6928"/>
    <cellStyle name="Normal 3 3 3 2 7 2" xfId="26401"/>
    <cellStyle name="Normal 3 3 3 2 7 3" xfId="39381"/>
    <cellStyle name="Normal 3 3 3 2 7 4" xfId="55610"/>
    <cellStyle name="Normal 3 3 3 2 8" xfId="13421"/>
    <cellStyle name="Normal 3 3 3 2 8 2" xfId="49120"/>
    <cellStyle name="Normal 3 3 3 2 9" xfId="19911"/>
    <cellStyle name="Normal 3 3 3 3" xfId="723"/>
    <cellStyle name="Normal 3 3 3 3 10" xfId="46246"/>
    <cellStyle name="Normal 3 3 3 3 2" xfId="1662"/>
    <cellStyle name="Normal 3 3 3 3 2 2" xfId="3329"/>
    <cellStyle name="Normal 3 3 3 3 2 2 2" xfId="6574"/>
    <cellStyle name="Normal 3 3 3 3 2 2 2 2" xfId="13106"/>
    <cellStyle name="Normal 3 3 3 3 2 2 2 2 2" xfId="32579"/>
    <cellStyle name="Normal 3 3 3 3 2 2 2 2 3" xfId="45559"/>
    <cellStyle name="Normal 3 3 3 3 2 2 2 2 4" xfId="61788"/>
    <cellStyle name="Normal 3 3 3 3 2 2 2 3" xfId="19599"/>
    <cellStyle name="Normal 3 3 3 3 2 2 2 4" xfId="26089"/>
    <cellStyle name="Normal 3 3 3 3 2 2 2 5" xfId="39069"/>
    <cellStyle name="Normal 3 3 3 3 2 2 2 6" xfId="55298"/>
    <cellStyle name="Normal 3 3 3 3 2 2 3" xfId="9861"/>
    <cellStyle name="Normal 3 3 3 3 2 2 3 2" xfId="29334"/>
    <cellStyle name="Normal 3 3 3 3 2 2 3 3" xfId="42314"/>
    <cellStyle name="Normal 3 3 3 3 2 2 3 4" xfId="58543"/>
    <cellStyle name="Normal 3 3 3 3 2 2 4" xfId="16354"/>
    <cellStyle name="Normal 3 3 3 3 2 2 4 2" xfId="52053"/>
    <cellStyle name="Normal 3 3 3 3 2 2 5" xfId="22844"/>
    <cellStyle name="Normal 3 3 3 3 2 2 6" xfId="35824"/>
    <cellStyle name="Normal 3 3 3 3 2 2 7" xfId="48807"/>
    <cellStyle name="Normal 3 3 3 3 2 3" xfId="4951"/>
    <cellStyle name="Normal 3 3 3 3 2 3 2" xfId="11483"/>
    <cellStyle name="Normal 3 3 3 3 2 3 2 2" xfId="30956"/>
    <cellStyle name="Normal 3 3 3 3 2 3 2 3" xfId="43936"/>
    <cellStyle name="Normal 3 3 3 3 2 3 2 4" xfId="60165"/>
    <cellStyle name="Normal 3 3 3 3 2 3 3" xfId="17976"/>
    <cellStyle name="Normal 3 3 3 3 2 3 4" xfId="24466"/>
    <cellStyle name="Normal 3 3 3 3 2 3 5" xfId="37446"/>
    <cellStyle name="Normal 3 3 3 3 2 3 6" xfId="53675"/>
    <cellStyle name="Normal 3 3 3 3 2 4" xfId="8238"/>
    <cellStyle name="Normal 3 3 3 3 2 4 2" xfId="27711"/>
    <cellStyle name="Normal 3 3 3 3 2 4 3" xfId="40691"/>
    <cellStyle name="Normal 3 3 3 3 2 4 4" xfId="56920"/>
    <cellStyle name="Normal 3 3 3 3 2 5" xfId="14731"/>
    <cellStyle name="Normal 3 3 3 3 2 5 2" xfId="50430"/>
    <cellStyle name="Normal 3 3 3 3 2 6" xfId="21221"/>
    <cellStyle name="Normal 3 3 3 3 2 7" xfId="34201"/>
    <cellStyle name="Normal 3 3 3 3 2 8" xfId="47184"/>
    <cellStyle name="Normal 3 3 3 3 3" xfId="1199"/>
    <cellStyle name="Normal 3 3 3 3 3 2" xfId="2866"/>
    <cellStyle name="Normal 3 3 3 3 3 2 2" xfId="6111"/>
    <cellStyle name="Normal 3 3 3 3 3 2 2 2" xfId="12643"/>
    <cellStyle name="Normal 3 3 3 3 3 2 2 2 2" xfId="32116"/>
    <cellStyle name="Normal 3 3 3 3 3 2 2 2 3" xfId="45096"/>
    <cellStyle name="Normal 3 3 3 3 3 2 2 2 4" xfId="61325"/>
    <cellStyle name="Normal 3 3 3 3 3 2 2 3" xfId="19136"/>
    <cellStyle name="Normal 3 3 3 3 3 2 2 4" xfId="25626"/>
    <cellStyle name="Normal 3 3 3 3 3 2 2 5" xfId="38606"/>
    <cellStyle name="Normal 3 3 3 3 3 2 2 6" xfId="54835"/>
    <cellStyle name="Normal 3 3 3 3 3 2 3" xfId="9398"/>
    <cellStyle name="Normal 3 3 3 3 3 2 3 2" xfId="28871"/>
    <cellStyle name="Normal 3 3 3 3 3 2 3 3" xfId="41851"/>
    <cellStyle name="Normal 3 3 3 3 3 2 3 4" xfId="58080"/>
    <cellStyle name="Normal 3 3 3 3 3 2 4" xfId="15891"/>
    <cellStyle name="Normal 3 3 3 3 3 2 4 2" xfId="51590"/>
    <cellStyle name="Normal 3 3 3 3 3 2 5" xfId="22381"/>
    <cellStyle name="Normal 3 3 3 3 3 2 6" xfId="35361"/>
    <cellStyle name="Normal 3 3 3 3 3 2 7" xfId="48344"/>
    <cellStyle name="Normal 3 3 3 3 3 3" xfId="4488"/>
    <cellStyle name="Normal 3 3 3 3 3 3 2" xfId="11020"/>
    <cellStyle name="Normal 3 3 3 3 3 3 2 2" xfId="30493"/>
    <cellStyle name="Normal 3 3 3 3 3 3 2 3" xfId="43473"/>
    <cellStyle name="Normal 3 3 3 3 3 3 2 4" xfId="59702"/>
    <cellStyle name="Normal 3 3 3 3 3 3 3" xfId="17513"/>
    <cellStyle name="Normal 3 3 3 3 3 3 4" xfId="24003"/>
    <cellStyle name="Normal 3 3 3 3 3 3 5" xfId="36983"/>
    <cellStyle name="Normal 3 3 3 3 3 3 6" xfId="53212"/>
    <cellStyle name="Normal 3 3 3 3 3 4" xfId="7775"/>
    <cellStyle name="Normal 3 3 3 3 3 4 2" xfId="27248"/>
    <cellStyle name="Normal 3 3 3 3 3 4 3" xfId="40228"/>
    <cellStyle name="Normal 3 3 3 3 3 4 4" xfId="56457"/>
    <cellStyle name="Normal 3 3 3 3 3 5" xfId="14268"/>
    <cellStyle name="Normal 3 3 3 3 3 5 2" xfId="49967"/>
    <cellStyle name="Normal 3 3 3 3 3 6" xfId="20758"/>
    <cellStyle name="Normal 3 3 3 3 3 7" xfId="33738"/>
    <cellStyle name="Normal 3 3 3 3 3 8" xfId="46721"/>
    <cellStyle name="Normal 3 3 3 3 4" xfId="2391"/>
    <cellStyle name="Normal 3 3 3 3 4 2" xfId="5636"/>
    <cellStyle name="Normal 3 3 3 3 4 2 2" xfId="12168"/>
    <cellStyle name="Normal 3 3 3 3 4 2 2 2" xfId="31641"/>
    <cellStyle name="Normal 3 3 3 3 4 2 2 3" xfId="44621"/>
    <cellStyle name="Normal 3 3 3 3 4 2 2 4" xfId="60850"/>
    <cellStyle name="Normal 3 3 3 3 4 2 3" xfId="18661"/>
    <cellStyle name="Normal 3 3 3 3 4 2 4" xfId="25151"/>
    <cellStyle name="Normal 3 3 3 3 4 2 5" xfId="38131"/>
    <cellStyle name="Normal 3 3 3 3 4 2 6" xfId="54360"/>
    <cellStyle name="Normal 3 3 3 3 4 3" xfId="8923"/>
    <cellStyle name="Normal 3 3 3 3 4 3 2" xfId="28396"/>
    <cellStyle name="Normal 3 3 3 3 4 3 3" xfId="41376"/>
    <cellStyle name="Normal 3 3 3 3 4 3 4" xfId="57605"/>
    <cellStyle name="Normal 3 3 3 3 4 4" xfId="15416"/>
    <cellStyle name="Normal 3 3 3 3 4 4 2" xfId="51115"/>
    <cellStyle name="Normal 3 3 3 3 4 5" xfId="21906"/>
    <cellStyle name="Normal 3 3 3 3 4 6" xfId="34886"/>
    <cellStyle name="Normal 3 3 3 3 4 7" xfId="47869"/>
    <cellStyle name="Normal 3 3 3 3 5" xfId="4013"/>
    <cellStyle name="Normal 3 3 3 3 5 2" xfId="10545"/>
    <cellStyle name="Normal 3 3 3 3 5 2 2" xfId="30018"/>
    <cellStyle name="Normal 3 3 3 3 5 2 3" xfId="42998"/>
    <cellStyle name="Normal 3 3 3 3 5 2 4" xfId="59227"/>
    <cellStyle name="Normal 3 3 3 3 5 3" xfId="17038"/>
    <cellStyle name="Normal 3 3 3 3 5 4" xfId="23528"/>
    <cellStyle name="Normal 3 3 3 3 5 5" xfId="36508"/>
    <cellStyle name="Normal 3 3 3 3 5 6" xfId="52737"/>
    <cellStyle name="Normal 3 3 3 3 6" xfId="7300"/>
    <cellStyle name="Normal 3 3 3 3 6 2" xfId="26773"/>
    <cellStyle name="Normal 3 3 3 3 6 3" xfId="39753"/>
    <cellStyle name="Normal 3 3 3 3 6 4" xfId="55982"/>
    <cellStyle name="Normal 3 3 3 3 7" xfId="13793"/>
    <cellStyle name="Normal 3 3 3 3 7 2" xfId="49492"/>
    <cellStyle name="Normal 3 3 3 3 8" xfId="20283"/>
    <cellStyle name="Normal 3 3 3 3 9" xfId="33263"/>
    <cellStyle name="Normal 3 3 3 4" xfId="493"/>
    <cellStyle name="Normal 3 3 3 4 2" xfId="1442"/>
    <cellStyle name="Normal 3 3 3 4 2 2" xfId="3109"/>
    <cellStyle name="Normal 3 3 3 4 2 2 2" xfId="6354"/>
    <cellStyle name="Normal 3 3 3 4 2 2 2 2" xfId="12886"/>
    <cellStyle name="Normal 3 3 3 4 2 2 2 2 2" xfId="32359"/>
    <cellStyle name="Normal 3 3 3 4 2 2 2 2 3" xfId="45339"/>
    <cellStyle name="Normal 3 3 3 4 2 2 2 2 4" xfId="61568"/>
    <cellStyle name="Normal 3 3 3 4 2 2 2 3" xfId="19379"/>
    <cellStyle name="Normal 3 3 3 4 2 2 2 4" xfId="25869"/>
    <cellStyle name="Normal 3 3 3 4 2 2 2 5" xfId="38849"/>
    <cellStyle name="Normal 3 3 3 4 2 2 2 6" xfId="55078"/>
    <cellStyle name="Normal 3 3 3 4 2 2 3" xfId="9641"/>
    <cellStyle name="Normal 3 3 3 4 2 2 3 2" xfId="29114"/>
    <cellStyle name="Normal 3 3 3 4 2 2 3 3" xfId="42094"/>
    <cellStyle name="Normal 3 3 3 4 2 2 3 4" xfId="58323"/>
    <cellStyle name="Normal 3 3 3 4 2 2 4" xfId="16134"/>
    <cellStyle name="Normal 3 3 3 4 2 2 4 2" xfId="51833"/>
    <cellStyle name="Normal 3 3 3 4 2 2 5" xfId="22624"/>
    <cellStyle name="Normal 3 3 3 4 2 2 6" xfId="35604"/>
    <cellStyle name="Normal 3 3 3 4 2 2 7" xfId="48587"/>
    <cellStyle name="Normal 3 3 3 4 2 3" xfId="4731"/>
    <cellStyle name="Normal 3 3 3 4 2 3 2" xfId="11263"/>
    <cellStyle name="Normal 3 3 3 4 2 3 2 2" xfId="30736"/>
    <cellStyle name="Normal 3 3 3 4 2 3 2 3" xfId="43716"/>
    <cellStyle name="Normal 3 3 3 4 2 3 2 4" xfId="59945"/>
    <cellStyle name="Normal 3 3 3 4 2 3 3" xfId="17756"/>
    <cellStyle name="Normal 3 3 3 4 2 3 4" xfId="24246"/>
    <cellStyle name="Normal 3 3 3 4 2 3 5" xfId="37226"/>
    <cellStyle name="Normal 3 3 3 4 2 3 6" xfId="53455"/>
    <cellStyle name="Normal 3 3 3 4 2 4" xfId="8018"/>
    <cellStyle name="Normal 3 3 3 4 2 4 2" xfId="27491"/>
    <cellStyle name="Normal 3 3 3 4 2 4 3" xfId="40471"/>
    <cellStyle name="Normal 3 3 3 4 2 4 4" xfId="56700"/>
    <cellStyle name="Normal 3 3 3 4 2 5" xfId="14511"/>
    <cellStyle name="Normal 3 3 3 4 2 5 2" xfId="50210"/>
    <cellStyle name="Normal 3 3 3 4 2 6" xfId="21001"/>
    <cellStyle name="Normal 3 3 3 4 2 7" xfId="33981"/>
    <cellStyle name="Normal 3 3 3 4 2 8" xfId="46964"/>
    <cellStyle name="Normal 3 3 3 4 3" xfId="2161"/>
    <cellStyle name="Normal 3 3 3 4 3 2" xfId="5406"/>
    <cellStyle name="Normal 3 3 3 4 3 2 2" xfId="11938"/>
    <cellStyle name="Normal 3 3 3 4 3 2 2 2" xfId="31411"/>
    <cellStyle name="Normal 3 3 3 4 3 2 2 3" xfId="44391"/>
    <cellStyle name="Normal 3 3 3 4 3 2 2 4" xfId="60620"/>
    <cellStyle name="Normal 3 3 3 4 3 2 3" xfId="18431"/>
    <cellStyle name="Normal 3 3 3 4 3 2 4" xfId="24921"/>
    <cellStyle name="Normal 3 3 3 4 3 2 5" xfId="37901"/>
    <cellStyle name="Normal 3 3 3 4 3 2 6" xfId="54130"/>
    <cellStyle name="Normal 3 3 3 4 3 3" xfId="8693"/>
    <cellStyle name="Normal 3 3 3 4 3 3 2" xfId="28166"/>
    <cellStyle name="Normal 3 3 3 4 3 3 3" xfId="41146"/>
    <cellStyle name="Normal 3 3 3 4 3 3 4" xfId="57375"/>
    <cellStyle name="Normal 3 3 3 4 3 4" xfId="15186"/>
    <cellStyle name="Normal 3 3 3 4 3 4 2" xfId="50885"/>
    <cellStyle name="Normal 3 3 3 4 3 5" xfId="21676"/>
    <cellStyle name="Normal 3 3 3 4 3 6" xfId="34656"/>
    <cellStyle name="Normal 3 3 3 4 3 7" xfId="47639"/>
    <cellStyle name="Normal 3 3 3 4 4" xfId="3783"/>
    <cellStyle name="Normal 3 3 3 4 4 2" xfId="10315"/>
    <cellStyle name="Normal 3 3 3 4 4 2 2" xfId="29788"/>
    <cellStyle name="Normal 3 3 3 4 4 2 3" xfId="42768"/>
    <cellStyle name="Normal 3 3 3 4 4 2 4" xfId="58997"/>
    <cellStyle name="Normal 3 3 3 4 4 3" xfId="16808"/>
    <cellStyle name="Normal 3 3 3 4 4 4" xfId="23298"/>
    <cellStyle name="Normal 3 3 3 4 4 5" xfId="36278"/>
    <cellStyle name="Normal 3 3 3 4 4 6" xfId="52507"/>
    <cellStyle name="Normal 3 3 3 4 5" xfId="7070"/>
    <cellStyle name="Normal 3 3 3 4 5 2" xfId="26543"/>
    <cellStyle name="Normal 3 3 3 4 5 3" xfId="39523"/>
    <cellStyle name="Normal 3 3 3 4 5 4" xfId="55752"/>
    <cellStyle name="Normal 3 3 3 4 6" xfId="13563"/>
    <cellStyle name="Normal 3 3 3 4 6 2" xfId="49262"/>
    <cellStyle name="Normal 3 3 3 4 7" xfId="20053"/>
    <cellStyle name="Normal 3 3 3 4 8" xfId="33033"/>
    <cellStyle name="Normal 3 3 3 4 9" xfId="46016"/>
    <cellStyle name="Normal 3 3 3 5" xfId="979"/>
    <cellStyle name="Normal 3 3 3 5 2" xfId="2646"/>
    <cellStyle name="Normal 3 3 3 5 2 2" xfId="5891"/>
    <cellStyle name="Normal 3 3 3 5 2 2 2" xfId="12423"/>
    <cellStyle name="Normal 3 3 3 5 2 2 2 2" xfId="31896"/>
    <cellStyle name="Normal 3 3 3 5 2 2 2 3" xfId="44876"/>
    <cellStyle name="Normal 3 3 3 5 2 2 2 4" xfId="61105"/>
    <cellStyle name="Normal 3 3 3 5 2 2 3" xfId="18916"/>
    <cellStyle name="Normal 3 3 3 5 2 2 4" xfId="25406"/>
    <cellStyle name="Normal 3 3 3 5 2 2 5" xfId="38386"/>
    <cellStyle name="Normal 3 3 3 5 2 2 6" xfId="54615"/>
    <cellStyle name="Normal 3 3 3 5 2 3" xfId="9178"/>
    <cellStyle name="Normal 3 3 3 5 2 3 2" xfId="28651"/>
    <cellStyle name="Normal 3 3 3 5 2 3 3" xfId="41631"/>
    <cellStyle name="Normal 3 3 3 5 2 3 4" xfId="57860"/>
    <cellStyle name="Normal 3 3 3 5 2 4" xfId="15671"/>
    <cellStyle name="Normal 3 3 3 5 2 4 2" xfId="51370"/>
    <cellStyle name="Normal 3 3 3 5 2 5" xfId="22161"/>
    <cellStyle name="Normal 3 3 3 5 2 6" xfId="35141"/>
    <cellStyle name="Normal 3 3 3 5 2 7" xfId="48124"/>
    <cellStyle name="Normal 3 3 3 5 3" xfId="4268"/>
    <cellStyle name="Normal 3 3 3 5 3 2" xfId="10800"/>
    <cellStyle name="Normal 3 3 3 5 3 2 2" xfId="30273"/>
    <cellStyle name="Normal 3 3 3 5 3 2 3" xfId="43253"/>
    <cellStyle name="Normal 3 3 3 5 3 2 4" xfId="59482"/>
    <cellStyle name="Normal 3 3 3 5 3 3" xfId="17293"/>
    <cellStyle name="Normal 3 3 3 5 3 4" xfId="23783"/>
    <cellStyle name="Normal 3 3 3 5 3 5" xfId="36763"/>
    <cellStyle name="Normal 3 3 3 5 3 6" xfId="52992"/>
    <cellStyle name="Normal 3 3 3 5 4" xfId="7555"/>
    <cellStyle name="Normal 3 3 3 5 4 2" xfId="27028"/>
    <cellStyle name="Normal 3 3 3 5 4 3" xfId="40008"/>
    <cellStyle name="Normal 3 3 3 5 4 4" xfId="56237"/>
    <cellStyle name="Normal 3 3 3 5 5" xfId="14048"/>
    <cellStyle name="Normal 3 3 3 5 5 2" xfId="49747"/>
    <cellStyle name="Normal 3 3 3 5 6" xfId="20538"/>
    <cellStyle name="Normal 3 3 3 5 7" xfId="33518"/>
    <cellStyle name="Normal 3 3 3 5 8" xfId="46501"/>
    <cellStyle name="Normal 3 3 3 6" xfId="1932"/>
    <cellStyle name="Normal 3 3 3 6 2" xfId="5177"/>
    <cellStyle name="Normal 3 3 3 6 2 2" xfId="11709"/>
    <cellStyle name="Normal 3 3 3 6 2 2 2" xfId="31182"/>
    <cellStyle name="Normal 3 3 3 6 2 2 3" xfId="44162"/>
    <cellStyle name="Normal 3 3 3 6 2 2 4" xfId="60391"/>
    <cellStyle name="Normal 3 3 3 6 2 3" xfId="18202"/>
    <cellStyle name="Normal 3 3 3 6 2 4" xfId="24692"/>
    <cellStyle name="Normal 3 3 3 6 2 5" xfId="37672"/>
    <cellStyle name="Normal 3 3 3 6 2 6" xfId="53901"/>
    <cellStyle name="Normal 3 3 3 6 3" xfId="8464"/>
    <cellStyle name="Normal 3 3 3 6 3 2" xfId="27937"/>
    <cellStyle name="Normal 3 3 3 6 3 3" xfId="40917"/>
    <cellStyle name="Normal 3 3 3 6 3 4" xfId="57146"/>
    <cellStyle name="Normal 3 3 3 6 4" xfId="14957"/>
    <cellStyle name="Normal 3 3 3 6 4 2" xfId="50656"/>
    <cellStyle name="Normal 3 3 3 6 5" xfId="21447"/>
    <cellStyle name="Normal 3 3 3 6 6" xfId="34427"/>
    <cellStyle name="Normal 3 3 3 6 7" xfId="47410"/>
    <cellStyle name="Normal 3 3 3 7" xfId="3553"/>
    <cellStyle name="Normal 3 3 3 7 2" xfId="10085"/>
    <cellStyle name="Normal 3 3 3 7 2 2" xfId="29558"/>
    <cellStyle name="Normal 3 3 3 7 2 3" xfId="42538"/>
    <cellStyle name="Normal 3 3 3 7 2 4" xfId="58767"/>
    <cellStyle name="Normal 3 3 3 7 3" xfId="16578"/>
    <cellStyle name="Normal 3 3 3 7 4" xfId="23068"/>
    <cellStyle name="Normal 3 3 3 7 5" xfId="36048"/>
    <cellStyle name="Normal 3 3 3 7 6" xfId="52277"/>
    <cellStyle name="Normal 3 3 3 8" xfId="6840"/>
    <cellStyle name="Normal 3 3 3 8 2" xfId="26313"/>
    <cellStyle name="Normal 3 3 3 8 3" xfId="39293"/>
    <cellStyle name="Normal 3 3 3 8 4" xfId="55522"/>
    <cellStyle name="Normal 3 3 3 9" xfId="13333"/>
    <cellStyle name="Normal 3 3 3 9 2" xfId="49032"/>
    <cellStyle name="Normal 3 3 4" xfId="215"/>
    <cellStyle name="Normal 3 3 4 10" xfId="32759"/>
    <cellStyle name="Normal 3 3 4 11" xfId="45742"/>
    <cellStyle name="Normal 3 3 4 2" xfId="679"/>
    <cellStyle name="Normal 3 3 4 2 10" xfId="46202"/>
    <cellStyle name="Normal 3 3 4 2 2" xfId="1618"/>
    <cellStyle name="Normal 3 3 4 2 2 2" xfId="3285"/>
    <cellStyle name="Normal 3 3 4 2 2 2 2" xfId="6530"/>
    <cellStyle name="Normal 3 3 4 2 2 2 2 2" xfId="13062"/>
    <cellStyle name="Normal 3 3 4 2 2 2 2 2 2" xfId="32535"/>
    <cellStyle name="Normal 3 3 4 2 2 2 2 2 3" xfId="45515"/>
    <cellStyle name="Normal 3 3 4 2 2 2 2 2 4" xfId="61744"/>
    <cellStyle name="Normal 3 3 4 2 2 2 2 3" xfId="19555"/>
    <cellStyle name="Normal 3 3 4 2 2 2 2 4" xfId="26045"/>
    <cellStyle name="Normal 3 3 4 2 2 2 2 5" xfId="39025"/>
    <cellStyle name="Normal 3 3 4 2 2 2 2 6" xfId="55254"/>
    <cellStyle name="Normal 3 3 4 2 2 2 3" xfId="9817"/>
    <cellStyle name="Normal 3 3 4 2 2 2 3 2" xfId="29290"/>
    <cellStyle name="Normal 3 3 4 2 2 2 3 3" xfId="42270"/>
    <cellStyle name="Normal 3 3 4 2 2 2 3 4" xfId="58499"/>
    <cellStyle name="Normal 3 3 4 2 2 2 4" xfId="16310"/>
    <cellStyle name="Normal 3 3 4 2 2 2 4 2" xfId="52009"/>
    <cellStyle name="Normal 3 3 4 2 2 2 5" xfId="22800"/>
    <cellStyle name="Normal 3 3 4 2 2 2 6" xfId="35780"/>
    <cellStyle name="Normal 3 3 4 2 2 2 7" xfId="48763"/>
    <cellStyle name="Normal 3 3 4 2 2 3" xfId="4907"/>
    <cellStyle name="Normal 3 3 4 2 2 3 2" xfId="11439"/>
    <cellStyle name="Normal 3 3 4 2 2 3 2 2" xfId="30912"/>
    <cellStyle name="Normal 3 3 4 2 2 3 2 3" xfId="43892"/>
    <cellStyle name="Normal 3 3 4 2 2 3 2 4" xfId="60121"/>
    <cellStyle name="Normal 3 3 4 2 2 3 3" xfId="17932"/>
    <cellStyle name="Normal 3 3 4 2 2 3 4" xfId="24422"/>
    <cellStyle name="Normal 3 3 4 2 2 3 5" xfId="37402"/>
    <cellStyle name="Normal 3 3 4 2 2 3 6" xfId="53631"/>
    <cellStyle name="Normal 3 3 4 2 2 4" xfId="8194"/>
    <cellStyle name="Normal 3 3 4 2 2 4 2" xfId="27667"/>
    <cellStyle name="Normal 3 3 4 2 2 4 3" xfId="40647"/>
    <cellStyle name="Normal 3 3 4 2 2 4 4" xfId="56876"/>
    <cellStyle name="Normal 3 3 4 2 2 5" xfId="14687"/>
    <cellStyle name="Normal 3 3 4 2 2 5 2" xfId="50386"/>
    <cellStyle name="Normal 3 3 4 2 2 6" xfId="21177"/>
    <cellStyle name="Normal 3 3 4 2 2 7" xfId="34157"/>
    <cellStyle name="Normal 3 3 4 2 2 8" xfId="47140"/>
    <cellStyle name="Normal 3 3 4 2 3" xfId="1155"/>
    <cellStyle name="Normal 3 3 4 2 3 2" xfId="2822"/>
    <cellStyle name="Normal 3 3 4 2 3 2 2" xfId="6067"/>
    <cellStyle name="Normal 3 3 4 2 3 2 2 2" xfId="12599"/>
    <cellStyle name="Normal 3 3 4 2 3 2 2 2 2" xfId="32072"/>
    <cellStyle name="Normal 3 3 4 2 3 2 2 2 3" xfId="45052"/>
    <cellStyle name="Normal 3 3 4 2 3 2 2 2 4" xfId="61281"/>
    <cellStyle name="Normal 3 3 4 2 3 2 2 3" xfId="19092"/>
    <cellStyle name="Normal 3 3 4 2 3 2 2 4" xfId="25582"/>
    <cellStyle name="Normal 3 3 4 2 3 2 2 5" xfId="38562"/>
    <cellStyle name="Normal 3 3 4 2 3 2 2 6" xfId="54791"/>
    <cellStyle name="Normal 3 3 4 2 3 2 3" xfId="9354"/>
    <cellStyle name="Normal 3 3 4 2 3 2 3 2" xfId="28827"/>
    <cellStyle name="Normal 3 3 4 2 3 2 3 3" xfId="41807"/>
    <cellStyle name="Normal 3 3 4 2 3 2 3 4" xfId="58036"/>
    <cellStyle name="Normal 3 3 4 2 3 2 4" xfId="15847"/>
    <cellStyle name="Normal 3 3 4 2 3 2 4 2" xfId="51546"/>
    <cellStyle name="Normal 3 3 4 2 3 2 5" xfId="22337"/>
    <cellStyle name="Normal 3 3 4 2 3 2 6" xfId="35317"/>
    <cellStyle name="Normal 3 3 4 2 3 2 7" xfId="48300"/>
    <cellStyle name="Normal 3 3 4 2 3 3" xfId="4444"/>
    <cellStyle name="Normal 3 3 4 2 3 3 2" xfId="10976"/>
    <cellStyle name="Normal 3 3 4 2 3 3 2 2" xfId="30449"/>
    <cellStyle name="Normal 3 3 4 2 3 3 2 3" xfId="43429"/>
    <cellStyle name="Normal 3 3 4 2 3 3 2 4" xfId="59658"/>
    <cellStyle name="Normal 3 3 4 2 3 3 3" xfId="17469"/>
    <cellStyle name="Normal 3 3 4 2 3 3 4" xfId="23959"/>
    <cellStyle name="Normal 3 3 4 2 3 3 5" xfId="36939"/>
    <cellStyle name="Normal 3 3 4 2 3 3 6" xfId="53168"/>
    <cellStyle name="Normal 3 3 4 2 3 4" xfId="7731"/>
    <cellStyle name="Normal 3 3 4 2 3 4 2" xfId="27204"/>
    <cellStyle name="Normal 3 3 4 2 3 4 3" xfId="40184"/>
    <cellStyle name="Normal 3 3 4 2 3 4 4" xfId="56413"/>
    <cellStyle name="Normal 3 3 4 2 3 5" xfId="14224"/>
    <cellStyle name="Normal 3 3 4 2 3 5 2" xfId="49923"/>
    <cellStyle name="Normal 3 3 4 2 3 6" xfId="20714"/>
    <cellStyle name="Normal 3 3 4 2 3 7" xfId="33694"/>
    <cellStyle name="Normal 3 3 4 2 3 8" xfId="46677"/>
    <cellStyle name="Normal 3 3 4 2 4" xfId="2347"/>
    <cellStyle name="Normal 3 3 4 2 4 2" xfId="5592"/>
    <cellStyle name="Normal 3 3 4 2 4 2 2" xfId="12124"/>
    <cellStyle name="Normal 3 3 4 2 4 2 2 2" xfId="31597"/>
    <cellStyle name="Normal 3 3 4 2 4 2 2 3" xfId="44577"/>
    <cellStyle name="Normal 3 3 4 2 4 2 2 4" xfId="60806"/>
    <cellStyle name="Normal 3 3 4 2 4 2 3" xfId="18617"/>
    <cellStyle name="Normal 3 3 4 2 4 2 4" xfId="25107"/>
    <cellStyle name="Normal 3 3 4 2 4 2 5" xfId="38087"/>
    <cellStyle name="Normal 3 3 4 2 4 2 6" xfId="54316"/>
    <cellStyle name="Normal 3 3 4 2 4 3" xfId="8879"/>
    <cellStyle name="Normal 3 3 4 2 4 3 2" xfId="28352"/>
    <cellStyle name="Normal 3 3 4 2 4 3 3" xfId="41332"/>
    <cellStyle name="Normal 3 3 4 2 4 3 4" xfId="57561"/>
    <cellStyle name="Normal 3 3 4 2 4 4" xfId="15372"/>
    <cellStyle name="Normal 3 3 4 2 4 4 2" xfId="51071"/>
    <cellStyle name="Normal 3 3 4 2 4 5" xfId="21862"/>
    <cellStyle name="Normal 3 3 4 2 4 6" xfId="34842"/>
    <cellStyle name="Normal 3 3 4 2 4 7" xfId="47825"/>
    <cellStyle name="Normal 3 3 4 2 5" xfId="3969"/>
    <cellStyle name="Normal 3 3 4 2 5 2" xfId="10501"/>
    <cellStyle name="Normal 3 3 4 2 5 2 2" xfId="29974"/>
    <cellStyle name="Normal 3 3 4 2 5 2 3" xfId="42954"/>
    <cellStyle name="Normal 3 3 4 2 5 2 4" xfId="59183"/>
    <cellStyle name="Normal 3 3 4 2 5 3" xfId="16994"/>
    <cellStyle name="Normal 3 3 4 2 5 4" xfId="23484"/>
    <cellStyle name="Normal 3 3 4 2 5 5" xfId="36464"/>
    <cellStyle name="Normal 3 3 4 2 5 6" xfId="52693"/>
    <cellStyle name="Normal 3 3 4 2 6" xfId="7256"/>
    <cellStyle name="Normal 3 3 4 2 6 2" xfId="26729"/>
    <cellStyle name="Normal 3 3 4 2 6 3" xfId="39709"/>
    <cellStyle name="Normal 3 3 4 2 6 4" xfId="55938"/>
    <cellStyle name="Normal 3 3 4 2 7" xfId="13749"/>
    <cellStyle name="Normal 3 3 4 2 7 2" xfId="49448"/>
    <cellStyle name="Normal 3 3 4 2 8" xfId="20239"/>
    <cellStyle name="Normal 3 3 4 2 9" xfId="33219"/>
    <cellStyle name="Normal 3 3 4 3" xfId="449"/>
    <cellStyle name="Normal 3 3 4 3 2" xfId="1398"/>
    <cellStyle name="Normal 3 3 4 3 2 2" xfId="3065"/>
    <cellStyle name="Normal 3 3 4 3 2 2 2" xfId="6310"/>
    <cellStyle name="Normal 3 3 4 3 2 2 2 2" xfId="12842"/>
    <cellStyle name="Normal 3 3 4 3 2 2 2 2 2" xfId="32315"/>
    <cellStyle name="Normal 3 3 4 3 2 2 2 2 3" xfId="45295"/>
    <cellStyle name="Normal 3 3 4 3 2 2 2 2 4" xfId="61524"/>
    <cellStyle name="Normal 3 3 4 3 2 2 2 3" xfId="19335"/>
    <cellStyle name="Normal 3 3 4 3 2 2 2 4" xfId="25825"/>
    <cellStyle name="Normal 3 3 4 3 2 2 2 5" xfId="38805"/>
    <cellStyle name="Normal 3 3 4 3 2 2 2 6" xfId="55034"/>
    <cellStyle name="Normal 3 3 4 3 2 2 3" xfId="9597"/>
    <cellStyle name="Normal 3 3 4 3 2 2 3 2" xfId="29070"/>
    <cellStyle name="Normal 3 3 4 3 2 2 3 3" xfId="42050"/>
    <cellStyle name="Normal 3 3 4 3 2 2 3 4" xfId="58279"/>
    <cellStyle name="Normal 3 3 4 3 2 2 4" xfId="16090"/>
    <cellStyle name="Normal 3 3 4 3 2 2 4 2" xfId="51789"/>
    <cellStyle name="Normal 3 3 4 3 2 2 5" xfId="22580"/>
    <cellStyle name="Normal 3 3 4 3 2 2 6" xfId="35560"/>
    <cellStyle name="Normal 3 3 4 3 2 2 7" xfId="48543"/>
    <cellStyle name="Normal 3 3 4 3 2 3" xfId="4687"/>
    <cellStyle name="Normal 3 3 4 3 2 3 2" xfId="11219"/>
    <cellStyle name="Normal 3 3 4 3 2 3 2 2" xfId="30692"/>
    <cellStyle name="Normal 3 3 4 3 2 3 2 3" xfId="43672"/>
    <cellStyle name="Normal 3 3 4 3 2 3 2 4" xfId="59901"/>
    <cellStyle name="Normal 3 3 4 3 2 3 3" xfId="17712"/>
    <cellStyle name="Normal 3 3 4 3 2 3 4" xfId="24202"/>
    <cellStyle name="Normal 3 3 4 3 2 3 5" xfId="37182"/>
    <cellStyle name="Normal 3 3 4 3 2 3 6" xfId="53411"/>
    <cellStyle name="Normal 3 3 4 3 2 4" xfId="7974"/>
    <cellStyle name="Normal 3 3 4 3 2 4 2" xfId="27447"/>
    <cellStyle name="Normal 3 3 4 3 2 4 3" xfId="40427"/>
    <cellStyle name="Normal 3 3 4 3 2 4 4" xfId="56656"/>
    <cellStyle name="Normal 3 3 4 3 2 5" xfId="14467"/>
    <cellStyle name="Normal 3 3 4 3 2 5 2" xfId="50166"/>
    <cellStyle name="Normal 3 3 4 3 2 6" xfId="20957"/>
    <cellStyle name="Normal 3 3 4 3 2 7" xfId="33937"/>
    <cellStyle name="Normal 3 3 4 3 2 8" xfId="46920"/>
    <cellStyle name="Normal 3 3 4 3 3" xfId="2117"/>
    <cellStyle name="Normal 3 3 4 3 3 2" xfId="5362"/>
    <cellStyle name="Normal 3 3 4 3 3 2 2" xfId="11894"/>
    <cellStyle name="Normal 3 3 4 3 3 2 2 2" xfId="31367"/>
    <cellStyle name="Normal 3 3 4 3 3 2 2 3" xfId="44347"/>
    <cellStyle name="Normal 3 3 4 3 3 2 2 4" xfId="60576"/>
    <cellStyle name="Normal 3 3 4 3 3 2 3" xfId="18387"/>
    <cellStyle name="Normal 3 3 4 3 3 2 4" xfId="24877"/>
    <cellStyle name="Normal 3 3 4 3 3 2 5" xfId="37857"/>
    <cellStyle name="Normal 3 3 4 3 3 2 6" xfId="54086"/>
    <cellStyle name="Normal 3 3 4 3 3 3" xfId="8649"/>
    <cellStyle name="Normal 3 3 4 3 3 3 2" xfId="28122"/>
    <cellStyle name="Normal 3 3 4 3 3 3 3" xfId="41102"/>
    <cellStyle name="Normal 3 3 4 3 3 3 4" xfId="57331"/>
    <cellStyle name="Normal 3 3 4 3 3 4" xfId="15142"/>
    <cellStyle name="Normal 3 3 4 3 3 4 2" xfId="50841"/>
    <cellStyle name="Normal 3 3 4 3 3 5" xfId="21632"/>
    <cellStyle name="Normal 3 3 4 3 3 6" xfId="34612"/>
    <cellStyle name="Normal 3 3 4 3 3 7" xfId="47595"/>
    <cellStyle name="Normal 3 3 4 3 4" xfId="3739"/>
    <cellStyle name="Normal 3 3 4 3 4 2" xfId="10271"/>
    <cellStyle name="Normal 3 3 4 3 4 2 2" xfId="29744"/>
    <cellStyle name="Normal 3 3 4 3 4 2 3" xfId="42724"/>
    <cellStyle name="Normal 3 3 4 3 4 2 4" xfId="58953"/>
    <cellStyle name="Normal 3 3 4 3 4 3" xfId="16764"/>
    <cellStyle name="Normal 3 3 4 3 4 4" xfId="23254"/>
    <cellStyle name="Normal 3 3 4 3 4 5" xfId="36234"/>
    <cellStyle name="Normal 3 3 4 3 4 6" xfId="52463"/>
    <cellStyle name="Normal 3 3 4 3 5" xfId="7026"/>
    <cellStyle name="Normal 3 3 4 3 5 2" xfId="26499"/>
    <cellStyle name="Normal 3 3 4 3 5 3" xfId="39479"/>
    <cellStyle name="Normal 3 3 4 3 5 4" xfId="55708"/>
    <cellStyle name="Normal 3 3 4 3 6" xfId="13519"/>
    <cellStyle name="Normal 3 3 4 3 6 2" xfId="49218"/>
    <cellStyle name="Normal 3 3 4 3 7" xfId="20009"/>
    <cellStyle name="Normal 3 3 4 3 8" xfId="32989"/>
    <cellStyle name="Normal 3 3 4 3 9" xfId="45972"/>
    <cellStyle name="Normal 3 3 4 4" xfId="935"/>
    <cellStyle name="Normal 3 3 4 4 2" xfId="2602"/>
    <cellStyle name="Normal 3 3 4 4 2 2" xfId="5847"/>
    <cellStyle name="Normal 3 3 4 4 2 2 2" xfId="12379"/>
    <cellStyle name="Normal 3 3 4 4 2 2 2 2" xfId="31852"/>
    <cellStyle name="Normal 3 3 4 4 2 2 2 3" xfId="44832"/>
    <cellStyle name="Normal 3 3 4 4 2 2 2 4" xfId="61061"/>
    <cellStyle name="Normal 3 3 4 4 2 2 3" xfId="18872"/>
    <cellStyle name="Normal 3 3 4 4 2 2 4" xfId="25362"/>
    <cellStyle name="Normal 3 3 4 4 2 2 5" xfId="38342"/>
    <cellStyle name="Normal 3 3 4 4 2 2 6" xfId="54571"/>
    <cellStyle name="Normal 3 3 4 4 2 3" xfId="9134"/>
    <cellStyle name="Normal 3 3 4 4 2 3 2" xfId="28607"/>
    <cellStyle name="Normal 3 3 4 4 2 3 3" xfId="41587"/>
    <cellStyle name="Normal 3 3 4 4 2 3 4" xfId="57816"/>
    <cellStyle name="Normal 3 3 4 4 2 4" xfId="15627"/>
    <cellStyle name="Normal 3 3 4 4 2 4 2" xfId="51326"/>
    <cellStyle name="Normal 3 3 4 4 2 5" xfId="22117"/>
    <cellStyle name="Normal 3 3 4 4 2 6" xfId="35097"/>
    <cellStyle name="Normal 3 3 4 4 2 7" xfId="48080"/>
    <cellStyle name="Normal 3 3 4 4 3" xfId="4224"/>
    <cellStyle name="Normal 3 3 4 4 3 2" xfId="10756"/>
    <cellStyle name="Normal 3 3 4 4 3 2 2" xfId="30229"/>
    <cellStyle name="Normal 3 3 4 4 3 2 3" xfId="43209"/>
    <cellStyle name="Normal 3 3 4 4 3 2 4" xfId="59438"/>
    <cellStyle name="Normal 3 3 4 4 3 3" xfId="17249"/>
    <cellStyle name="Normal 3 3 4 4 3 4" xfId="23739"/>
    <cellStyle name="Normal 3 3 4 4 3 5" xfId="36719"/>
    <cellStyle name="Normal 3 3 4 4 3 6" xfId="52948"/>
    <cellStyle name="Normal 3 3 4 4 4" xfId="7511"/>
    <cellStyle name="Normal 3 3 4 4 4 2" xfId="26984"/>
    <cellStyle name="Normal 3 3 4 4 4 3" xfId="39964"/>
    <cellStyle name="Normal 3 3 4 4 4 4" xfId="56193"/>
    <cellStyle name="Normal 3 3 4 4 5" xfId="14004"/>
    <cellStyle name="Normal 3 3 4 4 5 2" xfId="49703"/>
    <cellStyle name="Normal 3 3 4 4 6" xfId="20494"/>
    <cellStyle name="Normal 3 3 4 4 7" xfId="33474"/>
    <cellStyle name="Normal 3 3 4 4 8" xfId="46457"/>
    <cellStyle name="Normal 3 3 4 5" xfId="1888"/>
    <cellStyle name="Normal 3 3 4 5 2" xfId="5133"/>
    <cellStyle name="Normal 3 3 4 5 2 2" xfId="11665"/>
    <cellStyle name="Normal 3 3 4 5 2 2 2" xfId="31138"/>
    <cellStyle name="Normal 3 3 4 5 2 2 3" xfId="44118"/>
    <cellStyle name="Normal 3 3 4 5 2 2 4" xfId="60347"/>
    <cellStyle name="Normal 3 3 4 5 2 3" xfId="18158"/>
    <cellStyle name="Normal 3 3 4 5 2 4" xfId="24648"/>
    <cellStyle name="Normal 3 3 4 5 2 5" xfId="37628"/>
    <cellStyle name="Normal 3 3 4 5 2 6" xfId="53857"/>
    <cellStyle name="Normal 3 3 4 5 3" xfId="8420"/>
    <cellStyle name="Normal 3 3 4 5 3 2" xfId="27893"/>
    <cellStyle name="Normal 3 3 4 5 3 3" xfId="40873"/>
    <cellStyle name="Normal 3 3 4 5 3 4" xfId="57102"/>
    <cellStyle name="Normal 3 3 4 5 4" xfId="14913"/>
    <cellStyle name="Normal 3 3 4 5 4 2" xfId="50612"/>
    <cellStyle name="Normal 3 3 4 5 5" xfId="21403"/>
    <cellStyle name="Normal 3 3 4 5 6" xfId="34383"/>
    <cellStyle name="Normal 3 3 4 5 7" xfId="47366"/>
    <cellStyle name="Normal 3 3 4 6" xfId="3509"/>
    <cellStyle name="Normal 3 3 4 6 2" xfId="10041"/>
    <cellStyle name="Normal 3 3 4 6 2 2" xfId="29514"/>
    <cellStyle name="Normal 3 3 4 6 2 3" xfId="42494"/>
    <cellStyle name="Normal 3 3 4 6 2 4" xfId="58723"/>
    <cellStyle name="Normal 3 3 4 6 3" xfId="16534"/>
    <cellStyle name="Normal 3 3 4 6 4" xfId="23024"/>
    <cellStyle name="Normal 3 3 4 6 5" xfId="36004"/>
    <cellStyle name="Normal 3 3 4 6 6" xfId="52233"/>
    <cellStyle name="Normal 3 3 4 7" xfId="6796"/>
    <cellStyle name="Normal 3 3 4 7 2" xfId="26269"/>
    <cellStyle name="Normal 3 3 4 7 3" xfId="39249"/>
    <cellStyle name="Normal 3 3 4 7 4" xfId="55478"/>
    <cellStyle name="Normal 3 3 4 8" xfId="13289"/>
    <cellStyle name="Normal 3 3 4 8 2" xfId="48988"/>
    <cellStyle name="Normal 3 3 4 9" xfId="19779"/>
    <cellStyle name="Normal 3 3 5" xfId="303"/>
    <cellStyle name="Normal 3 3 5 10" xfId="32847"/>
    <cellStyle name="Normal 3 3 5 11" xfId="45830"/>
    <cellStyle name="Normal 3 3 5 2" xfId="767"/>
    <cellStyle name="Normal 3 3 5 2 10" xfId="46290"/>
    <cellStyle name="Normal 3 3 5 2 2" xfId="1706"/>
    <cellStyle name="Normal 3 3 5 2 2 2" xfId="3373"/>
    <cellStyle name="Normal 3 3 5 2 2 2 2" xfId="6618"/>
    <cellStyle name="Normal 3 3 5 2 2 2 2 2" xfId="13150"/>
    <cellStyle name="Normal 3 3 5 2 2 2 2 2 2" xfId="32623"/>
    <cellStyle name="Normal 3 3 5 2 2 2 2 2 3" xfId="45603"/>
    <cellStyle name="Normal 3 3 5 2 2 2 2 2 4" xfId="61832"/>
    <cellStyle name="Normal 3 3 5 2 2 2 2 3" xfId="19643"/>
    <cellStyle name="Normal 3 3 5 2 2 2 2 4" xfId="26133"/>
    <cellStyle name="Normal 3 3 5 2 2 2 2 5" xfId="39113"/>
    <cellStyle name="Normal 3 3 5 2 2 2 2 6" xfId="55342"/>
    <cellStyle name="Normal 3 3 5 2 2 2 3" xfId="9905"/>
    <cellStyle name="Normal 3 3 5 2 2 2 3 2" xfId="29378"/>
    <cellStyle name="Normal 3 3 5 2 2 2 3 3" xfId="42358"/>
    <cellStyle name="Normal 3 3 5 2 2 2 3 4" xfId="58587"/>
    <cellStyle name="Normal 3 3 5 2 2 2 4" xfId="16398"/>
    <cellStyle name="Normal 3 3 5 2 2 2 4 2" xfId="52097"/>
    <cellStyle name="Normal 3 3 5 2 2 2 5" xfId="22888"/>
    <cellStyle name="Normal 3 3 5 2 2 2 6" xfId="35868"/>
    <cellStyle name="Normal 3 3 5 2 2 2 7" xfId="48851"/>
    <cellStyle name="Normal 3 3 5 2 2 3" xfId="4995"/>
    <cellStyle name="Normal 3 3 5 2 2 3 2" xfId="11527"/>
    <cellStyle name="Normal 3 3 5 2 2 3 2 2" xfId="31000"/>
    <cellStyle name="Normal 3 3 5 2 2 3 2 3" xfId="43980"/>
    <cellStyle name="Normal 3 3 5 2 2 3 2 4" xfId="60209"/>
    <cellStyle name="Normal 3 3 5 2 2 3 3" xfId="18020"/>
    <cellStyle name="Normal 3 3 5 2 2 3 4" xfId="24510"/>
    <cellStyle name="Normal 3 3 5 2 2 3 5" xfId="37490"/>
    <cellStyle name="Normal 3 3 5 2 2 3 6" xfId="53719"/>
    <cellStyle name="Normal 3 3 5 2 2 4" xfId="8282"/>
    <cellStyle name="Normal 3 3 5 2 2 4 2" xfId="27755"/>
    <cellStyle name="Normal 3 3 5 2 2 4 3" xfId="40735"/>
    <cellStyle name="Normal 3 3 5 2 2 4 4" xfId="56964"/>
    <cellStyle name="Normal 3 3 5 2 2 5" xfId="14775"/>
    <cellStyle name="Normal 3 3 5 2 2 5 2" xfId="50474"/>
    <cellStyle name="Normal 3 3 5 2 2 6" xfId="21265"/>
    <cellStyle name="Normal 3 3 5 2 2 7" xfId="34245"/>
    <cellStyle name="Normal 3 3 5 2 2 8" xfId="47228"/>
    <cellStyle name="Normal 3 3 5 2 3" xfId="1243"/>
    <cellStyle name="Normal 3 3 5 2 3 2" xfId="2910"/>
    <cellStyle name="Normal 3 3 5 2 3 2 2" xfId="6155"/>
    <cellStyle name="Normal 3 3 5 2 3 2 2 2" xfId="12687"/>
    <cellStyle name="Normal 3 3 5 2 3 2 2 2 2" xfId="32160"/>
    <cellStyle name="Normal 3 3 5 2 3 2 2 2 3" xfId="45140"/>
    <cellStyle name="Normal 3 3 5 2 3 2 2 2 4" xfId="61369"/>
    <cellStyle name="Normal 3 3 5 2 3 2 2 3" xfId="19180"/>
    <cellStyle name="Normal 3 3 5 2 3 2 2 4" xfId="25670"/>
    <cellStyle name="Normal 3 3 5 2 3 2 2 5" xfId="38650"/>
    <cellStyle name="Normal 3 3 5 2 3 2 2 6" xfId="54879"/>
    <cellStyle name="Normal 3 3 5 2 3 2 3" xfId="9442"/>
    <cellStyle name="Normal 3 3 5 2 3 2 3 2" xfId="28915"/>
    <cellStyle name="Normal 3 3 5 2 3 2 3 3" xfId="41895"/>
    <cellStyle name="Normal 3 3 5 2 3 2 3 4" xfId="58124"/>
    <cellStyle name="Normal 3 3 5 2 3 2 4" xfId="15935"/>
    <cellStyle name="Normal 3 3 5 2 3 2 4 2" xfId="51634"/>
    <cellStyle name="Normal 3 3 5 2 3 2 5" xfId="22425"/>
    <cellStyle name="Normal 3 3 5 2 3 2 6" xfId="35405"/>
    <cellStyle name="Normal 3 3 5 2 3 2 7" xfId="48388"/>
    <cellStyle name="Normal 3 3 5 2 3 3" xfId="4532"/>
    <cellStyle name="Normal 3 3 5 2 3 3 2" xfId="11064"/>
    <cellStyle name="Normal 3 3 5 2 3 3 2 2" xfId="30537"/>
    <cellStyle name="Normal 3 3 5 2 3 3 2 3" xfId="43517"/>
    <cellStyle name="Normal 3 3 5 2 3 3 2 4" xfId="59746"/>
    <cellStyle name="Normal 3 3 5 2 3 3 3" xfId="17557"/>
    <cellStyle name="Normal 3 3 5 2 3 3 4" xfId="24047"/>
    <cellStyle name="Normal 3 3 5 2 3 3 5" xfId="37027"/>
    <cellStyle name="Normal 3 3 5 2 3 3 6" xfId="53256"/>
    <cellStyle name="Normal 3 3 5 2 3 4" xfId="7819"/>
    <cellStyle name="Normal 3 3 5 2 3 4 2" xfId="27292"/>
    <cellStyle name="Normal 3 3 5 2 3 4 3" xfId="40272"/>
    <cellStyle name="Normal 3 3 5 2 3 4 4" xfId="56501"/>
    <cellStyle name="Normal 3 3 5 2 3 5" xfId="14312"/>
    <cellStyle name="Normal 3 3 5 2 3 5 2" xfId="50011"/>
    <cellStyle name="Normal 3 3 5 2 3 6" xfId="20802"/>
    <cellStyle name="Normal 3 3 5 2 3 7" xfId="33782"/>
    <cellStyle name="Normal 3 3 5 2 3 8" xfId="46765"/>
    <cellStyle name="Normal 3 3 5 2 4" xfId="2435"/>
    <cellStyle name="Normal 3 3 5 2 4 2" xfId="5680"/>
    <cellStyle name="Normal 3 3 5 2 4 2 2" xfId="12212"/>
    <cellStyle name="Normal 3 3 5 2 4 2 2 2" xfId="31685"/>
    <cellStyle name="Normal 3 3 5 2 4 2 2 3" xfId="44665"/>
    <cellStyle name="Normal 3 3 5 2 4 2 2 4" xfId="60894"/>
    <cellStyle name="Normal 3 3 5 2 4 2 3" xfId="18705"/>
    <cellStyle name="Normal 3 3 5 2 4 2 4" xfId="25195"/>
    <cellStyle name="Normal 3 3 5 2 4 2 5" xfId="38175"/>
    <cellStyle name="Normal 3 3 5 2 4 2 6" xfId="54404"/>
    <cellStyle name="Normal 3 3 5 2 4 3" xfId="8967"/>
    <cellStyle name="Normal 3 3 5 2 4 3 2" xfId="28440"/>
    <cellStyle name="Normal 3 3 5 2 4 3 3" xfId="41420"/>
    <cellStyle name="Normal 3 3 5 2 4 3 4" xfId="57649"/>
    <cellStyle name="Normal 3 3 5 2 4 4" xfId="15460"/>
    <cellStyle name="Normal 3 3 5 2 4 4 2" xfId="51159"/>
    <cellStyle name="Normal 3 3 5 2 4 5" xfId="21950"/>
    <cellStyle name="Normal 3 3 5 2 4 6" xfId="34930"/>
    <cellStyle name="Normal 3 3 5 2 4 7" xfId="47913"/>
    <cellStyle name="Normal 3 3 5 2 5" xfId="4057"/>
    <cellStyle name="Normal 3 3 5 2 5 2" xfId="10589"/>
    <cellStyle name="Normal 3 3 5 2 5 2 2" xfId="30062"/>
    <cellStyle name="Normal 3 3 5 2 5 2 3" xfId="43042"/>
    <cellStyle name="Normal 3 3 5 2 5 2 4" xfId="59271"/>
    <cellStyle name="Normal 3 3 5 2 5 3" xfId="17082"/>
    <cellStyle name="Normal 3 3 5 2 5 4" xfId="23572"/>
    <cellStyle name="Normal 3 3 5 2 5 5" xfId="36552"/>
    <cellStyle name="Normal 3 3 5 2 5 6" xfId="52781"/>
    <cellStyle name="Normal 3 3 5 2 6" xfId="7344"/>
    <cellStyle name="Normal 3 3 5 2 6 2" xfId="26817"/>
    <cellStyle name="Normal 3 3 5 2 6 3" xfId="39797"/>
    <cellStyle name="Normal 3 3 5 2 6 4" xfId="56026"/>
    <cellStyle name="Normal 3 3 5 2 7" xfId="13837"/>
    <cellStyle name="Normal 3 3 5 2 7 2" xfId="49536"/>
    <cellStyle name="Normal 3 3 5 2 8" xfId="20327"/>
    <cellStyle name="Normal 3 3 5 2 9" xfId="33307"/>
    <cellStyle name="Normal 3 3 5 3" xfId="537"/>
    <cellStyle name="Normal 3 3 5 3 2" xfId="1486"/>
    <cellStyle name="Normal 3 3 5 3 2 2" xfId="3153"/>
    <cellStyle name="Normal 3 3 5 3 2 2 2" xfId="6398"/>
    <cellStyle name="Normal 3 3 5 3 2 2 2 2" xfId="12930"/>
    <cellStyle name="Normal 3 3 5 3 2 2 2 2 2" xfId="32403"/>
    <cellStyle name="Normal 3 3 5 3 2 2 2 2 3" xfId="45383"/>
    <cellStyle name="Normal 3 3 5 3 2 2 2 2 4" xfId="61612"/>
    <cellStyle name="Normal 3 3 5 3 2 2 2 3" xfId="19423"/>
    <cellStyle name="Normal 3 3 5 3 2 2 2 4" xfId="25913"/>
    <cellStyle name="Normal 3 3 5 3 2 2 2 5" xfId="38893"/>
    <cellStyle name="Normal 3 3 5 3 2 2 2 6" xfId="55122"/>
    <cellStyle name="Normal 3 3 5 3 2 2 3" xfId="9685"/>
    <cellStyle name="Normal 3 3 5 3 2 2 3 2" xfId="29158"/>
    <cellStyle name="Normal 3 3 5 3 2 2 3 3" xfId="42138"/>
    <cellStyle name="Normal 3 3 5 3 2 2 3 4" xfId="58367"/>
    <cellStyle name="Normal 3 3 5 3 2 2 4" xfId="16178"/>
    <cellStyle name="Normal 3 3 5 3 2 2 4 2" xfId="51877"/>
    <cellStyle name="Normal 3 3 5 3 2 2 5" xfId="22668"/>
    <cellStyle name="Normal 3 3 5 3 2 2 6" xfId="35648"/>
    <cellStyle name="Normal 3 3 5 3 2 2 7" xfId="48631"/>
    <cellStyle name="Normal 3 3 5 3 2 3" xfId="4775"/>
    <cellStyle name="Normal 3 3 5 3 2 3 2" xfId="11307"/>
    <cellStyle name="Normal 3 3 5 3 2 3 2 2" xfId="30780"/>
    <cellStyle name="Normal 3 3 5 3 2 3 2 3" xfId="43760"/>
    <cellStyle name="Normal 3 3 5 3 2 3 2 4" xfId="59989"/>
    <cellStyle name="Normal 3 3 5 3 2 3 3" xfId="17800"/>
    <cellStyle name="Normal 3 3 5 3 2 3 4" xfId="24290"/>
    <cellStyle name="Normal 3 3 5 3 2 3 5" xfId="37270"/>
    <cellStyle name="Normal 3 3 5 3 2 3 6" xfId="53499"/>
    <cellStyle name="Normal 3 3 5 3 2 4" xfId="8062"/>
    <cellStyle name="Normal 3 3 5 3 2 4 2" xfId="27535"/>
    <cellStyle name="Normal 3 3 5 3 2 4 3" xfId="40515"/>
    <cellStyle name="Normal 3 3 5 3 2 4 4" xfId="56744"/>
    <cellStyle name="Normal 3 3 5 3 2 5" xfId="14555"/>
    <cellStyle name="Normal 3 3 5 3 2 5 2" xfId="50254"/>
    <cellStyle name="Normal 3 3 5 3 2 6" xfId="21045"/>
    <cellStyle name="Normal 3 3 5 3 2 7" xfId="34025"/>
    <cellStyle name="Normal 3 3 5 3 2 8" xfId="47008"/>
    <cellStyle name="Normal 3 3 5 3 3" xfId="2205"/>
    <cellStyle name="Normal 3 3 5 3 3 2" xfId="5450"/>
    <cellStyle name="Normal 3 3 5 3 3 2 2" xfId="11982"/>
    <cellStyle name="Normal 3 3 5 3 3 2 2 2" xfId="31455"/>
    <cellStyle name="Normal 3 3 5 3 3 2 2 3" xfId="44435"/>
    <cellStyle name="Normal 3 3 5 3 3 2 2 4" xfId="60664"/>
    <cellStyle name="Normal 3 3 5 3 3 2 3" xfId="18475"/>
    <cellStyle name="Normal 3 3 5 3 3 2 4" xfId="24965"/>
    <cellStyle name="Normal 3 3 5 3 3 2 5" xfId="37945"/>
    <cellStyle name="Normal 3 3 5 3 3 2 6" xfId="54174"/>
    <cellStyle name="Normal 3 3 5 3 3 3" xfId="8737"/>
    <cellStyle name="Normal 3 3 5 3 3 3 2" xfId="28210"/>
    <cellStyle name="Normal 3 3 5 3 3 3 3" xfId="41190"/>
    <cellStyle name="Normal 3 3 5 3 3 3 4" xfId="57419"/>
    <cellStyle name="Normal 3 3 5 3 3 4" xfId="15230"/>
    <cellStyle name="Normal 3 3 5 3 3 4 2" xfId="50929"/>
    <cellStyle name="Normal 3 3 5 3 3 5" xfId="21720"/>
    <cellStyle name="Normal 3 3 5 3 3 6" xfId="34700"/>
    <cellStyle name="Normal 3 3 5 3 3 7" xfId="47683"/>
    <cellStyle name="Normal 3 3 5 3 4" xfId="3827"/>
    <cellStyle name="Normal 3 3 5 3 4 2" xfId="10359"/>
    <cellStyle name="Normal 3 3 5 3 4 2 2" xfId="29832"/>
    <cellStyle name="Normal 3 3 5 3 4 2 3" xfId="42812"/>
    <cellStyle name="Normal 3 3 5 3 4 2 4" xfId="59041"/>
    <cellStyle name="Normal 3 3 5 3 4 3" xfId="16852"/>
    <cellStyle name="Normal 3 3 5 3 4 4" xfId="23342"/>
    <cellStyle name="Normal 3 3 5 3 4 5" xfId="36322"/>
    <cellStyle name="Normal 3 3 5 3 4 6" xfId="52551"/>
    <cellStyle name="Normal 3 3 5 3 5" xfId="7114"/>
    <cellStyle name="Normal 3 3 5 3 5 2" xfId="26587"/>
    <cellStyle name="Normal 3 3 5 3 5 3" xfId="39567"/>
    <cellStyle name="Normal 3 3 5 3 5 4" xfId="55796"/>
    <cellStyle name="Normal 3 3 5 3 6" xfId="13607"/>
    <cellStyle name="Normal 3 3 5 3 6 2" xfId="49306"/>
    <cellStyle name="Normal 3 3 5 3 7" xfId="20097"/>
    <cellStyle name="Normal 3 3 5 3 8" xfId="33077"/>
    <cellStyle name="Normal 3 3 5 3 9" xfId="46060"/>
    <cellStyle name="Normal 3 3 5 4" xfId="1023"/>
    <cellStyle name="Normal 3 3 5 4 2" xfId="2690"/>
    <cellStyle name="Normal 3 3 5 4 2 2" xfId="5935"/>
    <cellStyle name="Normal 3 3 5 4 2 2 2" xfId="12467"/>
    <cellStyle name="Normal 3 3 5 4 2 2 2 2" xfId="31940"/>
    <cellStyle name="Normal 3 3 5 4 2 2 2 3" xfId="44920"/>
    <cellStyle name="Normal 3 3 5 4 2 2 2 4" xfId="61149"/>
    <cellStyle name="Normal 3 3 5 4 2 2 3" xfId="18960"/>
    <cellStyle name="Normal 3 3 5 4 2 2 4" xfId="25450"/>
    <cellStyle name="Normal 3 3 5 4 2 2 5" xfId="38430"/>
    <cellStyle name="Normal 3 3 5 4 2 2 6" xfId="54659"/>
    <cellStyle name="Normal 3 3 5 4 2 3" xfId="9222"/>
    <cellStyle name="Normal 3 3 5 4 2 3 2" xfId="28695"/>
    <cellStyle name="Normal 3 3 5 4 2 3 3" xfId="41675"/>
    <cellStyle name="Normal 3 3 5 4 2 3 4" xfId="57904"/>
    <cellStyle name="Normal 3 3 5 4 2 4" xfId="15715"/>
    <cellStyle name="Normal 3 3 5 4 2 4 2" xfId="51414"/>
    <cellStyle name="Normal 3 3 5 4 2 5" xfId="22205"/>
    <cellStyle name="Normal 3 3 5 4 2 6" xfId="35185"/>
    <cellStyle name="Normal 3 3 5 4 2 7" xfId="48168"/>
    <cellStyle name="Normal 3 3 5 4 3" xfId="4312"/>
    <cellStyle name="Normal 3 3 5 4 3 2" xfId="10844"/>
    <cellStyle name="Normal 3 3 5 4 3 2 2" xfId="30317"/>
    <cellStyle name="Normal 3 3 5 4 3 2 3" xfId="43297"/>
    <cellStyle name="Normal 3 3 5 4 3 2 4" xfId="59526"/>
    <cellStyle name="Normal 3 3 5 4 3 3" xfId="17337"/>
    <cellStyle name="Normal 3 3 5 4 3 4" xfId="23827"/>
    <cellStyle name="Normal 3 3 5 4 3 5" xfId="36807"/>
    <cellStyle name="Normal 3 3 5 4 3 6" xfId="53036"/>
    <cellStyle name="Normal 3 3 5 4 4" xfId="7599"/>
    <cellStyle name="Normal 3 3 5 4 4 2" xfId="27072"/>
    <cellStyle name="Normal 3 3 5 4 4 3" xfId="40052"/>
    <cellStyle name="Normal 3 3 5 4 4 4" xfId="56281"/>
    <cellStyle name="Normal 3 3 5 4 5" xfId="14092"/>
    <cellStyle name="Normal 3 3 5 4 5 2" xfId="49791"/>
    <cellStyle name="Normal 3 3 5 4 6" xfId="20582"/>
    <cellStyle name="Normal 3 3 5 4 7" xfId="33562"/>
    <cellStyle name="Normal 3 3 5 4 8" xfId="46545"/>
    <cellStyle name="Normal 3 3 5 5" xfId="1976"/>
    <cellStyle name="Normal 3 3 5 5 2" xfId="5221"/>
    <cellStyle name="Normal 3 3 5 5 2 2" xfId="11753"/>
    <cellStyle name="Normal 3 3 5 5 2 2 2" xfId="31226"/>
    <cellStyle name="Normal 3 3 5 5 2 2 3" xfId="44206"/>
    <cellStyle name="Normal 3 3 5 5 2 2 4" xfId="60435"/>
    <cellStyle name="Normal 3 3 5 5 2 3" xfId="18246"/>
    <cellStyle name="Normal 3 3 5 5 2 4" xfId="24736"/>
    <cellStyle name="Normal 3 3 5 5 2 5" xfId="37716"/>
    <cellStyle name="Normal 3 3 5 5 2 6" xfId="53945"/>
    <cellStyle name="Normal 3 3 5 5 3" xfId="8508"/>
    <cellStyle name="Normal 3 3 5 5 3 2" xfId="27981"/>
    <cellStyle name="Normal 3 3 5 5 3 3" xfId="40961"/>
    <cellStyle name="Normal 3 3 5 5 3 4" xfId="57190"/>
    <cellStyle name="Normal 3 3 5 5 4" xfId="15001"/>
    <cellStyle name="Normal 3 3 5 5 4 2" xfId="50700"/>
    <cellStyle name="Normal 3 3 5 5 5" xfId="21491"/>
    <cellStyle name="Normal 3 3 5 5 6" xfId="34471"/>
    <cellStyle name="Normal 3 3 5 5 7" xfId="47454"/>
    <cellStyle name="Normal 3 3 5 6" xfId="3597"/>
    <cellStyle name="Normal 3 3 5 6 2" xfId="10129"/>
    <cellStyle name="Normal 3 3 5 6 2 2" xfId="29602"/>
    <cellStyle name="Normal 3 3 5 6 2 3" xfId="42582"/>
    <cellStyle name="Normal 3 3 5 6 2 4" xfId="58811"/>
    <cellStyle name="Normal 3 3 5 6 3" xfId="16622"/>
    <cellStyle name="Normal 3 3 5 6 4" xfId="23112"/>
    <cellStyle name="Normal 3 3 5 6 5" xfId="36092"/>
    <cellStyle name="Normal 3 3 5 6 6" xfId="52321"/>
    <cellStyle name="Normal 3 3 5 7" xfId="6884"/>
    <cellStyle name="Normal 3 3 5 7 2" xfId="26357"/>
    <cellStyle name="Normal 3 3 5 7 3" xfId="39337"/>
    <cellStyle name="Normal 3 3 5 7 4" xfId="55566"/>
    <cellStyle name="Normal 3 3 5 8" xfId="13377"/>
    <cellStyle name="Normal 3 3 5 8 2" xfId="49076"/>
    <cellStyle name="Normal 3 3 5 9" xfId="19867"/>
    <cellStyle name="Normal 3 3 6" xfId="635"/>
    <cellStyle name="Normal 3 3 6 10" xfId="46158"/>
    <cellStyle name="Normal 3 3 6 2" xfId="1354"/>
    <cellStyle name="Normal 3 3 6 2 2" xfId="3021"/>
    <cellStyle name="Normal 3 3 6 2 2 2" xfId="6266"/>
    <cellStyle name="Normal 3 3 6 2 2 2 2" xfId="12798"/>
    <cellStyle name="Normal 3 3 6 2 2 2 2 2" xfId="32271"/>
    <cellStyle name="Normal 3 3 6 2 2 2 2 3" xfId="45251"/>
    <cellStyle name="Normal 3 3 6 2 2 2 2 4" xfId="61480"/>
    <cellStyle name="Normal 3 3 6 2 2 2 3" xfId="19291"/>
    <cellStyle name="Normal 3 3 6 2 2 2 4" xfId="25781"/>
    <cellStyle name="Normal 3 3 6 2 2 2 5" xfId="38761"/>
    <cellStyle name="Normal 3 3 6 2 2 2 6" xfId="54990"/>
    <cellStyle name="Normal 3 3 6 2 2 3" xfId="9553"/>
    <cellStyle name="Normal 3 3 6 2 2 3 2" xfId="29026"/>
    <cellStyle name="Normal 3 3 6 2 2 3 3" xfId="42006"/>
    <cellStyle name="Normal 3 3 6 2 2 3 4" xfId="58235"/>
    <cellStyle name="Normal 3 3 6 2 2 4" xfId="16046"/>
    <cellStyle name="Normal 3 3 6 2 2 4 2" xfId="51745"/>
    <cellStyle name="Normal 3 3 6 2 2 5" xfId="22536"/>
    <cellStyle name="Normal 3 3 6 2 2 6" xfId="35516"/>
    <cellStyle name="Normal 3 3 6 2 2 7" xfId="48499"/>
    <cellStyle name="Normal 3 3 6 2 3" xfId="4643"/>
    <cellStyle name="Normal 3 3 6 2 3 2" xfId="11175"/>
    <cellStyle name="Normal 3 3 6 2 3 2 2" xfId="30648"/>
    <cellStyle name="Normal 3 3 6 2 3 2 3" xfId="43628"/>
    <cellStyle name="Normal 3 3 6 2 3 2 4" xfId="59857"/>
    <cellStyle name="Normal 3 3 6 2 3 3" xfId="17668"/>
    <cellStyle name="Normal 3 3 6 2 3 4" xfId="24158"/>
    <cellStyle name="Normal 3 3 6 2 3 5" xfId="37138"/>
    <cellStyle name="Normal 3 3 6 2 3 6" xfId="53367"/>
    <cellStyle name="Normal 3 3 6 2 4" xfId="7930"/>
    <cellStyle name="Normal 3 3 6 2 4 2" xfId="27403"/>
    <cellStyle name="Normal 3 3 6 2 4 3" xfId="40383"/>
    <cellStyle name="Normal 3 3 6 2 4 4" xfId="56612"/>
    <cellStyle name="Normal 3 3 6 2 5" xfId="14423"/>
    <cellStyle name="Normal 3 3 6 2 5 2" xfId="50122"/>
    <cellStyle name="Normal 3 3 6 2 6" xfId="20913"/>
    <cellStyle name="Normal 3 3 6 2 7" xfId="33893"/>
    <cellStyle name="Normal 3 3 6 2 8" xfId="46876"/>
    <cellStyle name="Normal 3 3 6 3" xfId="890"/>
    <cellStyle name="Normal 3 3 6 3 2" xfId="2558"/>
    <cellStyle name="Normal 3 3 6 3 2 2" xfId="5803"/>
    <cellStyle name="Normal 3 3 6 3 2 2 2" xfId="12335"/>
    <cellStyle name="Normal 3 3 6 3 2 2 2 2" xfId="31808"/>
    <cellStyle name="Normal 3 3 6 3 2 2 2 3" xfId="44788"/>
    <cellStyle name="Normal 3 3 6 3 2 2 2 4" xfId="61017"/>
    <cellStyle name="Normal 3 3 6 3 2 2 3" xfId="18828"/>
    <cellStyle name="Normal 3 3 6 3 2 2 4" xfId="25318"/>
    <cellStyle name="Normal 3 3 6 3 2 2 5" xfId="38298"/>
    <cellStyle name="Normal 3 3 6 3 2 2 6" xfId="54527"/>
    <cellStyle name="Normal 3 3 6 3 2 3" xfId="9090"/>
    <cellStyle name="Normal 3 3 6 3 2 3 2" xfId="28563"/>
    <cellStyle name="Normal 3 3 6 3 2 3 3" xfId="41543"/>
    <cellStyle name="Normal 3 3 6 3 2 3 4" xfId="57772"/>
    <cellStyle name="Normal 3 3 6 3 2 4" xfId="15583"/>
    <cellStyle name="Normal 3 3 6 3 2 4 2" xfId="51282"/>
    <cellStyle name="Normal 3 3 6 3 2 5" xfId="22073"/>
    <cellStyle name="Normal 3 3 6 3 2 6" xfId="35053"/>
    <cellStyle name="Normal 3 3 6 3 2 7" xfId="48036"/>
    <cellStyle name="Normal 3 3 6 3 3" xfId="4180"/>
    <cellStyle name="Normal 3 3 6 3 3 2" xfId="10712"/>
    <cellStyle name="Normal 3 3 6 3 3 2 2" xfId="30185"/>
    <cellStyle name="Normal 3 3 6 3 3 2 3" xfId="43165"/>
    <cellStyle name="Normal 3 3 6 3 3 2 4" xfId="59394"/>
    <cellStyle name="Normal 3 3 6 3 3 3" xfId="17205"/>
    <cellStyle name="Normal 3 3 6 3 3 4" xfId="23695"/>
    <cellStyle name="Normal 3 3 6 3 3 5" xfId="36675"/>
    <cellStyle name="Normal 3 3 6 3 3 6" xfId="52904"/>
    <cellStyle name="Normal 3 3 6 3 4" xfId="7467"/>
    <cellStyle name="Normal 3 3 6 3 4 2" xfId="26940"/>
    <cellStyle name="Normal 3 3 6 3 4 3" xfId="39920"/>
    <cellStyle name="Normal 3 3 6 3 4 4" xfId="56149"/>
    <cellStyle name="Normal 3 3 6 3 5" xfId="13960"/>
    <cellStyle name="Normal 3 3 6 3 5 2" xfId="49659"/>
    <cellStyle name="Normal 3 3 6 3 6" xfId="20450"/>
    <cellStyle name="Normal 3 3 6 3 7" xfId="33430"/>
    <cellStyle name="Normal 3 3 6 3 8" xfId="46413"/>
    <cellStyle name="Normal 3 3 6 4" xfId="2303"/>
    <cellStyle name="Normal 3 3 6 4 2" xfId="5548"/>
    <cellStyle name="Normal 3 3 6 4 2 2" xfId="12080"/>
    <cellStyle name="Normal 3 3 6 4 2 2 2" xfId="31553"/>
    <cellStyle name="Normal 3 3 6 4 2 2 3" xfId="44533"/>
    <cellStyle name="Normal 3 3 6 4 2 2 4" xfId="60762"/>
    <cellStyle name="Normal 3 3 6 4 2 3" xfId="18573"/>
    <cellStyle name="Normal 3 3 6 4 2 4" xfId="25063"/>
    <cellStyle name="Normal 3 3 6 4 2 5" xfId="38043"/>
    <cellStyle name="Normal 3 3 6 4 2 6" xfId="54272"/>
    <cellStyle name="Normal 3 3 6 4 3" xfId="8835"/>
    <cellStyle name="Normal 3 3 6 4 3 2" xfId="28308"/>
    <cellStyle name="Normal 3 3 6 4 3 3" xfId="41288"/>
    <cellStyle name="Normal 3 3 6 4 3 4" xfId="57517"/>
    <cellStyle name="Normal 3 3 6 4 4" xfId="15328"/>
    <cellStyle name="Normal 3 3 6 4 4 2" xfId="51027"/>
    <cellStyle name="Normal 3 3 6 4 5" xfId="21818"/>
    <cellStyle name="Normal 3 3 6 4 6" xfId="34798"/>
    <cellStyle name="Normal 3 3 6 4 7" xfId="47781"/>
    <cellStyle name="Normal 3 3 6 5" xfId="3925"/>
    <cellStyle name="Normal 3 3 6 5 2" xfId="10457"/>
    <cellStyle name="Normal 3 3 6 5 2 2" xfId="29930"/>
    <cellStyle name="Normal 3 3 6 5 2 3" xfId="42910"/>
    <cellStyle name="Normal 3 3 6 5 2 4" xfId="59139"/>
    <cellStyle name="Normal 3 3 6 5 3" xfId="16950"/>
    <cellStyle name="Normal 3 3 6 5 4" xfId="23440"/>
    <cellStyle name="Normal 3 3 6 5 5" xfId="36420"/>
    <cellStyle name="Normal 3 3 6 5 6" xfId="52649"/>
    <cellStyle name="Normal 3 3 6 6" xfId="7212"/>
    <cellStyle name="Normal 3 3 6 6 2" xfId="26685"/>
    <cellStyle name="Normal 3 3 6 6 3" xfId="39665"/>
    <cellStyle name="Normal 3 3 6 6 4" xfId="55894"/>
    <cellStyle name="Normal 3 3 6 7" xfId="13705"/>
    <cellStyle name="Normal 3 3 6 7 2" xfId="49404"/>
    <cellStyle name="Normal 3 3 6 8" xfId="20195"/>
    <cellStyle name="Normal 3 3 6 9" xfId="33175"/>
    <cellStyle name="Normal 3 3 7" xfId="405"/>
    <cellStyle name="Normal 3 3 7 10" xfId="45928"/>
    <cellStyle name="Normal 3 3 7 2" xfId="1574"/>
    <cellStyle name="Normal 3 3 7 2 2" xfId="3241"/>
    <cellStyle name="Normal 3 3 7 2 2 2" xfId="6486"/>
    <cellStyle name="Normal 3 3 7 2 2 2 2" xfId="13018"/>
    <cellStyle name="Normal 3 3 7 2 2 2 2 2" xfId="32491"/>
    <cellStyle name="Normal 3 3 7 2 2 2 2 3" xfId="45471"/>
    <cellStyle name="Normal 3 3 7 2 2 2 2 4" xfId="61700"/>
    <cellStyle name="Normal 3 3 7 2 2 2 3" xfId="19511"/>
    <cellStyle name="Normal 3 3 7 2 2 2 4" xfId="26001"/>
    <cellStyle name="Normal 3 3 7 2 2 2 5" xfId="38981"/>
    <cellStyle name="Normal 3 3 7 2 2 2 6" xfId="55210"/>
    <cellStyle name="Normal 3 3 7 2 2 3" xfId="9773"/>
    <cellStyle name="Normal 3 3 7 2 2 3 2" xfId="29246"/>
    <cellStyle name="Normal 3 3 7 2 2 3 3" xfId="42226"/>
    <cellStyle name="Normal 3 3 7 2 2 3 4" xfId="58455"/>
    <cellStyle name="Normal 3 3 7 2 2 4" xfId="16266"/>
    <cellStyle name="Normal 3 3 7 2 2 4 2" xfId="51965"/>
    <cellStyle name="Normal 3 3 7 2 2 5" xfId="22756"/>
    <cellStyle name="Normal 3 3 7 2 2 6" xfId="35736"/>
    <cellStyle name="Normal 3 3 7 2 2 7" xfId="48719"/>
    <cellStyle name="Normal 3 3 7 2 3" xfId="4863"/>
    <cellStyle name="Normal 3 3 7 2 3 2" xfId="11395"/>
    <cellStyle name="Normal 3 3 7 2 3 2 2" xfId="30868"/>
    <cellStyle name="Normal 3 3 7 2 3 2 3" xfId="43848"/>
    <cellStyle name="Normal 3 3 7 2 3 2 4" xfId="60077"/>
    <cellStyle name="Normal 3 3 7 2 3 3" xfId="17888"/>
    <cellStyle name="Normal 3 3 7 2 3 4" xfId="24378"/>
    <cellStyle name="Normal 3 3 7 2 3 5" xfId="37358"/>
    <cellStyle name="Normal 3 3 7 2 3 6" xfId="53587"/>
    <cellStyle name="Normal 3 3 7 2 4" xfId="8150"/>
    <cellStyle name="Normal 3 3 7 2 4 2" xfId="27623"/>
    <cellStyle name="Normal 3 3 7 2 4 3" xfId="40603"/>
    <cellStyle name="Normal 3 3 7 2 4 4" xfId="56832"/>
    <cellStyle name="Normal 3 3 7 2 5" xfId="14643"/>
    <cellStyle name="Normal 3 3 7 2 5 2" xfId="50342"/>
    <cellStyle name="Normal 3 3 7 2 6" xfId="21133"/>
    <cellStyle name="Normal 3 3 7 2 7" xfId="34113"/>
    <cellStyle name="Normal 3 3 7 2 8" xfId="47096"/>
    <cellStyle name="Normal 3 3 7 3" xfId="1111"/>
    <cellStyle name="Normal 3 3 7 3 2" xfId="2778"/>
    <cellStyle name="Normal 3 3 7 3 2 2" xfId="6023"/>
    <cellStyle name="Normal 3 3 7 3 2 2 2" xfId="12555"/>
    <cellStyle name="Normal 3 3 7 3 2 2 2 2" xfId="32028"/>
    <cellStyle name="Normal 3 3 7 3 2 2 2 3" xfId="45008"/>
    <cellStyle name="Normal 3 3 7 3 2 2 2 4" xfId="61237"/>
    <cellStyle name="Normal 3 3 7 3 2 2 3" xfId="19048"/>
    <cellStyle name="Normal 3 3 7 3 2 2 4" xfId="25538"/>
    <cellStyle name="Normal 3 3 7 3 2 2 5" xfId="38518"/>
    <cellStyle name="Normal 3 3 7 3 2 2 6" xfId="54747"/>
    <cellStyle name="Normal 3 3 7 3 2 3" xfId="9310"/>
    <cellStyle name="Normal 3 3 7 3 2 3 2" xfId="28783"/>
    <cellStyle name="Normal 3 3 7 3 2 3 3" xfId="41763"/>
    <cellStyle name="Normal 3 3 7 3 2 3 4" xfId="57992"/>
    <cellStyle name="Normal 3 3 7 3 2 4" xfId="15803"/>
    <cellStyle name="Normal 3 3 7 3 2 4 2" xfId="51502"/>
    <cellStyle name="Normal 3 3 7 3 2 5" xfId="22293"/>
    <cellStyle name="Normal 3 3 7 3 2 6" xfId="35273"/>
    <cellStyle name="Normal 3 3 7 3 2 7" xfId="48256"/>
    <cellStyle name="Normal 3 3 7 3 3" xfId="4400"/>
    <cellStyle name="Normal 3 3 7 3 3 2" xfId="10932"/>
    <cellStyle name="Normal 3 3 7 3 3 2 2" xfId="30405"/>
    <cellStyle name="Normal 3 3 7 3 3 2 3" xfId="43385"/>
    <cellStyle name="Normal 3 3 7 3 3 2 4" xfId="59614"/>
    <cellStyle name="Normal 3 3 7 3 3 3" xfId="17425"/>
    <cellStyle name="Normal 3 3 7 3 3 4" xfId="23915"/>
    <cellStyle name="Normal 3 3 7 3 3 5" xfId="36895"/>
    <cellStyle name="Normal 3 3 7 3 3 6" xfId="53124"/>
    <cellStyle name="Normal 3 3 7 3 4" xfId="7687"/>
    <cellStyle name="Normal 3 3 7 3 4 2" xfId="27160"/>
    <cellStyle name="Normal 3 3 7 3 4 3" xfId="40140"/>
    <cellStyle name="Normal 3 3 7 3 4 4" xfId="56369"/>
    <cellStyle name="Normal 3 3 7 3 5" xfId="14180"/>
    <cellStyle name="Normal 3 3 7 3 5 2" xfId="49879"/>
    <cellStyle name="Normal 3 3 7 3 6" xfId="20670"/>
    <cellStyle name="Normal 3 3 7 3 7" xfId="33650"/>
    <cellStyle name="Normal 3 3 7 3 8" xfId="46633"/>
    <cellStyle name="Normal 3 3 7 4" xfId="2073"/>
    <cellStyle name="Normal 3 3 7 4 2" xfId="5318"/>
    <cellStyle name="Normal 3 3 7 4 2 2" xfId="11850"/>
    <cellStyle name="Normal 3 3 7 4 2 2 2" xfId="31323"/>
    <cellStyle name="Normal 3 3 7 4 2 2 3" xfId="44303"/>
    <cellStyle name="Normal 3 3 7 4 2 2 4" xfId="60532"/>
    <cellStyle name="Normal 3 3 7 4 2 3" xfId="18343"/>
    <cellStyle name="Normal 3 3 7 4 2 4" xfId="24833"/>
    <cellStyle name="Normal 3 3 7 4 2 5" xfId="37813"/>
    <cellStyle name="Normal 3 3 7 4 2 6" xfId="54042"/>
    <cellStyle name="Normal 3 3 7 4 3" xfId="8605"/>
    <cellStyle name="Normal 3 3 7 4 3 2" xfId="28078"/>
    <cellStyle name="Normal 3 3 7 4 3 3" xfId="41058"/>
    <cellStyle name="Normal 3 3 7 4 3 4" xfId="57287"/>
    <cellStyle name="Normal 3 3 7 4 4" xfId="15098"/>
    <cellStyle name="Normal 3 3 7 4 4 2" xfId="50797"/>
    <cellStyle name="Normal 3 3 7 4 5" xfId="21588"/>
    <cellStyle name="Normal 3 3 7 4 6" xfId="34568"/>
    <cellStyle name="Normal 3 3 7 4 7" xfId="47551"/>
    <cellStyle name="Normal 3 3 7 5" xfId="3695"/>
    <cellStyle name="Normal 3 3 7 5 2" xfId="10227"/>
    <cellStyle name="Normal 3 3 7 5 2 2" xfId="29700"/>
    <cellStyle name="Normal 3 3 7 5 2 3" xfId="42680"/>
    <cellStyle name="Normal 3 3 7 5 2 4" xfId="58909"/>
    <cellStyle name="Normal 3 3 7 5 3" xfId="16720"/>
    <cellStyle name="Normal 3 3 7 5 4" xfId="23210"/>
    <cellStyle name="Normal 3 3 7 5 5" xfId="36190"/>
    <cellStyle name="Normal 3 3 7 5 6" xfId="52419"/>
    <cellStyle name="Normal 3 3 7 6" xfId="6982"/>
    <cellStyle name="Normal 3 3 7 6 2" xfId="26455"/>
    <cellStyle name="Normal 3 3 7 6 3" xfId="39435"/>
    <cellStyle name="Normal 3 3 7 6 4" xfId="55664"/>
    <cellStyle name="Normal 3 3 7 7" xfId="13475"/>
    <cellStyle name="Normal 3 3 7 7 2" xfId="49174"/>
    <cellStyle name="Normal 3 3 7 8" xfId="19965"/>
    <cellStyle name="Normal 3 3 7 9" xfId="32945"/>
    <cellStyle name="Normal 3 3 8" xfId="1331"/>
    <cellStyle name="Normal 3 3 8 2" xfId="2998"/>
    <cellStyle name="Normal 3 3 8 2 2" xfId="6243"/>
    <cellStyle name="Normal 3 3 8 2 2 2" xfId="12775"/>
    <cellStyle name="Normal 3 3 8 2 2 2 2" xfId="32248"/>
    <cellStyle name="Normal 3 3 8 2 2 2 3" xfId="45228"/>
    <cellStyle name="Normal 3 3 8 2 2 2 4" xfId="61457"/>
    <cellStyle name="Normal 3 3 8 2 2 3" xfId="19268"/>
    <cellStyle name="Normal 3 3 8 2 2 4" xfId="25758"/>
    <cellStyle name="Normal 3 3 8 2 2 5" xfId="38738"/>
    <cellStyle name="Normal 3 3 8 2 2 6" xfId="54967"/>
    <cellStyle name="Normal 3 3 8 2 3" xfId="9530"/>
    <cellStyle name="Normal 3 3 8 2 3 2" xfId="29003"/>
    <cellStyle name="Normal 3 3 8 2 3 3" xfId="41983"/>
    <cellStyle name="Normal 3 3 8 2 3 4" xfId="58212"/>
    <cellStyle name="Normal 3 3 8 2 4" xfId="16023"/>
    <cellStyle name="Normal 3 3 8 2 4 2" xfId="51722"/>
    <cellStyle name="Normal 3 3 8 2 5" xfId="22513"/>
    <cellStyle name="Normal 3 3 8 2 6" xfId="35493"/>
    <cellStyle name="Normal 3 3 8 2 7" xfId="48476"/>
    <cellStyle name="Normal 3 3 8 3" xfId="4620"/>
    <cellStyle name="Normal 3 3 8 3 2" xfId="11152"/>
    <cellStyle name="Normal 3 3 8 3 2 2" xfId="30625"/>
    <cellStyle name="Normal 3 3 8 3 2 3" xfId="43605"/>
    <cellStyle name="Normal 3 3 8 3 2 4" xfId="59834"/>
    <cellStyle name="Normal 3 3 8 3 3" xfId="17645"/>
    <cellStyle name="Normal 3 3 8 3 4" xfId="24135"/>
    <cellStyle name="Normal 3 3 8 3 5" xfId="37115"/>
    <cellStyle name="Normal 3 3 8 3 6" xfId="53344"/>
    <cellStyle name="Normal 3 3 8 4" xfId="7907"/>
    <cellStyle name="Normal 3 3 8 4 2" xfId="27380"/>
    <cellStyle name="Normal 3 3 8 4 3" xfId="40360"/>
    <cellStyle name="Normal 3 3 8 4 4" xfId="56589"/>
    <cellStyle name="Normal 3 3 8 5" xfId="14400"/>
    <cellStyle name="Normal 3 3 8 5 2" xfId="50099"/>
    <cellStyle name="Normal 3 3 8 6" xfId="20890"/>
    <cellStyle name="Normal 3 3 8 7" xfId="33870"/>
    <cellStyle name="Normal 3 3 8 8" xfId="46853"/>
    <cellStyle name="Normal 3 3 9" xfId="867"/>
    <cellStyle name="Normal 3 3 9 2" xfId="2535"/>
    <cellStyle name="Normal 3 3 9 2 2" xfId="5780"/>
    <cellStyle name="Normal 3 3 9 2 2 2" xfId="12312"/>
    <cellStyle name="Normal 3 3 9 2 2 2 2" xfId="31785"/>
    <cellStyle name="Normal 3 3 9 2 2 2 3" xfId="44765"/>
    <cellStyle name="Normal 3 3 9 2 2 2 4" xfId="60994"/>
    <cellStyle name="Normal 3 3 9 2 2 3" xfId="18805"/>
    <cellStyle name="Normal 3 3 9 2 2 4" xfId="25295"/>
    <cellStyle name="Normal 3 3 9 2 2 5" xfId="38275"/>
    <cellStyle name="Normal 3 3 9 2 2 6" xfId="54504"/>
    <cellStyle name="Normal 3 3 9 2 3" xfId="9067"/>
    <cellStyle name="Normal 3 3 9 2 3 2" xfId="28540"/>
    <cellStyle name="Normal 3 3 9 2 3 3" xfId="41520"/>
    <cellStyle name="Normal 3 3 9 2 3 4" xfId="57749"/>
    <cellStyle name="Normal 3 3 9 2 4" xfId="15560"/>
    <cellStyle name="Normal 3 3 9 2 4 2" xfId="51259"/>
    <cellStyle name="Normal 3 3 9 2 5" xfId="22050"/>
    <cellStyle name="Normal 3 3 9 2 6" xfId="35030"/>
    <cellStyle name="Normal 3 3 9 2 7" xfId="48013"/>
    <cellStyle name="Normal 3 3 9 3" xfId="4157"/>
    <cellStyle name="Normal 3 3 9 3 2" xfId="10689"/>
    <cellStyle name="Normal 3 3 9 3 2 2" xfId="30162"/>
    <cellStyle name="Normal 3 3 9 3 2 3" xfId="43142"/>
    <cellStyle name="Normal 3 3 9 3 2 4" xfId="59371"/>
    <cellStyle name="Normal 3 3 9 3 3" xfId="17182"/>
    <cellStyle name="Normal 3 3 9 3 4" xfId="23672"/>
    <cellStyle name="Normal 3 3 9 3 5" xfId="36652"/>
    <cellStyle name="Normal 3 3 9 3 6" xfId="52881"/>
    <cellStyle name="Normal 3 3 9 4" xfId="7444"/>
    <cellStyle name="Normal 3 3 9 4 2" xfId="26917"/>
    <cellStyle name="Normal 3 3 9 4 3" xfId="39897"/>
    <cellStyle name="Normal 3 3 9 4 4" xfId="56126"/>
    <cellStyle name="Normal 3 3 9 5" xfId="13937"/>
    <cellStyle name="Normal 3 3 9 5 2" xfId="49636"/>
    <cellStyle name="Normal 3 3 9 6" xfId="20427"/>
    <cellStyle name="Normal 3 3 9 7" xfId="33407"/>
    <cellStyle name="Normal 3 3 9 8" xfId="46390"/>
    <cellStyle name="Normal 3 4" xfId="171"/>
    <cellStyle name="Normal 3 4 10" xfId="1845"/>
    <cellStyle name="Normal 3 4 10 2" xfId="5091"/>
    <cellStyle name="Normal 3 4 10 2 2" xfId="11623"/>
    <cellStyle name="Normal 3 4 10 2 2 2" xfId="31096"/>
    <cellStyle name="Normal 3 4 10 2 2 3" xfId="44076"/>
    <cellStyle name="Normal 3 4 10 2 2 4" xfId="60305"/>
    <cellStyle name="Normal 3 4 10 2 3" xfId="18116"/>
    <cellStyle name="Normal 3 4 10 2 4" xfId="24606"/>
    <cellStyle name="Normal 3 4 10 2 5" xfId="37586"/>
    <cellStyle name="Normal 3 4 10 2 6" xfId="53815"/>
    <cellStyle name="Normal 3 4 10 3" xfId="8378"/>
    <cellStyle name="Normal 3 4 10 3 2" xfId="27851"/>
    <cellStyle name="Normal 3 4 10 3 3" xfId="40831"/>
    <cellStyle name="Normal 3 4 10 3 4" xfId="57060"/>
    <cellStyle name="Normal 3 4 10 4" xfId="14871"/>
    <cellStyle name="Normal 3 4 10 4 2" xfId="50570"/>
    <cellStyle name="Normal 3 4 10 5" xfId="21361"/>
    <cellStyle name="Normal 3 4 10 6" xfId="34341"/>
    <cellStyle name="Normal 3 4 10 7" xfId="47324"/>
    <cellStyle name="Normal 3 4 11" xfId="3467"/>
    <cellStyle name="Normal 3 4 11 2" xfId="9999"/>
    <cellStyle name="Normal 3 4 11 2 2" xfId="29472"/>
    <cellStyle name="Normal 3 4 11 2 3" xfId="42452"/>
    <cellStyle name="Normal 3 4 11 2 4" xfId="58681"/>
    <cellStyle name="Normal 3 4 11 3" xfId="16492"/>
    <cellStyle name="Normal 3 4 11 4" xfId="22982"/>
    <cellStyle name="Normal 3 4 11 5" xfId="35962"/>
    <cellStyle name="Normal 3 4 11 6" xfId="52191"/>
    <cellStyle name="Normal 3 4 12" xfId="6754"/>
    <cellStyle name="Normal 3 4 12 2" xfId="26227"/>
    <cellStyle name="Normal 3 4 12 3" xfId="39207"/>
    <cellStyle name="Normal 3 4 12 4" xfId="55436"/>
    <cellStyle name="Normal 3 4 13" xfId="13247"/>
    <cellStyle name="Normal 3 4 13 2" xfId="48946"/>
    <cellStyle name="Normal 3 4 14" xfId="19737"/>
    <cellStyle name="Normal 3 4 15" xfId="32717"/>
    <cellStyle name="Normal 3 4 16" xfId="45700"/>
    <cellStyle name="Normal 3 4 17" xfId="62071"/>
    <cellStyle name="Normal 3 4 2" xfId="194"/>
    <cellStyle name="Normal 3 4 2 10" xfId="6776"/>
    <cellStyle name="Normal 3 4 2 10 2" xfId="26249"/>
    <cellStyle name="Normal 3 4 2 10 3" xfId="39229"/>
    <cellStyle name="Normal 3 4 2 10 4" xfId="55458"/>
    <cellStyle name="Normal 3 4 2 11" xfId="13269"/>
    <cellStyle name="Normal 3 4 2 11 2" xfId="48968"/>
    <cellStyle name="Normal 3 4 2 12" xfId="19759"/>
    <cellStyle name="Normal 3 4 2 13" xfId="32739"/>
    <cellStyle name="Normal 3 4 2 14" xfId="45722"/>
    <cellStyle name="Normal 3 4 2 2" xfId="283"/>
    <cellStyle name="Normal 3 4 2 2 10" xfId="19847"/>
    <cellStyle name="Normal 3 4 2 2 11" xfId="32827"/>
    <cellStyle name="Normal 3 4 2 2 12" xfId="45810"/>
    <cellStyle name="Normal 3 4 2 2 2" xfId="371"/>
    <cellStyle name="Normal 3 4 2 2 2 10" xfId="32915"/>
    <cellStyle name="Normal 3 4 2 2 2 11" xfId="45898"/>
    <cellStyle name="Normal 3 4 2 2 2 2" xfId="835"/>
    <cellStyle name="Normal 3 4 2 2 2 2 10" xfId="46358"/>
    <cellStyle name="Normal 3 4 2 2 2 2 2" xfId="1774"/>
    <cellStyle name="Normal 3 4 2 2 2 2 2 2" xfId="3441"/>
    <cellStyle name="Normal 3 4 2 2 2 2 2 2 2" xfId="6686"/>
    <cellStyle name="Normal 3 4 2 2 2 2 2 2 2 2" xfId="13218"/>
    <cellStyle name="Normal 3 4 2 2 2 2 2 2 2 2 2" xfId="32691"/>
    <cellStyle name="Normal 3 4 2 2 2 2 2 2 2 2 3" xfId="45671"/>
    <cellStyle name="Normal 3 4 2 2 2 2 2 2 2 2 4" xfId="61900"/>
    <cellStyle name="Normal 3 4 2 2 2 2 2 2 2 3" xfId="19711"/>
    <cellStyle name="Normal 3 4 2 2 2 2 2 2 2 4" xfId="26201"/>
    <cellStyle name="Normal 3 4 2 2 2 2 2 2 2 5" xfId="39181"/>
    <cellStyle name="Normal 3 4 2 2 2 2 2 2 2 6" xfId="55410"/>
    <cellStyle name="Normal 3 4 2 2 2 2 2 2 3" xfId="9973"/>
    <cellStyle name="Normal 3 4 2 2 2 2 2 2 3 2" xfId="29446"/>
    <cellStyle name="Normal 3 4 2 2 2 2 2 2 3 3" xfId="42426"/>
    <cellStyle name="Normal 3 4 2 2 2 2 2 2 3 4" xfId="58655"/>
    <cellStyle name="Normal 3 4 2 2 2 2 2 2 4" xfId="16466"/>
    <cellStyle name="Normal 3 4 2 2 2 2 2 2 4 2" xfId="52165"/>
    <cellStyle name="Normal 3 4 2 2 2 2 2 2 5" xfId="22956"/>
    <cellStyle name="Normal 3 4 2 2 2 2 2 2 6" xfId="35936"/>
    <cellStyle name="Normal 3 4 2 2 2 2 2 2 7" xfId="48919"/>
    <cellStyle name="Normal 3 4 2 2 2 2 2 3" xfId="5063"/>
    <cellStyle name="Normal 3 4 2 2 2 2 2 3 2" xfId="11595"/>
    <cellStyle name="Normal 3 4 2 2 2 2 2 3 2 2" xfId="31068"/>
    <cellStyle name="Normal 3 4 2 2 2 2 2 3 2 3" xfId="44048"/>
    <cellStyle name="Normal 3 4 2 2 2 2 2 3 2 4" xfId="60277"/>
    <cellStyle name="Normal 3 4 2 2 2 2 2 3 3" xfId="18088"/>
    <cellStyle name="Normal 3 4 2 2 2 2 2 3 4" xfId="24578"/>
    <cellStyle name="Normal 3 4 2 2 2 2 2 3 5" xfId="37558"/>
    <cellStyle name="Normal 3 4 2 2 2 2 2 3 6" xfId="53787"/>
    <cellStyle name="Normal 3 4 2 2 2 2 2 4" xfId="8350"/>
    <cellStyle name="Normal 3 4 2 2 2 2 2 4 2" xfId="27823"/>
    <cellStyle name="Normal 3 4 2 2 2 2 2 4 3" xfId="40803"/>
    <cellStyle name="Normal 3 4 2 2 2 2 2 4 4" xfId="57032"/>
    <cellStyle name="Normal 3 4 2 2 2 2 2 5" xfId="14843"/>
    <cellStyle name="Normal 3 4 2 2 2 2 2 5 2" xfId="50542"/>
    <cellStyle name="Normal 3 4 2 2 2 2 2 6" xfId="21333"/>
    <cellStyle name="Normal 3 4 2 2 2 2 2 7" xfId="34313"/>
    <cellStyle name="Normal 3 4 2 2 2 2 2 8" xfId="47296"/>
    <cellStyle name="Normal 3 4 2 2 2 2 3" xfId="1311"/>
    <cellStyle name="Normal 3 4 2 2 2 2 3 2" xfId="2978"/>
    <cellStyle name="Normal 3 4 2 2 2 2 3 2 2" xfId="6223"/>
    <cellStyle name="Normal 3 4 2 2 2 2 3 2 2 2" xfId="12755"/>
    <cellStyle name="Normal 3 4 2 2 2 2 3 2 2 2 2" xfId="32228"/>
    <cellStyle name="Normal 3 4 2 2 2 2 3 2 2 2 3" xfId="45208"/>
    <cellStyle name="Normal 3 4 2 2 2 2 3 2 2 2 4" xfId="61437"/>
    <cellStyle name="Normal 3 4 2 2 2 2 3 2 2 3" xfId="19248"/>
    <cellStyle name="Normal 3 4 2 2 2 2 3 2 2 4" xfId="25738"/>
    <cellStyle name="Normal 3 4 2 2 2 2 3 2 2 5" xfId="38718"/>
    <cellStyle name="Normal 3 4 2 2 2 2 3 2 2 6" xfId="54947"/>
    <cellStyle name="Normal 3 4 2 2 2 2 3 2 3" xfId="9510"/>
    <cellStyle name="Normal 3 4 2 2 2 2 3 2 3 2" xfId="28983"/>
    <cellStyle name="Normal 3 4 2 2 2 2 3 2 3 3" xfId="41963"/>
    <cellStyle name="Normal 3 4 2 2 2 2 3 2 3 4" xfId="58192"/>
    <cellStyle name="Normal 3 4 2 2 2 2 3 2 4" xfId="16003"/>
    <cellStyle name="Normal 3 4 2 2 2 2 3 2 4 2" xfId="51702"/>
    <cellStyle name="Normal 3 4 2 2 2 2 3 2 5" xfId="22493"/>
    <cellStyle name="Normal 3 4 2 2 2 2 3 2 6" xfId="35473"/>
    <cellStyle name="Normal 3 4 2 2 2 2 3 2 7" xfId="48456"/>
    <cellStyle name="Normal 3 4 2 2 2 2 3 3" xfId="4600"/>
    <cellStyle name="Normal 3 4 2 2 2 2 3 3 2" xfId="11132"/>
    <cellStyle name="Normal 3 4 2 2 2 2 3 3 2 2" xfId="30605"/>
    <cellStyle name="Normal 3 4 2 2 2 2 3 3 2 3" xfId="43585"/>
    <cellStyle name="Normal 3 4 2 2 2 2 3 3 2 4" xfId="59814"/>
    <cellStyle name="Normal 3 4 2 2 2 2 3 3 3" xfId="17625"/>
    <cellStyle name="Normal 3 4 2 2 2 2 3 3 4" xfId="24115"/>
    <cellStyle name="Normal 3 4 2 2 2 2 3 3 5" xfId="37095"/>
    <cellStyle name="Normal 3 4 2 2 2 2 3 3 6" xfId="53324"/>
    <cellStyle name="Normal 3 4 2 2 2 2 3 4" xfId="7887"/>
    <cellStyle name="Normal 3 4 2 2 2 2 3 4 2" xfId="27360"/>
    <cellStyle name="Normal 3 4 2 2 2 2 3 4 3" xfId="40340"/>
    <cellStyle name="Normal 3 4 2 2 2 2 3 4 4" xfId="56569"/>
    <cellStyle name="Normal 3 4 2 2 2 2 3 5" xfId="14380"/>
    <cellStyle name="Normal 3 4 2 2 2 2 3 5 2" xfId="50079"/>
    <cellStyle name="Normal 3 4 2 2 2 2 3 6" xfId="20870"/>
    <cellStyle name="Normal 3 4 2 2 2 2 3 7" xfId="33850"/>
    <cellStyle name="Normal 3 4 2 2 2 2 3 8" xfId="46833"/>
    <cellStyle name="Normal 3 4 2 2 2 2 4" xfId="2503"/>
    <cellStyle name="Normal 3 4 2 2 2 2 4 2" xfId="5748"/>
    <cellStyle name="Normal 3 4 2 2 2 2 4 2 2" xfId="12280"/>
    <cellStyle name="Normal 3 4 2 2 2 2 4 2 2 2" xfId="31753"/>
    <cellStyle name="Normal 3 4 2 2 2 2 4 2 2 3" xfId="44733"/>
    <cellStyle name="Normal 3 4 2 2 2 2 4 2 2 4" xfId="60962"/>
    <cellStyle name="Normal 3 4 2 2 2 2 4 2 3" xfId="18773"/>
    <cellStyle name="Normal 3 4 2 2 2 2 4 2 4" xfId="25263"/>
    <cellStyle name="Normal 3 4 2 2 2 2 4 2 5" xfId="38243"/>
    <cellStyle name="Normal 3 4 2 2 2 2 4 2 6" xfId="54472"/>
    <cellStyle name="Normal 3 4 2 2 2 2 4 3" xfId="9035"/>
    <cellStyle name="Normal 3 4 2 2 2 2 4 3 2" xfId="28508"/>
    <cellStyle name="Normal 3 4 2 2 2 2 4 3 3" xfId="41488"/>
    <cellStyle name="Normal 3 4 2 2 2 2 4 3 4" xfId="57717"/>
    <cellStyle name="Normal 3 4 2 2 2 2 4 4" xfId="15528"/>
    <cellStyle name="Normal 3 4 2 2 2 2 4 4 2" xfId="51227"/>
    <cellStyle name="Normal 3 4 2 2 2 2 4 5" xfId="22018"/>
    <cellStyle name="Normal 3 4 2 2 2 2 4 6" xfId="34998"/>
    <cellStyle name="Normal 3 4 2 2 2 2 4 7" xfId="47981"/>
    <cellStyle name="Normal 3 4 2 2 2 2 5" xfId="4125"/>
    <cellStyle name="Normal 3 4 2 2 2 2 5 2" xfId="10657"/>
    <cellStyle name="Normal 3 4 2 2 2 2 5 2 2" xfId="30130"/>
    <cellStyle name="Normal 3 4 2 2 2 2 5 2 3" xfId="43110"/>
    <cellStyle name="Normal 3 4 2 2 2 2 5 2 4" xfId="59339"/>
    <cellStyle name="Normal 3 4 2 2 2 2 5 3" xfId="17150"/>
    <cellStyle name="Normal 3 4 2 2 2 2 5 4" xfId="23640"/>
    <cellStyle name="Normal 3 4 2 2 2 2 5 5" xfId="36620"/>
    <cellStyle name="Normal 3 4 2 2 2 2 5 6" xfId="52849"/>
    <cellStyle name="Normal 3 4 2 2 2 2 6" xfId="7412"/>
    <cellStyle name="Normal 3 4 2 2 2 2 6 2" xfId="26885"/>
    <cellStyle name="Normal 3 4 2 2 2 2 6 3" xfId="39865"/>
    <cellStyle name="Normal 3 4 2 2 2 2 6 4" xfId="56094"/>
    <cellStyle name="Normal 3 4 2 2 2 2 7" xfId="13905"/>
    <cellStyle name="Normal 3 4 2 2 2 2 7 2" xfId="49604"/>
    <cellStyle name="Normal 3 4 2 2 2 2 8" xfId="20395"/>
    <cellStyle name="Normal 3 4 2 2 2 2 9" xfId="33375"/>
    <cellStyle name="Normal 3 4 2 2 2 3" xfId="605"/>
    <cellStyle name="Normal 3 4 2 2 2 3 2" xfId="1554"/>
    <cellStyle name="Normal 3 4 2 2 2 3 2 2" xfId="3221"/>
    <cellStyle name="Normal 3 4 2 2 2 3 2 2 2" xfId="6466"/>
    <cellStyle name="Normal 3 4 2 2 2 3 2 2 2 2" xfId="12998"/>
    <cellStyle name="Normal 3 4 2 2 2 3 2 2 2 2 2" xfId="32471"/>
    <cellStyle name="Normal 3 4 2 2 2 3 2 2 2 2 3" xfId="45451"/>
    <cellStyle name="Normal 3 4 2 2 2 3 2 2 2 2 4" xfId="61680"/>
    <cellStyle name="Normal 3 4 2 2 2 3 2 2 2 3" xfId="19491"/>
    <cellStyle name="Normal 3 4 2 2 2 3 2 2 2 4" xfId="25981"/>
    <cellStyle name="Normal 3 4 2 2 2 3 2 2 2 5" xfId="38961"/>
    <cellStyle name="Normal 3 4 2 2 2 3 2 2 2 6" xfId="55190"/>
    <cellStyle name="Normal 3 4 2 2 2 3 2 2 3" xfId="9753"/>
    <cellStyle name="Normal 3 4 2 2 2 3 2 2 3 2" xfId="29226"/>
    <cellStyle name="Normal 3 4 2 2 2 3 2 2 3 3" xfId="42206"/>
    <cellStyle name="Normal 3 4 2 2 2 3 2 2 3 4" xfId="58435"/>
    <cellStyle name="Normal 3 4 2 2 2 3 2 2 4" xfId="16246"/>
    <cellStyle name="Normal 3 4 2 2 2 3 2 2 4 2" xfId="51945"/>
    <cellStyle name="Normal 3 4 2 2 2 3 2 2 5" xfId="22736"/>
    <cellStyle name="Normal 3 4 2 2 2 3 2 2 6" xfId="35716"/>
    <cellStyle name="Normal 3 4 2 2 2 3 2 2 7" xfId="48699"/>
    <cellStyle name="Normal 3 4 2 2 2 3 2 3" xfId="4843"/>
    <cellStyle name="Normal 3 4 2 2 2 3 2 3 2" xfId="11375"/>
    <cellStyle name="Normal 3 4 2 2 2 3 2 3 2 2" xfId="30848"/>
    <cellStyle name="Normal 3 4 2 2 2 3 2 3 2 3" xfId="43828"/>
    <cellStyle name="Normal 3 4 2 2 2 3 2 3 2 4" xfId="60057"/>
    <cellStyle name="Normal 3 4 2 2 2 3 2 3 3" xfId="17868"/>
    <cellStyle name="Normal 3 4 2 2 2 3 2 3 4" xfId="24358"/>
    <cellStyle name="Normal 3 4 2 2 2 3 2 3 5" xfId="37338"/>
    <cellStyle name="Normal 3 4 2 2 2 3 2 3 6" xfId="53567"/>
    <cellStyle name="Normal 3 4 2 2 2 3 2 4" xfId="8130"/>
    <cellStyle name="Normal 3 4 2 2 2 3 2 4 2" xfId="27603"/>
    <cellStyle name="Normal 3 4 2 2 2 3 2 4 3" xfId="40583"/>
    <cellStyle name="Normal 3 4 2 2 2 3 2 4 4" xfId="56812"/>
    <cellStyle name="Normal 3 4 2 2 2 3 2 5" xfId="14623"/>
    <cellStyle name="Normal 3 4 2 2 2 3 2 5 2" xfId="50322"/>
    <cellStyle name="Normal 3 4 2 2 2 3 2 6" xfId="21113"/>
    <cellStyle name="Normal 3 4 2 2 2 3 2 7" xfId="34093"/>
    <cellStyle name="Normal 3 4 2 2 2 3 2 8" xfId="47076"/>
    <cellStyle name="Normal 3 4 2 2 2 3 3" xfId="2273"/>
    <cellStyle name="Normal 3 4 2 2 2 3 3 2" xfId="5518"/>
    <cellStyle name="Normal 3 4 2 2 2 3 3 2 2" xfId="12050"/>
    <cellStyle name="Normal 3 4 2 2 2 3 3 2 2 2" xfId="31523"/>
    <cellStyle name="Normal 3 4 2 2 2 3 3 2 2 3" xfId="44503"/>
    <cellStyle name="Normal 3 4 2 2 2 3 3 2 2 4" xfId="60732"/>
    <cellStyle name="Normal 3 4 2 2 2 3 3 2 3" xfId="18543"/>
    <cellStyle name="Normal 3 4 2 2 2 3 3 2 4" xfId="25033"/>
    <cellStyle name="Normal 3 4 2 2 2 3 3 2 5" xfId="38013"/>
    <cellStyle name="Normal 3 4 2 2 2 3 3 2 6" xfId="54242"/>
    <cellStyle name="Normal 3 4 2 2 2 3 3 3" xfId="8805"/>
    <cellStyle name="Normal 3 4 2 2 2 3 3 3 2" xfId="28278"/>
    <cellStyle name="Normal 3 4 2 2 2 3 3 3 3" xfId="41258"/>
    <cellStyle name="Normal 3 4 2 2 2 3 3 3 4" xfId="57487"/>
    <cellStyle name="Normal 3 4 2 2 2 3 3 4" xfId="15298"/>
    <cellStyle name="Normal 3 4 2 2 2 3 3 4 2" xfId="50997"/>
    <cellStyle name="Normal 3 4 2 2 2 3 3 5" xfId="21788"/>
    <cellStyle name="Normal 3 4 2 2 2 3 3 6" xfId="34768"/>
    <cellStyle name="Normal 3 4 2 2 2 3 3 7" xfId="47751"/>
    <cellStyle name="Normal 3 4 2 2 2 3 4" xfId="3895"/>
    <cellStyle name="Normal 3 4 2 2 2 3 4 2" xfId="10427"/>
    <cellStyle name="Normal 3 4 2 2 2 3 4 2 2" xfId="29900"/>
    <cellStyle name="Normal 3 4 2 2 2 3 4 2 3" xfId="42880"/>
    <cellStyle name="Normal 3 4 2 2 2 3 4 2 4" xfId="59109"/>
    <cellStyle name="Normal 3 4 2 2 2 3 4 3" xfId="16920"/>
    <cellStyle name="Normal 3 4 2 2 2 3 4 4" xfId="23410"/>
    <cellStyle name="Normal 3 4 2 2 2 3 4 5" xfId="36390"/>
    <cellStyle name="Normal 3 4 2 2 2 3 4 6" xfId="52619"/>
    <cellStyle name="Normal 3 4 2 2 2 3 5" xfId="7182"/>
    <cellStyle name="Normal 3 4 2 2 2 3 5 2" xfId="26655"/>
    <cellStyle name="Normal 3 4 2 2 2 3 5 3" xfId="39635"/>
    <cellStyle name="Normal 3 4 2 2 2 3 5 4" xfId="55864"/>
    <cellStyle name="Normal 3 4 2 2 2 3 6" xfId="13675"/>
    <cellStyle name="Normal 3 4 2 2 2 3 6 2" xfId="49374"/>
    <cellStyle name="Normal 3 4 2 2 2 3 7" xfId="20165"/>
    <cellStyle name="Normal 3 4 2 2 2 3 8" xfId="33145"/>
    <cellStyle name="Normal 3 4 2 2 2 3 9" xfId="46128"/>
    <cellStyle name="Normal 3 4 2 2 2 4" xfId="1091"/>
    <cellStyle name="Normal 3 4 2 2 2 4 2" xfId="2758"/>
    <cellStyle name="Normal 3 4 2 2 2 4 2 2" xfId="6003"/>
    <cellStyle name="Normal 3 4 2 2 2 4 2 2 2" xfId="12535"/>
    <cellStyle name="Normal 3 4 2 2 2 4 2 2 2 2" xfId="32008"/>
    <cellStyle name="Normal 3 4 2 2 2 4 2 2 2 3" xfId="44988"/>
    <cellStyle name="Normal 3 4 2 2 2 4 2 2 2 4" xfId="61217"/>
    <cellStyle name="Normal 3 4 2 2 2 4 2 2 3" xfId="19028"/>
    <cellStyle name="Normal 3 4 2 2 2 4 2 2 4" xfId="25518"/>
    <cellStyle name="Normal 3 4 2 2 2 4 2 2 5" xfId="38498"/>
    <cellStyle name="Normal 3 4 2 2 2 4 2 2 6" xfId="54727"/>
    <cellStyle name="Normal 3 4 2 2 2 4 2 3" xfId="9290"/>
    <cellStyle name="Normal 3 4 2 2 2 4 2 3 2" xfId="28763"/>
    <cellStyle name="Normal 3 4 2 2 2 4 2 3 3" xfId="41743"/>
    <cellStyle name="Normal 3 4 2 2 2 4 2 3 4" xfId="57972"/>
    <cellStyle name="Normal 3 4 2 2 2 4 2 4" xfId="15783"/>
    <cellStyle name="Normal 3 4 2 2 2 4 2 4 2" xfId="51482"/>
    <cellStyle name="Normal 3 4 2 2 2 4 2 5" xfId="22273"/>
    <cellStyle name="Normal 3 4 2 2 2 4 2 6" xfId="35253"/>
    <cellStyle name="Normal 3 4 2 2 2 4 2 7" xfId="48236"/>
    <cellStyle name="Normal 3 4 2 2 2 4 3" xfId="4380"/>
    <cellStyle name="Normal 3 4 2 2 2 4 3 2" xfId="10912"/>
    <cellStyle name="Normal 3 4 2 2 2 4 3 2 2" xfId="30385"/>
    <cellStyle name="Normal 3 4 2 2 2 4 3 2 3" xfId="43365"/>
    <cellStyle name="Normal 3 4 2 2 2 4 3 2 4" xfId="59594"/>
    <cellStyle name="Normal 3 4 2 2 2 4 3 3" xfId="17405"/>
    <cellStyle name="Normal 3 4 2 2 2 4 3 4" xfId="23895"/>
    <cellStyle name="Normal 3 4 2 2 2 4 3 5" xfId="36875"/>
    <cellStyle name="Normal 3 4 2 2 2 4 3 6" xfId="53104"/>
    <cellStyle name="Normal 3 4 2 2 2 4 4" xfId="7667"/>
    <cellStyle name="Normal 3 4 2 2 2 4 4 2" xfId="27140"/>
    <cellStyle name="Normal 3 4 2 2 2 4 4 3" xfId="40120"/>
    <cellStyle name="Normal 3 4 2 2 2 4 4 4" xfId="56349"/>
    <cellStyle name="Normal 3 4 2 2 2 4 5" xfId="14160"/>
    <cellStyle name="Normal 3 4 2 2 2 4 5 2" xfId="49859"/>
    <cellStyle name="Normal 3 4 2 2 2 4 6" xfId="20650"/>
    <cellStyle name="Normal 3 4 2 2 2 4 7" xfId="33630"/>
    <cellStyle name="Normal 3 4 2 2 2 4 8" xfId="46613"/>
    <cellStyle name="Normal 3 4 2 2 2 5" xfId="2044"/>
    <cellStyle name="Normal 3 4 2 2 2 5 2" xfId="5289"/>
    <cellStyle name="Normal 3 4 2 2 2 5 2 2" xfId="11821"/>
    <cellStyle name="Normal 3 4 2 2 2 5 2 2 2" xfId="31294"/>
    <cellStyle name="Normal 3 4 2 2 2 5 2 2 3" xfId="44274"/>
    <cellStyle name="Normal 3 4 2 2 2 5 2 2 4" xfId="60503"/>
    <cellStyle name="Normal 3 4 2 2 2 5 2 3" xfId="18314"/>
    <cellStyle name="Normal 3 4 2 2 2 5 2 4" xfId="24804"/>
    <cellStyle name="Normal 3 4 2 2 2 5 2 5" xfId="37784"/>
    <cellStyle name="Normal 3 4 2 2 2 5 2 6" xfId="54013"/>
    <cellStyle name="Normal 3 4 2 2 2 5 3" xfId="8576"/>
    <cellStyle name="Normal 3 4 2 2 2 5 3 2" xfId="28049"/>
    <cellStyle name="Normal 3 4 2 2 2 5 3 3" xfId="41029"/>
    <cellStyle name="Normal 3 4 2 2 2 5 3 4" xfId="57258"/>
    <cellStyle name="Normal 3 4 2 2 2 5 4" xfId="15069"/>
    <cellStyle name="Normal 3 4 2 2 2 5 4 2" xfId="50768"/>
    <cellStyle name="Normal 3 4 2 2 2 5 5" xfId="21559"/>
    <cellStyle name="Normal 3 4 2 2 2 5 6" xfId="34539"/>
    <cellStyle name="Normal 3 4 2 2 2 5 7" xfId="47522"/>
    <cellStyle name="Normal 3 4 2 2 2 6" xfId="3665"/>
    <cellStyle name="Normal 3 4 2 2 2 6 2" xfId="10197"/>
    <cellStyle name="Normal 3 4 2 2 2 6 2 2" xfId="29670"/>
    <cellStyle name="Normal 3 4 2 2 2 6 2 3" xfId="42650"/>
    <cellStyle name="Normal 3 4 2 2 2 6 2 4" xfId="58879"/>
    <cellStyle name="Normal 3 4 2 2 2 6 3" xfId="16690"/>
    <cellStyle name="Normal 3 4 2 2 2 6 4" xfId="23180"/>
    <cellStyle name="Normal 3 4 2 2 2 6 5" xfId="36160"/>
    <cellStyle name="Normal 3 4 2 2 2 6 6" xfId="52389"/>
    <cellStyle name="Normal 3 4 2 2 2 7" xfId="6952"/>
    <cellStyle name="Normal 3 4 2 2 2 7 2" xfId="26425"/>
    <cellStyle name="Normal 3 4 2 2 2 7 3" xfId="39405"/>
    <cellStyle name="Normal 3 4 2 2 2 7 4" xfId="55634"/>
    <cellStyle name="Normal 3 4 2 2 2 8" xfId="13445"/>
    <cellStyle name="Normal 3 4 2 2 2 8 2" xfId="49144"/>
    <cellStyle name="Normal 3 4 2 2 2 9" xfId="19935"/>
    <cellStyle name="Normal 3 4 2 2 3" xfId="747"/>
    <cellStyle name="Normal 3 4 2 2 3 10" xfId="46270"/>
    <cellStyle name="Normal 3 4 2 2 3 2" xfId="1686"/>
    <cellStyle name="Normal 3 4 2 2 3 2 2" xfId="3353"/>
    <cellStyle name="Normal 3 4 2 2 3 2 2 2" xfId="6598"/>
    <cellStyle name="Normal 3 4 2 2 3 2 2 2 2" xfId="13130"/>
    <cellStyle name="Normal 3 4 2 2 3 2 2 2 2 2" xfId="32603"/>
    <cellStyle name="Normal 3 4 2 2 3 2 2 2 2 3" xfId="45583"/>
    <cellStyle name="Normal 3 4 2 2 3 2 2 2 2 4" xfId="61812"/>
    <cellStyle name="Normal 3 4 2 2 3 2 2 2 3" xfId="19623"/>
    <cellStyle name="Normal 3 4 2 2 3 2 2 2 4" xfId="26113"/>
    <cellStyle name="Normal 3 4 2 2 3 2 2 2 5" xfId="39093"/>
    <cellStyle name="Normal 3 4 2 2 3 2 2 2 6" xfId="55322"/>
    <cellStyle name="Normal 3 4 2 2 3 2 2 3" xfId="9885"/>
    <cellStyle name="Normal 3 4 2 2 3 2 2 3 2" xfId="29358"/>
    <cellStyle name="Normal 3 4 2 2 3 2 2 3 3" xfId="42338"/>
    <cellStyle name="Normal 3 4 2 2 3 2 2 3 4" xfId="58567"/>
    <cellStyle name="Normal 3 4 2 2 3 2 2 4" xfId="16378"/>
    <cellStyle name="Normal 3 4 2 2 3 2 2 4 2" xfId="52077"/>
    <cellStyle name="Normal 3 4 2 2 3 2 2 5" xfId="22868"/>
    <cellStyle name="Normal 3 4 2 2 3 2 2 6" xfId="35848"/>
    <cellStyle name="Normal 3 4 2 2 3 2 2 7" xfId="48831"/>
    <cellStyle name="Normal 3 4 2 2 3 2 3" xfId="4975"/>
    <cellStyle name="Normal 3 4 2 2 3 2 3 2" xfId="11507"/>
    <cellStyle name="Normal 3 4 2 2 3 2 3 2 2" xfId="30980"/>
    <cellStyle name="Normal 3 4 2 2 3 2 3 2 3" xfId="43960"/>
    <cellStyle name="Normal 3 4 2 2 3 2 3 2 4" xfId="60189"/>
    <cellStyle name="Normal 3 4 2 2 3 2 3 3" xfId="18000"/>
    <cellStyle name="Normal 3 4 2 2 3 2 3 4" xfId="24490"/>
    <cellStyle name="Normal 3 4 2 2 3 2 3 5" xfId="37470"/>
    <cellStyle name="Normal 3 4 2 2 3 2 3 6" xfId="53699"/>
    <cellStyle name="Normal 3 4 2 2 3 2 4" xfId="8262"/>
    <cellStyle name="Normal 3 4 2 2 3 2 4 2" xfId="27735"/>
    <cellStyle name="Normal 3 4 2 2 3 2 4 3" xfId="40715"/>
    <cellStyle name="Normal 3 4 2 2 3 2 4 4" xfId="56944"/>
    <cellStyle name="Normal 3 4 2 2 3 2 5" xfId="14755"/>
    <cellStyle name="Normal 3 4 2 2 3 2 5 2" xfId="50454"/>
    <cellStyle name="Normal 3 4 2 2 3 2 6" xfId="21245"/>
    <cellStyle name="Normal 3 4 2 2 3 2 7" xfId="34225"/>
    <cellStyle name="Normal 3 4 2 2 3 2 8" xfId="47208"/>
    <cellStyle name="Normal 3 4 2 2 3 3" xfId="1223"/>
    <cellStyle name="Normal 3 4 2 2 3 3 2" xfId="2890"/>
    <cellStyle name="Normal 3 4 2 2 3 3 2 2" xfId="6135"/>
    <cellStyle name="Normal 3 4 2 2 3 3 2 2 2" xfId="12667"/>
    <cellStyle name="Normal 3 4 2 2 3 3 2 2 2 2" xfId="32140"/>
    <cellStyle name="Normal 3 4 2 2 3 3 2 2 2 3" xfId="45120"/>
    <cellStyle name="Normal 3 4 2 2 3 3 2 2 2 4" xfId="61349"/>
    <cellStyle name="Normal 3 4 2 2 3 3 2 2 3" xfId="19160"/>
    <cellStyle name="Normal 3 4 2 2 3 3 2 2 4" xfId="25650"/>
    <cellStyle name="Normal 3 4 2 2 3 3 2 2 5" xfId="38630"/>
    <cellStyle name="Normal 3 4 2 2 3 3 2 2 6" xfId="54859"/>
    <cellStyle name="Normal 3 4 2 2 3 3 2 3" xfId="9422"/>
    <cellStyle name="Normal 3 4 2 2 3 3 2 3 2" xfId="28895"/>
    <cellStyle name="Normal 3 4 2 2 3 3 2 3 3" xfId="41875"/>
    <cellStyle name="Normal 3 4 2 2 3 3 2 3 4" xfId="58104"/>
    <cellStyle name="Normal 3 4 2 2 3 3 2 4" xfId="15915"/>
    <cellStyle name="Normal 3 4 2 2 3 3 2 4 2" xfId="51614"/>
    <cellStyle name="Normal 3 4 2 2 3 3 2 5" xfId="22405"/>
    <cellStyle name="Normal 3 4 2 2 3 3 2 6" xfId="35385"/>
    <cellStyle name="Normal 3 4 2 2 3 3 2 7" xfId="48368"/>
    <cellStyle name="Normal 3 4 2 2 3 3 3" xfId="4512"/>
    <cellStyle name="Normal 3 4 2 2 3 3 3 2" xfId="11044"/>
    <cellStyle name="Normal 3 4 2 2 3 3 3 2 2" xfId="30517"/>
    <cellStyle name="Normal 3 4 2 2 3 3 3 2 3" xfId="43497"/>
    <cellStyle name="Normal 3 4 2 2 3 3 3 2 4" xfId="59726"/>
    <cellStyle name="Normal 3 4 2 2 3 3 3 3" xfId="17537"/>
    <cellStyle name="Normal 3 4 2 2 3 3 3 4" xfId="24027"/>
    <cellStyle name="Normal 3 4 2 2 3 3 3 5" xfId="37007"/>
    <cellStyle name="Normal 3 4 2 2 3 3 3 6" xfId="53236"/>
    <cellStyle name="Normal 3 4 2 2 3 3 4" xfId="7799"/>
    <cellStyle name="Normal 3 4 2 2 3 3 4 2" xfId="27272"/>
    <cellStyle name="Normal 3 4 2 2 3 3 4 3" xfId="40252"/>
    <cellStyle name="Normal 3 4 2 2 3 3 4 4" xfId="56481"/>
    <cellStyle name="Normal 3 4 2 2 3 3 5" xfId="14292"/>
    <cellStyle name="Normal 3 4 2 2 3 3 5 2" xfId="49991"/>
    <cellStyle name="Normal 3 4 2 2 3 3 6" xfId="20782"/>
    <cellStyle name="Normal 3 4 2 2 3 3 7" xfId="33762"/>
    <cellStyle name="Normal 3 4 2 2 3 3 8" xfId="46745"/>
    <cellStyle name="Normal 3 4 2 2 3 4" xfId="2415"/>
    <cellStyle name="Normal 3 4 2 2 3 4 2" xfId="5660"/>
    <cellStyle name="Normal 3 4 2 2 3 4 2 2" xfId="12192"/>
    <cellStyle name="Normal 3 4 2 2 3 4 2 2 2" xfId="31665"/>
    <cellStyle name="Normal 3 4 2 2 3 4 2 2 3" xfId="44645"/>
    <cellStyle name="Normal 3 4 2 2 3 4 2 2 4" xfId="60874"/>
    <cellStyle name="Normal 3 4 2 2 3 4 2 3" xfId="18685"/>
    <cellStyle name="Normal 3 4 2 2 3 4 2 4" xfId="25175"/>
    <cellStyle name="Normal 3 4 2 2 3 4 2 5" xfId="38155"/>
    <cellStyle name="Normal 3 4 2 2 3 4 2 6" xfId="54384"/>
    <cellStyle name="Normal 3 4 2 2 3 4 3" xfId="8947"/>
    <cellStyle name="Normal 3 4 2 2 3 4 3 2" xfId="28420"/>
    <cellStyle name="Normal 3 4 2 2 3 4 3 3" xfId="41400"/>
    <cellStyle name="Normal 3 4 2 2 3 4 3 4" xfId="57629"/>
    <cellStyle name="Normal 3 4 2 2 3 4 4" xfId="15440"/>
    <cellStyle name="Normal 3 4 2 2 3 4 4 2" xfId="51139"/>
    <cellStyle name="Normal 3 4 2 2 3 4 5" xfId="21930"/>
    <cellStyle name="Normal 3 4 2 2 3 4 6" xfId="34910"/>
    <cellStyle name="Normal 3 4 2 2 3 4 7" xfId="47893"/>
    <cellStyle name="Normal 3 4 2 2 3 5" xfId="4037"/>
    <cellStyle name="Normal 3 4 2 2 3 5 2" xfId="10569"/>
    <cellStyle name="Normal 3 4 2 2 3 5 2 2" xfId="30042"/>
    <cellStyle name="Normal 3 4 2 2 3 5 2 3" xfId="43022"/>
    <cellStyle name="Normal 3 4 2 2 3 5 2 4" xfId="59251"/>
    <cellStyle name="Normal 3 4 2 2 3 5 3" xfId="17062"/>
    <cellStyle name="Normal 3 4 2 2 3 5 4" xfId="23552"/>
    <cellStyle name="Normal 3 4 2 2 3 5 5" xfId="36532"/>
    <cellStyle name="Normal 3 4 2 2 3 5 6" xfId="52761"/>
    <cellStyle name="Normal 3 4 2 2 3 6" xfId="7324"/>
    <cellStyle name="Normal 3 4 2 2 3 6 2" xfId="26797"/>
    <cellStyle name="Normal 3 4 2 2 3 6 3" xfId="39777"/>
    <cellStyle name="Normal 3 4 2 2 3 6 4" xfId="56006"/>
    <cellStyle name="Normal 3 4 2 2 3 7" xfId="13817"/>
    <cellStyle name="Normal 3 4 2 2 3 7 2" xfId="49516"/>
    <cellStyle name="Normal 3 4 2 2 3 8" xfId="20307"/>
    <cellStyle name="Normal 3 4 2 2 3 9" xfId="33287"/>
    <cellStyle name="Normal 3 4 2 2 4" xfId="517"/>
    <cellStyle name="Normal 3 4 2 2 4 2" xfId="1466"/>
    <cellStyle name="Normal 3 4 2 2 4 2 2" xfId="3133"/>
    <cellStyle name="Normal 3 4 2 2 4 2 2 2" xfId="6378"/>
    <cellStyle name="Normal 3 4 2 2 4 2 2 2 2" xfId="12910"/>
    <cellStyle name="Normal 3 4 2 2 4 2 2 2 2 2" xfId="32383"/>
    <cellStyle name="Normal 3 4 2 2 4 2 2 2 2 3" xfId="45363"/>
    <cellStyle name="Normal 3 4 2 2 4 2 2 2 2 4" xfId="61592"/>
    <cellStyle name="Normal 3 4 2 2 4 2 2 2 3" xfId="19403"/>
    <cellStyle name="Normal 3 4 2 2 4 2 2 2 4" xfId="25893"/>
    <cellStyle name="Normal 3 4 2 2 4 2 2 2 5" xfId="38873"/>
    <cellStyle name="Normal 3 4 2 2 4 2 2 2 6" xfId="55102"/>
    <cellStyle name="Normal 3 4 2 2 4 2 2 3" xfId="9665"/>
    <cellStyle name="Normal 3 4 2 2 4 2 2 3 2" xfId="29138"/>
    <cellStyle name="Normal 3 4 2 2 4 2 2 3 3" xfId="42118"/>
    <cellStyle name="Normal 3 4 2 2 4 2 2 3 4" xfId="58347"/>
    <cellStyle name="Normal 3 4 2 2 4 2 2 4" xfId="16158"/>
    <cellStyle name="Normal 3 4 2 2 4 2 2 4 2" xfId="51857"/>
    <cellStyle name="Normal 3 4 2 2 4 2 2 5" xfId="22648"/>
    <cellStyle name="Normal 3 4 2 2 4 2 2 6" xfId="35628"/>
    <cellStyle name="Normal 3 4 2 2 4 2 2 7" xfId="48611"/>
    <cellStyle name="Normal 3 4 2 2 4 2 3" xfId="4755"/>
    <cellStyle name="Normal 3 4 2 2 4 2 3 2" xfId="11287"/>
    <cellStyle name="Normal 3 4 2 2 4 2 3 2 2" xfId="30760"/>
    <cellStyle name="Normal 3 4 2 2 4 2 3 2 3" xfId="43740"/>
    <cellStyle name="Normal 3 4 2 2 4 2 3 2 4" xfId="59969"/>
    <cellStyle name="Normal 3 4 2 2 4 2 3 3" xfId="17780"/>
    <cellStyle name="Normal 3 4 2 2 4 2 3 4" xfId="24270"/>
    <cellStyle name="Normal 3 4 2 2 4 2 3 5" xfId="37250"/>
    <cellStyle name="Normal 3 4 2 2 4 2 3 6" xfId="53479"/>
    <cellStyle name="Normal 3 4 2 2 4 2 4" xfId="8042"/>
    <cellStyle name="Normal 3 4 2 2 4 2 4 2" xfId="27515"/>
    <cellStyle name="Normal 3 4 2 2 4 2 4 3" xfId="40495"/>
    <cellStyle name="Normal 3 4 2 2 4 2 4 4" xfId="56724"/>
    <cellStyle name="Normal 3 4 2 2 4 2 5" xfId="14535"/>
    <cellStyle name="Normal 3 4 2 2 4 2 5 2" xfId="50234"/>
    <cellStyle name="Normal 3 4 2 2 4 2 6" xfId="21025"/>
    <cellStyle name="Normal 3 4 2 2 4 2 7" xfId="34005"/>
    <cellStyle name="Normal 3 4 2 2 4 2 8" xfId="46988"/>
    <cellStyle name="Normal 3 4 2 2 4 3" xfId="2185"/>
    <cellStyle name="Normal 3 4 2 2 4 3 2" xfId="5430"/>
    <cellStyle name="Normal 3 4 2 2 4 3 2 2" xfId="11962"/>
    <cellStyle name="Normal 3 4 2 2 4 3 2 2 2" xfId="31435"/>
    <cellStyle name="Normal 3 4 2 2 4 3 2 2 3" xfId="44415"/>
    <cellStyle name="Normal 3 4 2 2 4 3 2 2 4" xfId="60644"/>
    <cellStyle name="Normal 3 4 2 2 4 3 2 3" xfId="18455"/>
    <cellStyle name="Normal 3 4 2 2 4 3 2 4" xfId="24945"/>
    <cellStyle name="Normal 3 4 2 2 4 3 2 5" xfId="37925"/>
    <cellStyle name="Normal 3 4 2 2 4 3 2 6" xfId="54154"/>
    <cellStyle name="Normal 3 4 2 2 4 3 3" xfId="8717"/>
    <cellStyle name="Normal 3 4 2 2 4 3 3 2" xfId="28190"/>
    <cellStyle name="Normal 3 4 2 2 4 3 3 3" xfId="41170"/>
    <cellStyle name="Normal 3 4 2 2 4 3 3 4" xfId="57399"/>
    <cellStyle name="Normal 3 4 2 2 4 3 4" xfId="15210"/>
    <cellStyle name="Normal 3 4 2 2 4 3 4 2" xfId="50909"/>
    <cellStyle name="Normal 3 4 2 2 4 3 5" xfId="21700"/>
    <cellStyle name="Normal 3 4 2 2 4 3 6" xfId="34680"/>
    <cellStyle name="Normal 3 4 2 2 4 3 7" xfId="47663"/>
    <cellStyle name="Normal 3 4 2 2 4 4" xfId="3807"/>
    <cellStyle name="Normal 3 4 2 2 4 4 2" xfId="10339"/>
    <cellStyle name="Normal 3 4 2 2 4 4 2 2" xfId="29812"/>
    <cellStyle name="Normal 3 4 2 2 4 4 2 3" xfId="42792"/>
    <cellStyle name="Normal 3 4 2 2 4 4 2 4" xfId="59021"/>
    <cellStyle name="Normal 3 4 2 2 4 4 3" xfId="16832"/>
    <cellStyle name="Normal 3 4 2 2 4 4 4" xfId="23322"/>
    <cellStyle name="Normal 3 4 2 2 4 4 5" xfId="36302"/>
    <cellStyle name="Normal 3 4 2 2 4 4 6" xfId="52531"/>
    <cellStyle name="Normal 3 4 2 2 4 5" xfId="7094"/>
    <cellStyle name="Normal 3 4 2 2 4 5 2" xfId="26567"/>
    <cellStyle name="Normal 3 4 2 2 4 5 3" xfId="39547"/>
    <cellStyle name="Normal 3 4 2 2 4 5 4" xfId="55776"/>
    <cellStyle name="Normal 3 4 2 2 4 6" xfId="13587"/>
    <cellStyle name="Normal 3 4 2 2 4 6 2" xfId="49286"/>
    <cellStyle name="Normal 3 4 2 2 4 7" xfId="20077"/>
    <cellStyle name="Normal 3 4 2 2 4 8" xfId="33057"/>
    <cellStyle name="Normal 3 4 2 2 4 9" xfId="46040"/>
    <cellStyle name="Normal 3 4 2 2 5" xfId="1003"/>
    <cellStyle name="Normal 3 4 2 2 5 2" xfId="2670"/>
    <cellStyle name="Normal 3 4 2 2 5 2 2" xfId="5915"/>
    <cellStyle name="Normal 3 4 2 2 5 2 2 2" xfId="12447"/>
    <cellStyle name="Normal 3 4 2 2 5 2 2 2 2" xfId="31920"/>
    <cellStyle name="Normal 3 4 2 2 5 2 2 2 3" xfId="44900"/>
    <cellStyle name="Normal 3 4 2 2 5 2 2 2 4" xfId="61129"/>
    <cellStyle name="Normal 3 4 2 2 5 2 2 3" xfId="18940"/>
    <cellStyle name="Normal 3 4 2 2 5 2 2 4" xfId="25430"/>
    <cellStyle name="Normal 3 4 2 2 5 2 2 5" xfId="38410"/>
    <cellStyle name="Normal 3 4 2 2 5 2 2 6" xfId="54639"/>
    <cellStyle name="Normal 3 4 2 2 5 2 3" xfId="9202"/>
    <cellStyle name="Normal 3 4 2 2 5 2 3 2" xfId="28675"/>
    <cellStyle name="Normal 3 4 2 2 5 2 3 3" xfId="41655"/>
    <cellStyle name="Normal 3 4 2 2 5 2 3 4" xfId="57884"/>
    <cellStyle name="Normal 3 4 2 2 5 2 4" xfId="15695"/>
    <cellStyle name="Normal 3 4 2 2 5 2 4 2" xfId="51394"/>
    <cellStyle name="Normal 3 4 2 2 5 2 5" xfId="22185"/>
    <cellStyle name="Normal 3 4 2 2 5 2 6" xfId="35165"/>
    <cellStyle name="Normal 3 4 2 2 5 2 7" xfId="48148"/>
    <cellStyle name="Normal 3 4 2 2 5 3" xfId="4292"/>
    <cellStyle name="Normal 3 4 2 2 5 3 2" xfId="10824"/>
    <cellStyle name="Normal 3 4 2 2 5 3 2 2" xfId="30297"/>
    <cellStyle name="Normal 3 4 2 2 5 3 2 3" xfId="43277"/>
    <cellStyle name="Normal 3 4 2 2 5 3 2 4" xfId="59506"/>
    <cellStyle name="Normal 3 4 2 2 5 3 3" xfId="17317"/>
    <cellStyle name="Normal 3 4 2 2 5 3 4" xfId="23807"/>
    <cellStyle name="Normal 3 4 2 2 5 3 5" xfId="36787"/>
    <cellStyle name="Normal 3 4 2 2 5 3 6" xfId="53016"/>
    <cellStyle name="Normal 3 4 2 2 5 4" xfId="7579"/>
    <cellStyle name="Normal 3 4 2 2 5 4 2" xfId="27052"/>
    <cellStyle name="Normal 3 4 2 2 5 4 3" xfId="40032"/>
    <cellStyle name="Normal 3 4 2 2 5 4 4" xfId="56261"/>
    <cellStyle name="Normal 3 4 2 2 5 5" xfId="14072"/>
    <cellStyle name="Normal 3 4 2 2 5 5 2" xfId="49771"/>
    <cellStyle name="Normal 3 4 2 2 5 6" xfId="20562"/>
    <cellStyle name="Normal 3 4 2 2 5 7" xfId="33542"/>
    <cellStyle name="Normal 3 4 2 2 5 8" xfId="46525"/>
    <cellStyle name="Normal 3 4 2 2 6" xfId="1956"/>
    <cellStyle name="Normal 3 4 2 2 6 2" xfId="5201"/>
    <cellStyle name="Normal 3 4 2 2 6 2 2" xfId="11733"/>
    <cellStyle name="Normal 3 4 2 2 6 2 2 2" xfId="31206"/>
    <cellStyle name="Normal 3 4 2 2 6 2 2 3" xfId="44186"/>
    <cellStyle name="Normal 3 4 2 2 6 2 2 4" xfId="60415"/>
    <cellStyle name="Normal 3 4 2 2 6 2 3" xfId="18226"/>
    <cellStyle name="Normal 3 4 2 2 6 2 4" xfId="24716"/>
    <cellStyle name="Normal 3 4 2 2 6 2 5" xfId="37696"/>
    <cellStyle name="Normal 3 4 2 2 6 2 6" xfId="53925"/>
    <cellStyle name="Normal 3 4 2 2 6 3" xfId="8488"/>
    <cellStyle name="Normal 3 4 2 2 6 3 2" xfId="27961"/>
    <cellStyle name="Normal 3 4 2 2 6 3 3" xfId="40941"/>
    <cellStyle name="Normal 3 4 2 2 6 3 4" xfId="57170"/>
    <cellStyle name="Normal 3 4 2 2 6 4" xfId="14981"/>
    <cellStyle name="Normal 3 4 2 2 6 4 2" xfId="50680"/>
    <cellStyle name="Normal 3 4 2 2 6 5" xfId="21471"/>
    <cellStyle name="Normal 3 4 2 2 6 6" xfId="34451"/>
    <cellStyle name="Normal 3 4 2 2 6 7" xfId="47434"/>
    <cellStyle name="Normal 3 4 2 2 7" xfId="3577"/>
    <cellStyle name="Normal 3 4 2 2 7 2" xfId="10109"/>
    <cellStyle name="Normal 3 4 2 2 7 2 2" xfId="29582"/>
    <cellStyle name="Normal 3 4 2 2 7 2 3" xfId="42562"/>
    <cellStyle name="Normal 3 4 2 2 7 2 4" xfId="58791"/>
    <cellStyle name="Normal 3 4 2 2 7 3" xfId="16602"/>
    <cellStyle name="Normal 3 4 2 2 7 4" xfId="23092"/>
    <cellStyle name="Normal 3 4 2 2 7 5" xfId="36072"/>
    <cellStyle name="Normal 3 4 2 2 7 6" xfId="52301"/>
    <cellStyle name="Normal 3 4 2 2 8" xfId="6864"/>
    <cellStyle name="Normal 3 4 2 2 8 2" xfId="26337"/>
    <cellStyle name="Normal 3 4 2 2 8 3" xfId="39317"/>
    <cellStyle name="Normal 3 4 2 2 8 4" xfId="55546"/>
    <cellStyle name="Normal 3 4 2 2 9" xfId="13357"/>
    <cellStyle name="Normal 3 4 2 2 9 2" xfId="49056"/>
    <cellStyle name="Normal 3 4 2 3" xfId="239"/>
    <cellStyle name="Normal 3 4 2 3 10" xfId="32783"/>
    <cellStyle name="Normal 3 4 2 3 11" xfId="45766"/>
    <cellStyle name="Normal 3 4 2 3 2" xfId="703"/>
    <cellStyle name="Normal 3 4 2 3 2 10" xfId="46226"/>
    <cellStyle name="Normal 3 4 2 3 2 2" xfId="1642"/>
    <cellStyle name="Normal 3 4 2 3 2 2 2" xfId="3309"/>
    <cellStyle name="Normal 3 4 2 3 2 2 2 2" xfId="6554"/>
    <cellStyle name="Normal 3 4 2 3 2 2 2 2 2" xfId="13086"/>
    <cellStyle name="Normal 3 4 2 3 2 2 2 2 2 2" xfId="32559"/>
    <cellStyle name="Normal 3 4 2 3 2 2 2 2 2 3" xfId="45539"/>
    <cellStyle name="Normal 3 4 2 3 2 2 2 2 2 4" xfId="61768"/>
    <cellStyle name="Normal 3 4 2 3 2 2 2 2 3" xfId="19579"/>
    <cellStyle name="Normal 3 4 2 3 2 2 2 2 4" xfId="26069"/>
    <cellStyle name="Normal 3 4 2 3 2 2 2 2 5" xfId="39049"/>
    <cellStyle name="Normal 3 4 2 3 2 2 2 2 6" xfId="55278"/>
    <cellStyle name="Normal 3 4 2 3 2 2 2 3" xfId="9841"/>
    <cellStyle name="Normal 3 4 2 3 2 2 2 3 2" xfId="29314"/>
    <cellStyle name="Normal 3 4 2 3 2 2 2 3 3" xfId="42294"/>
    <cellStyle name="Normal 3 4 2 3 2 2 2 3 4" xfId="58523"/>
    <cellStyle name="Normal 3 4 2 3 2 2 2 4" xfId="16334"/>
    <cellStyle name="Normal 3 4 2 3 2 2 2 4 2" xfId="52033"/>
    <cellStyle name="Normal 3 4 2 3 2 2 2 5" xfId="22824"/>
    <cellStyle name="Normal 3 4 2 3 2 2 2 6" xfId="35804"/>
    <cellStyle name="Normal 3 4 2 3 2 2 2 7" xfId="48787"/>
    <cellStyle name="Normal 3 4 2 3 2 2 3" xfId="4931"/>
    <cellStyle name="Normal 3 4 2 3 2 2 3 2" xfId="11463"/>
    <cellStyle name="Normal 3 4 2 3 2 2 3 2 2" xfId="30936"/>
    <cellStyle name="Normal 3 4 2 3 2 2 3 2 3" xfId="43916"/>
    <cellStyle name="Normal 3 4 2 3 2 2 3 2 4" xfId="60145"/>
    <cellStyle name="Normal 3 4 2 3 2 2 3 3" xfId="17956"/>
    <cellStyle name="Normal 3 4 2 3 2 2 3 4" xfId="24446"/>
    <cellStyle name="Normal 3 4 2 3 2 2 3 5" xfId="37426"/>
    <cellStyle name="Normal 3 4 2 3 2 2 3 6" xfId="53655"/>
    <cellStyle name="Normal 3 4 2 3 2 2 4" xfId="8218"/>
    <cellStyle name="Normal 3 4 2 3 2 2 4 2" xfId="27691"/>
    <cellStyle name="Normal 3 4 2 3 2 2 4 3" xfId="40671"/>
    <cellStyle name="Normal 3 4 2 3 2 2 4 4" xfId="56900"/>
    <cellStyle name="Normal 3 4 2 3 2 2 5" xfId="14711"/>
    <cellStyle name="Normal 3 4 2 3 2 2 5 2" xfId="50410"/>
    <cellStyle name="Normal 3 4 2 3 2 2 6" xfId="21201"/>
    <cellStyle name="Normal 3 4 2 3 2 2 7" xfId="34181"/>
    <cellStyle name="Normal 3 4 2 3 2 2 8" xfId="47164"/>
    <cellStyle name="Normal 3 4 2 3 2 3" xfId="1179"/>
    <cellStyle name="Normal 3 4 2 3 2 3 2" xfId="2846"/>
    <cellStyle name="Normal 3 4 2 3 2 3 2 2" xfId="6091"/>
    <cellStyle name="Normal 3 4 2 3 2 3 2 2 2" xfId="12623"/>
    <cellStyle name="Normal 3 4 2 3 2 3 2 2 2 2" xfId="32096"/>
    <cellStyle name="Normal 3 4 2 3 2 3 2 2 2 3" xfId="45076"/>
    <cellStyle name="Normal 3 4 2 3 2 3 2 2 2 4" xfId="61305"/>
    <cellStyle name="Normal 3 4 2 3 2 3 2 2 3" xfId="19116"/>
    <cellStyle name="Normal 3 4 2 3 2 3 2 2 4" xfId="25606"/>
    <cellStyle name="Normal 3 4 2 3 2 3 2 2 5" xfId="38586"/>
    <cellStyle name="Normal 3 4 2 3 2 3 2 2 6" xfId="54815"/>
    <cellStyle name="Normal 3 4 2 3 2 3 2 3" xfId="9378"/>
    <cellStyle name="Normal 3 4 2 3 2 3 2 3 2" xfId="28851"/>
    <cellStyle name="Normal 3 4 2 3 2 3 2 3 3" xfId="41831"/>
    <cellStyle name="Normal 3 4 2 3 2 3 2 3 4" xfId="58060"/>
    <cellStyle name="Normal 3 4 2 3 2 3 2 4" xfId="15871"/>
    <cellStyle name="Normal 3 4 2 3 2 3 2 4 2" xfId="51570"/>
    <cellStyle name="Normal 3 4 2 3 2 3 2 5" xfId="22361"/>
    <cellStyle name="Normal 3 4 2 3 2 3 2 6" xfId="35341"/>
    <cellStyle name="Normal 3 4 2 3 2 3 2 7" xfId="48324"/>
    <cellStyle name="Normal 3 4 2 3 2 3 3" xfId="4468"/>
    <cellStyle name="Normal 3 4 2 3 2 3 3 2" xfId="11000"/>
    <cellStyle name="Normal 3 4 2 3 2 3 3 2 2" xfId="30473"/>
    <cellStyle name="Normal 3 4 2 3 2 3 3 2 3" xfId="43453"/>
    <cellStyle name="Normal 3 4 2 3 2 3 3 2 4" xfId="59682"/>
    <cellStyle name="Normal 3 4 2 3 2 3 3 3" xfId="17493"/>
    <cellStyle name="Normal 3 4 2 3 2 3 3 4" xfId="23983"/>
    <cellStyle name="Normal 3 4 2 3 2 3 3 5" xfId="36963"/>
    <cellStyle name="Normal 3 4 2 3 2 3 3 6" xfId="53192"/>
    <cellStyle name="Normal 3 4 2 3 2 3 4" xfId="7755"/>
    <cellStyle name="Normal 3 4 2 3 2 3 4 2" xfId="27228"/>
    <cellStyle name="Normal 3 4 2 3 2 3 4 3" xfId="40208"/>
    <cellStyle name="Normal 3 4 2 3 2 3 4 4" xfId="56437"/>
    <cellStyle name="Normal 3 4 2 3 2 3 5" xfId="14248"/>
    <cellStyle name="Normal 3 4 2 3 2 3 5 2" xfId="49947"/>
    <cellStyle name="Normal 3 4 2 3 2 3 6" xfId="20738"/>
    <cellStyle name="Normal 3 4 2 3 2 3 7" xfId="33718"/>
    <cellStyle name="Normal 3 4 2 3 2 3 8" xfId="46701"/>
    <cellStyle name="Normal 3 4 2 3 2 4" xfId="2371"/>
    <cellStyle name="Normal 3 4 2 3 2 4 2" xfId="5616"/>
    <cellStyle name="Normal 3 4 2 3 2 4 2 2" xfId="12148"/>
    <cellStyle name="Normal 3 4 2 3 2 4 2 2 2" xfId="31621"/>
    <cellStyle name="Normal 3 4 2 3 2 4 2 2 3" xfId="44601"/>
    <cellStyle name="Normal 3 4 2 3 2 4 2 2 4" xfId="60830"/>
    <cellStyle name="Normal 3 4 2 3 2 4 2 3" xfId="18641"/>
    <cellStyle name="Normal 3 4 2 3 2 4 2 4" xfId="25131"/>
    <cellStyle name="Normal 3 4 2 3 2 4 2 5" xfId="38111"/>
    <cellStyle name="Normal 3 4 2 3 2 4 2 6" xfId="54340"/>
    <cellStyle name="Normal 3 4 2 3 2 4 3" xfId="8903"/>
    <cellStyle name="Normal 3 4 2 3 2 4 3 2" xfId="28376"/>
    <cellStyle name="Normal 3 4 2 3 2 4 3 3" xfId="41356"/>
    <cellStyle name="Normal 3 4 2 3 2 4 3 4" xfId="57585"/>
    <cellStyle name="Normal 3 4 2 3 2 4 4" xfId="15396"/>
    <cellStyle name="Normal 3 4 2 3 2 4 4 2" xfId="51095"/>
    <cellStyle name="Normal 3 4 2 3 2 4 5" xfId="21886"/>
    <cellStyle name="Normal 3 4 2 3 2 4 6" xfId="34866"/>
    <cellStyle name="Normal 3 4 2 3 2 4 7" xfId="47849"/>
    <cellStyle name="Normal 3 4 2 3 2 5" xfId="3993"/>
    <cellStyle name="Normal 3 4 2 3 2 5 2" xfId="10525"/>
    <cellStyle name="Normal 3 4 2 3 2 5 2 2" xfId="29998"/>
    <cellStyle name="Normal 3 4 2 3 2 5 2 3" xfId="42978"/>
    <cellStyle name="Normal 3 4 2 3 2 5 2 4" xfId="59207"/>
    <cellStyle name="Normal 3 4 2 3 2 5 3" xfId="17018"/>
    <cellStyle name="Normal 3 4 2 3 2 5 4" xfId="23508"/>
    <cellStyle name="Normal 3 4 2 3 2 5 5" xfId="36488"/>
    <cellStyle name="Normal 3 4 2 3 2 5 6" xfId="52717"/>
    <cellStyle name="Normal 3 4 2 3 2 6" xfId="7280"/>
    <cellStyle name="Normal 3 4 2 3 2 6 2" xfId="26753"/>
    <cellStyle name="Normal 3 4 2 3 2 6 3" xfId="39733"/>
    <cellStyle name="Normal 3 4 2 3 2 6 4" xfId="55962"/>
    <cellStyle name="Normal 3 4 2 3 2 7" xfId="13773"/>
    <cellStyle name="Normal 3 4 2 3 2 7 2" xfId="49472"/>
    <cellStyle name="Normal 3 4 2 3 2 8" xfId="20263"/>
    <cellStyle name="Normal 3 4 2 3 2 9" xfId="33243"/>
    <cellStyle name="Normal 3 4 2 3 3" xfId="473"/>
    <cellStyle name="Normal 3 4 2 3 3 2" xfId="1422"/>
    <cellStyle name="Normal 3 4 2 3 3 2 2" xfId="3089"/>
    <cellStyle name="Normal 3 4 2 3 3 2 2 2" xfId="6334"/>
    <cellStyle name="Normal 3 4 2 3 3 2 2 2 2" xfId="12866"/>
    <cellStyle name="Normal 3 4 2 3 3 2 2 2 2 2" xfId="32339"/>
    <cellStyle name="Normal 3 4 2 3 3 2 2 2 2 3" xfId="45319"/>
    <cellStyle name="Normal 3 4 2 3 3 2 2 2 2 4" xfId="61548"/>
    <cellStyle name="Normal 3 4 2 3 3 2 2 2 3" xfId="19359"/>
    <cellStyle name="Normal 3 4 2 3 3 2 2 2 4" xfId="25849"/>
    <cellStyle name="Normal 3 4 2 3 3 2 2 2 5" xfId="38829"/>
    <cellStyle name="Normal 3 4 2 3 3 2 2 2 6" xfId="55058"/>
    <cellStyle name="Normal 3 4 2 3 3 2 2 3" xfId="9621"/>
    <cellStyle name="Normal 3 4 2 3 3 2 2 3 2" xfId="29094"/>
    <cellStyle name="Normal 3 4 2 3 3 2 2 3 3" xfId="42074"/>
    <cellStyle name="Normal 3 4 2 3 3 2 2 3 4" xfId="58303"/>
    <cellStyle name="Normal 3 4 2 3 3 2 2 4" xfId="16114"/>
    <cellStyle name="Normal 3 4 2 3 3 2 2 4 2" xfId="51813"/>
    <cellStyle name="Normal 3 4 2 3 3 2 2 5" xfId="22604"/>
    <cellStyle name="Normal 3 4 2 3 3 2 2 6" xfId="35584"/>
    <cellStyle name="Normal 3 4 2 3 3 2 2 7" xfId="48567"/>
    <cellStyle name="Normal 3 4 2 3 3 2 3" xfId="4711"/>
    <cellStyle name="Normal 3 4 2 3 3 2 3 2" xfId="11243"/>
    <cellStyle name="Normal 3 4 2 3 3 2 3 2 2" xfId="30716"/>
    <cellStyle name="Normal 3 4 2 3 3 2 3 2 3" xfId="43696"/>
    <cellStyle name="Normal 3 4 2 3 3 2 3 2 4" xfId="59925"/>
    <cellStyle name="Normal 3 4 2 3 3 2 3 3" xfId="17736"/>
    <cellStyle name="Normal 3 4 2 3 3 2 3 4" xfId="24226"/>
    <cellStyle name="Normal 3 4 2 3 3 2 3 5" xfId="37206"/>
    <cellStyle name="Normal 3 4 2 3 3 2 3 6" xfId="53435"/>
    <cellStyle name="Normal 3 4 2 3 3 2 4" xfId="7998"/>
    <cellStyle name="Normal 3 4 2 3 3 2 4 2" xfId="27471"/>
    <cellStyle name="Normal 3 4 2 3 3 2 4 3" xfId="40451"/>
    <cellStyle name="Normal 3 4 2 3 3 2 4 4" xfId="56680"/>
    <cellStyle name="Normal 3 4 2 3 3 2 5" xfId="14491"/>
    <cellStyle name="Normal 3 4 2 3 3 2 5 2" xfId="50190"/>
    <cellStyle name="Normal 3 4 2 3 3 2 6" xfId="20981"/>
    <cellStyle name="Normal 3 4 2 3 3 2 7" xfId="33961"/>
    <cellStyle name="Normal 3 4 2 3 3 2 8" xfId="46944"/>
    <cellStyle name="Normal 3 4 2 3 3 3" xfId="2141"/>
    <cellStyle name="Normal 3 4 2 3 3 3 2" xfId="5386"/>
    <cellStyle name="Normal 3 4 2 3 3 3 2 2" xfId="11918"/>
    <cellStyle name="Normal 3 4 2 3 3 3 2 2 2" xfId="31391"/>
    <cellStyle name="Normal 3 4 2 3 3 3 2 2 3" xfId="44371"/>
    <cellStyle name="Normal 3 4 2 3 3 3 2 2 4" xfId="60600"/>
    <cellStyle name="Normal 3 4 2 3 3 3 2 3" xfId="18411"/>
    <cellStyle name="Normal 3 4 2 3 3 3 2 4" xfId="24901"/>
    <cellStyle name="Normal 3 4 2 3 3 3 2 5" xfId="37881"/>
    <cellStyle name="Normal 3 4 2 3 3 3 2 6" xfId="54110"/>
    <cellStyle name="Normal 3 4 2 3 3 3 3" xfId="8673"/>
    <cellStyle name="Normal 3 4 2 3 3 3 3 2" xfId="28146"/>
    <cellStyle name="Normal 3 4 2 3 3 3 3 3" xfId="41126"/>
    <cellStyle name="Normal 3 4 2 3 3 3 3 4" xfId="57355"/>
    <cellStyle name="Normal 3 4 2 3 3 3 4" xfId="15166"/>
    <cellStyle name="Normal 3 4 2 3 3 3 4 2" xfId="50865"/>
    <cellStyle name="Normal 3 4 2 3 3 3 5" xfId="21656"/>
    <cellStyle name="Normal 3 4 2 3 3 3 6" xfId="34636"/>
    <cellStyle name="Normal 3 4 2 3 3 3 7" xfId="47619"/>
    <cellStyle name="Normal 3 4 2 3 3 4" xfId="3763"/>
    <cellStyle name="Normal 3 4 2 3 3 4 2" xfId="10295"/>
    <cellStyle name="Normal 3 4 2 3 3 4 2 2" xfId="29768"/>
    <cellStyle name="Normal 3 4 2 3 3 4 2 3" xfId="42748"/>
    <cellStyle name="Normal 3 4 2 3 3 4 2 4" xfId="58977"/>
    <cellStyle name="Normal 3 4 2 3 3 4 3" xfId="16788"/>
    <cellStyle name="Normal 3 4 2 3 3 4 4" xfId="23278"/>
    <cellStyle name="Normal 3 4 2 3 3 4 5" xfId="36258"/>
    <cellStyle name="Normal 3 4 2 3 3 4 6" xfId="52487"/>
    <cellStyle name="Normal 3 4 2 3 3 5" xfId="7050"/>
    <cellStyle name="Normal 3 4 2 3 3 5 2" xfId="26523"/>
    <cellStyle name="Normal 3 4 2 3 3 5 3" xfId="39503"/>
    <cellStyle name="Normal 3 4 2 3 3 5 4" xfId="55732"/>
    <cellStyle name="Normal 3 4 2 3 3 6" xfId="13543"/>
    <cellStyle name="Normal 3 4 2 3 3 6 2" xfId="49242"/>
    <cellStyle name="Normal 3 4 2 3 3 7" xfId="20033"/>
    <cellStyle name="Normal 3 4 2 3 3 8" xfId="33013"/>
    <cellStyle name="Normal 3 4 2 3 3 9" xfId="45996"/>
    <cellStyle name="Normal 3 4 2 3 4" xfId="959"/>
    <cellStyle name="Normal 3 4 2 3 4 2" xfId="2626"/>
    <cellStyle name="Normal 3 4 2 3 4 2 2" xfId="5871"/>
    <cellStyle name="Normal 3 4 2 3 4 2 2 2" xfId="12403"/>
    <cellStyle name="Normal 3 4 2 3 4 2 2 2 2" xfId="31876"/>
    <cellStyle name="Normal 3 4 2 3 4 2 2 2 3" xfId="44856"/>
    <cellStyle name="Normal 3 4 2 3 4 2 2 2 4" xfId="61085"/>
    <cellStyle name="Normal 3 4 2 3 4 2 2 3" xfId="18896"/>
    <cellStyle name="Normal 3 4 2 3 4 2 2 4" xfId="25386"/>
    <cellStyle name="Normal 3 4 2 3 4 2 2 5" xfId="38366"/>
    <cellStyle name="Normal 3 4 2 3 4 2 2 6" xfId="54595"/>
    <cellStyle name="Normal 3 4 2 3 4 2 3" xfId="9158"/>
    <cellStyle name="Normal 3 4 2 3 4 2 3 2" xfId="28631"/>
    <cellStyle name="Normal 3 4 2 3 4 2 3 3" xfId="41611"/>
    <cellStyle name="Normal 3 4 2 3 4 2 3 4" xfId="57840"/>
    <cellStyle name="Normal 3 4 2 3 4 2 4" xfId="15651"/>
    <cellStyle name="Normal 3 4 2 3 4 2 4 2" xfId="51350"/>
    <cellStyle name="Normal 3 4 2 3 4 2 5" xfId="22141"/>
    <cellStyle name="Normal 3 4 2 3 4 2 6" xfId="35121"/>
    <cellStyle name="Normal 3 4 2 3 4 2 7" xfId="48104"/>
    <cellStyle name="Normal 3 4 2 3 4 3" xfId="4248"/>
    <cellStyle name="Normal 3 4 2 3 4 3 2" xfId="10780"/>
    <cellStyle name="Normal 3 4 2 3 4 3 2 2" xfId="30253"/>
    <cellStyle name="Normal 3 4 2 3 4 3 2 3" xfId="43233"/>
    <cellStyle name="Normal 3 4 2 3 4 3 2 4" xfId="59462"/>
    <cellStyle name="Normal 3 4 2 3 4 3 3" xfId="17273"/>
    <cellStyle name="Normal 3 4 2 3 4 3 4" xfId="23763"/>
    <cellStyle name="Normal 3 4 2 3 4 3 5" xfId="36743"/>
    <cellStyle name="Normal 3 4 2 3 4 3 6" xfId="52972"/>
    <cellStyle name="Normal 3 4 2 3 4 4" xfId="7535"/>
    <cellStyle name="Normal 3 4 2 3 4 4 2" xfId="27008"/>
    <cellStyle name="Normal 3 4 2 3 4 4 3" xfId="39988"/>
    <cellStyle name="Normal 3 4 2 3 4 4 4" xfId="56217"/>
    <cellStyle name="Normal 3 4 2 3 4 5" xfId="14028"/>
    <cellStyle name="Normal 3 4 2 3 4 5 2" xfId="49727"/>
    <cellStyle name="Normal 3 4 2 3 4 6" xfId="20518"/>
    <cellStyle name="Normal 3 4 2 3 4 7" xfId="33498"/>
    <cellStyle name="Normal 3 4 2 3 4 8" xfId="46481"/>
    <cellStyle name="Normal 3 4 2 3 5" xfId="1912"/>
    <cellStyle name="Normal 3 4 2 3 5 2" xfId="5157"/>
    <cellStyle name="Normal 3 4 2 3 5 2 2" xfId="11689"/>
    <cellStyle name="Normal 3 4 2 3 5 2 2 2" xfId="31162"/>
    <cellStyle name="Normal 3 4 2 3 5 2 2 3" xfId="44142"/>
    <cellStyle name="Normal 3 4 2 3 5 2 2 4" xfId="60371"/>
    <cellStyle name="Normal 3 4 2 3 5 2 3" xfId="18182"/>
    <cellStyle name="Normal 3 4 2 3 5 2 4" xfId="24672"/>
    <cellStyle name="Normal 3 4 2 3 5 2 5" xfId="37652"/>
    <cellStyle name="Normal 3 4 2 3 5 2 6" xfId="53881"/>
    <cellStyle name="Normal 3 4 2 3 5 3" xfId="8444"/>
    <cellStyle name="Normal 3 4 2 3 5 3 2" xfId="27917"/>
    <cellStyle name="Normal 3 4 2 3 5 3 3" xfId="40897"/>
    <cellStyle name="Normal 3 4 2 3 5 3 4" xfId="57126"/>
    <cellStyle name="Normal 3 4 2 3 5 4" xfId="14937"/>
    <cellStyle name="Normal 3 4 2 3 5 4 2" xfId="50636"/>
    <cellStyle name="Normal 3 4 2 3 5 5" xfId="21427"/>
    <cellStyle name="Normal 3 4 2 3 5 6" xfId="34407"/>
    <cellStyle name="Normal 3 4 2 3 5 7" xfId="47390"/>
    <cellStyle name="Normal 3 4 2 3 6" xfId="3533"/>
    <cellStyle name="Normal 3 4 2 3 6 2" xfId="10065"/>
    <cellStyle name="Normal 3 4 2 3 6 2 2" xfId="29538"/>
    <cellStyle name="Normal 3 4 2 3 6 2 3" xfId="42518"/>
    <cellStyle name="Normal 3 4 2 3 6 2 4" xfId="58747"/>
    <cellStyle name="Normal 3 4 2 3 6 3" xfId="16558"/>
    <cellStyle name="Normal 3 4 2 3 6 4" xfId="23048"/>
    <cellStyle name="Normal 3 4 2 3 6 5" xfId="36028"/>
    <cellStyle name="Normal 3 4 2 3 6 6" xfId="52257"/>
    <cellStyle name="Normal 3 4 2 3 7" xfId="6820"/>
    <cellStyle name="Normal 3 4 2 3 7 2" xfId="26293"/>
    <cellStyle name="Normal 3 4 2 3 7 3" xfId="39273"/>
    <cellStyle name="Normal 3 4 2 3 7 4" xfId="55502"/>
    <cellStyle name="Normal 3 4 2 3 8" xfId="13313"/>
    <cellStyle name="Normal 3 4 2 3 8 2" xfId="49012"/>
    <cellStyle name="Normal 3 4 2 3 9" xfId="19803"/>
    <cellStyle name="Normal 3 4 2 4" xfId="327"/>
    <cellStyle name="Normal 3 4 2 4 10" xfId="32871"/>
    <cellStyle name="Normal 3 4 2 4 11" xfId="45854"/>
    <cellStyle name="Normal 3 4 2 4 2" xfId="791"/>
    <cellStyle name="Normal 3 4 2 4 2 10" xfId="46314"/>
    <cellStyle name="Normal 3 4 2 4 2 2" xfId="1730"/>
    <cellStyle name="Normal 3 4 2 4 2 2 2" xfId="3397"/>
    <cellStyle name="Normal 3 4 2 4 2 2 2 2" xfId="6642"/>
    <cellStyle name="Normal 3 4 2 4 2 2 2 2 2" xfId="13174"/>
    <cellStyle name="Normal 3 4 2 4 2 2 2 2 2 2" xfId="32647"/>
    <cellStyle name="Normal 3 4 2 4 2 2 2 2 2 3" xfId="45627"/>
    <cellStyle name="Normal 3 4 2 4 2 2 2 2 2 4" xfId="61856"/>
    <cellStyle name="Normal 3 4 2 4 2 2 2 2 3" xfId="19667"/>
    <cellStyle name="Normal 3 4 2 4 2 2 2 2 4" xfId="26157"/>
    <cellStyle name="Normal 3 4 2 4 2 2 2 2 5" xfId="39137"/>
    <cellStyle name="Normal 3 4 2 4 2 2 2 2 6" xfId="55366"/>
    <cellStyle name="Normal 3 4 2 4 2 2 2 3" xfId="9929"/>
    <cellStyle name="Normal 3 4 2 4 2 2 2 3 2" xfId="29402"/>
    <cellStyle name="Normal 3 4 2 4 2 2 2 3 3" xfId="42382"/>
    <cellStyle name="Normal 3 4 2 4 2 2 2 3 4" xfId="58611"/>
    <cellStyle name="Normal 3 4 2 4 2 2 2 4" xfId="16422"/>
    <cellStyle name="Normal 3 4 2 4 2 2 2 4 2" xfId="52121"/>
    <cellStyle name="Normal 3 4 2 4 2 2 2 5" xfId="22912"/>
    <cellStyle name="Normal 3 4 2 4 2 2 2 6" xfId="35892"/>
    <cellStyle name="Normal 3 4 2 4 2 2 2 7" xfId="48875"/>
    <cellStyle name="Normal 3 4 2 4 2 2 3" xfId="5019"/>
    <cellStyle name="Normal 3 4 2 4 2 2 3 2" xfId="11551"/>
    <cellStyle name="Normal 3 4 2 4 2 2 3 2 2" xfId="31024"/>
    <cellStyle name="Normal 3 4 2 4 2 2 3 2 3" xfId="44004"/>
    <cellStyle name="Normal 3 4 2 4 2 2 3 2 4" xfId="60233"/>
    <cellStyle name="Normal 3 4 2 4 2 2 3 3" xfId="18044"/>
    <cellStyle name="Normal 3 4 2 4 2 2 3 4" xfId="24534"/>
    <cellStyle name="Normal 3 4 2 4 2 2 3 5" xfId="37514"/>
    <cellStyle name="Normal 3 4 2 4 2 2 3 6" xfId="53743"/>
    <cellStyle name="Normal 3 4 2 4 2 2 4" xfId="8306"/>
    <cellStyle name="Normal 3 4 2 4 2 2 4 2" xfId="27779"/>
    <cellStyle name="Normal 3 4 2 4 2 2 4 3" xfId="40759"/>
    <cellStyle name="Normal 3 4 2 4 2 2 4 4" xfId="56988"/>
    <cellStyle name="Normal 3 4 2 4 2 2 5" xfId="14799"/>
    <cellStyle name="Normal 3 4 2 4 2 2 5 2" xfId="50498"/>
    <cellStyle name="Normal 3 4 2 4 2 2 6" xfId="21289"/>
    <cellStyle name="Normal 3 4 2 4 2 2 7" xfId="34269"/>
    <cellStyle name="Normal 3 4 2 4 2 2 8" xfId="47252"/>
    <cellStyle name="Normal 3 4 2 4 2 3" xfId="1267"/>
    <cellStyle name="Normal 3 4 2 4 2 3 2" xfId="2934"/>
    <cellStyle name="Normal 3 4 2 4 2 3 2 2" xfId="6179"/>
    <cellStyle name="Normal 3 4 2 4 2 3 2 2 2" xfId="12711"/>
    <cellStyle name="Normal 3 4 2 4 2 3 2 2 2 2" xfId="32184"/>
    <cellStyle name="Normal 3 4 2 4 2 3 2 2 2 3" xfId="45164"/>
    <cellStyle name="Normal 3 4 2 4 2 3 2 2 2 4" xfId="61393"/>
    <cellStyle name="Normal 3 4 2 4 2 3 2 2 3" xfId="19204"/>
    <cellStyle name="Normal 3 4 2 4 2 3 2 2 4" xfId="25694"/>
    <cellStyle name="Normal 3 4 2 4 2 3 2 2 5" xfId="38674"/>
    <cellStyle name="Normal 3 4 2 4 2 3 2 2 6" xfId="54903"/>
    <cellStyle name="Normal 3 4 2 4 2 3 2 3" xfId="9466"/>
    <cellStyle name="Normal 3 4 2 4 2 3 2 3 2" xfId="28939"/>
    <cellStyle name="Normal 3 4 2 4 2 3 2 3 3" xfId="41919"/>
    <cellStyle name="Normal 3 4 2 4 2 3 2 3 4" xfId="58148"/>
    <cellStyle name="Normal 3 4 2 4 2 3 2 4" xfId="15959"/>
    <cellStyle name="Normal 3 4 2 4 2 3 2 4 2" xfId="51658"/>
    <cellStyle name="Normal 3 4 2 4 2 3 2 5" xfId="22449"/>
    <cellStyle name="Normal 3 4 2 4 2 3 2 6" xfId="35429"/>
    <cellStyle name="Normal 3 4 2 4 2 3 2 7" xfId="48412"/>
    <cellStyle name="Normal 3 4 2 4 2 3 3" xfId="4556"/>
    <cellStyle name="Normal 3 4 2 4 2 3 3 2" xfId="11088"/>
    <cellStyle name="Normal 3 4 2 4 2 3 3 2 2" xfId="30561"/>
    <cellStyle name="Normal 3 4 2 4 2 3 3 2 3" xfId="43541"/>
    <cellStyle name="Normal 3 4 2 4 2 3 3 2 4" xfId="59770"/>
    <cellStyle name="Normal 3 4 2 4 2 3 3 3" xfId="17581"/>
    <cellStyle name="Normal 3 4 2 4 2 3 3 4" xfId="24071"/>
    <cellStyle name="Normal 3 4 2 4 2 3 3 5" xfId="37051"/>
    <cellStyle name="Normal 3 4 2 4 2 3 3 6" xfId="53280"/>
    <cellStyle name="Normal 3 4 2 4 2 3 4" xfId="7843"/>
    <cellStyle name="Normal 3 4 2 4 2 3 4 2" xfId="27316"/>
    <cellStyle name="Normal 3 4 2 4 2 3 4 3" xfId="40296"/>
    <cellStyle name="Normal 3 4 2 4 2 3 4 4" xfId="56525"/>
    <cellStyle name="Normal 3 4 2 4 2 3 5" xfId="14336"/>
    <cellStyle name="Normal 3 4 2 4 2 3 5 2" xfId="50035"/>
    <cellStyle name="Normal 3 4 2 4 2 3 6" xfId="20826"/>
    <cellStyle name="Normal 3 4 2 4 2 3 7" xfId="33806"/>
    <cellStyle name="Normal 3 4 2 4 2 3 8" xfId="46789"/>
    <cellStyle name="Normal 3 4 2 4 2 4" xfId="2459"/>
    <cellStyle name="Normal 3 4 2 4 2 4 2" xfId="5704"/>
    <cellStyle name="Normal 3 4 2 4 2 4 2 2" xfId="12236"/>
    <cellStyle name="Normal 3 4 2 4 2 4 2 2 2" xfId="31709"/>
    <cellStyle name="Normal 3 4 2 4 2 4 2 2 3" xfId="44689"/>
    <cellStyle name="Normal 3 4 2 4 2 4 2 2 4" xfId="60918"/>
    <cellStyle name="Normal 3 4 2 4 2 4 2 3" xfId="18729"/>
    <cellStyle name="Normal 3 4 2 4 2 4 2 4" xfId="25219"/>
    <cellStyle name="Normal 3 4 2 4 2 4 2 5" xfId="38199"/>
    <cellStyle name="Normal 3 4 2 4 2 4 2 6" xfId="54428"/>
    <cellStyle name="Normal 3 4 2 4 2 4 3" xfId="8991"/>
    <cellStyle name="Normal 3 4 2 4 2 4 3 2" xfId="28464"/>
    <cellStyle name="Normal 3 4 2 4 2 4 3 3" xfId="41444"/>
    <cellStyle name="Normal 3 4 2 4 2 4 3 4" xfId="57673"/>
    <cellStyle name="Normal 3 4 2 4 2 4 4" xfId="15484"/>
    <cellStyle name="Normal 3 4 2 4 2 4 4 2" xfId="51183"/>
    <cellStyle name="Normal 3 4 2 4 2 4 5" xfId="21974"/>
    <cellStyle name="Normal 3 4 2 4 2 4 6" xfId="34954"/>
    <cellStyle name="Normal 3 4 2 4 2 4 7" xfId="47937"/>
    <cellStyle name="Normal 3 4 2 4 2 5" xfId="4081"/>
    <cellStyle name="Normal 3 4 2 4 2 5 2" xfId="10613"/>
    <cellStyle name="Normal 3 4 2 4 2 5 2 2" xfId="30086"/>
    <cellStyle name="Normal 3 4 2 4 2 5 2 3" xfId="43066"/>
    <cellStyle name="Normal 3 4 2 4 2 5 2 4" xfId="59295"/>
    <cellStyle name="Normal 3 4 2 4 2 5 3" xfId="17106"/>
    <cellStyle name="Normal 3 4 2 4 2 5 4" xfId="23596"/>
    <cellStyle name="Normal 3 4 2 4 2 5 5" xfId="36576"/>
    <cellStyle name="Normal 3 4 2 4 2 5 6" xfId="52805"/>
    <cellStyle name="Normal 3 4 2 4 2 6" xfId="7368"/>
    <cellStyle name="Normal 3 4 2 4 2 6 2" xfId="26841"/>
    <cellStyle name="Normal 3 4 2 4 2 6 3" xfId="39821"/>
    <cellStyle name="Normal 3 4 2 4 2 6 4" xfId="56050"/>
    <cellStyle name="Normal 3 4 2 4 2 7" xfId="13861"/>
    <cellStyle name="Normal 3 4 2 4 2 7 2" xfId="49560"/>
    <cellStyle name="Normal 3 4 2 4 2 8" xfId="20351"/>
    <cellStyle name="Normal 3 4 2 4 2 9" xfId="33331"/>
    <cellStyle name="Normal 3 4 2 4 3" xfId="561"/>
    <cellStyle name="Normal 3 4 2 4 3 2" xfId="1510"/>
    <cellStyle name="Normal 3 4 2 4 3 2 2" xfId="3177"/>
    <cellStyle name="Normal 3 4 2 4 3 2 2 2" xfId="6422"/>
    <cellStyle name="Normal 3 4 2 4 3 2 2 2 2" xfId="12954"/>
    <cellStyle name="Normal 3 4 2 4 3 2 2 2 2 2" xfId="32427"/>
    <cellStyle name="Normal 3 4 2 4 3 2 2 2 2 3" xfId="45407"/>
    <cellStyle name="Normal 3 4 2 4 3 2 2 2 2 4" xfId="61636"/>
    <cellStyle name="Normal 3 4 2 4 3 2 2 2 3" xfId="19447"/>
    <cellStyle name="Normal 3 4 2 4 3 2 2 2 4" xfId="25937"/>
    <cellStyle name="Normal 3 4 2 4 3 2 2 2 5" xfId="38917"/>
    <cellStyle name="Normal 3 4 2 4 3 2 2 2 6" xfId="55146"/>
    <cellStyle name="Normal 3 4 2 4 3 2 2 3" xfId="9709"/>
    <cellStyle name="Normal 3 4 2 4 3 2 2 3 2" xfId="29182"/>
    <cellStyle name="Normal 3 4 2 4 3 2 2 3 3" xfId="42162"/>
    <cellStyle name="Normal 3 4 2 4 3 2 2 3 4" xfId="58391"/>
    <cellStyle name="Normal 3 4 2 4 3 2 2 4" xfId="16202"/>
    <cellStyle name="Normal 3 4 2 4 3 2 2 4 2" xfId="51901"/>
    <cellStyle name="Normal 3 4 2 4 3 2 2 5" xfId="22692"/>
    <cellStyle name="Normal 3 4 2 4 3 2 2 6" xfId="35672"/>
    <cellStyle name="Normal 3 4 2 4 3 2 2 7" xfId="48655"/>
    <cellStyle name="Normal 3 4 2 4 3 2 3" xfId="4799"/>
    <cellStyle name="Normal 3 4 2 4 3 2 3 2" xfId="11331"/>
    <cellStyle name="Normal 3 4 2 4 3 2 3 2 2" xfId="30804"/>
    <cellStyle name="Normal 3 4 2 4 3 2 3 2 3" xfId="43784"/>
    <cellStyle name="Normal 3 4 2 4 3 2 3 2 4" xfId="60013"/>
    <cellStyle name="Normal 3 4 2 4 3 2 3 3" xfId="17824"/>
    <cellStyle name="Normal 3 4 2 4 3 2 3 4" xfId="24314"/>
    <cellStyle name="Normal 3 4 2 4 3 2 3 5" xfId="37294"/>
    <cellStyle name="Normal 3 4 2 4 3 2 3 6" xfId="53523"/>
    <cellStyle name="Normal 3 4 2 4 3 2 4" xfId="8086"/>
    <cellStyle name="Normal 3 4 2 4 3 2 4 2" xfId="27559"/>
    <cellStyle name="Normal 3 4 2 4 3 2 4 3" xfId="40539"/>
    <cellStyle name="Normal 3 4 2 4 3 2 4 4" xfId="56768"/>
    <cellStyle name="Normal 3 4 2 4 3 2 5" xfId="14579"/>
    <cellStyle name="Normal 3 4 2 4 3 2 5 2" xfId="50278"/>
    <cellStyle name="Normal 3 4 2 4 3 2 6" xfId="21069"/>
    <cellStyle name="Normal 3 4 2 4 3 2 7" xfId="34049"/>
    <cellStyle name="Normal 3 4 2 4 3 2 8" xfId="47032"/>
    <cellStyle name="Normal 3 4 2 4 3 3" xfId="2229"/>
    <cellStyle name="Normal 3 4 2 4 3 3 2" xfId="5474"/>
    <cellStyle name="Normal 3 4 2 4 3 3 2 2" xfId="12006"/>
    <cellStyle name="Normal 3 4 2 4 3 3 2 2 2" xfId="31479"/>
    <cellStyle name="Normal 3 4 2 4 3 3 2 2 3" xfId="44459"/>
    <cellStyle name="Normal 3 4 2 4 3 3 2 2 4" xfId="60688"/>
    <cellStyle name="Normal 3 4 2 4 3 3 2 3" xfId="18499"/>
    <cellStyle name="Normal 3 4 2 4 3 3 2 4" xfId="24989"/>
    <cellStyle name="Normal 3 4 2 4 3 3 2 5" xfId="37969"/>
    <cellStyle name="Normal 3 4 2 4 3 3 2 6" xfId="54198"/>
    <cellStyle name="Normal 3 4 2 4 3 3 3" xfId="8761"/>
    <cellStyle name="Normal 3 4 2 4 3 3 3 2" xfId="28234"/>
    <cellStyle name="Normal 3 4 2 4 3 3 3 3" xfId="41214"/>
    <cellStyle name="Normal 3 4 2 4 3 3 3 4" xfId="57443"/>
    <cellStyle name="Normal 3 4 2 4 3 3 4" xfId="15254"/>
    <cellStyle name="Normal 3 4 2 4 3 3 4 2" xfId="50953"/>
    <cellStyle name="Normal 3 4 2 4 3 3 5" xfId="21744"/>
    <cellStyle name="Normal 3 4 2 4 3 3 6" xfId="34724"/>
    <cellStyle name="Normal 3 4 2 4 3 3 7" xfId="47707"/>
    <cellStyle name="Normal 3 4 2 4 3 4" xfId="3851"/>
    <cellStyle name="Normal 3 4 2 4 3 4 2" xfId="10383"/>
    <cellStyle name="Normal 3 4 2 4 3 4 2 2" xfId="29856"/>
    <cellStyle name="Normal 3 4 2 4 3 4 2 3" xfId="42836"/>
    <cellStyle name="Normal 3 4 2 4 3 4 2 4" xfId="59065"/>
    <cellStyle name="Normal 3 4 2 4 3 4 3" xfId="16876"/>
    <cellStyle name="Normal 3 4 2 4 3 4 4" xfId="23366"/>
    <cellStyle name="Normal 3 4 2 4 3 4 5" xfId="36346"/>
    <cellStyle name="Normal 3 4 2 4 3 4 6" xfId="52575"/>
    <cellStyle name="Normal 3 4 2 4 3 5" xfId="7138"/>
    <cellStyle name="Normal 3 4 2 4 3 5 2" xfId="26611"/>
    <cellStyle name="Normal 3 4 2 4 3 5 3" xfId="39591"/>
    <cellStyle name="Normal 3 4 2 4 3 5 4" xfId="55820"/>
    <cellStyle name="Normal 3 4 2 4 3 6" xfId="13631"/>
    <cellStyle name="Normal 3 4 2 4 3 6 2" xfId="49330"/>
    <cellStyle name="Normal 3 4 2 4 3 7" xfId="20121"/>
    <cellStyle name="Normal 3 4 2 4 3 8" xfId="33101"/>
    <cellStyle name="Normal 3 4 2 4 3 9" xfId="46084"/>
    <cellStyle name="Normal 3 4 2 4 4" xfId="1047"/>
    <cellStyle name="Normal 3 4 2 4 4 2" xfId="2714"/>
    <cellStyle name="Normal 3 4 2 4 4 2 2" xfId="5959"/>
    <cellStyle name="Normal 3 4 2 4 4 2 2 2" xfId="12491"/>
    <cellStyle name="Normal 3 4 2 4 4 2 2 2 2" xfId="31964"/>
    <cellStyle name="Normal 3 4 2 4 4 2 2 2 3" xfId="44944"/>
    <cellStyle name="Normal 3 4 2 4 4 2 2 2 4" xfId="61173"/>
    <cellStyle name="Normal 3 4 2 4 4 2 2 3" xfId="18984"/>
    <cellStyle name="Normal 3 4 2 4 4 2 2 4" xfId="25474"/>
    <cellStyle name="Normal 3 4 2 4 4 2 2 5" xfId="38454"/>
    <cellStyle name="Normal 3 4 2 4 4 2 2 6" xfId="54683"/>
    <cellStyle name="Normal 3 4 2 4 4 2 3" xfId="9246"/>
    <cellStyle name="Normal 3 4 2 4 4 2 3 2" xfId="28719"/>
    <cellStyle name="Normal 3 4 2 4 4 2 3 3" xfId="41699"/>
    <cellStyle name="Normal 3 4 2 4 4 2 3 4" xfId="57928"/>
    <cellStyle name="Normal 3 4 2 4 4 2 4" xfId="15739"/>
    <cellStyle name="Normal 3 4 2 4 4 2 4 2" xfId="51438"/>
    <cellStyle name="Normal 3 4 2 4 4 2 5" xfId="22229"/>
    <cellStyle name="Normal 3 4 2 4 4 2 6" xfId="35209"/>
    <cellStyle name="Normal 3 4 2 4 4 2 7" xfId="48192"/>
    <cellStyle name="Normal 3 4 2 4 4 3" xfId="4336"/>
    <cellStyle name="Normal 3 4 2 4 4 3 2" xfId="10868"/>
    <cellStyle name="Normal 3 4 2 4 4 3 2 2" xfId="30341"/>
    <cellStyle name="Normal 3 4 2 4 4 3 2 3" xfId="43321"/>
    <cellStyle name="Normal 3 4 2 4 4 3 2 4" xfId="59550"/>
    <cellStyle name="Normal 3 4 2 4 4 3 3" xfId="17361"/>
    <cellStyle name="Normal 3 4 2 4 4 3 4" xfId="23851"/>
    <cellStyle name="Normal 3 4 2 4 4 3 5" xfId="36831"/>
    <cellStyle name="Normal 3 4 2 4 4 3 6" xfId="53060"/>
    <cellStyle name="Normal 3 4 2 4 4 4" xfId="7623"/>
    <cellStyle name="Normal 3 4 2 4 4 4 2" xfId="27096"/>
    <cellStyle name="Normal 3 4 2 4 4 4 3" xfId="40076"/>
    <cellStyle name="Normal 3 4 2 4 4 4 4" xfId="56305"/>
    <cellStyle name="Normal 3 4 2 4 4 5" xfId="14116"/>
    <cellStyle name="Normal 3 4 2 4 4 5 2" xfId="49815"/>
    <cellStyle name="Normal 3 4 2 4 4 6" xfId="20606"/>
    <cellStyle name="Normal 3 4 2 4 4 7" xfId="33586"/>
    <cellStyle name="Normal 3 4 2 4 4 8" xfId="46569"/>
    <cellStyle name="Normal 3 4 2 4 5" xfId="2000"/>
    <cellStyle name="Normal 3 4 2 4 5 2" xfId="5245"/>
    <cellStyle name="Normal 3 4 2 4 5 2 2" xfId="11777"/>
    <cellStyle name="Normal 3 4 2 4 5 2 2 2" xfId="31250"/>
    <cellStyle name="Normal 3 4 2 4 5 2 2 3" xfId="44230"/>
    <cellStyle name="Normal 3 4 2 4 5 2 2 4" xfId="60459"/>
    <cellStyle name="Normal 3 4 2 4 5 2 3" xfId="18270"/>
    <cellStyle name="Normal 3 4 2 4 5 2 4" xfId="24760"/>
    <cellStyle name="Normal 3 4 2 4 5 2 5" xfId="37740"/>
    <cellStyle name="Normal 3 4 2 4 5 2 6" xfId="53969"/>
    <cellStyle name="Normal 3 4 2 4 5 3" xfId="8532"/>
    <cellStyle name="Normal 3 4 2 4 5 3 2" xfId="28005"/>
    <cellStyle name="Normal 3 4 2 4 5 3 3" xfId="40985"/>
    <cellStyle name="Normal 3 4 2 4 5 3 4" xfId="57214"/>
    <cellStyle name="Normal 3 4 2 4 5 4" xfId="15025"/>
    <cellStyle name="Normal 3 4 2 4 5 4 2" xfId="50724"/>
    <cellStyle name="Normal 3 4 2 4 5 5" xfId="21515"/>
    <cellStyle name="Normal 3 4 2 4 5 6" xfId="34495"/>
    <cellStyle name="Normal 3 4 2 4 5 7" xfId="47478"/>
    <cellStyle name="Normal 3 4 2 4 6" xfId="3621"/>
    <cellStyle name="Normal 3 4 2 4 6 2" xfId="10153"/>
    <cellStyle name="Normal 3 4 2 4 6 2 2" xfId="29626"/>
    <cellStyle name="Normal 3 4 2 4 6 2 3" xfId="42606"/>
    <cellStyle name="Normal 3 4 2 4 6 2 4" xfId="58835"/>
    <cellStyle name="Normal 3 4 2 4 6 3" xfId="16646"/>
    <cellStyle name="Normal 3 4 2 4 6 4" xfId="23136"/>
    <cellStyle name="Normal 3 4 2 4 6 5" xfId="36116"/>
    <cellStyle name="Normal 3 4 2 4 6 6" xfId="52345"/>
    <cellStyle name="Normal 3 4 2 4 7" xfId="6908"/>
    <cellStyle name="Normal 3 4 2 4 7 2" xfId="26381"/>
    <cellStyle name="Normal 3 4 2 4 7 3" xfId="39361"/>
    <cellStyle name="Normal 3 4 2 4 7 4" xfId="55590"/>
    <cellStyle name="Normal 3 4 2 4 8" xfId="13401"/>
    <cellStyle name="Normal 3 4 2 4 8 2" xfId="49100"/>
    <cellStyle name="Normal 3 4 2 4 9" xfId="19891"/>
    <cellStyle name="Normal 3 4 2 5" xfId="659"/>
    <cellStyle name="Normal 3 4 2 5 10" xfId="46182"/>
    <cellStyle name="Normal 3 4 2 5 2" xfId="1598"/>
    <cellStyle name="Normal 3 4 2 5 2 2" xfId="3265"/>
    <cellStyle name="Normal 3 4 2 5 2 2 2" xfId="6510"/>
    <cellStyle name="Normal 3 4 2 5 2 2 2 2" xfId="13042"/>
    <cellStyle name="Normal 3 4 2 5 2 2 2 2 2" xfId="32515"/>
    <cellStyle name="Normal 3 4 2 5 2 2 2 2 3" xfId="45495"/>
    <cellStyle name="Normal 3 4 2 5 2 2 2 2 4" xfId="61724"/>
    <cellStyle name="Normal 3 4 2 5 2 2 2 3" xfId="19535"/>
    <cellStyle name="Normal 3 4 2 5 2 2 2 4" xfId="26025"/>
    <cellStyle name="Normal 3 4 2 5 2 2 2 5" xfId="39005"/>
    <cellStyle name="Normal 3 4 2 5 2 2 2 6" xfId="55234"/>
    <cellStyle name="Normal 3 4 2 5 2 2 3" xfId="9797"/>
    <cellStyle name="Normal 3 4 2 5 2 2 3 2" xfId="29270"/>
    <cellStyle name="Normal 3 4 2 5 2 2 3 3" xfId="42250"/>
    <cellStyle name="Normal 3 4 2 5 2 2 3 4" xfId="58479"/>
    <cellStyle name="Normal 3 4 2 5 2 2 4" xfId="16290"/>
    <cellStyle name="Normal 3 4 2 5 2 2 4 2" xfId="51989"/>
    <cellStyle name="Normal 3 4 2 5 2 2 5" xfId="22780"/>
    <cellStyle name="Normal 3 4 2 5 2 2 6" xfId="35760"/>
    <cellStyle name="Normal 3 4 2 5 2 2 7" xfId="48743"/>
    <cellStyle name="Normal 3 4 2 5 2 3" xfId="4887"/>
    <cellStyle name="Normal 3 4 2 5 2 3 2" xfId="11419"/>
    <cellStyle name="Normal 3 4 2 5 2 3 2 2" xfId="30892"/>
    <cellStyle name="Normal 3 4 2 5 2 3 2 3" xfId="43872"/>
    <cellStyle name="Normal 3 4 2 5 2 3 2 4" xfId="60101"/>
    <cellStyle name="Normal 3 4 2 5 2 3 3" xfId="17912"/>
    <cellStyle name="Normal 3 4 2 5 2 3 4" xfId="24402"/>
    <cellStyle name="Normal 3 4 2 5 2 3 5" xfId="37382"/>
    <cellStyle name="Normal 3 4 2 5 2 3 6" xfId="53611"/>
    <cellStyle name="Normal 3 4 2 5 2 4" xfId="8174"/>
    <cellStyle name="Normal 3 4 2 5 2 4 2" xfId="27647"/>
    <cellStyle name="Normal 3 4 2 5 2 4 3" xfId="40627"/>
    <cellStyle name="Normal 3 4 2 5 2 4 4" xfId="56856"/>
    <cellStyle name="Normal 3 4 2 5 2 5" xfId="14667"/>
    <cellStyle name="Normal 3 4 2 5 2 5 2" xfId="50366"/>
    <cellStyle name="Normal 3 4 2 5 2 6" xfId="21157"/>
    <cellStyle name="Normal 3 4 2 5 2 7" xfId="34137"/>
    <cellStyle name="Normal 3 4 2 5 2 8" xfId="47120"/>
    <cellStyle name="Normal 3 4 2 5 3" xfId="1135"/>
    <cellStyle name="Normal 3 4 2 5 3 2" xfId="2802"/>
    <cellStyle name="Normal 3 4 2 5 3 2 2" xfId="6047"/>
    <cellStyle name="Normal 3 4 2 5 3 2 2 2" xfId="12579"/>
    <cellStyle name="Normal 3 4 2 5 3 2 2 2 2" xfId="32052"/>
    <cellStyle name="Normal 3 4 2 5 3 2 2 2 3" xfId="45032"/>
    <cellStyle name="Normal 3 4 2 5 3 2 2 2 4" xfId="61261"/>
    <cellStyle name="Normal 3 4 2 5 3 2 2 3" xfId="19072"/>
    <cellStyle name="Normal 3 4 2 5 3 2 2 4" xfId="25562"/>
    <cellStyle name="Normal 3 4 2 5 3 2 2 5" xfId="38542"/>
    <cellStyle name="Normal 3 4 2 5 3 2 2 6" xfId="54771"/>
    <cellStyle name="Normal 3 4 2 5 3 2 3" xfId="9334"/>
    <cellStyle name="Normal 3 4 2 5 3 2 3 2" xfId="28807"/>
    <cellStyle name="Normal 3 4 2 5 3 2 3 3" xfId="41787"/>
    <cellStyle name="Normal 3 4 2 5 3 2 3 4" xfId="58016"/>
    <cellStyle name="Normal 3 4 2 5 3 2 4" xfId="15827"/>
    <cellStyle name="Normal 3 4 2 5 3 2 4 2" xfId="51526"/>
    <cellStyle name="Normal 3 4 2 5 3 2 5" xfId="22317"/>
    <cellStyle name="Normal 3 4 2 5 3 2 6" xfId="35297"/>
    <cellStyle name="Normal 3 4 2 5 3 2 7" xfId="48280"/>
    <cellStyle name="Normal 3 4 2 5 3 3" xfId="4424"/>
    <cellStyle name="Normal 3 4 2 5 3 3 2" xfId="10956"/>
    <cellStyle name="Normal 3 4 2 5 3 3 2 2" xfId="30429"/>
    <cellStyle name="Normal 3 4 2 5 3 3 2 3" xfId="43409"/>
    <cellStyle name="Normal 3 4 2 5 3 3 2 4" xfId="59638"/>
    <cellStyle name="Normal 3 4 2 5 3 3 3" xfId="17449"/>
    <cellStyle name="Normal 3 4 2 5 3 3 4" xfId="23939"/>
    <cellStyle name="Normal 3 4 2 5 3 3 5" xfId="36919"/>
    <cellStyle name="Normal 3 4 2 5 3 3 6" xfId="53148"/>
    <cellStyle name="Normal 3 4 2 5 3 4" xfId="7711"/>
    <cellStyle name="Normal 3 4 2 5 3 4 2" xfId="27184"/>
    <cellStyle name="Normal 3 4 2 5 3 4 3" xfId="40164"/>
    <cellStyle name="Normal 3 4 2 5 3 4 4" xfId="56393"/>
    <cellStyle name="Normal 3 4 2 5 3 5" xfId="14204"/>
    <cellStyle name="Normal 3 4 2 5 3 5 2" xfId="49903"/>
    <cellStyle name="Normal 3 4 2 5 3 6" xfId="20694"/>
    <cellStyle name="Normal 3 4 2 5 3 7" xfId="33674"/>
    <cellStyle name="Normal 3 4 2 5 3 8" xfId="46657"/>
    <cellStyle name="Normal 3 4 2 5 4" xfId="2327"/>
    <cellStyle name="Normal 3 4 2 5 4 2" xfId="5572"/>
    <cellStyle name="Normal 3 4 2 5 4 2 2" xfId="12104"/>
    <cellStyle name="Normal 3 4 2 5 4 2 2 2" xfId="31577"/>
    <cellStyle name="Normal 3 4 2 5 4 2 2 3" xfId="44557"/>
    <cellStyle name="Normal 3 4 2 5 4 2 2 4" xfId="60786"/>
    <cellStyle name="Normal 3 4 2 5 4 2 3" xfId="18597"/>
    <cellStyle name="Normal 3 4 2 5 4 2 4" xfId="25087"/>
    <cellStyle name="Normal 3 4 2 5 4 2 5" xfId="38067"/>
    <cellStyle name="Normal 3 4 2 5 4 2 6" xfId="54296"/>
    <cellStyle name="Normal 3 4 2 5 4 3" xfId="8859"/>
    <cellStyle name="Normal 3 4 2 5 4 3 2" xfId="28332"/>
    <cellStyle name="Normal 3 4 2 5 4 3 3" xfId="41312"/>
    <cellStyle name="Normal 3 4 2 5 4 3 4" xfId="57541"/>
    <cellStyle name="Normal 3 4 2 5 4 4" xfId="15352"/>
    <cellStyle name="Normal 3 4 2 5 4 4 2" xfId="51051"/>
    <cellStyle name="Normal 3 4 2 5 4 5" xfId="21842"/>
    <cellStyle name="Normal 3 4 2 5 4 6" xfId="34822"/>
    <cellStyle name="Normal 3 4 2 5 4 7" xfId="47805"/>
    <cellStyle name="Normal 3 4 2 5 5" xfId="3949"/>
    <cellStyle name="Normal 3 4 2 5 5 2" xfId="10481"/>
    <cellStyle name="Normal 3 4 2 5 5 2 2" xfId="29954"/>
    <cellStyle name="Normal 3 4 2 5 5 2 3" xfId="42934"/>
    <cellStyle name="Normal 3 4 2 5 5 2 4" xfId="59163"/>
    <cellStyle name="Normal 3 4 2 5 5 3" xfId="16974"/>
    <cellStyle name="Normal 3 4 2 5 5 4" xfId="23464"/>
    <cellStyle name="Normal 3 4 2 5 5 5" xfId="36444"/>
    <cellStyle name="Normal 3 4 2 5 5 6" xfId="52673"/>
    <cellStyle name="Normal 3 4 2 5 6" xfId="7236"/>
    <cellStyle name="Normal 3 4 2 5 6 2" xfId="26709"/>
    <cellStyle name="Normal 3 4 2 5 6 3" xfId="39689"/>
    <cellStyle name="Normal 3 4 2 5 6 4" xfId="55918"/>
    <cellStyle name="Normal 3 4 2 5 7" xfId="13729"/>
    <cellStyle name="Normal 3 4 2 5 7 2" xfId="49428"/>
    <cellStyle name="Normal 3 4 2 5 8" xfId="20219"/>
    <cellStyle name="Normal 3 4 2 5 9" xfId="33199"/>
    <cellStyle name="Normal 3 4 2 6" xfId="429"/>
    <cellStyle name="Normal 3 4 2 6 2" xfId="1378"/>
    <cellStyle name="Normal 3 4 2 6 2 2" xfId="3045"/>
    <cellStyle name="Normal 3 4 2 6 2 2 2" xfId="6290"/>
    <cellStyle name="Normal 3 4 2 6 2 2 2 2" xfId="12822"/>
    <cellStyle name="Normal 3 4 2 6 2 2 2 2 2" xfId="32295"/>
    <cellStyle name="Normal 3 4 2 6 2 2 2 2 3" xfId="45275"/>
    <cellStyle name="Normal 3 4 2 6 2 2 2 2 4" xfId="61504"/>
    <cellStyle name="Normal 3 4 2 6 2 2 2 3" xfId="19315"/>
    <cellStyle name="Normal 3 4 2 6 2 2 2 4" xfId="25805"/>
    <cellStyle name="Normal 3 4 2 6 2 2 2 5" xfId="38785"/>
    <cellStyle name="Normal 3 4 2 6 2 2 2 6" xfId="55014"/>
    <cellStyle name="Normal 3 4 2 6 2 2 3" xfId="9577"/>
    <cellStyle name="Normal 3 4 2 6 2 2 3 2" xfId="29050"/>
    <cellStyle name="Normal 3 4 2 6 2 2 3 3" xfId="42030"/>
    <cellStyle name="Normal 3 4 2 6 2 2 3 4" xfId="58259"/>
    <cellStyle name="Normal 3 4 2 6 2 2 4" xfId="16070"/>
    <cellStyle name="Normal 3 4 2 6 2 2 4 2" xfId="51769"/>
    <cellStyle name="Normal 3 4 2 6 2 2 5" xfId="22560"/>
    <cellStyle name="Normal 3 4 2 6 2 2 6" xfId="35540"/>
    <cellStyle name="Normal 3 4 2 6 2 2 7" xfId="48523"/>
    <cellStyle name="Normal 3 4 2 6 2 3" xfId="4667"/>
    <cellStyle name="Normal 3 4 2 6 2 3 2" xfId="11199"/>
    <cellStyle name="Normal 3 4 2 6 2 3 2 2" xfId="30672"/>
    <cellStyle name="Normal 3 4 2 6 2 3 2 3" xfId="43652"/>
    <cellStyle name="Normal 3 4 2 6 2 3 2 4" xfId="59881"/>
    <cellStyle name="Normal 3 4 2 6 2 3 3" xfId="17692"/>
    <cellStyle name="Normal 3 4 2 6 2 3 4" xfId="24182"/>
    <cellStyle name="Normal 3 4 2 6 2 3 5" xfId="37162"/>
    <cellStyle name="Normal 3 4 2 6 2 3 6" xfId="53391"/>
    <cellStyle name="Normal 3 4 2 6 2 4" xfId="7954"/>
    <cellStyle name="Normal 3 4 2 6 2 4 2" xfId="27427"/>
    <cellStyle name="Normal 3 4 2 6 2 4 3" xfId="40407"/>
    <cellStyle name="Normal 3 4 2 6 2 4 4" xfId="56636"/>
    <cellStyle name="Normal 3 4 2 6 2 5" xfId="14447"/>
    <cellStyle name="Normal 3 4 2 6 2 5 2" xfId="50146"/>
    <cellStyle name="Normal 3 4 2 6 2 6" xfId="20937"/>
    <cellStyle name="Normal 3 4 2 6 2 7" xfId="33917"/>
    <cellStyle name="Normal 3 4 2 6 2 8" xfId="46900"/>
    <cellStyle name="Normal 3 4 2 6 3" xfId="2097"/>
    <cellStyle name="Normal 3 4 2 6 3 2" xfId="5342"/>
    <cellStyle name="Normal 3 4 2 6 3 2 2" xfId="11874"/>
    <cellStyle name="Normal 3 4 2 6 3 2 2 2" xfId="31347"/>
    <cellStyle name="Normal 3 4 2 6 3 2 2 3" xfId="44327"/>
    <cellStyle name="Normal 3 4 2 6 3 2 2 4" xfId="60556"/>
    <cellStyle name="Normal 3 4 2 6 3 2 3" xfId="18367"/>
    <cellStyle name="Normal 3 4 2 6 3 2 4" xfId="24857"/>
    <cellStyle name="Normal 3 4 2 6 3 2 5" xfId="37837"/>
    <cellStyle name="Normal 3 4 2 6 3 2 6" xfId="54066"/>
    <cellStyle name="Normal 3 4 2 6 3 3" xfId="8629"/>
    <cellStyle name="Normal 3 4 2 6 3 3 2" xfId="28102"/>
    <cellStyle name="Normal 3 4 2 6 3 3 3" xfId="41082"/>
    <cellStyle name="Normal 3 4 2 6 3 3 4" xfId="57311"/>
    <cellStyle name="Normal 3 4 2 6 3 4" xfId="15122"/>
    <cellStyle name="Normal 3 4 2 6 3 4 2" xfId="50821"/>
    <cellStyle name="Normal 3 4 2 6 3 5" xfId="21612"/>
    <cellStyle name="Normal 3 4 2 6 3 6" xfId="34592"/>
    <cellStyle name="Normal 3 4 2 6 3 7" xfId="47575"/>
    <cellStyle name="Normal 3 4 2 6 4" xfId="3719"/>
    <cellStyle name="Normal 3 4 2 6 4 2" xfId="10251"/>
    <cellStyle name="Normal 3 4 2 6 4 2 2" xfId="29724"/>
    <cellStyle name="Normal 3 4 2 6 4 2 3" xfId="42704"/>
    <cellStyle name="Normal 3 4 2 6 4 2 4" xfId="58933"/>
    <cellStyle name="Normal 3 4 2 6 4 3" xfId="16744"/>
    <cellStyle name="Normal 3 4 2 6 4 4" xfId="23234"/>
    <cellStyle name="Normal 3 4 2 6 4 5" xfId="36214"/>
    <cellStyle name="Normal 3 4 2 6 4 6" xfId="52443"/>
    <cellStyle name="Normal 3 4 2 6 5" xfId="7006"/>
    <cellStyle name="Normal 3 4 2 6 5 2" xfId="26479"/>
    <cellStyle name="Normal 3 4 2 6 5 3" xfId="39459"/>
    <cellStyle name="Normal 3 4 2 6 5 4" xfId="55688"/>
    <cellStyle name="Normal 3 4 2 6 6" xfId="13499"/>
    <cellStyle name="Normal 3 4 2 6 6 2" xfId="49198"/>
    <cellStyle name="Normal 3 4 2 6 7" xfId="19989"/>
    <cellStyle name="Normal 3 4 2 6 8" xfId="32969"/>
    <cellStyle name="Normal 3 4 2 6 9" xfId="45952"/>
    <cellStyle name="Normal 3 4 2 7" xfId="915"/>
    <cellStyle name="Normal 3 4 2 7 2" xfId="2582"/>
    <cellStyle name="Normal 3 4 2 7 2 2" xfId="5827"/>
    <cellStyle name="Normal 3 4 2 7 2 2 2" xfId="12359"/>
    <cellStyle name="Normal 3 4 2 7 2 2 2 2" xfId="31832"/>
    <cellStyle name="Normal 3 4 2 7 2 2 2 3" xfId="44812"/>
    <cellStyle name="Normal 3 4 2 7 2 2 2 4" xfId="61041"/>
    <cellStyle name="Normal 3 4 2 7 2 2 3" xfId="18852"/>
    <cellStyle name="Normal 3 4 2 7 2 2 4" xfId="25342"/>
    <cellStyle name="Normal 3 4 2 7 2 2 5" xfId="38322"/>
    <cellStyle name="Normal 3 4 2 7 2 2 6" xfId="54551"/>
    <cellStyle name="Normal 3 4 2 7 2 3" xfId="9114"/>
    <cellStyle name="Normal 3 4 2 7 2 3 2" xfId="28587"/>
    <cellStyle name="Normal 3 4 2 7 2 3 3" xfId="41567"/>
    <cellStyle name="Normal 3 4 2 7 2 3 4" xfId="57796"/>
    <cellStyle name="Normal 3 4 2 7 2 4" xfId="15607"/>
    <cellStyle name="Normal 3 4 2 7 2 4 2" xfId="51306"/>
    <cellStyle name="Normal 3 4 2 7 2 5" xfId="22097"/>
    <cellStyle name="Normal 3 4 2 7 2 6" xfId="35077"/>
    <cellStyle name="Normal 3 4 2 7 2 7" xfId="48060"/>
    <cellStyle name="Normal 3 4 2 7 3" xfId="4204"/>
    <cellStyle name="Normal 3 4 2 7 3 2" xfId="10736"/>
    <cellStyle name="Normal 3 4 2 7 3 2 2" xfId="30209"/>
    <cellStyle name="Normal 3 4 2 7 3 2 3" xfId="43189"/>
    <cellStyle name="Normal 3 4 2 7 3 2 4" xfId="59418"/>
    <cellStyle name="Normal 3 4 2 7 3 3" xfId="17229"/>
    <cellStyle name="Normal 3 4 2 7 3 4" xfId="23719"/>
    <cellStyle name="Normal 3 4 2 7 3 5" xfId="36699"/>
    <cellStyle name="Normal 3 4 2 7 3 6" xfId="52928"/>
    <cellStyle name="Normal 3 4 2 7 4" xfId="7491"/>
    <cellStyle name="Normal 3 4 2 7 4 2" xfId="26964"/>
    <cellStyle name="Normal 3 4 2 7 4 3" xfId="39944"/>
    <cellStyle name="Normal 3 4 2 7 4 4" xfId="56173"/>
    <cellStyle name="Normal 3 4 2 7 5" xfId="13984"/>
    <cellStyle name="Normal 3 4 2 7 5 2" xfId="49683"/>
    <cellStyle name="Normal 3 4 2 7 6" xfId="20474"/>
    <cellStyle name="Normal 3 4 2 7 7" xfId="33454"/>
    <cellStyle name="Normal 3 4 2 7 8" xfId="46437"/>
    <cellStyle name="Normal 3 4 2 8" xfId="1868"/>
    <cellStyle name="Normal 3 4 2 8 2" xfId="5113"/>
    <cellStyle name="Normal 3 4 2 8 2 2" xfId="11645"/>
    <cellStyle name="Normal 3 4 2 8 2 2 2" xfId="31118"/>
    <cellStyle name="Normal 3 4 2 8 2 2 3" xfId="44098"/>
    <cellStyle name="Normal 3 4 2 8 2 2 4" xfId="60327"/>
    <cellStyle name="Normal 3 4 2 8 2 3" xfId="18138"/>
    <cellStyle name="Normal 3 4 2 8 2 4" xfId="24628"/>
    <cellStyle name="Normal 3 4 2 8 2 5" xfId="37608"/>
    <cellStyle name="Normal 3 4 2 8 2 6" xfId="53837"/>
    <cellStyle name="Normal 3 4 2 8 3" xfId="8400"/>
    <cellStyle name="Normal 3 4 2 8 3 2" xfId="27873"/>
    <cellStyle name="Normal 3 4 2 8 3 3" xfId="40853"/>
    <cellStyle name="Normal 3 4 2 8 3 4" xfId="57082"/>
    <cellStyle name="Normal 3 4 2 8 4" xfId="14893"/>
    <cellStyle name="Normal 3 4 2 8 4 2" xfId="50592"/>
    <cellStyle name="Normal 3 4 2 8 5" xfId="21383"/>
    <cellStyle name="Normal 3 4 2 8 6" xfId="34363"/>
    <cellStyle name="Normal 3 4 2 8 7" xfId="47346"/>
    <cellStyle name="Normal 3 4 2 9" xfId="3489"/>
    <cellStyle name="Normal 3 4 2 9 2" xfId="10021"/>
    <cellStyle name="Normal 3 4 2 9 2 2" xfId="29494"/>
    <cellStyle name="Normal 3 4 2 9 2 3" xfId="42474"/>
    <cellStyle name="Normal 3 4 2 9 2 4" xfId="58703"/>
    <cellStyle name="Normal 3 4 2 9 3" xfId="16514"/>
    <cellStyle name="Normal 3 4 2 9 4" xfId="23004"/>
    <cellStyle name="Normal 3 4 2 9 5" xfId="35984"/>
    <cellStyle name="Normal 3 4 2 9 6" xfId="52213"/>
    <cellStyle name="Normal 3 4 3" xfId="261"/>
    <cellStyle name="Normal 3 4 3 10" xfId="19825"/>
    <cellStyle name="Normal 3 4 3 11" xfId="32805"/>
    <cellStyle name="Normal 3 4 3 12" xfId="45788"/>
    <cellStyle name="Normal 3 4 3 2" xfId="349"/>
    <cellStyle name="Normal 3 4 3 2 10" xfId="32893"/>
    <cellStyle name="Normal 3 4 3 2 11" xfId="45876"/>
    <cellStyle name="Normal 3 4 3 2 2" xfId="813"/>
    <cellStyle name="Normal 3 4 3 2 2 10" xfId="46336"/>
    <cellStyle name="Normal 3 4 3 2 2 2" xfId="1752"/>
    <cellStyle name="Normal 3 4 3 2 2 2 2" xfId="3419"/>
    <cellStyle name="Normal 3 4 3 2 2 2 2 2" xfId="6664"/>
    <cellStyle name="Normal 3 4 3 2 2 2 2 2 2" xfId="13196"/>
    <cellStyle name="Normal 3 4 3 2 2 2 2 2 2 2" xfId="32669"/>
    <cellStyle name="Normal 3 4 3 2 2 2 2 2 2 3" xfId="45649"/>
    <cellStyle name="Normal 3 4 3 2 2 2 2 2 2 4" xfId="61878"/>
    <cellStyle name="Normal 3 4 3 2 2 2 2 2 3" xfId="19689"/>
    <cellStyle name="Normal 3 4 3 2 2 2 2 2 4" xfId="26179"/>
    <cellStyle name="Normal 3 4 3 2 2 2 2 2 5" xfId="39159"/>
    <cellStyle name="Normal 3 4 3 2 2 2 2 2 6" xfId="55388"/>
    <cellStyle name="Normal 3 4 3 2 2 2 2 3" xfId="9951"/>
    <cellStyle name="Normal 3 4 3 2 2 2 2 3 2" xfId="29424"/>
    <cellStyle name="Normal 3 4 3 2 2 2 2 3 3" xfId="42404"/>
    <cellStyle name="Normal 3 4 3 2 2 2 2 3 4" xfId="58633"/>
    <cellStyle name="Normal 3 4 3 2 2 2 2 4" xfId="16444"/>
    <cellStyle name="Normal 3 4 3 2 2 2 2 4 2" xfId="52143"/>
    <cellStyle name="Normal 3 4 3 2 2 2 2 5" xfId="22934"/>
    <cellStyle name="Normal 3 4 3 2 2 2 2 6" xfId="35914"/>
    <cellStyle name="Normal 3 4 3 2 2 2 2 7" xfId="48897"/>
    <cellStyle name="Normal 3 4 3 2 2 2 3" xfId="5041"/>
    <cellStyle name="Normal 3 4 3 2 2 2 3 2" xfId="11573"/>
    <cellStyle name="Normal 3 4 3 2 2 2 3 2 2" xfId="31046"/>
    <cellStyle name="Normal 3 4 3 2 2 2 3 2 3" xfId="44026"/>
    <cellStyle name="Normal 3 4 3 2 2 2 3 2 4" xfId="60255"/>
    <cellStyle name="Normal 3 4 3 2 2 2 3 3" xfId="18066"/>
    <cellStyle name="Normal 3 4 3 2 2 2 3 4" xfId="24556"/>
    <cellStyle name="Normal 3 4 3 2 2 2 3 5" xfId="37536"/>
    <cellStyle name="Normal 3 4 3 2 2 2 3 6" xfId="53765"/>
    <cellStyle name="Normal 3 4 3 2 2 2 4" xfId="8328"/>
    <cellStyle name="Normal 3 4 3 2 2 2 4 2" xfId="27801"/>
    <cellStyle name="Normal 3 4 3 2 2 2 4 3" xfId="40781"/>
    <cellStyle name="Normal 3 4 3 2 2 2 4 4" xfId="57010"/>
    <cellStyle name="Normal 3 4 3 2 2 2 5" xfId="14821"/>
    <cellStyle name="Normal 3 4 3 2 2 2 5 2" xfId="50520"/>
    <cellStyle name="Normal 3 4 3 2 2 2 6" xfId="21311"/>
    <cellStyle name="Normal 3 4 3 2 2 2 7" xfId="34291"/>
    <cellStyle name="Normal 3 4 3 2 2 2 8" xfId="47274"/>
    <cellStyle name="Normal 3 4 3 2 2 3" xfId="1289"/>
    <cellStyle name="Normal 3 4 3 2 2 3 2" xfId="2956"/>
    <cellStyle name="Normal 3 4 3 2 2 3 2 2" xfId="6201"/>
    <cellStyle name="Normal 3 4 3 2 2 3 2 2 2" xfId="12733"/>
    <cellStyle name="Normal 3 4 3 2 2 3 2 2 2 2" xfId="32206"/>
    <cellStyle name="Normal 3 4 3 2 2 3 2 2 2 3" xfId="45186"/>
    <cellStyle name="Normal 3 4 3 2 2 3 2 2 2 4" xfId="61415"/>
    <cellStyle name="Normal 3 4 3 2 2 3 2 2 3" xfId="19226"/>
    <cellStyle name="Normal 3 4 3 2 2 3 2 2 4" xfId="25716"/>
    <cellStyle name="Normal 3 4 3 2 2 3 2 2 5" xfId="38696"/>
    <cellStyle name="Normal 3 4 3 2 2 3 2 2 6" xfId="54925"/>
    <cellStyle name="Normal 3 4 3 2 2 3 2 3" xfId="9488"/>
    <cellStyle name="Normal 3 4 3 2 2 3 2 3 2" xfId="28961"/>
    <cellStyle name="Normal 3 4 3 2 2 3 2 3 3" xfId="41941"/>
    <cellStyle name="Normal 3 4 3 2 2 3 2 3 4" xfId="58170"/>
    <cellStyle name="Normal 3 4 3 2 2 3 2 4" xfId="15981"/>
    <cellStyle name="Normal 3 4 3 2 2 3 2 4 2" xfId="51680"/>
    <cellStyle name="Normal 3 4 3 2 2 3 2 5" xfId="22471"/>
    <cellStyle name="Normal 3 4 3 2 2 3 2 6" xfId="35451"/>
    <cellStyle name="Normal 3 4 3 2 2 3 2 7" xfId="48434"/>
    <cellStyle name="Normal 3 4 3 2 2 3 3" xfId="4578"/>
    <cellStyle name="Normal 3 4 3 2 2 3 3 2" xfId="11110"/>
    <cellStyle name="Normal 3 4 3 2 2 3 3 2 2" xfId="30583"/>
    <cellStyle name="Normal 3 4 3 2 2 3 3 2 3" xfId="43563"/>
    <cellStyle name="Normal 3 4 3 2 2 3 3 2 4" xfId="59792"/>
    <cellStyle name="Normal 3 4 3 2 2 3 3 3" xfId="17603"/>
    <cellStyle name="Normal 3 4 3 2 2 3 3 4" xfId="24093"/>
    <cellStyle name="Normal 3 4 3 2 2 3 3 5" xfId="37073"/>
    <cellStyle name="Normal 3 4 3 2 2 3 3 6" xfId="53302"/>
    <cellStyle name="Normal 3 4 3 2 2 3 4" xfId="7865"/>
    <cellStyle name="Normal 3 4 3 2 2 3 4 2" xfId="27338"/>
    <cellStyle name="Normal 3 4 3 2 2 3 4 3" xfId="40318"/>
    <cellStyle name="Normal 3 4 3 2 2 3 4 4" xfId="56547"/>
    <cellStyle name="Normal 3 4 3 2 2 3 5" xfId="14358"/>
    <cellStyle name="Normal 3 4 3 2 2 3 5 2" xfId="50057"/>
    <cellStyle name="Normal 3 4 3 2 2 3 6" xfId="20848"/>
    <cellStyle name="Normal 3 4 3 2 2 3 7" xfId="33828"/>
    <cellStyle name="Normal 3 4 3 2 2 3 8" xfId="46811"/>
    <cellStyle name="Normal 3 4 3 2 2 4" xfId="2481"/>
    <cellStyle name="Normal 3 4 3 2 2 4 2" xfId="5726"/>
    <cellStyle name="Normal 3 4 3 2 2 4 2 2" xfId="12258"/>
    <cellStyle name="Normal 3 4 3 2 2 4 2 2 2" xfId="31731"/>
    <cellStyle name="Normal 3 4 3 2 2 4 2 2 3" xfId="44711"/>
    <cellStyle name="Normal 3 4 3 2 2 4 2 2 4" xfId="60940"/>
    <cellStyle name="Normal 3 4 3 2 2 4 2 3" xfId="18751"/>
    <cellStyle name="Normal 3 4 3 2 2 4 2 4" xfId="25241"/>
    <cellStyle name="Normal 3 4 3 2 2 4 2 5" xfId="38221"/>
    <cellStyle name="Normal 3 4 3 2 2 4 2 6" xfId="54450"/>
    <cellStyle name="Normal 3 4 3 2 2 4 3" xfId="9013"/>
    <cellStyle name="Normal 3 4 3 2 2 4 3 2" xfId="28486"/>
    <cellStyle name="Normal 3 4 3 2 2 4 3 3" xfId="41466"/>
    <cellStyle name="Normal 3 4 3 2 2 4 3 4" xfId="57695"/>
    <cellStyle name="Normal 3 4 3 2 2 4 4" xfId="15506"/>
    <cellStyle name="Normal 3 4 3 2 2 4 4 2" xfId="51205"/>
    <cellStyle name="Normal 3 4 3 2 2 4 5" xfId="21996"/>
    <cellStyle name="Normal 3 4 3 2 2 4 6" xfId="34976"/>
    <cellStyle name="Normal 3 4 3 2 2 4 7" xfId="47959"/>
    <cellStyle name="Normal 3 4 3 2 2 5" xfId="4103"/>
    <cellStyle name="Normal 3 4 3 2 2 5 2" xfId="10635"/>
    <cellStyle name="Normal 3 4 3 2 2 5 2 2" xfId="30108"/>
    <cellStyle name="Normal 3 4 3 2 2 5 2 3" xfId="43088"/>
    <cellStyle name="Normal 3 4 3 2 2 5 2 4" xfId="59317"/>
    <cellStyle name="Normal 3 4 3 2 2 5 3" xfId="17128"/>
    <cellStyle name="Normal 3 4 3 2 2 5 4" xfId="23618"/>
    <cellStyle name="Normal 3 4 3 2 2 5 5" xfId="36598"/>
    <cellStyle name="Normal 3 4 3 2 2 5 6" xfId="52827"/>
    <cellStyle name="Normal 3 4 3 2 2 6" xfId="7390"/>
    <cellStyle name="Normal 3 4 3 2 2 6 2" xfId="26863"/>
    <cellStyle name="Normal 3 4 3 2 2 6 3" xfId="39843"/>
    <cellStyle name="Normal 3 4 3 2 2 6 4" xfId="56072"/>
    <cellStyle name="Normal 3 4 3 2 2 7" xfId="13883"/>
    <cellStyle name="Normal 3 4 3 2 2 7 2" xfId="49582"/>
    <cellStyle name="Normal 3 4 3 2 2 8" xfId="20373"/>
    <cellStyle name="Normal 3 4 3 2 2 9" xfId="33353"/>
    <cellStyle name="Normal 3 4 3 2 3" xfId="583"/>
    <cellStyle name="Normal 3 4 3 2 3 2" xfId="1532"/>
    <cellStyle name="Normal 3 4 3 2 3 2 2" xfId="3199"/>
    <cellStyle name="Normal 3 4 3 2 3 2 2 2" xfId="6444"/>
    <cellStyle name="Normal 3 4 3 2 3 2 2 2 2" xfId="12976"/>
    <cellStyle name="Normal 3 4 3 2 3 2 2 2 2 2" xfId="32449"/>
    <cellStyle name="Normal 3 4 3 2 3 2 2 2 2 3" xfId="45429"/>
    <cellStyle name="Normal 3 4 3 2 3 2 2 2 2 4" xfId="61658"/>
    <cellStyle name="Normal 3 4 3 2 3 2 2 2 3" xfId="19469"/>
    <cellStyle name="Normal 3 4 3 2 3 2 2 2 4" xfId="25959"/>
    <cellStyle name="Normal 3 4 3 2 3 2 2 2 5" xfId="38939"/>
    <cellStyle name="Normal 3 4 3 2 3 2 2 2 6" xfId="55168"/>
    <cellStyle name="Normal 3 4 3 2 3 2 2 3" xfId="9731"/>
    <cellStyle name="Normal 3 4 3 2 3 2 2 3 2" xfId="29204"/>
    <cellStyle name="Normal 3 4 3 2 3 2 2 3 3" xfId="42184"/>
    <cellStyle name="Normal 3 4 3 2 3 2 2 3 4" xfId="58413"/>
    <cellStyle name="Normal 3 4 3 2 3 2 2 4" xfId="16224"/>
    <cellStyle name="Normal 3 4 3 2 3 2 2 4 2" xfId="51923"/>
    <cellStyle name="Normal 3 4 3 2 3 2 2 5" xfId="22714"/>
    <cellStyle name="Normal 3 4 3 2 3 2 2 6" xfId="35694"/>
    <cellStyle name="Normal 3 4 3 2 3 2 2 7" xfId="48677"/>
    <cellStyle name="Normal 3 4 3 2 3 2 3" xfId="4821"/>
    <cellStyle name="Normal 3 4 3 2 3 2 3 2" xfId="11353"/>
    <cellStyle name="Normal 3 4 3 2 3 2 3 2 2" xfId="30826"/>
    <cellStyle name="Normal 3 4 3 2 3 2 3 2 3" xfId="43806"/>
    <cellStyle name="Normal 3 4 3 2 3 2 3 2 4" xfId="60035"/>
    <cellStyle name="Normal 3 4 3 2 3 2 3 3" xfId="17846"/>
    <cellStyle name="Normal 3 4 3 2 3 2 3 4" xfId="24336"/>
    <cellStyle name="Normal 3 4 3 2 3 2 3 5" xfId="37316"/>
    <cellStyle name="Normal 3 4 3 2 3 2 3 6" xfId="53545"/>
    <cellStyle name="Normal 3 4 3 2 3 2 4" xfId="8108"/>
    <cellStyle name="Normal 3 4 3 2 3 2 4 2" xfId="27581"/>
    <cellStyle name="Normal 3 4 3 2 3 2 4 3" xfId="40561"/>
    <cellStyle name="Normal 3 4 3 2 3 2 4 4" xfId="56790"/>
    <cellStyle name="Normal 3 4 3 2 3 2 5" xfId="14601"/>
    <cellStyle name="Normal 3 4 3 2 3 2 5 2" xfId="50300"/>
    <cellStyle name="Normal 3 4 3 2 3 2 6" xfId="21091"/>
    <cellStyle name="Normal 3 4 3 2 3 2 7" xfId="34071"/>
    <cellStyle name="Normal 3 4 3 2 3 2 8" xfId="47054"/>
    <cellStyle name="Normal 3 4 3 2 3 3" xfId="2251"/>
    <cellStyle name="Normal 3 4 3 2 3 3 2" xfId="5496"/>
    <cellStyle name="Normal 3 4 3 2 3 3 2 2" xfId="12028"/>
    <cellStyle name="Normal 3 4 3 2 3 3 2 2 2" xfId="31501"/>
    <cellStyle name="Normal 3 4 3 2 3 3 2 2 3" xfId="44481"/>
    <cellStyle name="Normal 3 4 3 2 3 3 2 2 4" xfId="60710"/>
    <cellStyle name="Normal 3 4 3 2 3 3 2 3" xfId="18521"/>
    <cellStyle name="Normal 3 4 3 2 3 3 2 4" xfId="25011"/>
    <cellStyle name="Normal 3 4 3 2 3 3 2 5" xfId="37991"/>
    <cellStyle name="Normal 3 4 3 2 3 3 2 6" xfId="54220"/>
    <cellStyle name="Normal 3 4 3 2 3 3 3" xfId="8783"/>
    <cellStyle name="Normal 3 4 3 2 3 3 3 2" xfId="28256"/>
    <cellStyle name="Normal 3 4 3 2 3 3 3 3" xfId="41236"/>
    <cellStyle name="Normal 3 4 3 2 3 3 3 4" xfId="57465"/>
    <cellStyle name="Normal 3 4 3 2 3 3 4" xfId="15276"/>
    <cellStyle name="Normal 3 4 3 2 3 3 4 2" xfId="50975"/>
    <cellStyle name="Normal 3 4 3 2 3 3 5" xfId="21766"/>
    <cellStyle name="Normal 3 4 3 2 3 3 6" xfId="34746"/>
    <cellStyle name="Normal 3 4 3 2 3 3 7" xfId="47729"/>
    <cellStyle name="Normal 3 4 3 2 3 4" xfId="3873"/>
    <cellStyle name="Normal 3 4 3 2 3 4 2" xfId="10405"/>
    <cellStyle name="Normal 3 4 3 2 3 4 2 2" xfId="29878"/>
    <cellStyle name="Normal 3 4 3 2 3 4 2 3" xfId="42858"/>
    <cellStyle name="Normal 3 4 3 2 3 4 2 4" xfId="59087"/>
    <cellStyle name="Normal 3 4 3 2 3 4 3" xfId="16898"/>
    <cellStyle name="Normal 3 4 3 2 3 4 4" xfId="23388"/>
    <cellStyle name="Normal 3 4 3 2 3 4 5" xfId="36368"/>
    <cellStyle name="Normal 3 4 3 2 3 4 6" xfId="52597"/>
    <cellStyle name="Normal 3 4 3 2 3 5" xfId="7160"/>
    <cellStyle name="Normal 3 4 3 2 3 5 2" xfId="26633"/>
    <cellStyle name="Normal 3 4 3 2 3 5 3" xfId="39613"/>
    <cellStyle name="Normal 3 4 3 2 3 5 4" xfId="55842"/>
    <cellStyle name="Normal 3 4 3 2 3 6" xfId="13653"/>
    <cellStyle name="Normal 3 4 3 2 3 6 2" xfId="49352"/>
    <cellStyle name="Normal 3 4 3 2 3 7" xfId="20143"/>
    <cellStyle name="Normal 3 4 3 2 3 8" xfId="33123"/>
    <cellStyle name="Normal 3 4 3 2 3 9" xfId="46106"/>
    <cellStyle name="Normal 3 4 3 2 4" xfId="1069"/>
    <cellStyle name="Normal 3 4 3 2 4 2" xfId="2736"/>
    <cellStyle name="Normal 3 4 3 2 4 2 2" xfId="5981"/>
    <cellStyle name="Normal 3 4 3 2 4 2 2 2" xfId="12513"/>
    <cellStyle name="Normal 3 4 3 2 4 2 2 2 2" xfId="31986"/>
    <cellStyle name="Normal 3 4 3 2 4 2 2 2 3" xfId="44966"/>
    <cellStyle name="Normal 3 4 3 2 4 2 2 2 4" xfId="61195"/>
    <cellStyle name="Normal 3 4 3 2 4 2 2 3" xfId="19006"/>
    <cellStyle name="Normal 3 4 3 2 4 2 2 4" xfId="25496"/>
    <cellStyle name="Normal 3 4 3 2 4 2 2 5" xfId="38476"/>
    <cellStyle name="Normal 3 4 3 2 4 2 2 6" xfId="54705"/>
    <cellStyle name="Normal 3 4 3 2 4 2 3" xfId="9268"/>
    <cellStyle name="Normal 3 4 3 2 4 2 3 2" xfId="28741"/>
    <cellStyle name="Normal 3 4 3 2 4 2 3 3" xfId="41721"/>
    <cellStyle name="Normal 3 4 3 2 4 2 3 4" xfId="57950"/>
    <cellStyle name="Normal 3 4 3 2 4 2 4" xfId="15761"/>
    <cellStyle name="Normal 3 4 3 2 4 2 4 2" xfId="51460"/>
    <cellStyle name="Normal 3 4 3 2 4 2 5" xfId="22251"/>
    <cellStyle name="Normal 3 4 3 2 4 2 6" xfId="35231"/>
    <cellStyle name="Normal 3 4 3 2 4 2 7" xfId="48214"/>
    <cellStyle name="Normal 3 4 3 2 4 3" xfId="4358"/>
    <cellStyle name="Normal 3 4 3 2 4 3 2" xfId="10890"/>
    <cellStyle name="Normal 3 4 3 2 4 3 2 2" xfId="30363"/>
    <cellStyle name="Normal 3 4 3 2 4 3 2 3" xfId="43343"/>
    <cellStyle name="Normal 3 4 3 2 4 3 2 4" xfId="59572"/>
    <cellStyle name="Normal 3 4 3 2 4 3 3" xfId="17383"/>
    <cellStyle name="Normal 3 4 3 2 4 3 4" xfId="23873"/>
    <cellStyle name="Normal 3 4 3 2 4 3 5" xfId="36853"/>
    <cellStyle name="Normal 3 4 3 2 4 3 6" xfId="53082"/>
    <cellStyle name="Normal 3 4 3 2 4 4" xfId="7645"/>
    <cellStyle name="Normal 3 4 3 2 4 4 2" xfId="27118"/>
    <cellStyle name="Normal 3 4 3 2 4 4 3" xfId="40098"/>
    <cellStyle name="Normal 3 4 3 2 4 4 4" xfId="56327"/>
    <cellStyle name="Normal 3 4 3 2 4 5" xfId="14138"/>
    <cellStyle name="Normal 3 4 3 2 4 5 2" xfId="49837"/>
    <cellStyle name="Normal 3 4 3 2 4 6" xfId="20628"/>
    <cellStyle name="Normal 3 4 3 2 4 7" xfId="33608"/>
    <cellStyle name="Normal 3 4 3 2 4 8" xfId="46591"/>
    <cellStyle name="Normal 3 4 3 2 5" xfId="2022"/>
    <cellStyle name="Normal 3 4 3 2 5 2" xfId="5267"/>
    <cellStyle name="Normal 3 4 3 2 5 2 2" xfId="11799"/>
    <cellStyle name="Normal 3 4 3 2 5 2 2 2" xfId="31272"/>
    <cellStyle name="Normal 3 4 3 2 5 2 2 3" xfId="44252"/>
    <cellStyle name="Normal 3 4 3 2 5 2 2 4" xfId="60481"/>
    <cellStyle name="Normal 3 4 3 2 5 2 3" xfId="18292"/>
    <cellStyle name="Normal 3 4 3 2 5 2 4" xfId="24782"/>
    <cellStyle name="Normal 3 4 3 2 5 2 5" xfId="37762"/>
    <cellStyle name="Normal 3 4 3 2 5 2 6" xfId="53991"/>
    <cellStyle name="Normal 3 4 3 2 5 3" xfId="8554"/>
    <cellStyle name="Normal 3 4 3 2 5 3 2" xfId="28027"/>
    <cellStyle name="Normal 3 4 3 2 5 3 3" xfId="41007"/>
    <cellStyle name="Normal 3 4 3 2 5 3 4" xfId="57236"/>
    <cellStyle name="Normal 3 4 3 2 5 4" xfId="15047"/>
    <cellStyle name="Normal 3 4 3 2 5 4 2" xfId="50746"/>
    <cellStyle name="Normal 3 4 3 2 5 5" xfId="21537"/>
    <cellStyle name="Normal 3 4 3 2 5 6" xfId="34517"/>
    <cellStyle name="Normal 3 4 3 2 5 7" xfId="47500"/>
    <cellStyle name="Normal 3 4 3 2 6" xfId="3643"/>
    <cellStyle name="Normal 3 4 3 2 6 2" xfId="10175"/>
    <cellStyle name="Normal 3 4 3 2 6 2 2" xfId="29648"/>
    <cellStyle name="Normal 3 4 3 2 6 2 3" xfId="42628"/>
    <cellStyle name="Normal 3 4 3 2 6 2 4" xfId="58857"/>
    <cellStyle name="Normal 3 4 3 2 6 3" xfId="16668"/>
    <cellStyle name="Normal 3 4 3 2 6 4" xfId="23158"/>
    <cellStyle name="Normal 3 4 3 2 6 5" xfId="36138"/>
    <cellStyle name="Normal 3 4 3 2 6 6" xfId="52367"/>
    <cellStyle name="Normal 3 4 3 2 7" xfId="6930"/>
    <cellStyle name="Normal 3 4 3 2 7 2" xfId="26403"/>
    <cellStyle name="Normal 3 4 3 2 7 3" xfId="39383"/>
    <cellStyle name="Normal 3 4 3 2 7 4" xfId="55612"/>
    <cellStyle name="Normal 3 4 3 2 8" xfId="13423"/>
    <cellStyle name="Normal 3 4 3 2 8 2" xfId="49122"/>
    <cellStyle name="Normal 3 4 3 2 9" xfId="19913"/>
    <cellStyle name="Normal 3 4 3 3" xfId="725"/>
    <cellStyle name="Normal 3 4 3 3 10" xfId="46248"/>
    <cellStyle name="Normal 3 4 3 3 2" xfId="1664"/>
    <cellStyle name="Normal 3 4 3 3 2 2" xfId="3331"/>
    <cellStyle name="Normal 3 4 3 3 2 2 2" xfId="6576"/>
    <cellStyle name="Normal 3 4 3 3 2 2 2 2" xfId="13108"/>
    <cellStyle name="Normal 3 4 3 3 2 2 2 2 2" xfId="32581"/>
    <cellStyle name="Normal 3 4 3 3 2 2 2 2 3" xfId="45561"/>
    <cellStyle name="Normal 3 4 3 3 2 2 2 2 4" xfId="61790"/>
    <cellStyle name="Normal 3 4 3 3 2 2 2 3" xfId="19601"/>
    <cellStyle name="Normal 3 4 3 3 2 2 2 4" xfId="26091"/>
    <cellStyle name="Normal 3 4 3 3 2 2 2 5" xfId="39071"/>
    <cellStyle name="Normal 3 4 3 3 2 2 2 6" xfId="55300"/>
    <cellStyle name="Normal 3 4 3 3 2 2 3" xfId="9863"/>
    <cellStyle name="Normal 3 4 3 3 2 2 3 2" xfId="29336"/>
    <cellStyle name="Normal 3 4 3 3 2 2 3 3" xfId="42316"/>
    <cellStyle name="Normal 3 4 3 3 2 2 3 4" xfId="58545"/>
    <cellStyle name="Normal 3 4 3 3 2 2 4" xfId="16356"/>
    <cellStyle name="Normal 3 4 3 3 2 2 4 2" xfId="52055"/>
    <cellStyle name="Normal 3 4 3 3 2 2 5" xfId="22846"/>
    <cellStyle name="Normal 3 4 3 3 2 2 6" xfId="35826"/>
    <cellStyle name="Normal 3 4 3 3 2 2 7" xfId="48809"/>
    <cellStyle name="Normal 3 4 3 3 2 3" xfId="4953"/>
    <cellStyle name="Normal 3 4 3 3 2 3 2" xfId="11485"/>
    <cellStyle name="Normal 3 4 3 3 2 3 2 2" xfId="30958"/>
    <cellStyle name="Normal 3 4 3 3 2 3 2 3" xfId="43938"/>
    <cellStyle name="Normal 3 4 3 3 2 3 2 4" xfId="60167"/>
    <cellStyle name="Normal 3 4 3 3 2 3 3" xfId="17978"/>
    <cellStyle name="Normal 3 4 3 3 2 3 4" xfId="24468"/>
    <cellStyle name="Normal 3 4 3 3 2 3 5" xfId="37448"/>
    <cellStyle name="Normal 3 4 3 3 2 3 6" xfId="53677"/>
    <cellStyle name="Normal 3 4 3 3 2 4" xfId="8240"/>
    <cellStyle name="Normal 3 4 3 3 2 4 2" xfId="27713"/>
    <cellStyle name="Normal 3 4 3 3 2 4 3" xfId="40693"/>
    <cellStyle name="Normal 3 4 3 3 2 4 4" xfId="56922"/>
    <cellStyle name="Normal 3 4 3 3 2 5" xfId="14733"/>
    <cellStyle name="Normal 3 4 3 3 2 5 2" xfId="50432"/>
    <cellStyle name="Normal 3 4 3 3 2 6" xfId="21223"/>
    <cellStyle name="Normal 3 4 3 3 2 7" xfId="34203"/>
    <cellStyle name="Normal 3 4 3 3 2 8" xfId="47186"/>
    <cellStyle name="Normal 3 4 3 3 3" xfId="1201"/>
    <cellStyle name="Normal 3 4 3 3 3 2" xfId="2868"/>
    <cellStyle name="Normal 3 4 3 3 3 2 2" xfId="6113"/>
    <cellStyle name="Normal 3 4 3 3 3 2 2 2" xfId="12645"/>
    <cellStyle name="Normal 3 4 3 3 3 2 2 2 2" xfId="32118"/>
    <cellStyle name="Normal 3 4 3 3 3 2 2 2 3" xfId="45098"/>
    <cellStyle name="Normal 3 4 3 3 3 2 2 2 4" xfId="61327"/>
    <cellStyle name="Normal 3 4 3 3 3 2 2 3" xfId="19138"/>
    <cellStyle name="Normal 3 4 3 3 3 2 2 4" xfId="25628"/>
    <cellStyle name="Normal 3 4 3 3 3 2 2 5" xfId="38608"/>
    <cellStyle name="Normal 3 4 3 3 3 2 2 6" xfId="54837"/>
    <cellStyle name="Normal 3 4 3 3 3 2 3" xfId="9400"/>
    <cellStyle name="Normal 3 4 3 3 3 2 3 2" xfId="28873"/>
    <cellStyle name="Normal 3 4 3 3 3 2 3 3" xfId="41853"/>
    <cellStyle name="Normal 3 4 3 3 3 2 3 4" xfId="58082"/>
    <cellStyle name="Normal 3 4 3 3 3 2 4" xfId="15893"/>
    <cellStyle name="Normal 3 4 3 3 3 2 4 2" xfId="51592"/>
    <cellStyle name="Normal 3 4 3 3 3 2 5" xfId="22383"/>
    <cellStyle name="Normal 3 4 3 3 3 2 6" xfId="35363"/>
    <cellStyle name="Normal 3 4 3 3 3 2 7" xfId="48346"/>
    <cellStyle name="Normal 3 4 3 3 3 3" xfId="4490"/>
    <cellStyle name="Normal 3 4 3 3 3 3 2" xfId="11022"/>
    <cellStyle name="Normal 3 4 3 3 3 3 2 2" xfId="30495"/>
    <cellStyle name="Normal 3 4 3 3 3 3 2 3" xfId="43475"/>
    <cellStyle name="Normal 3 4 3 3 3 3 2 4" xfId="59704"/>
    <cellStyle name="Normal 3 4 3 3 3 3 3" xfId="17515"/>
    <cellStyle name="Normal 3 4 3 3 3 3 4" xfId="24005"/>
    <cellStyle name="Normal 3 4 3 3 3 3 5" xfId="36985"/>
    <cellStyle name="Normal 3 4 3 3 3 3 6" xfId="53214"/>
    <cellStyle name="Normal 3 4 3 3 3 4" xfId="7777"/>
    <cellStyle name="Normal 3 4 3 3 3 4 2" xfId="27250"/>
    <cellStyle name="Normal 3 4 3 3 3 4 3" xfId="40230"/>
    <cellStyle name="Normal 3 4 3 3 3 4 4" xfId="56459"/>
    <cellStyle name="Normal 3 4 3 3 3 5" xfId="14270"/>
    <cellStyle name="Normal 3 4 3 3 3 5 2" xfId="49969"/>
    <cellStyle name="Normal 3 4 3 3 3 6" xfId="20760"/>
    <cellStyle name="Normal 3 4 3 3 3 7" xfId="33740"/>
    <cellStyle name="Normal 3 4 3 3 3 8" xfId="46723"/>
    <cellStyle name="Normal 3 4 3 3 4" xfId="2393"/>
    <cellStyle name="Normal 3 4 3 3 4 2" xfId="5638"/>
    <cellStyle name="Normal 3 4 3 3 4 2 2" xfId="12170"/>
    <cellStyle name="Normal 3 4 3 3 4 2 2 2" xfId="31643"/>
    <cellStyle name="Normal 3 4 3 3 4 2 2 3" xfId="44623"/>
    <cellStyle name="Normal 3 4 3 3 4 2 2 4" xfId="60852"/>
    <cellStyle name="Normal 3 4 3 3 4 2 3" xfId="18663"/>
    <cellStyle name="Normal 3 4 3 3 4 2 4" xfId="25153"/>
    <cellStyle name="Normal 3 4 3 3 4 2 5" xfId="38133"/>
    <cellStyle name="Normal 3 4 3 3 4 2 6" xfId="54362"/>
    <cellStyle name="Normal 3 4 3 3 4 3" xfId="8925"/>
    <cellStyle name="Normal 3 4 3 3 4 3 2" xfId="28398"/>
    <cellStyle name="Normal 3 4 3 3 4 3 3" xfId="41378"/>
    <cellStyle name="Normal 3 4 3 3 4 3 4" xfId="57607"/>
    <cellStyle name="Normal 3 4 3 3 4 4" xfId="15418"/>
    <cellStyle name="Normal 3 4 3 3 4 4 2" xfId="51117"/>
    <cellStyle name="Normal 3 4 3 3 4 5" xfId="21908"/>
    <cellStyle name="Normal 3 4 3 3 4 6" xfId="34888"/>
    <cellStyle name="Normal 3 4 3 3 4 7" xfId="47871"/>
    <cellStyle name="Normal 3 4 3 3 5" xfId="4015"/>
    <cellStyle name="Normal 3 4 3 3 5 2" xfId="10547"/>
    <cellStyle name="Normal 3 4 3 3 5 2 2" xfId="30020"/>
    <cellStyle name="Normal 3 4 3 3 5 2 3" xfId="43000"/>
    <cellStyle name="Normal 3 4 3 3 5 2 4" xfId="59229"/>
    <cellStyle name="Normal 3 4 3 3 5 3" xfId="17040"/>
    <cellStyle name="Normal 3 4 3 3 5 4" xfId="23530"/>
    <cellStyle name="Normal 3 4 3 3 5 5" xfId="36510"/>
    <cellStyle name="Normal 3 4 3 3 5 6" xfId="52739"/>
    <cellStyle name="Normal 3 4 3 3 6" xfId="7302"/>
    <cellStyle name="Normal 3 4 3 3 6 2" xfId="26775"/>
    <cellStyle name="Normal 3 4 3 3 6 3" xfId="39755"/>
    <cellStyle name="Normal 3 4 3 3 6 4" xfId="55984"/>
    <cellStyle name="Normal 3 4 3 3 7" xfId="13795"/>
    <cellStyle name="Normal 3 4 3 3 7 2" xfId="49494"/>
    <cellStyle name="Normal 3 4 3 3 8" xfId="20285"/>
    <cellStyle name="Normal 3 4 3 3 9" xfId="33265"/>
    <cellStyle name="Normal 3 4 3 4" xfId="495"/>
    <cellStyle name="Normal 3 4 3 4 2" xfId="1444"/>
    <cellStyle name="Normal 3 4 3 4 2 2" xfId="3111"/>
    <cellStyle name="Normal 3 4 3 4 2 2 2" xfId="6356"/>
    <cellStyle name="Normal 3 4 3 4 2 2 2 2" xfId="12888"/>
    <cellStyle name="Normal 3 4 3 4 2 2 2 2 2" xfId="32361"/>
    <cellStyle name="Normal 3 4 3 4 2 2 2 2 3" xfId="45341"/>
    <cellStyle name="Normal 3 4 3 4 2 2 2 2 4" xfId="61570"/>
    <cellStyle name="Normal 3 4 3 4 2 2 2 3" xfId="19381"/>
    <cellStyle name="Normal 3 4 3 4 2 2 2 4" xfId="25871"/>
    <cellStyle name="Normal 3 4 3 4 2 2 2 5" xfId="38851"/>
    <cellStyle name="Normal 3 4 3 4 2 2 2 6" xfId="55080"/>
    <cellStyle name="Normal 3 4 3 4 2 2 3" xfId="9643"/>
    <cellStyle name="Normal 3 4 3 4 2 2 3 2" xfId="29116"/>
    <cellStyle name="Normal 3 4 3 4 2 2 3 3" xfId="42096"/>
    <cellStyle name="Normal 3 4 3 4 2 2 3 4" xfId="58325"/>
    <cellStyle name="Normal 3 4 3 4 2 2 4" xfId="16136"/>
    <cellStyle name="Normal 3 4 3 4 2 2 4 2" xfId="51835"/>
    <cellStyle name="Normal 3 4 3 4 2 2 5" xfId="22626"/>
    <cellStyle name="Normal 3 4 3 4 2 2 6" xfId="35606"/>
    <cellStyle name="Normal 3 4 3 4 2 2 7" xfId="48589"/>
    <cellStyle name="Normal 3 4 3 4 2 3" xfId="4733"/>
    <cellStyle name="Normal 3 4 3 4 2 3 2" xfId="11265"/>
    <cellStyle name="Normal 3 4 3 4 2 3 2 2" xfId="30738"/>
    <cellStyle name="Normal 3 4 3 4 2 3 2 3" xfId="43718"/>
    <cellStyle name="Normal 3 4 3 4 2 3 2 4" xfId="59947"/>
    <cellStyle name="Normal 3 4 3 4 2 3 3" xfId="17758"/>
    <cellStyle name="Normal 3 4 3 4 2 3 4" xfId="24248"/>
    <cellStyle name="Normal 3 4 3 4 2 3 5" xfId="37228"/>
    <cellStyle name="Normal 3 4 3 4 2 3 6" xfId="53457"/>
    <cellStyle name="Normal 3 4 3 4 2 4" xfId="8020"/>
    <cellStyle name="Normal 3 4 3 4 2 4 2" xfId="27493"/>
    <cellStyle name="Normal 3 4 3 4 2 4 3" xfId="40473"/>
    <cellStyle name="Normal 3 4 3 4 2 4 4" xfId="56702"/>
    <cellStyle name="Normal 3 4 3 4 2 5" xfId="14513"/>
    <cellStyle name="Normal 3 4 3 4 2 5 2" xfId="50212"/>
    <cellStyle name="Normal 3 4 3 4 2 6" xfId="21003"/>
    <cellStyle name="Normal 3 4 3 4 2 7" xfId="33983"/>
    <cellStyle name="Normal 3 4 3 4 2 8" xfId="46966"/>
    <cellStyle name="Normal 3 4 3 4 3" xfId="2163"/>
    <cellStyle name="Normal 3 4 3 4 3 2" xfId="5408"/>
    <cellStyle name="Normal 3 4 3 4 3 2 2" xfId="11940"/>
    <cellStyle name="Normal 3 4 3 4 3 2 2 2" xfId="31413"/>
    <cellStyle name="Normal 3 4 3 4 3 2 2 3" xfId="44393"/>
    <cellStyle name="Normal 3 4 3 4 3 2 2 4" xfId="60622"/>
    <cellStyle name="Normal 3 4 3 4 3 2 3" xfId="18433"/>
    <cellStyle name="Normal 3 4 3 4 3 2 4" xfId="24923"/>
    <cellStyle name="Normal 3 4 3 4 3 2 5" xfId="37903"/>
    <cellStyle name="Normal 3 4 3 4 3 2 6" xfId="54132"/>
    <cellStyle name="Normal 3 4 3 4 3 3" xfId="8695"/>
    <cellStyle name="Normal 3 4 3 4 3 3 2" xfId="28168"/>
    <cellStyle name="Normal 3 4 3 4 3 3 3" xfId="41148"/>
    <cellStyle name="Normal 3 4 3 4 3 3 4" xfId="57377"/>
    <cellStyle name="Normal 3 4 3 4 3 4" xfId="15188"/>
    <cellStyle name="Normal 3 4 3 4 3 4 2" xfId="50887"/>
    <cellStyle name="Normal 3 4 3 4 3 5" xfId="21678"/>
    <cellStyle name="Normal 3 4 3 4 3 6" xfId="34658"/>
    <cellStyle name="Normal 3 4 3 4 3 7" xfId="47641"/>
    <cellStyle name="Normal 3 4 3 4 4" xfId="3785"/>
    <cellStyle name="Normal 3 4 3 4 4 2" xfId="10317"/>
    <cellStyle name="Normal 3 4 3 4 4 2 2" xfId="29790"/>
    <cellStyle name="Normal 3 4 3 4 4 2 3" xfId="42770"/>
    <cellStyle name="Normal 3 4 3 4 4 2 4" xfId="58999"/>
    <cellStyle name="Normal 3 4 3 4 4 3" xfId="16810"/>
    <cellStyle name="Normal 3 4 3 4 4 4" xfId="23300"/>
    <cellStyle name="Normal 3 4 3 4 4 5" xfId="36280"/>
    <cellStyle name="Normal 3 4 3 4 4 6" xfId="52509"/>
    <cellStyle name="Normal 3 4 3 4 5" xfId="7072"/>
    <cellStyle name="Normal 3 4 3 4 5 2" xfId="26545"/>
    <cellStyle name="Normal 3 4 3 4 5 3" xfId="39525"/>
    <cellStyle name="Normal 3 4 3 4 5 4" xfId="55754"/>
    <cellStyle name="Normal 3 4 3 4 6" xfId="13565"/>
    <cellStyle name="Normal 3 4 3 4 6 2" xfId="49264"/>
    <cellStyle name="Normal 3 4 3 4 7" xfId="20055"/>
    <cellStyle name="Normal 3 4 3 4 8" xfId="33035"/>
    <cellStyle name="Normal 3 4 3 4 9" xfId="46018"/>
    <cellStyle name="Normal 3 4 3 5" xfId="981"/>
    <cellStyle name="Normal 3 4 3 5 2" xfId="2648"/>
    <cellStyle name="Normal 3 4 3 5 2 2" xfId="5893"/>
    <cellStyle name="Normal 3 4 3 5 2 2 2" xfId="12425"/>
    <cellStyle name="Normal 3 4 3 5 2 2 2 2" xfId="31898"/>
    <cellStyle name="Normal 3 4 3 5 2 2 2 3" xfId="44878"/>
    <cellStyle name="Normal 3 4 3 5 2 2 2 4" xfId="61107"/>
    <cellStyle name="Normal 3 4 3 5 2 2 3" xfId="18918"/>
    <cellStyle name="Normal 3 4 3 5 2 2 4" xfId="25408"/>
    <cellStyle name="Normal 3 4 3 5 2 2 5" xfId="38388"/>
    <cellStyle name="Normal 3 4 3 5 2 2 6" xfId="54617"/>
    <cellStyle name="Normal 3 4 3 5 2 3" xfId="9180"/>
    <cellStyle name="Normal 3 4 3 5 2 3 2" xfId="28653"/>
    <cellStyle name="Normal 3 4 3 5 2 3 3" xfId="41633"/>
    <cellStyle name="Normal 3 4 3 5 2 3 4" xfId="57862"/>
    <cellStyle name="Normal 3 4 3 5 2 4" xfId="15673"/>
    <cellStyle name="Normal 3 4 3 5 2 4 2" xfId="51372"/>
    <cellStyle name="Normal 3 4 3 5 2 5" xfId="22163"/>
    <cellStyle name="Normal 3 4 3 5 2 6" xfId="35143"/>
    <cellStyle name="Normal 3 4 3 5 2 7" xfId="48126"/>
    <cellStyle name="Normal 3 4 3 5 3" xfId="4270"/>
    <cellStyle name="Normal 3 4 3 5 3 2" xfId="10802"/>
    <cellStyle name="Normal 3 4 3 5 3 2 2" xfId="30275"/>
    <cellStyle name="Normal 3 4 3 5 3 2 3" xfId="43255"/>
    <cellStyle name="Normal 3 4 3 5 3 2 4" xfId="59484"/>
    <cellStyle name="Normal 3 4 3 5 3 3" xfId="17295"/>
    <cellStyle name="Normal 3 4 3 5 3 4" xfId="23785"/>
    <cellStyle name="Normal 3 4 3 5 3 5" xfId="36765"/>
    <cellStyle name="Normal 3 4 3 5 3 6" xfId="52994"/>
    <cellStyle name="Normal 3 4 3 5 4" xfId="7557"/>
    <cellStyle name="Normal 3 4 3 5 4 2" xfId="27030"/>
    <cellStyle name="Normal 3 4 3 5 4 3" xfId="40010"/>
    <cellStyle name="Normal 3 4 3 5 4 4" xfId="56239"/>
    <cellStyle name="Normal 3 4 3 5 5" xfId="14050"/>
    <cellStyle name="Normal 3 4 3 5 5 2" xfId="49749"/>
    <cellStyle name="Normal 3 4 3 5 6" xfId="20540"/>
    <cellStyle name="Normal 3 4 3 5 7" xfId="33520"/>
    <cellStyle name="Normal 3 4 3 5 8" xfId="46503"/>
    <cellStyle name="Normal 3 4 3 6" xfId="1934"/>
    <cellStyle name="Normal 3 4 3 6 2" xfId="5179"/>
    <cellStyle name="Normal 3 4 3 6 2 2" xfId="11711"/>
    <cellStyle name="Normal 3 4 3 6 2 2 2" xfId="31184"/>
    <cellStyle name="Normal 3 4 3 6 2 2 3" xfId="44164"/>
    <cellStyle name="Normal 3 4 3 6 2 2 4" xfId="60393"/>
    <cellStyle name="Normal 3 4 3 6 2 3" xfId="18204"/>
    <cellStyle name="Normal 3 4 3 6 2 4" xfId="24694"/>
    <cellStyle name="Normal 3 4 3 6 2 5" xfId="37674"/>
    <cellStyle name="Normal 3 4 3 6 2 6" xfId="53903"/>
    <cellStyle name="Normal 3 4 3 6 3" xfId="8466"/>
    <cellStyle name="Normal 3 4 3 6 3 2" xfId="27939"/>
    <cellStyle name="Normal 3 4 3 6 3 3" xfId="40919"/>
    <cellStyle name="Normal 3 4 3 6 3 4" xfId="57148"/>
    <cellStyle name="Normal 3 4 3 6 4" xfId="14959"/>
    <cellStyle name="Normal 3 4 3 6 4 2" xfId="50658"/>
    <cellStyle name="Normal 3 4 3 6 5" xfId="21449"/>
    <cellStyle name="Normal 3 4 3 6 6" xfId="34429"/>
    <cellStyle name="Normal 3 4 3 6 7" xfId="47412"/>
    <cellStyle name="Normal 3 4 3 7" xfId="3555"/>
    <cellStyle name="Normal 3 4 3 7 2" xfId="10087"/>
    <cellStyle name="Normal 3 4 3 7 2 2" xfId="29560"/>
    <cellStyle name="Normal 3 4 3 7 2 3" xfId="42540"/>
    <cellStyle name="Normal 3 4 3 7 2 4" xfId="58769"/>
    <cellStyle name="Normal 3 4 3 7 3" xfId="16580"/>
    <cellStyle name="Normal 3 4 3 7 4" xfId="23070"/>
    <cellStyle name="Normal 3 4 3 7 5" xfId="36050"/>
    <cellStyle name="Normal 3 4 3 7 6" xfId="52279"/>
    <cellStyle name="Normal 3 4 3 8" xfId="6842"/>
    <cellStyle name="Normal 3 4 3 8 2" xfId="26315"/>
    <cellStyle name="Normal 3 4 3 8 3" xfId="39295"/>
    <cellStyle name="Normal 3 4 3 8 4" xfId="55524"/>
    <cellStyle name="Normal 3 4 3 9" xfId="13335"/>
    <cellStyle name="Normal 3 4 3 9 2" xfId="49034"/>
    <cellStyle name="Normal 3 4 4" xfId="217"/>
    <cellStyle name="Normal 3 4 4 10" xfId="32761"/>
    <cellStyle name="Normal 3 4 4 11" xfId="45744"/>
    <cellStyle name="Normal 3 4 4 2" xfId="681"/>
    <cellStyle name="Normal 3 4 4 2 10" xfId="46204"/>
    <cellStyle name="Normal 3 4 4 2 2" xfId="1620"/>
    <cellStyle name="Normal 3 4 4 2 2 2" xfId="3287"/>
    <cellStyle name="Normal 3 4 4 2 2 2 2" xfId="6532"/>
    <cellStyle name="Normal 3 4 4 2 2 2 2 2" xfId="13064"/>
    <cellStyle name="Normal 3 4 4 2 2 2 2 2 2" xfId="32537"/>
    <cellStyle name="Normal 3 4 4 2 2 2 2 2 3" xfId="45517"/>
    <cellStyle name="Normal 3 4 4 2 2 2 2 2 4" xfId="61746"/>
    <cellStyle name="Normal 3 4 4 2 2 2 2 3" xfId="19557"/>
    <cellStyle name="Normal 3 4 4 2 2 2 2 4" xfId="26047"/>
    <cellStyle name="Normal 3 4 4 2 2 2 2 5" xfId="39027"/>
    <cellStyle name="Normal 3 4 4 2 2 2 2 6" xfId="55256"/>
    <cellStyle name="Normal 3 4 4 2 2 2 3" xfId="9819"/>
    <cellStyle name="Normal 3 4 4 2 2 2 3 2" xfId="29292"/>
    <cellStyle name="Normal 3 4 4 2 2 2 3 3" xfId="42272"/>
    <cellStyle name="Normal 3 4 4 2 2 2 3 4" xfId="58501"/>
    <cellStyle name="Normal 3 4 4 2 2 2 4" xfId="16312"/>
    <cellStyle name="Normal 3 4 4 2 2 2 4 2" xfId="52011"/>
    <cellStyle name="Normal 3 4 4 2 2 2 5" xfId="22802"/>
    <cellStyle name="Normal 3 4 4 2 2 2 6" xfId="35782"/>
    <cellStyle name="Normal 3 4 4 2 2 2 7" xfId="48765"/>
    <cellStyle name="Normal 3 4 4 2 2 3" xfId="4909"/>
    <cellStyle name="Normal 3 4 4 2 2 3 2" xfId="11441"/>
    <cellStyle name="Normal 3 4 4 2 2 3 2 2" xfId="30914"/>
    <cellStyle name="Normal 3 4 4 2 2 3 2 3" xfId="43894"/>
    <cellStyle name="Normal 3 4 4 2 2 3 2 4" xfId="60123"/>
    <cellStyle name="Normal 3 4 4 2 2 3 3" xfId="17934"/>
    <cellStyle name="Normal 3 4 4 2 2 3 4" xfId="24424"/>
    <cellStyle name="Normal 3 4 4 2 2 3 5" xfId="37404"/>
    <cellStyle name="Normal 3 4 4 2 2 3 6" xfId="53633"/>
    <cellStyle name="Normal 3 4 4 2 2 4" xfId="8196"/>
    <cellStyle name="Normal 3 4 4 2 2 4 2" xfId="27669"/>
    <cellStyle name="Normal 3 4 4 2 2 4 3" xfId="40649"/>
    <cellStyle name="Normal 3 4 4 2 2 4 4" xfId="56878"/>
    <cellStyle name="Normal 3 4 4 2 2 5" xfId="14689"/>
    <cellStyle name="Normal 3 4 4 2 2 5 2" xfId="50388"/>
    <cellStyle name="Normal 3 4 4 2 2 6" xfId="21179"/>
    <cellStyle name="Normal 3 4 4 2 2 7" xfId="34159"/>
    <cellStyle name="Normal 3 4 4 2 2 8" xfId="47142"/>
    <cellStyle name="Normal 3 4 4 2 3" xfId="1157"/>
    <cellStyle name="Normal 3 4 4 2 3 2" xfId="2824"/>
    <cellStyle name="Normal 3 4 4 2 3 2 2" xfId="6069"/>
    <cellStyle name="Normal 3 4 4 2 3 2 2 2" xfId="12601"/>
    <cellStyle name="Normal 3 4 4 2 3 2 2 2 2" xfId="32074"/>
    <cellStyle name="Normal 3 4 4 2 3 2 2 2 3" xfId="45054"/>
    <cellStyle name="Normal 3 4 4 2 3 2 2 2 4" xfId="61283"/>
    <cellStyle name="Normal 3 4 4 2 3 2 2 3" xfId="19094"/>
    <cellStyle name="Normal 3 4 4 2 3 2 2 4" xfId="25584"/>
    <cellStyle name="Normal 3 4 4 2 3 2 2 5" xfId="38564"/>
    <cellStyle name="Normal 3 4 4 2 3 2 2 6" xfId="54793"/>
    <cellStyle name="Normal 3 4 4 2 3 2 3" xfId="9356"/>
    <cellStyle name="Normal 3 4 4 2 3 2 3 2" xfId="28829"/>
    <cellStyle name="Normal 3 4 4 2 3 2 3 3" xfId="41809"/>
    <cellStyle name="Normal 3 4 4 2 3 2 3 4" xfId="58038"/>
    <cellStyle name="Normal 3 4 4 2 3 2 4" xfId="15849"/>
    <cellStyle name="Normal 3 4 4 2 3 2 4 2" xfId="51548"/>
    <cellStyle name="Normal 3 4 4 2 3 2 5" xfId="22339"/>
    <cellStyle name="Normal 3 4 4 2 3 2 6" xfId="35319"/>
    <cellStyle name="Normal 3 4 4 2 3 2 7" xfId="48302"/>
    <cellStyle name="Normal 3 4 4 2 3 3" xfId="4446"/>
    <cellStyle name="Normal 3 4 4 2 3 3 2" xfId="10978"/>
    <cellStyle name="Normal 3 4 4 2 3 3 2 2" xfId="30451"/>
    <cellStyle name="Normal 3 4 4 2 3 3 2 3" xfId="43431"/>
    <cellStyle name="Normal 3 4 4 2 3 3 2 4" xfId="59660"/>
    <cellStyle name="Normal 3 4 4 2 3 3 3" xfId="17471"/>
    <cellStyle name="Normal 3 4 4 2 3 3 4" xfId="23961"/>
    <cellStyle name="Normal 3 4 4 2 3 3 5" xfId="36941"/>
    <cellStyle name="Normal 3 4 4 2 3 3 6" xfId="53170"/>
    <cellStyle name="Normal 3 4 4 2 3 4" xfId="7733"/>
    <cellStyle name="Normal 3 4 4 2 3 4 2" xfId="27206"/>
    <cellStyle name="Normal 3 4 4 2 3 4 3" xfId="40186"/>
    <cellStyle name="Normal 3 4 4 2 3 4 4" xfId="56415"/>
    <cellStyle name="Normal 3 4 4 2 3 5" xfId="14226"/>
    <cellStyle name="Normal 3 4 4 2 3 5 2" xfId="49925"/>
    <cellStyle name="Normal 3 4 4 2 3 6" xfId="20716"/>
    <cellStyle name="Normal 3 4 4 2 3 7" xfId="33696"/>
    <cellStyle name="Normal 3 4 4 2 3 8" xfId="46679"/>
    <cellStyle name="Normal 3 4 4 2 4" xfId="2349"/>
    <cellStyle name="Normal 3 4 4 2 4 2" xfId="5594"/>
    <cellStyle name="Normal 3 4 4 2 4 2 2" xfId="12126"/>
    <cellStyle name="Normal 3 4 4 2 4 2 2 2" xfId="31599"/>
    <cellStyle name="Normal 3 4 4 2 4 2 2 3" xfId="44579"/>
    <cellStyle name="Normal 3 4 4 2 4 2 2 4" xfId="60808"/>
    <cellStyle name="Normal 3 4 4 2 4 2 3" xfId="18619"/>
    <cellStyle name="Normal 3 4 4 2 4 2 4" xfId="25109"/>
    <cellStyle name="Normal 3 4 4 2 4 2 5" xfId="38089"/>
    <cellStyle name="Normal 3 4 4 2 4 2 6" xfId="54318"/>
    <cellStyle name="Normal 3 4 4 2 4 3" xfId="8881"/>
    <cellStyle name="Normal 3 4 4 2 4 3 2" xfId="28354"/>
    <cellStyle name="Normal 3 4 4 2 4 3 3" xfId="41334"/>
    <cellStyle name="Normal 3 4 4 2 4 3 4" xfId="57563"/>
    <cellStyle name="Normal 3 4 4 2 4 4" xfId="15374"/>
    <cellStyle name="Normal 3 4 4 2 4 4 2" xfId="51073"/>
    <cellStyle name="Normal 3 4 4 2 4 5" xfId="21864"/>
    <cellStyle name="Normal 3 4 4 2 4 6" xfId="34844"/>
    <cellStyle name="Normal 3 4 4 2 4 7" xfId="47827"/>
    <cellStyle name="Normal 3 4 4 2 5" xfId="3971"/>
    <cellStyle name="Normal 3 4 4 2 5 2" xfId="10503"/>
    <cellStyle name="Normal 3 4 4 2 5 2 2" xfId="29976"/>
    <cellStyle name="Normal 3 4 4 2 5 2 3" xfId="42956"/>
    <cellStyle name="Normal 3 4 4 2 5 2 4" xfId="59185"/>
    <cellStyle name="Normal 3 4 4 2 5 3" xfId="16996"/>
    <cellStyle name="Normal 3 4 4 2 5 4" xfId="23486"/>
    <cellStyle name="Normal 3 4 4 2 5 5" xfId="36466"/>
    <cellStyle name="Normal 3 4 4 2 5 6" xfId="52695"/>
    <cellStyle name="Normal 3 4 4 2 6" xfId="7258"/>
    <cellStyle name="Normal 3 4 4 2 6 2" xfId="26731"/>
    <cellStyle name="Normal 3 4 4 2 6 3" xfId="39711"/>
    <cellStyle name="Normal 3 4 4 2 6 4" xfId="55940"/>
    <cellStyle name="Normal 3 4 4 2 7" xfId="13751"/>
    <cellStyle name="Normal 3 4 4 2 7 2" xfId="49450"/>
    <cellStyle name="Normal 3 4 4 2 8" xfId="20241"/>
    <cellStyle name="Normal 3 4 4 2 9" xfId="33221"/>
    <cellStyle name="Normal 3 4 4 3" xfId="451"/>
    <cellStyle name="Normal 3 4 4 3 2" xfId="1400"/>
    <cellStyle name="Normal 3 4 4 3 2 2" xfId="3067"/>
    <cellStyle name="Normal 3 4 4 3 2 2 2" xfId="6312"/>
    <cellStyle name="Normal 3 4 4 3 2 2 2 2" xfId="12844"/>
    <cellStyle name="Normal 3 4 4 3 2 2 2 2 2" xfId="32317"/>
    <cellStyle name="Normal 3 4 4 3 2 2 2 2 3" xfId="45297"/>
    <cellStyle name="Normal 3 4 4 3 2 2 2 2 4" xfId="61526"/>
    <cellStyle name="Normal 3 4 4 3 2 2 2 3" xfId="19337"/>
    <cellStyle name="Normal 3 4 4 3 2 2 2 4" xfId="25827"/>
    <cellStyle name="Normal 3 4 4 3 2 2 2 5" xfId="38807"/>
    <cellStyle name="Normal 3 4 4 3 2 2 2 6" xfId="55036"/>
    <cellStyle name="Normal 3 4 4 3 2 2 3" xfId="9599"/>
    <cellStyle name="Normal 3 4 4 3 2 2 3 2" xfId="29072"/>
    <cellStyle name="Normal 3 4 4 3 2 2 3 3" xfId="42052"/>
    <cellStyle name="Normal 3 4 4 3 2 2 3 4" xfId="58281"/>
    <cellStyle name="Normal 3 4 4 3 2 2 4" xfId="16092"/>
    <cellStyle name="Normal 3 4 4 3 2 2 4 2" xfId="51791"/>
    <cellStyle name="Normal 3 4 4 3 2 2 5" xfId="22582"/>
    <cellStyle name="Normal 3 4 4 3 2 2 6" xfId="35562"/>
    <cellStyle name="Normal 3 4 4 3 2 2 7" xfId="48545"/>
    <cellStyle name="Normal 3 4 4 3 2 3" xfId="4689"/>
    <cellStyle name="Normal 3 4 4 3 2 3 2" xfId="11221"/>
    <cellStyle name="Normal 3 4 4 3 2 3 2 2" xfId="30694"/>
    <cellStyle name="Normal 3 4 4 3 2 3 2 3" xfId="43674"/>
    <cellStyle name="Normal 3 4 4 3 2 3 2 4" xfId="59903"/>
    <cellStyle name="Normal 3 4 4 3 2 3 3" xfId="17714"/>
    <cellStyle name="Normal 3 4 4 3 2 3 4" xfId="24204"/>
    <cellStyle name="Normal 3 4 4 3 2 3 5" xfId="37184"/>
    <cellStyle name="Normal 3 4 4 3 2 3 6" xfId="53413"/>
    <cellStyle name="Normal 3 4 4 3 2 4" xfId="7976"/>
    <cellStyle name="Normal 3 4 4 3 2 4 2" xfId="27449"/>
    <cellStyle name="Normal 3 4 4 3 2 4 3" xfId="40429"/>
    <cellStyle name="Normal 3 4 4 3 2 4 4" xfId="56658"/>
    <cellStyle name="Normal 3 4 4 3 2 5" xfId="14469"/>
    <cellStyle name="Normal 3 4 4 3 2 5 2" xfId="50168"/>
    <cellStyle name="Normal 3 4 4 3 2 6" xfId="20959"/>
    <cellStyle name="Normal 3 4 4 3 2 7" xfId="33939"/>
    <cellStyle name="Normal 3 4 4 3 2 8" xfId="46922"/>
    <cellStyle name="Normal 3 4 4 3 3" xfId="2119"/>
    <cellStyle name="Normal 3 4 4 3 3 2" xfId="5364"/>
    <cellStyle name="Normal 3 4 4 3 3 2 2" xfId="11896"/>
    <cellStyle name="Normal 3 4 4 3 3 2 2 2" xfId="31369"/>
    <cellStyle name="Normal 3 4 4 3 3 2 2 3" xfId="44349"/>
    <cellStyle name="Normal 3 4 4 3 3 2 2 4" xfId="60578"/>
    <cellStyle name="Normal 3 4 4 3 3 2 3" xfId="18389"/>
    <cellStyle name="Normal 3 4 4 3 3 2 4" xfId="24879"/>
    <cellStyle name="Normal 3 4 4 3 3 2 5" xfId="37859"/>
    <cellStyle name="Normal 3 4 4 3 3 2 6" xfId="54088"/>
    <cellStyle name="Normal 3 4 4 3 3 3" xfId="8651"/>
    <cellStyle name="Normal 3 4 4 3 3 3 2" xfId="28124"/>
    <cellStyle name="Normal 3 4 4 3 3 3 3" xfId="41104"/>
    <cellStyle name="Normal 3 4 4 3 3 3 4" xfId="57333"/>
    <cellStyle name="Normal 3 4 4 3 3 4" xfId="15144"/>
    <cellStyle name="Normal 3 4 4 3 3 4 2" xfId="50843"/>
    <cellStyle name="Normal 3 4 4 3 3 5" xfId="21634"/>
    <cellStyle name="Normal 3 4 4 3 3 6" xfId="34614"/>
    <cellStyle name="Normal 3 4 4 3 3 7" xfId="47597"/>
    <cellStyle name="Normal 3 4 4 3 4" xfId="3741"/>
    <cellStyle name="Normal 3 4 4 3 4 2" xfId="10273"/>
    <cellStyle name="Normal 3 4 4 3 4 2 2" xfId="29746"/>
    <cellStyle name="Normal 3 4 4 3 4 2 3" xfId="42726"/>
    <cellStyle name="Normal 3 4 4 3 4 2 4" xfId="58955"/>
    <cellStyle name="Normal 3 4 4 3 4 3" xfId="16766"/>
    <cellStyle name="Normal 3 4 4 3 4 4" xfId="23256"/>
    <cellStyle name="Normal 3 4 4 3 4 5" xfId="36236"/>
    <cellStyle name="Normal 3 4 4 3 4 6" xfId="52465"/>
    <cellStyle name="Normal 3 4 4 3 5" xfId="7028"/>
    <cellStyle name="Normal 3 4 4 3 5 2" xfId="26501"/>
    <cellStyle name="Normal 3 4 4 3 5 3" xfId="39481"/>
    <cellStyle name="Normal 3 4 4 3 5 4" xfId="55710"/>
    <cellStyle name="Normal 3 4 4 3 6" xfId="13521"/>
    <cellStyle name="Normal 3 4 4 3 6 2" xfId="49220"/>
    <cellStyle name="Normal 3 4 4 3 7" xfId="20011"/>
    <cellStyle name="Normal 3 4 4 3 8" xfId="32991"/>
    <cellStyle name="Normal 3 4 4 3 9" xfId="45974"/>
    <cellStyle name="Normal 3 4 4 4" xfId="937"/>
    <cellStyle name="Normal 3 4 4 4 2" xfId="2604"/>
    <cellStyle name="Normal 3 4 4 4 2 2" xfId="5849"/>
    <cellStyle name="Normal 3 4 4 4 2 2 2" xfId="12381"/>
    <cellStyle name="Normal 3 4 4 4 2 2 2 2" xfId="31854"/>
    <cellStyle name="Normal 3 4 4 4 2 2 2 3" xfId="44834"/>
    <cellStyle name="Normal 3 4 4 4 2 2 2 4" xfId="61063"/>
    <cellStyle name="Normal 3 4 4 4 2 2 3" xfId="18874"/>
    <cellStyle name="Normal 3 4 4 4 2 2 4" xfId="25364"/>
    <cellStyle name="Normal 3 4 4 4 2 2 5" xfId="38344"/>
    <cellStyle name="Normal 3 4 4 4 2 2 6" xfId="54573"/>
    <cellStyle name="Normal 3 4 4 4 2 3" xfId="9136"/>
    <cellStyle name="Normal 3 4 4 4 2 3 2" xfId="28609"/>
    <cellStyle name="Normal 3 4 4 4 2 3 3" xfId="41589"/>
    <cellStyle name="Normal 3 4 4 4 2 3 4" xfId="57818"/>
    <cellStyle name="Normal 3 4 4 4 2 4" xfId="15629"/>
    <cellStyle name="Normal 3 4 4 4 2 4 2" xfId="51328"/>
    <cellStyle name="Normal 3 4 4 4 2 5" xfId="22119"/>
    <cellStyle name="Normal 3 4 4 4 2 6" xfId="35099"/>
    <cellStyle name="Normal 3 4 4 4 2 7" xfId="48082"/>
    <cellStyle name="Normal 3 4 4 4 3" xfId="4226"/>
    <cellStyle name="Normal 3 4 4 4 3 2" xfId="10758"/>
    <cellStyle name="Normal 3 4 4 4 3 2 2" xfId="30231"/>
    <cellStyle name="Normal 3 4 4 4 3 2 3" xfId="43211"/>
    <cellStyle name="Normal 3 4 4 4 3 2 4" xfId="59440"/>
    <cellStyle name="Normal 3 4 4 4 3 3" xfId="17251"/>
    <cellStyle name="Normal 3 4 4 4 3 4" xfId="23741"/>
    <cellStyle name="Normal 3 4 4 4 3 5" xfId="36721"/>
    <cellStyle name="Normal 3 4 4 4 3 6" xfId="52950"/>
    <cellStyle name="Normal 3 4 4 4 4" xfId="7513"/>
    <cellStyle name="Normal 3 4 4 4 4 2" xfId="26986"/>
    <cellStyle name="Normal 3 4 4 4 4 3" xfId="39966"/>
    <cellStyle name="Normal 3 4 4 4 4 4" xfId="56195"/>
    <cellStyle name="Normal 3 4 4 4 5" xfId="14006"/>
    <cellStyle name="Normal 3 4 4 4 5 2" xfId="49705"/>
    <cellStyle name="Normal 3 4 4 4 6" xfId="20496"/>
    <cellStyle name="Normal 3 4 4 4 7" xfId="33476"/>
    <cellStyle name="Normal 3 4 4 4 8" xfId="46459"/>
    <cellStyle name="Normal 3 4 4 5" xfId="1890"/>
    <cellStyle name="Normal 3 4 4 5 2" xfId="5135"/>
    <cellStyle name="Normal 3 4 4 5 2 2" xfId="11667"/>
    <cellStyle name="Normal 3 4 4 5 2 2 2" xfId="31140"/>
    <cellStyle name="Normal 3 4 4 5 2 2 3" xfId="44120"/>
    <cellStyle name="Normal 3 4 4 5 2 2 4" xfId="60349"/>
    <cellStyle name="Normal 3 4 4 5 2 3" xfId="18160"/>
    <cellStyle name="Normal 3 4 4 5 2 4" xfId="24650"/>
    <cellStyle name="Normal 3 4 4 5 2 5" xfId="37630"/>
    <cellStyle name="Normal 3 4 4 5 2 6" xfId="53859"/>
    <cellStyle name="Normal 3 4 4 5 3" xfId="8422"/>
    <cellStyle name="Normal 3 4 4 5 3 2" xfId="27895"/>
    <cellStyle name="Normal 3 4 4 5 3 3" xfId="40875"/>
    <cellStyle name="Normal 3 4 4 5 3 4" xfId="57104"/>
    <cellStyle name="Normal 3 4 4 5 4" xfId="14915"/>
    <cellStyle name="Normal 3 4 4 5 4 2" xfId="50614"/>
    <cellStyle name="Normal 3 4 4 5 5" xfId="21405"/>
    <cellStyle name="Normal 3 4 4 5 6" xfId="34385"/>
    <cellStyle name="Normal 3 4 4 5 7" xfId="47368"/>
    <cellStyle name="Normal 3 4 4 6" xfId="3511"/>
    <cellStyle name="Normal 3 4 4 6 2" xfId="10043"/>
    <cellStyle name="Normal 3 4 4 6 2 2" xfId="29516"/>
    <cellStyle name="Normal 3 4 4 6 2 3" xfId="42496"/>
    <cellStyle name="Normal 3 4 4 6 2 4" xfId="58725"/>
    <cellStyle name="Normal 3 4 4 6 3" xfId="16536"/>
    <cellStyle name="Normal 3 4 4 6 4" xfId="23026"/>
    <cellStyle name="Normal 3 4 4 6 5" xfId="36006"/>
    <cellStyle name="Normal 3 4 4 6 6" xfId="52235"/>
    <cellStyle name="Normal 3 4 4 7" xfId="6798"/>
    <cellStyle name="Normal 3 4 4 7 2" xfId="26271"/>
    <cellStyle name="Normal 3 4 4 7 3" xfId="39251"/>
    <cellStyle name="Normal 3 4 4 7 4" xfId="55480"/>
    <cellStyle name="Normal 3 4 4 8" xfId="13291"/>
    <cellStyle name="Normal 3 4 4 8 2" xfId="48990"/>
    <cellStyle name="Normal 3 4 4 9" xfId="19781"/>
    <cellStyle name="Normal 3 4 5" xfId="305"/>
    <cellStyle name="Normal 3 4 5 10" xfId="32849"/>
    <cellStyle name="Normal 3 4 5 11" xfId="45832"/>
    <cellStyle name="Normal 3 4 5 2" xfId="769"/>
    <cellStyle name="Normal 3 4 5 2 10" xfId="46292"/>
    <cellStyle name="Normal 3 4 5 2 2" xfId="1708"/>
    <cellStyle name="Normal 3 4 5 2 2 2" xfId="3375"/>
    <cellStyle name="Normal 3 4 5 2 2 2 2" xfId="6620"/>
    <cellStyle name="Normal 3 4 5 2 2 2 2 2" xfId="13152"/>
    <cellStyle name="Normal 3 4 5 2 2 2 2 2 2" xfId="32625"/>
    <cellStyle name="Normal 3 4 5 2 2 2 2 2 3" xfId="45605"/>
    <cellStyle name="Normal 3 4 5 2 2 2 2 2 4" xfId="61834"/>
    <cellStyle name="Normal 3 4 5 2 2 2 2 3" xfId="19645"/>
    <cellStyle name="Normal 3 4 5 2 2 2 2 4" xfId="26135"/>
    <cellStyle name="Normal 3 4 5 2 2 2 2 5" xfId="39115"/>
    <cellStyle name="Normal 3 4 5 2 2 2 2 6" xfId="55344"/>
    <cellStyle name="Normal 3 4 5 2 2 2 3" xfId="9907"/>
    <cellStyle name="Normal 3 4 5 2 2 2 3 2" xfId="29380"/>
    <cellStyle name="Normal 3 4 5 2 2 2 3 3" xfId="42360"/>
    <cellStyle name="Normal 3 4 5 2 2 2 3 4" xfId="58589"/>
    <cellStyle name="Normal 3 4 5 2 2 2 4" xfId="16400"/>
    <cellStyle name="Normal 3 4 5 2 2 2 4 2" xfId="52099"/>
    <cellStyle name="Normal 3 4 5 2 2 2 5" xfId="22890"/>
    <cellStyle name="Normal 3 4 5 2 2 2 6" xfId="35870"/>
    <cellStyle name="Normal 3 4 5 2 2 2 7" xfId="48853"/>
    <cellStyle name="Normal 3 4 5 2 2 3" xfId="4997"/>
    <cellStyle name="Normal 3 4 5 2 2 3 2" xfId="11529"/>
    <cellStyle name="Normal 3 4 5 2 2 3 2 2" xfId="31002"/>
    <cellStyle name="Normal 3 4 5 2 2 3 2 3" xfId="43982"/>
    <cellStyle name="Normal 3 4 5 2 2 3 2 4" xfId="60211"/>
    <cellStyle name="Normal 3 4 5 2 2 3 3" xfId="18022"/>
    <cellStyle name="Normal 3 4 5 2 2 3 4" xfId="24512"/>
    <cellStyle name="Normal 3 4 5 2 2 3 5" xfId="37492"/>
    <cellStyle name="Normal 3 4 5 2 2 3 6" xfId="53721"/>
    <cellStyle name="Normal 3 4 5 2 2 4" xfId="8284"/>
    <cellStyle name="Normal 3 4 5 2 2 4 2" xfId="27757"/>
    <cellStyle name="Normal 3 4 5 2 2 4 3" xfId="40737"/>
    <cellStyle name="Normal 3 4 5 2 2 4 4" xfId="56966"/>
    <cellStyle name="Normal 3 4 5 2 2 5" xfId="14777"/>
    <cellStyle name="Normal 3 4 5 2 2 5 2" xfId="50476"/>
    <cellStyle name="Normal 3 4 5 2 2 6" xfId="21267"/>
    <cellStyle name="Normal 3 4 5 2 2 7" xfId="34247"/>
    <cellStyle name="Normal 3 4 5 2 2 8" xfId="47230"/>
    <cellStyle name="Normal 3 4 5 2 3" xfId="1245"/>
    <cellStyle name="Normal 3 4 5 2 3 2" xfId="2912"/>
    <cellStyle name="Normal 3 4 5 2 3 2 2" xfId="6157"/>
    <cellStyle name="Normal 3 4 5 2 3 2 2 2" xfId="12689"/>
    <cellStyle name="Normal 3 4 5 2 3 2 2 2 2" xfId="32162"/>
    <cellStyle name="Normal 3 4 5 2 3 2 2 2 3" xfId="45142"/>
    <cellStyle name="Normal 3 4 5 2 3 2 2 2 4" xfId="61371"/>
    <cellStyle name="Normal 3 4 5 2 3 2 2 3" xfId="19182"/>
    <cellStyle name="Normal 3 4 5 2 3 2 2 4" xfId="25672"/>
    <cellStyle name="Normal 3 4 5 2 3 2 2 5" xfId="38652"/>
    <cellStyle name="Normal 3 4 5 2 3 2 2 6" xfId="54881"/>
    <cellStyle name="Normal 3 4 5 2 3 2 3" xfId="9444"/>
    <cellStyle name="Normal 3 4 5 2 3 2 3 2" xfId="28917"/>
    <cellStyle name="Normal 3 4 5 2 3 2 3 3" xfId="41897"/>
    <cellStyle name="Normal 3 4 5 2 3 2 3 4" xfId="58126"/>
    <cellStyle name="Normal 3 4 5 2 3 2 4" xfId="15937"/>
    <cellStyle name="Normal 3 4 5 2 3 2 4 2" xfId="51636"/>
    <cellStyle name="Normal 3 4 5 2 3 2 5" xfId="22427"/>
    <cellStyle name="Normal 3 4 5 2 3 2 6" xfId="35407"/>
    <cellStyle name="Normal 3 4 5 2 3 2 7" xfId="48390"/>
    <cellStyle name="Normal 3 4 5 2 3 3" xfId="4534"/>
    <cellStyle name="Normal 3 4 5 2 3 3 2" xfId="11066"/>
    <cellStyle name="Normal 3 4 5 2 3 3 2 2" xfId="30539"/>
    <cellStyle name="Normal 3 4 5 2 3 3 2 3" xfId="43519"/>
    <cellStyle name="Normal 3 4 5 2 3 3 2 4" xfId="59748"/>
    <cellStyle name="Normal 3 4 5 2 3 3 3" xfId="17559"/>
    <cellStyle name="Normal 3 4 5 2 3 3 4" xfId="24049"/>
    <cellStyle name="Normal 3 4 5 2 3 3 5" xfId="37029"/>
    <cellStyle name="Normal 3 4 5 2 3 3 6" xfId="53258"/>
    <cellStyle name="Normal 3 4 5 2 3 4" xfId="7821"/>
    <cellStyle name="Normal 3 4 5 2 3 4 2" xfId="27294"/>
    <cellStyle name="Normal 3 4 5 2 3 4 3" xfId="40274"/>
    <cellStyle name="Normal 3 4 5 2 3 4 4" xfId="56503"/>
    <cellStyle name="Normal 3 4 5 2 3 5" xfId="14314"/>
    <cellStyle name="Normal 3 4 5 2 3 5 2" xfId="50013"/>
    <cellStyle name="Normal 3 4 5 2 3 6" xfId="20804"/>
    <cellStyle name="Normal 3 4 5 2 3 7" xfId="33784"/>
    <cellStyle name="Normal 3 4 5 2 3 8" xfId="46767"/>
    <cellStyle name="Normal 3 4 5 2 4" xfId="2437"/>
    <cellStyle name="Normal 3 4 5 2 4 2" xfId="5682"/>
    <cellStyle name="Normal 3 4 5 2 4 2 2" xfId="12214"/>
    <cellStyle name="Normal 3 4 5 2 4 2 2 2" xfId="31687"/>
    <cellStyle name="Normal 3 4 5 2 4 2 2 3" xfId="44667"/>
    <cellStyle name="Normal 3 4 5 2 4 2 2 4" xfId="60896"/>
    <cellStyle name="Normal 3 4 5 2 4 2 3" xfId="18707"/>
    <cellStyle name="Normal 3 4 5 2 4 2 4" xfId="25197"/>
    <cellStyle name="Normal 3 4 5 2 4 2 5" xfId="38177"/>
    <cellStyle name="Normal 3 4 5 2 4 2 6" xfId="54406"/>
    <cellStyle name="Normal 3 4 5 2 4 3" xfId="8969"/>
    <cellStyle name="Normal 3 4 5 2 4 3 2" xfId="28442"/>
    <cellStyle name="Normal 3 4 5 2 4 3 3" xfId="41422"/>
    <cellStyle name="Normal 3 4 5 2 4 3 4" xfId="57651"/>
    <cellStyle name="Normal 3 4 5 2 4 4" xfId="15462"/>
    <cellStyle name="Normal 3 4 5 2 4 4 2" xfId="51161"/>
    <cellStyle name="Normal 3 4 5 2 4 5" xfId="21952"/>
    <cellStyle name="Normal 3 4 5 2 4 6" xfId="34932"/>
    <cellStyle name="Normal 3 4 5 2 4 7" xfId="47915"/>
    <cellStyle name="Normal 3 4 5 2 5" xfId="4059"/>
    <cellStyle name="Normal 3 4 5 2 5 2" xfId="10591"/>
    <cellStyle name="Normal 3 4 5 2 5 2 2" xfId="30064"/>
    <cellStyle name="Normal 3 4 5 2 5 2 3" xfId="43044"/>
    <cellStyle name="Normal 3 4 5 2 5 2 4" xfId="59273"/>
    <cellStyle name="Normal 3 4 5 2 5 3" xfId="17084"/>
    <cellStyle name="Normal 3 4 5 2 5 4" xfId="23574"/>
    <cellStyle name="Normal 3 4 5 2 5 5" xfId="36554"/>
    <cellStyle name="Normal 3 4 5 2 5 6" xfId="52783"/>
    <cellStyle name="Normal 3 4 5 2 6" xfId="7346"/>
    <cellStyle name="Normal 3 4 5 2 6 2" xfId="26819"/>
    <cellStyle name="Normal 3 4 5 2 6 3" xfId="39799"/>
    <cellStyle name="Normal 3 4 5 2 6 4" xfId="56028"/>
    <cellStyle name="Normal 3 4 5 2 7" xfId="13839"/>
    <cellStyle name="Normal 3 4 5 2 7 2" xfId="49538"/>
    <cellStyle name="Normal 3 4 5 2 8" xfId="20329"/>
    <cellStyle name="Normal 3 4 5 2 9" xfId="33309"/>
    <cellStyle name="Normal 3 4 5 3" xfId="539"/>
    <cellStyle name="Normal 3 4 5 3 2" xfId="1488"/>
    <cellStyle name="Normal 3 4 5 3 2 2" xfId="3155"/>
    <cellStyle name="Normal 3 4 5 3 2 2 2" xfId="6400"/>
    <cellStyle name="Normal 3 4 5 3 2 2 2 2" xfId="12932"/>
    <cellStyle name="Normal 3 4 5 3 2 2 2 2 2" xfId="32405"/>
    <cellStyle name="Normal 3 4 5 3 2 2 2 2 3" xfId="45385"/>
    <cellStyle name="Normal 3 4 5 3 2 2 2 2 4" xfId="61614"/>
    <cellStyle name="Normal 3 4 5 3 2 2 2 3" xfId="19425"/>
    <cellStyle name="Normal 3 4 5 3 2 2 2 4" xfId="25915"/>
    <cellStyle name="Normal 3 4 5 3 2 2 2 5" xfId="38895"/>
    <cellStyle name="Normal 3 4 5 3 2 2 2 6" xfId="55124"/>
    <cellStyle name="Normal 3 4 5 3 2 2 3" xfId="9687"/>
    <cellStyle name="Normal 3 4 5 3 2 2 3 2" xfId="29160"/>
    <cellStyle name="Normal 3 4 5 3 2 2 3 3" xfId="42140"/>
    <cellStyle name="Normal 3 4 5 3 2 2 3 4" xfId="58369"/>
    <cellStyle name="Normal 3 4 5 3 2 2 4" xfId="16180"/>
    <cellStyle name="Normal 3 4 5 3 2 2 4 2" xfId="51879"/>
    <cellStyle name="Normal 3 4 5 3 2 2 5" xfId="22670"/>
    <cellStyle name="Normal 3 4 5 3 2 2 6" xfId="35650"/>
    <cellStyle name="Normal 3 4 5 3 2 2 7" xfId="48633"/>
    <cellStyle name="Normal 3 4 5 3 2 3" xfId="4777"/>
    <cellStyle name="Normal 3 4 5 3 2 3 2" xfId="11309"/>
    <cellStyle name="Normal 3 4 5 3 2 3 2 2" xfId="30782"/>
    <cellStyle name="Normal 3 4 5 3 2 3 2 3" xfId="43762"/>
    <cellStyle name="Normal 3 4 5 3 2 3 2 4" xfId="59991"/>
    <cellStyle name="Normal 3 4 5 3 2 3 3" xfId="17802"/>
    <cellStyle name="Normal 3 4 5 3 2 3 4" xfId="24292"/>
    <cellStyle name="Normal 3 4 5 3 2 3 5" xfId="37272"/>
    <cellStyle name="Normal 3 4 5 3 2 3 6" xfId="53501"/>
    <cellStyle name="Normal 3 4 5 3 2 4" xfId="8064"/>
    <cellStyle name="Normal 3 4 5 3 2 4 2" xfId="27537"/>
    <cellStyle name="Normal 3 4 5 3 2 4 3" xfId="40517"/>
    <cellStyle name="Normal 3 4 5 3 2 4 4" xfId="56746"/>
    <cellStyle name="Normal 3 4 5 3 2 5" xfId="14557"/>
    <cellStyle name="Normal 3 4 5 3 2 5 2" xfId="50256"/>
    <cellStyle name="Normal 3 4 5 3 2 6" xfId="21047"/>
    <cellStyle name="Normal 3 4 5 3 2 7" xfId="34027"/>
    <cellStyle name="Normal 3 4 5 3 2 8" xfId="47010"/>
    <cellStyle name="Normal 3 4 5 3 3" xfId="2207"/>
    <cellStyle name="Normal 3 4 5 3 3 2" xfId="5452"/>
    <cellStyle name="Normal 3 4 5 3 3 2 2" xfId="11984"/>
    <cellStyle name="Normal 3 4 5 3 3 2 2 2" xfId="31457"/>
    <cellStyle name="Normal 3 4 5 3 3 2 2 3" xfId="44437"/>
    <cellStyle name="Normal 3 4 5 3 3 2 2 4" xfId="60666"/>
    <cellStyle name="Normal 3 4 5 3 3 2 3" xfId="18477"/>
    <cellStyle name="Normal 3 4 5 3 3 2 4" xfId="24967"/>
    <cellStyle name="Normal 3 4 5 3 3 2 5" xfId="37947"/>
    <cellStyle name="Normal 3 4 5 3 3 2 6" xfId="54176"/>
    <cellStyle name="Normal 3 4 5 3 3 3" xfId="8739"/>
    <cellStyle name="Normal 3 4 5 3 3 3 2" xfId="28212"/>
    <cellStyle name="Normal 3 4 5 3 3 3 3" xfId="41192"/>
    <cellStyle name="Normal 3 4 5 3 3 3 4" xfId="57421"/>
    <cellStyle name="Normal 3 4 5 3 3 4" xfId="15232"/>
    <cellStyle name="Normal 3 4 5 3 3 4 2" xfId="50931"/>
    <cellStyle name="Normal 3 4 5 3 3 5" xfId="21722"/>
    <cellStyle name="Normal 3 4 5 3 3 6" xfId="34702"/>
    <cellStyle name="Normal 3 4 5 3 3 7" xfId="47685"/>
    <cellStyle name="Normal 3 4 5 3 4" xfId="3829"/>
    <cellStyle name="Normal 3 4 5 3 4 2" xfId="10361"/>
    <cellStyle name="Normal 3 4 5 3 4 2 2" xfId="29834"/>
    <cellStyle name="Normal 3 4 5 3 4 2 3" xfId="42814"/>
    <cellStyle name="Normal 3 4 5 3 4 2 4" xfId="59043"/>
    <cellStyle name="Normal 3 4 5 3 4 3" xfId="16854"/>
    <cellStyle name="Normal 3 4 5 3 4 4" xfId="23344"/>
    <cellStyle name="Normal 3 4 5 3 4 5" xfId="36324"/>
    <cellStyle name="Normal 3 4 5 3 4 6" xfId="52553"/>
    <cellStyle name="Normal 3 4 5 3 5" xfId="7116"/>
    <cellStyle name="Normal 3 4 5 3 5 2" xfId="26589"/>
    <cellStyle name="Normal 3 4 5 3 5 3" xfId="39569"/>
    <cellStyle name="Normal 3 4 5 3 5 4" xfId="55798"/>
    <cellStyle name="Normal 3 4 5 3 6" xfId="13609"/>
    <cellStyle name="Normal 3 4 5 3 6 2" xfId="49308"/>
    <cellStyle name="Normal 3 4 5 3 7" xfId="20099"/>
    <cellStyle name="Normal 3 4 5 3 8" xfId="33079"/>
    <cellStyle name="Normal 3 4 5 3 9" xfId="46062"/>
    <cellStyle name="Normal 3 4 5 4" xfId="1025"/>
    <cellStyle name="Normal 3 4 5 4 2" xfId="2692"/>
    <cellStyle name="Normal 3 4 5 4 2 2" xfId="5937"/>
    <cellStyle name="Normal 3 4 5 4 2 2 2" xfId="12469"/>
    <cellStyle name="Normal 3 4 5 4 2 2 2 2" xfId="31942"/>
    <cellStyle name="Normal 3 4 5 4 2 2 2 3" xfId="44922"/>
    <cellStyle name="Normal 3 4 5 4 2 2 2 4" xfId="61151"/>
    <cellStyle name="Normal 3 4 5 4 2 2 3" xfId="18962"/>
    <cellStyle name="Normal 3 4 5 4 2 2 4" xfId="25452"/>
    <cellStyle name="Normal 3 4 5 4 2 2 5" xfId="38432"/>
    <cellStyle name="Normal 3 4 5 4 2 2 6" xfId="54661"/>
    <cellStyle name="Normal 3 4 5 4 2 3" xfId="9224"/>
    <cellStyle name="Normal 3 4 5 4 2 3 2" xfId="28697"/>
    <cellStyle name="Normal 3 4 5 4 2 3 3" xfId="41677"/>
    <cellStyle name="Normal 3 4 5 4 2 3 4" xfId="57906"/>
    <cellStyle name="Normal 3 4 5 4 2 4" xfId="15717"/>
    <cellStyle name="Normal 3 4 5 4 2 4 2" xfId="51416"/>
    <cellStyle name="Normal 3 4 5 4 2 5" xfId="22207"/>
    <cellStyle name="Normal 3 4 5 4 2 6" xfId="35187"/>
    <cellStyle name="Normal 3 4 5 4 2 7" xfId="48170"/>
    <cellStyle name="Normal 3 4 5 4 3" xfId="4314"/>
    <cellStyle name="Normal 3 4 5 4 3 2" xfId="10846"/>
    <cellStyle name="Normal 3 4 5 4 3 2 2" xfId="30319"/>
    <cellStyle name="Normal 3 4 5 4 3 2 3" xfId="43299"/>
    <cellStyle name="Normal 3 4 5 4 3 2 4" xfId="59528"/>
    <cellStyle name="Normal 3 4 5 4 3 3" xfId="17339"/>
    <cellStyle name="Normal 3 4 5 4 3 4" xfId="23829"/>
    <cellStyle name="Normal 3 4 5 4 3 5" xfId="36809"/>
    <cellStyle name="Normal 3 4 5 4 3 6" xfId="53038"/>
    <cellStyle name="Normal 3 4 5 4 4" xfId="7601"/>
    <cellStyle name="Normal 3 4 5 4 4 2" xfId="27074"/>
    <cellStyle name="Normal 3 4 5 4 4 3" xfId="40054"/>
    <cellStyle name="Normal 3 4 5 4 4 4" xfId="56283"/>
    <cellStyle name="Normal 3 4 5 4 5" xfId="14094"/>
    <cellStyle name="Normal 3 4 5 4 5 2" xfId="49793"/>
    <cellStyle name="Normal 3 4 5 4 6" xfId="20584"/>
    <cellStyle name="Normal 3 4 5 4 7" xfId="33564"/>
    <cellStyle name="Normal 3 4 5 4 8" xfId="46547"/>
    <cellStyle name="Normal 3 4 5 5" xfId="1978"/>
    <cellStyle name="Normal 3 4 5 5 2" xfId="5223"/>
    <cellStyle name="Normal 3 4 5 5 2 2" xfId="11755"/>
    <cellStyle name="Normal 3 4 5 5 2 2 2" xfId="31228"/>
    <cellStyle name="Normal 3 4 5 5 2 2 3" xfId="44208"/>
    <cellStyle name="Normal 3 4 5 5 2 2 4" xfId="60437"/>
    <cellStyle name="Normal 3 4 5 5 2 3" xfId="18248"/>
    <cellStyle name="Normal 3 4 5 5 2 4" xfId="24738"/>
    <cellStyle name="Normal 3 4 5 5 2 5" xfId="37718"/>
    <cellStyle name="Normal 3 4 5 5 2 6" xfId="53947"/>
    <cellStyle name="Normal 3 4 5 5 3" xfId="8510"/>
    <cellStyle name="Normal 3 4 5 5 3 2" xfId="27983"/>
    <cellStyle name="Normal 3 4 5 5 3 3" xfId="40963"/>
    <cellStyle name="Normal 3 4 5 5 3 4" xfId="57192"/>
    <cellStyle name="Normal 3 4 5 5 4" xfId="15003"/>
    <cellStyle name="Normal 3 4 5 5 4 2" xfId="50702"/>
    <cellStyle name="Normal 3 4 5 5 5" xfId="21493"/>
    <cellStyle name="Normal 3 4 5 5 6" xfId="34473"/>
    <cellStyle name="Normal 3 4 5 5 7" xfId="47456"/>
    <cellStyle name="Normal 3 4 5 6" xfId="3599"/>
    <cellStyle name="Normal 3 4 5 6 2" xfId="10131"/>
    <cellStyle name="Normal 3 4 5 6 2 2" xfId="29604"/>
    <cellStyle name="Normal 3 4 5 6 2 3" xfId="42584"/>
    <cellStyle name="Normal 3 4 5 6 2 4" xfId="58813"/>
    <cellStyle name="Normal 3 4 5 6 3" xfId="16624"/>
    <cellStyle name="Normal 3 4 5 6 4" xfId="23114"/>
    <cellStyle name="Normal 3 4 5 6 5" xfId="36094"/>
    <cellStyle name="Normal 3 4 5 6 6" xfId="52323"/>
    <cellStyle name="Normal 3 4 5 7" xfId="6886"/>
    <cellStyle name="Normal 3 4 5 7 2" xfId="26359"/>
    <cellStyle name="Normal 3 4 5 7 3" xfId="39339"/>
    <cellStyle name="Normal 3 4 5 7 4" xfId="55568"/>
    <cellStyle name="Normal 3 4 5 8" xfId="13379"/>
    <cellStyle name="Normal 3 4 5 8 2" xfId="49078"/>
    <cellStyle name="Normal 3 4 5 9" xfId="19869"/>
    <cellStyle name="Normal 3 4 6" xfId="637"/>
    <cellStyle name="Normal 3 4 6 10" xfId="46160"/>
    <cellStyle name="Normal 3 4 6 2" xfId="1356"/>
    <cellStyle name="Normal 3 4 6 2 2" xfId="3023"/>
    <cellStyle name="Normal 3 4 6 2 2 2" xfId="6268"/>
    <cellStyle name="Normal 3 4 6 2 2 2 2" xfId="12800"/>
    <cellStyle name="Normal 3 4 6 2 2 2 2 2" xfId="32273"/>
    <cellStyle name="Normal 3 4 6 2 2 2 2 3" xfId="45253"/>
    <cellStyle name="Normal 3 4 6 2 2 2 2 4" xfId="61482"/>
    <cellStyle name="Normal 3 4 6 2 2 2 3" xfId="19293"/>
    <cellStyle name="Normal 3 4 6 2 2 2 4" xfId="25783"/>
    <cellStyle name="Normal 3 4 6 2 2 2 5" xfId="38763"/>
    <cellStyle name="Normal 3 4 6 2 2 2 6" xfId="54992"/>
    <cellStyle name="Normal 3 4 6 2 2 3" xfId="9555"/>
    <cellStyle name="Normal 3 4 6 2 2 3 2" xfId="29028"/>
    <cellStyle name="Normal 3 4 6 2 2 3 3" xfId="42008"/>
    <cellStyle name="Normal 3 4 6 2 2 3 4" xfId="58237"/>
    <cellStyle name="Normal 3 4 6 2 2 4" xfId="16048"/>
    <cellStyle name="Normal 3 4 6 2 2 4 2" xfId="51747"/>
    <cellStyle name="Normal 3 4 6 2 2 5" xfId="22538"/>
    <cellStyle name="Normal 3 4 6 2 2 6" xfId="35518"/>
    <cellStyle name="Normal 3 4 6 2 2 7" xfId="48501"/>
    <cellStyle name="Normal 3 4 6 2 3" xfId="4645"/>
    <cellStyle name="Normal 3 4 6 2 3 2" xfId="11177"/>
    <cellStyle name="Normal 3 4 6 2 3 2 2" xfId="30650"/>
    <cellStyle name="Normal 3 4 6 2 3 2 3" xfId="43630"/>
    <cellStyle name="Normal 3 4 6 2 3 2 4" xfId="59859"/>
    <cellStyle name="Normal 3 4 6 2 3 3" xfId="17670"/>
    <cellStyle name="Normal 3 4 6 2 3 4" xfId="24160"/>
    <cellStyle name="Normal 3 4 6 2 3 5" xfId="37140"/>
    <cellStyle name="Normal 3 4 6 2 3 6" xfId="53369"/>
    <cellStyle name="Normal 3 4 6 2 4" xfId="7932"/>
    <cellStyle name="Normal 3 4 6 2 4 2" xfId="27405"/>
    <cellStyle name="Normal 3 4 6 2 4 3" xfId="40385"/>
    <cellStyle name="Normal 3 4 6 2 4 4" xfId="56614"/>
    <cellStyle name="Normal 3 4 6 2 5" xfId="14425"/>
    <cellStyle name="Normal 3 4 6 2 5 2" xfId="50124"/>
    <cellStyle name="Normal 3 4 6 2 6" xfId="20915"/>
    <cellStyle name="Normal 3 4 6 2 7" xfId="33895"/>
    <cellStyle name="Normal 3 4 6 2 8" xfId="46878"/>
    <cellStyle name="Normal 3 4 6 3" xfId="892"/>
    <cellStyle name="Normal 3 4 6 3 2" xfId="2560"/>
    <cellStyle name="Normal 3 4 6 3 2 2" xfId="5805"/>
    <cellStyle name="Normal 3 4 6 3 2 2 2" xfId="12337"/>
    <cellStyle name="Normal 3 4 6 3 2 2 2 2" xfId="31810"/>
    <cellStyle name="Normal 3 4 6 3 2 2 2 3" xfId="44790"/>
    <cellStyle name="Normal 3 4 6 3 2 2 2 4" xfId="61019"/>
    <cellStyle name="Normal 3 4 6 3 2 2 3" xfId="18830"/>
    <cellStyle name="Normal 3 4 6 3 2 2 4" xfId="25320"/>
    <cellStyle name="Normal 3 4 6 3 2 2 5" xfId="38300"/>
    <cellStyle name="Normal 3 4 6 3 2 2 6" xfId="54529"/>
    <cellStyle name="Normal 3 4 6 3 2 3" xfId="9092"/>
    <cellStyle name="Normal 3 4 6 3 2 3 2" xfId="28565"/>
    <cellStyle name="Normal 3 4 6 3 2 3 3" xfId="41545"/>
    <cellStyle name="Normal 3 4 6 3 2 3 4" xfId="57774"/>
    <cellStyle name="Normal 3 4 6 3 2 4" xfId="15585"/>
    <cellStyle name="Normal 3 4 6 3 2 4 2" xfId="51284"/>
    <cellStyle name="Normal 3 4 6 3 2 5" xfId="22075"/>
    <cellStyle name="Normal 3 4 6 3 2 6" xfId="35055"/>
    <cellStyle name="Normal 3 4 6 3 2 7" xfId="48038"/>
    <cellStyle name="Normal 3 4 6 3 3" xfId="4182"/>
    <cellStyle name="Normal 3 4 6 3 3 2" xfId="10714"/>
    <cellStyle name="Normal 3 4 6 3 3 2 2" xfId="30187"/>
    <cellStyle name="Normal 3 4 6 3 3 2 3" xfId="43167"/>
    <cellStyle name="Normal 3 4 6 3 3 2 4" xfId="59396"/>
    <cellStyle name="Normal 3 4 6 3 3 3" xfId="17207"/>
    <cellStyle name="Normal 3 4 6 3 3 4" xfId="23697"/>
    <cellStyle name="Normal 3 4 6 3 3 5" xfId="36677"/>
    <cellStyle name="Normal 3 4 6 3 3 6" xfId="52906"/>
    <cellStyle name="Normal 3 4 6 3 4" xfId="7469"/>
    <cellStyle name="Normal 3 4 6 3 4 2" xfId="26942"/>
    <cellStyle name="Normal 3 4 6 3 4 3" xfId="39922"/>
    <cellStyle name="Normal 3 4 6 3 4 4" xfId="56151"/>
    <cellStyle name="Normal 3 4 6 3 5" xfId="13962"/>
    <cellStyle name="Normal 3 4 6 3 5 2" xfId="49661"/>
    <cellStyle name="Normal 3 4 6 3 6" xfId="20452"/>
    <cellStyle name="Normal 3 4 6 3 7" xfId="33432"/>
    <cellStyle name="Normal 3 4 6 3 8" xfId="46415"/>
    <cellStyle name="Normal 3 4 6 4" xfId="2305"/>
    <cellStyle name="Normal 3 4 6 4 2" xfId="5550"/>
    <cellStyle name="Normal 3 4 6 4 2 2" xfId="12082"/>
    <cellStyle name="Normal 3 4 6 4 2 2 2" xfId="31555"/>
    <cellStyle name="Normal 3 4 6 4 2 2 3" xfId="44535"/>
    <cellStyle name="Normal 3 4 6 4 2 2 4" xfId="60764"/>
    <cellStyle name="Normal 3 4 6 4 2 3" xfId="18575"/>
    <cellStyle name="Normal 3 4 6 4 2 4" xfId="25065"/>
    <cellStyle name="Normal 3 4 6 4 2 5" xfId="38045"/>
    <cellStyle name="Normal 3 4 6 4 2 6" xfId="54274"/>
    <cellStyle name="Normal 3 4 6 4 3" xfId="8837"/>
    <cellStyle name="Normal 3 4 6 4 3 2" xfId="28310"/>
    <cellStyle name="Normal 3 4 6 4 3 3" xfId="41290"/>
    <cellStyle name="Normal 3 4 6 4 3 4" xfId="57519"/>
    <cellStyle name="Normal 3 4 6 4 4" xfId="15330"/>
    <cellStyle name="Normal 3 4 6 4 4 2" xfId="51029"/>
    <cellStyle name="Normal 3 4 6 4 5" xfId="21820"/>
    <cellStyle name="Normal 3 4 6 4 6" xfId="34800"/>
    <cellStyle name="Normal 3 4 6 4 7" xfId="47783"/>
    <cellStyle name="Normal 3 4 6 5" xfId="3927"/>
    <cellStyle name="Normal 3 4 6 5 2" xfId="10459"/>
    <cellStyle name="Normal 3 4 6 5 2 2" xfId="29932"/>
    <cellStyle name="Normal 3 4 6 5 2 3" xfId="42912"/>
    <cellStyle name="Normal 3 4 6 5 2 4" xfId="59141"/>
    <cellStyle name="Normal 3 4 6 5 3" xfId="16952"/>
    <cellStyle name="Normal 3 4 6 5 4" xfId="23442"/>
    <cellStyle name="Normal 3 4 6 5 5" xfId="36422"/>
    <cellStyle name="Normal 3 4 6 5 6" xfId="52651"/>
    <cellStyle name="Normal 3 4 6 6" xfId="7214"/>
    <cellStyle name="Normal 3 4 6 6 2" xfId="26687"/>
    <cellStyle name="Normal 3 4 6 6 3" xfId="39667"/>
    <cellStyle name="Normal 3 4 6 6 4" xfId="55896"/>
    <cellStyle name="Normal 3 4 6 7" xfId="13707"/>
    <cellStyle name="Normal 3 4 6 7 2" xfId="49406"/>
    <cellStyle name="Normal 3 4 6 8" xfId="20197"/>
    <cellStyle name="Normal 3 4 6 9" xfId="33177"/>
    <cellStyle name="Normal 3 4 7" xfId="407"/>
    <cellStyle name="Normal 3 4 7 10" xfId="45930"/>
    <cellStyle name="Normal 3 4 7 2" xfId="1576"/>
    <cellStyle name="Normal 3 4 7 2 2" xfId="3243"/>
    <cellStyle name="Normal 3 4 7 2 2 2" xfId="6488"/>
    <cellStyle name="Normal 3 4 7 2 2 2 2" xfId="13020"/>
    <cellStyle name="Normal 3 4 7 2 2 2 2 2" xfId="32493"/>
    <cellStyle name="Normal 3 4 7 2 2 2 2 3" xfId="45473"/>
    <cellStyle name="Normal 3 4 7 2 2 2 2 4" xfId="61702"/>
    <cellStyle name="Normal 3 4 7 2 2 2 3" xfId="19513"/>
    <cellStyle name="Normal 3 4 7 2 2 2 4" xfId="26003"/>
    <cellStyle name="Normal 3 4 7 2 2 2 5" xfId="38983"/>
    <cellStyle name="Normal 3 4 7 2 2 2 6" xfId="55212"/>
    <cellStyle name="Normal 3 4 7 2 2 3" xfId="9775"/>
    <cellStyle name="Normal 3 4 7 2 2 3 2" xfId="29248"/>
    <cellStyle name="Normal 3 4 7 2 2 3 3" xfId="42228"/>
    <cellStyle name="Normal 3 4 7 2 2 3 4" xfId="58457"/>
    <cellStyle name="Normal 3 4 7 2 2 4" xfId="16268"/>
    <cellStyle name="Normal 3 4 7 2 2 4 2" xfId="51967"/>
    <cellStyle name="Normal 3 4 7 2 2 5" xfId="22758"/>
    <cellStyle name="Normal 3 4 7 2 2 6" xfId="35738"/>
    <cellStyle name="Normal 3 4 7 2 2 7" xfId="48721"/>
    <cellStyle name="Normal 3 4 7 2 3" xfId="4865"/>
    <cellStyle name="Normal 3 4 7 2 3 2" xfId="11397"/>
    <cellStyle name="Normal 3 4 7 2 3 2 2" xfId="30870"/>
    <cellStyle name="Normal 3 4 7 2 3 2 3" xfId="43850"/>
    <cellStyle name="Normal 3 4 7 2 3 2 4" xfId="60079"/>
    <cellStyle name="Normal 3 4 7 2 3 3" xfId="17890"/>
    <cellStyle name="Normal 3 4 7 2 3 4" xfId="24380"/>
    <cellStyle name="Normal 3 4 7 2 3 5" xfId="37360"/>
    <cellStyle name="Normal 3 4 7 2 3 6" xfId="53589"/>
    <cellStyle name="Normal 3 4 7 2 4" xfId="8152"/>
    <cellStyle name="Normal 3 4 7 2 4 2" xfId="27625"/>
    <cellStyle name="Normal 3 4 7 2 4 3" xfId="40605"/>
    <cellStyle name="Normal 3 4 7 2 4 4" xfId="56834"/>
    <cellStyle name="Normal 3 4 7 2 5" xfId="14645"/>
    <cellStyle name="Normal 3 4 7 2 5 2" xfId="50344"/>
    <cellStyle name="Normal 3 4 7 2 6" xfId="21135"/>
    <cellStyle name="Normal 3 4 7 2 7" xfId="34115"/>
    <cellStyle name="Normal 3 4 7 2 8" xfId="47098"/>
    <cellStyle name="Normal 3 4 7 3" xfId="1113"/>
    <cellStyle name="Normal 3 4 7 3 2" xfId="2780"/>
    <cellStyle name="Normal 3 4 7 3 2 2" xfId="6025"/>
    <cellStyle name="Normal 3 4 7 3 2 2 2" xfId="12557"/>
    <cellStyle name="Normal 3 4 7 3 2 2 2 2" xfId="32030"/>
    <cellStyle name="Normal 3 4 7 3 2 2 2 3" xfId="45010"/>
    <cellStyle name="Normal 3 4 7 3 2 2 2 4" xfId="61239"/>
    <cellStyle name="Normal 3 4 7 3 2 2 3" xfId="19050"/>
    <cellStyle name="Normal 3 4 7 3 2 2 4" xfId="25540"/>
    <cellStyle name="Normal 3 4 7 3 2 2 5" xfId="38520"/>
    <cellStyle name="Normal 3 4 7 3 2 2 6" xfId="54749"/>
    <cellStyle name="Normal 3 4 7 3 2 3" xfId="9312"/>
    <cellStyle name="Normal 3 4 7 3 2 3 2" xfId="28785"/>
    <cellStyle name="Normal 3 4 7 3 2 3 3" xfId="41765"/>
    <cellStyle name="Normal 3 4 7 3 2 3 4" xfId="57994"/>
    <cellStyle name="Normal 3 4 7 3 2 4" xfId="15805"/>
    <cellStyle name="Normal 3 4 7 3 2 4 2" xfId="51504"/>
    <cellStyle name="Normal 3 4 7 3 2 5" xfId="22295"/>
    <cellStyle name="Normal 3 4 7 3 2 6" xfId="35275"/>
    <cellStyle name="Normal 3 4 7 3 2 7" xfId="48258"/>
    <cellStyle name="Normal 3 4 7 3 3" xfId="4402"/>
    <cellStyle name="Normal 3 4 7 3 3 2" xfId="10934"/>
    <cellStyle name="Normal 3 4 7 3 3 2 2" xfId="30407"/>
    <cellStyle name="Normal 3 4 7 3 3 2 3" xfId="43387"/>
    <cellStyle name="Normal 3 4 7 3 3 2 4" xfId="59616"/>
    <cellStyle name="Normal 3 4 7 3 3 3" xfId="17427"/>
    <cellStyle name="Normal 3 4 7 3 3 4" xfId="23917"/>
    <cellStyle name="Normal 3 4 7 3 3 5" xfId="36897"/>
    <cellStyle name="Normal 3 4 7 3 3 6" xfId="53126"/>
    <cellStyle name="Normal 3 4 7 3 4" xfId="7689"/>
    <cellStyle name="Normal 3 4 7 3 4 2" xfId="27162"/>
    <cellStyle name="Normal 3 4 7 3 4 3" xfId="40142"/>
    <cellStyle name="Normal 3 4 7 3 4 4" xfId="56371"/>
    <cellStyle name="Normal 3 4 7 3 5" xfId="14182"/>
    <cellStyle name="Normal 3 4 7 3 5 2" xfId="49881"/>
    <cellStyle name="Normal 3 4 7 3 6" xfId="20672"/>
    <cellStyle name="Normal 3 4 7 3 7" xfId="33652"/>
    <cellStyle name="Normal 3 4 7 3 8" xfId="46635"/>
    <cellStyle name="Normal 3 4 7 4" xfId="2075"/>
    <cellStyle name="Normal 3 4 7 4 2" xfId="5320"/>
    <cellStyle name="Normal 3 4 7 4 2 2" xfId="11852"/>
    <cellStyle name="Normal 3 4 7 4 2 2 2" xfId="31325"/>
    <cellStyle name="Normal 3 4 7 4 2 2 3" xfId="44305"/>
    <cellStyle name="Normal 3 4 7 4 2 2 4" xfId="60534"/>
    <cellStyle name="Normal 3 4 7 4 2 3" xfId="18345"/>
    <cellStyle name="Normal 3 4 7 4 2 4" xfId="24835"/>
    <cellStyle name="Normal 3 4 7 4 2 5" xfId="37815"/>
    <cellStyle name="Normal 3 4 7 4 2 6" xfId="54044"/>
    <cellStyle name="Normal 3 4 7 4 3" xfId="8607"/>
    <cellStyle name="Normal 3 4 7 4 3 2" xfId="28080"/>
    <cellStyle name="Normal 3 4 7 4 3 3" xfId="41060"/>
    <cellStyle name="Normal 3 4 7 4 3 4" xfId="57289"/>
    <cellStyle name="Normal 3 4 7 4 4" xfId="15100"/>
    <cellStyle name="Normal 3 4 7 4 4 2" xfId="50799"/>
    <cellStyle name="Normal 3 4 7 4 5" xfId="21590"/>
    <cellStyle name="Normal 3 4 7 4 6" xfId="34570"/>
    <cellStyle name="Normal 3 4 7 4 7" xfId="47553"/>
    <cellStyle name="Normal 3 4 7 5" xfId="3697"/>
    <cellStyle name="Normal 3 4 7 5 2" xfId="10229"/>
    <cellStyle name="Normal 3 4 7 5 2 2" xfId="29702"/>
    <cellStyle name="Normal 3 4 7 5 2 3" xfId="42682"/>
    <cellStyle name="Normal 3 4 7 5 2 4" xfId="58911"/>
    <cellStyle name="Normal 3 4 7 5 3" xfId="16722"/>
    <cellStyle name="Normal 3 4 7 5 4" xfId="23212"/>
    <cellStyle name="Normal 3 4 7 5 5" xfId="36192"/>
    <cellStyle name="Normal 3 4 7 5 6" xfId="52421"/>
    <cellStyle name="Normal 3 4 7 6" xfId="6984"/>
    <cellStyle name="Normal 3 4 7 6 2" xfId="26457"/>
    <cellStyle name="Normal 3 4 7 6 3" xfId="39437"/>
    <cellStyle name="Normal 3 4 7 6 4" xfId="55666"/>
    <cellStyle name="Normal 3 4 7 7" xfId="13477"/>
    <cellStyle name="Normal 3 4 7 7 2" xfId="49176"/>
    <cellStyle name="Normal 3 4 7 8" xfId="19967"/>
    <cellStyle name="Normal 3 4 7 9" xfId="32947"/>
    <cellStyle name="Normal 3 4 8" xfId="1333"/>
    <cellStyle name="Normal 3 4 8 2" xfId="3000"/>
    <cellStyle name="Normal 3 4 8 2 2" xfId="6245"/>
    <cellStyle name="Normal 3 4 8 2 2 2" xfId="12777"/>
    <cellStyle name="Normal 3 4 8 2 2 2 2" xfId="32250"/>
    <cellStyle name="Normal 3 4 8 2 2 2 3" xfId="45230"/>
    <cellStyle name="Normal 3 4 8 2 2 2 4" xfId="61459"/>
    <cellStyle name="Normal 3 4 8 2 2 3" xfId="19270"/>
    <cellStyle name="Normal 3 4 8 2 2 4" xfId="25760"/>
    <cellStyle name="Normal 3 4 8 2 2 5" xfId="38740"/>
    <cellStyle name="Normal 3 4 8 2 2 6" xfId="54969"/>
    <cellStyle name="Normal 3 4 8 2 3" xfId="9532"/>
    <cellStyle name="Normal 3 4 8 2 3 2" xfId="29005"/>
    <cellStyle name="Normal 3 4 8 2 3 3" xfId="41985"/>
    <cellStyle name="Normal 3 4 8 2 3 4" xfId="58214"/>
    <cellStyle name="Normal 3 4 8 2 4" xfId="16025"/>
    <cellStyle name="Normal 3 4 8 2 4 2" xfId="51724"/>
    <cellStyle name="Normal 3 4 8 2 5" xfId="22515"/>
    <cellStyle name="Normal 3 4 8 2 6" xfId="35495"/>
    <cellStyle name="Normal 3 4 8 2 7" xfId="48478"/>
    <cellStyle name="Normal 3 4 8 3" xfId="4622"/>
    <cellStyle name="Normal 3 4 8 3 2" xfId="11154"/>
    <cellStyle name="Normal 3 4 8 3 2 2" xfId="30627"/>
    <cellStyle name="Normal 3 4 8 3 2 3" xfId="43607"/>
    <cellStyle name="Normal 3 4 8 3 2 4" xfId="59836"/>
    <cellStyle name="Normal 3 4 8 3 3" xfId="17647"/>
    <cellStyle name="Normal 3 4 8 3 4" xfId="24137"/>
    <cellStyle name="Normal 3 4 8 3 5" xfId="37117"/>
    <cellStyle name="Normal 3 4 8 3 6" xfId="53346"/>
    <cellStyle name="Normal 3 4 8 4" xfId="7909"/>
    <cellStyle name="Normal 3 4 8 4 2" xfId="27382"/>
    <cellStyle name="Normal 3 4 8 4 3" xfId="40362"/>
    <cellStyle name="Normal 3 4 8 4 4" xfId="56591"/>
    <cellStyle name="Normal 3 4 8 5" xfId="14402"/>
    <cellStyle name="Normal 3 4 8 5 2" xfId="50101"/>
    <cellStyle name="Normal 3 4 8 6" xfId="20892"/>
    <cellStyle name="Normal 3 4 8 7" xfId="33872"/>
    <cellStyle name="Normal 3 4 8 8" xfId="46855"/>
    <cellStyle name="Normal 3 4 9" xfId="869"/>
    <cellStyle name="Normal 3 4 9 2" xfId="2537"/>
    <cellStyle name="Normal 3 4 9 2 2" xfId="5782"/>
    <cellStyle name="Normal 3 4 9 2 2 2" xfId="12314"/>
    <cellStyle name="Normal 3 4 9 2 2 2 2" xfId="31787"/>
    <cellStyle name="Normal 3 4 9 2 2 2 3" xfId="44767"/>
    <cellStyle name="Normal 3 4 9 2 2 2 4" xfId="60996"/>
    <cellStyle name="Normal 3 4 9 2 2 3" xfId="18807"/>
    <cellStyle name="Normal 3 4 9 2 2 4" xfId="25297"/>
    <cellStyle name="Normal 3 4 9 2 2 5" xfId="38277"/>
    <cellStyle name="Normal 3 4 9 2 2 6" xfId="54506"/>
    <cellStyle name="Normal 3 4 9 2 3" xfId="9069"/>
    <cellStyle name="Normal 3 4 9 2 3 2" xfId="28542"/>
    <cellStyle name="Normal 3 4 9 2 3 3" xfId="41522"/>
    <cellStyle name="Normal 3 4 9 2 3 4" xfId="57751"/>
    <cellStyle name="Normal 3 4 9 2 4" xfId="15562"/>
    <cellStyle name="Normal 3 4 9 2 4 2" xfId="51261"/>
    <cellStyle name="Normal 3 4 9 2 5" xfId="22052"/>
    <cellStyle name="Normal 3 4 9 2 6" xfId="35032"/>
    <cellStyle name="Normal 3 4 9 2 7" xfId="48015"/>
    <cellStyle name="Normal 3 4 9 3" xfId="4159"/>
    <cellStyle name="Normal 3 4 9 3 2" xfId="10691"/>
    <cellStyle name="Normal 3 4 9 3 2 2" xfId="30164"/>
    <cellStyle name="Normal 3 4 9 3 2 3" xfId="43144"/>
    <cellStyle name="Normal 3 4 9 3 2 4" xfId="59373"/>
    <cellStyle name="Normal 3 4 9 3 3" xfId="17184"/>
    <cellStyle name="Normal 3 4 9 3 4" xfId="23674"/>
    <cellStyle name="Normal 3 4 9 3 5" xfId="36654"/>
    <cellStyle name="Normal 3 4 9 3 6" xfId="52883"/>
    <cellStyle name="Normal 3 4 9 4" xfId="7446"/>
    <cellStyle name="Normal 3 4 9 4 2" xfId="26919"/>
    <cellStyle name="Normal 3 4 9 4 3" xfId="39899"/>
    <cellStyle name="Normal 3 4 9 4 4" xfId="56128"/>
    <cellStyle name="Normal 3 4 9 5" xfId="13939"/>
    <cellStyle name="Normal 3 4 9 5 2" xfId="49638"/>
    <cellStyle name="Normal 3 4 9 6" xfId="20429"/>
    <cellStyle name="Normal 3 4 9 7" xfId="33409"/>
    <cellStyle name="Normal 3 4 9 8" xfId="46392"/>
    <cellStyle name="Normal 3 5" xfId="174"/>
    <cellStyle name="Normal 3 5 10" xfId="1848"/>
    <cellStyle name="Normal 3 5 10 2" xfId="5093"/>
    <cellStyle name="Normal 3 5 10 2 2" xfId="11625"/>
    <cellStyle name="Normal 3 5 10 2 2 2" xfId="31098"/>
    <cellStyle name="Normal 3 5 10 2 2 3" xfId="44078"/>
    <cellStyle name="Normal 3 5 10 2 2 4" xfId="60307"/>
    <cellStyle name="Normal 3 5 10 2 3" xfId="18118"/>
    <cellStyle name="Normal 3 5 10 2 4" xfId="24608"/>
    <cellStyle name="Normal 3 5 10 2 5" xfId="37588"/>
    <cellStyle name="Normal 3 5 10 2 6" xfId="53817"/>
    <cellStyle name="Normal 3 5 10 3" xfId="8380"/>
    <cellStyle name="Normal 3 5 10 3 2" xfId="27853"/>
    <cellStyle name="Normal 3 5 10 3 3" xfId="40833"/>
    <cellStyle name="Normal 3 5 10 3 4" xfId="57062"/>
    <cellStyle name="Normal 3 5 10 4" xfId="14873"/>
    <cellStyle name="Normal 3 5 10 4 2" xfId="50572"/>
    <cellStyle name="Normal 3 5 10 5" xfId="21363"/>
    <cellStyle name="Normal 3 5 10 6" xfId="34343"/>
    <cellStyle name="Normal 3 5 10 7" xfId="47326"/>
    <cellStyle name="Normal 3 5 11" xfId="3469"/>
    <cellStyle name="Normal 3 5 11 2" xfId="10001"/>
    <cellStyle name="Normal 3 5 11 2 2" xfId="29474"/>
    <cellStyle name="Normal 3 5 11 2 3" xfId="42454"/>
    <cellStyle name="Normal 3 5 11 2 4" xfId="58683"/>
    <cellStyle name="Normal 3 5 11 3" xfId="16494"/>
    <cellStyle name="Normal 3 5 11 4" xfId="22984"/>
    <cellStyle name="Normal 3 5 11 5" xfId="35964"/>
    <cellStyle name="Normal 3 5 11 6" xfId="52193"/>
    <cellStyle name="Normal 3 5 12" xfId="6756"/>
    <cellStyle name="Normal 3 5 12 2" xfId="26229"/>
    <cellStyle name="Normal 3 5 12 3" xfId="39209"/>
    <cellStyle name="Normal 3 5 12 4" xfId="55438"/>
    <cellStyle name="Normal 3 5 13" xfId="13249"/>
    <cellStyle name="Normal 3 5 13 2" xfId="48948"/>
    <cellStyle name="Normal 3 5 14" xfId="19739"/>
    <cellStyle name="Normal 3 5 15" xfId="32719"/>
    <cellStyle name="Normal 3 5 16" xfId="45702"/>
    <cellStyle name="Normal 3 5 2" xfId="197"/>
    <cellStyle name="Normal 3 5 2 10" xfId="6778"/>
    <cellStyle name="Normal 3 5 2 10 2" xfId="26251"/>
    <cellStyle name="Normal 3 5 2 10 3" xfId="39231"/>
    <cellStyle name="Normal 3 5 2 10 4" xfId="55460"/>
    <cellStyle name="Normal 3 5 2 11" xfId="13271"/>
    <cellStyle name="Normal 3 5 2 11 2" xfId="48970"/>
    <cellStyle name="Normal 3 5 2 12" xfId="19761"/>
    <cellStyle name="Normal 3 5 2 13" xfId="32741"/>
    <cellStyle name="Normal 3 5 2 14" xfId="45724"/>
    <cellStyle name="Normal 3 5 2 2" xfId="285"/>
    <cellStyle name="Normal 3 5 2 2 10" xfId="19849"/>
    <cellStyle name="Normal 3 5 2 2 11" xfId="32829"/>
    <cellStyle name="Normal 3 5 2 2 12" xfId="45812"/>
    <cellStyle name="Normal 3 5 2 2 2" xfId="373"/>
    <cellStyle name="Normal 3 5 2 2 2 10" xfId="32917"/>
    <cellStyle name="Normal 3 5 2 2 2 11" xfId="45900"/>
    <cellStyle name="Normal 3 5 2 2 2 2" xfId="837"/>
    <cellStyle name="Normal 3 5 2 2 2 2 10" xfId="46360"/>
    <cellStyle name="Normal 3 5 2 2 2 2 2" xfId="1776"/>
    <cellStyle name="Normal 3 5 2 2 2 2 2 2" xfId="3443"/>
    <cellStyle name="Normal 3 5 2 2 2 2 2 2 2" xfId="6688"/>
    <cellStyle name="Normal 3 5 2 2 2 2 2 2 2 2" xfId="13220"/>
    <cellStyle name="Normal 3 5 2 2 2 2 2 2 2 2 2" xfId="32693"/>
    <cellStyle name="Normal 3 5 2 2 2 2 2 2 2 2 3" xfId="45673"/>
    <cellStyle name="Normal 3 5 2 2 2 2 2 2 2 2 4" xfId="61902"/>
    <cellStyle name="Normal 3 5 2 2 2 2 2 2 2 3" xfId="19713"/>
    <cellStyle name="Normal 3 5 2 2 2 2 2 2 2 4" xfId="26203"/>
    <cellStyle name="Normal 3 5 2 2 2 2 2 2 2 5" xfId="39183"/>
    <cellStyle name="Normal 3 5 2 2 2 2 2 2 2 6" xfId="55412"/>
    <cellStyle name="Normal 3 5 2 2 2 2 2 2 3" xfId="9975"/>
    <cellStyle name="Normal 3 5 2 2 2 2 2 2 3 2" xfId="29448"/>
    <cellStyle name="Normal 3 5 2 2 2 2 2 2 3 3" xfId="42428"/>
    <cellStyle name="Normal 3 5 2 2 2 2 2 2 3 4" xfId="58657"/>
    <cellStyle name="Normal 3 5 2 2 2 2 2 2 4" xfId="16468"/>
    <cellStyle name="Normal 3 5 2 2 2 2 2 2 4 2" xfId="52167"/>
    <cellStyle name="Normal 3 5 2 2 2 2 2 2 5" xfId="22958"/>
    <cellStyle name="Normal 3 5 2 2 2 2 2 2 6" xfId="35938"/>
    <cellStyle name="Normal 3 5 2 2 2 2 2 2 7" xfId="48921"/>
    <cellStyle name="Normal 3 5 2 2 2 2 2 3" xfId="5065"/>
    <cellStyle name="Normal 3 5 2 2 2 2 2 3 2" xfId="11597"/>
    <cellStyle name="Normal 3 5 2 2 2 2 2 3 2 2" xfId="31070"/>
    <cellStyle name="Normal 3 5 2 2 2 2 2 3 2 3" xfId="44050"/>
    <cellStyle name="Normal 3 5 2 2 2 2 2 3 2 4" xfId="60279"/>
    <cellStyle name="Normal 3 5 2 2 2 2 2 3 3" xfId="18090"/>
    <cellStyle name="Normal 3 5 2 2 2 2 2 3 4" xfId="24580"/>
    <cellStyle name="Normal 3 5 2 2 2 2 2 3 5" xfId="37560"/>
    <cellStyle name="Normal 3 5 2 2 2 2 2 3 6" xfId="53789"/>
    <cellStyle name="Normal 3 5 2 2 2 2 2 4" xfId="8352"/>
    <cellStyle name="Normal 3 5 2 2 2 2 2 4 2" xfId="27825"/>
    <cellStyle name="Normal 3 5 2 2 2 2 2 4 3" xfId="40805"/>
    <cellStyle name="Normal 3 5 2 2 2 2 2 4 4" xfId="57034"/>
    <cellStyle name="Normal 3 5 2 2 2 2 2 5" xfId="14845"/>
    <cellStyle name="Normal 3 5 2 2 2 2 2 5 2" xfId="50544"/>
    <cellStyle name="Normal 3 5 2 2 2 2 2 6" xfId="21335"/>
    <cellStyle name="Normal 3 5 2 2 2 2 2 7" xfId="34315"/>
    <cellStyle name="Normal 3 5 2 2 2 2 2 8" xfId="47298"/>
    <cellStyle name="Normal 3 5 2 2 2 2 3" xfId="1313"/>
    <cellStyle name="Normal 3 5 2 2 2 2 3 2" xfId="2980"/>
    <cellStyle name="Normal 3 5 2 2 2 2 3 2 2" xfId="6225"/>
    <cellStyle name="Normal 3 5 2 2 2 2 3 2 2 2" xfId="12757"/>
    <cellStyle name="Normal 3 5 2 2 2 2 3 2 2 2 2" xfId="32230"/>
    <cellStyle name="Normal 3 5 2 2 2 2 3 2 2 2 3" xfId="45210"/>
    <cellStyle name="Normal 3 5 2 2 2 2 3 2 2 2 4" xfId="61439"/>
    <cellStyle name="Normal 3 5 2 2 2 2 3 2 2 3" xfId="19250"/>
    <cellStyle name="Normal 3 5 2 2 2 2 3 2 2 4" xfId="25740"/>
    <cellStyle name="Normal 3 5 2 2 2 2 3 2 2 5" xfId="38720"/>
    <cellStyle name="Normal 3 5 2 2 2 2 3 2 2 6" xfId="54949"/>
    <cellStyle name="Normal 3 5 2 2 2 2 3 2 3" xfId="9512"/>
    <cellStyle name="Normal 3 5 2 2 2 2 3 2 3 2" xfId="28985"/>
    <cellStyle name="Normal 3 5 2 2 2 2 3 2 3 3" xfId="41965"/>
    <cellStyle name="Normal 3 5 2 2 2 2 3 2 3 4" xfId="58194"/>
    <cellStyle name="Normal 3 5 2 2 2 2 3 2 4" xfId="16005"/>
    <cellStyle name="Normal 3 5 2 2 2 2 3 2 4 2" xfId="51704"/>
    <cellStyle name="Normal 3 5 2 2 2 2 3 2 5" xfId="22495"/>
    <cellStyle name="Normal 3 5 2 2 2 2 3 2 6" xfId="35475"/>
    <cellStyle name="Normal 3 5 2 2 2 2 3 2 7" xfId="48458"/>
    <cellStyle name="Normal 3 5 2 2 2 2 3 3" xfId="4602"/>
    <cellStyle name="Normal 3 5 2 2 2 2 3 3 2" xfId="11134"/>
    <cellStyle name="Normal 3 5 2 2 2 2 3 3 2 2" xfId="30607"/>
    <cellStyle name="Normal 3 5 2 2 2 2 3 3 2 3" xfId="43587"/>
    <cellStyle name="Normal 3 5 2 2 2 2 3 3 2 4" xfId="59816"/>
    <cellStyle name="Normal 3 5 2 2 2 2 3 3 3" xfId="17627"/>
    <cellStyle name="Normal 3 5 2 2 2 2 3 3 4" xfId="24117"/>
    <cellStyle name="Normal 3 5 2 2 2 2 3 3 5" xfId="37097"/>
    <cellStyle name="Normal 3 5 2 2 2 2 3 3 6" xfId="53326"/>
    <cellStyle name="Normal 3 5 2 2 2 2 3 4" xfId="7889"/>
    <cellStyle name="Normal 3 5 2 2 2 2 3 4 2" xfId="27362"/>
    <cellStyle name="Normal 3 5 2 2 2 2 3 4 3" xfId="40342"/>
    <cellStyle name="Normal 3 5 2 2 2 2 3 4 4" xfId="56571"/>
    <cellStyle name="Normal 3 5 2 2 2 2 3 5" xfId="14382"/>
    <cellStyle name="Normal 3 5 2 2 2 2 3 5 2" xfId="50081"/>
    <cellStyle name="Normal 3 5 2 2 2 2 3 6" xfId="20872"/>
    <cellStyle name="Normal 3 5 2 2 2 2 3 7" xfId="33852"/>
    <cellStyle name="Normal 3 5 2 2 2 2 3 8" xfId="46835"/>
    <cellStyle name="Normal 3 5 2 2 2 2 4" xfId="2505"/>
    <cellStyle name="Normal 3 5 2 2 2 2 4 2" xfId="5750"/>
    <cellStyle name="Normal 3 5 2 2 2 2 4 2 2" xfId="12282"/>
    <cellStyle name="Normal 3 5 2 2 2 2 4 2 2 2" xfId="31755"/>
    <cellStyle name="Normal 3 5 2 2 2 2 4 2 2 3" xfId="44735"/>
    <cellStyle name="Normal 3 5 2 2 2 2 4 2 2 4" xfId="60964"/>
    <cellStyle name="Normal 3 5 2 2 2 2 4 2 3" xfId="18775"/>
    <cellStyle name="Normal 3 5 2 2 2 2 4 2 4" xfId="25265"/>
    <cellStyle name="Normal 3 5 2 2 2 2 4 2 5" xfId="38245"/>
    <cellStyle name="Normal 3 5 2 2 2 2 4 2 6" xfId="54474"/>
    <cellStyle name="Normal 3 5 2 2 2 2 4 3" xfId="9037"/>
    <cellStyle name="Normal 3 5 2 2 2 2 4 3 2" xfId="28510"/>
    <cellStyle name="Normal 3 5 2 2 2 2 4 3 3" xfId="41490"/>
    <cellStyle name="Normal 3 5 2 2 2 2 4 3 4" xfId="57719"/>
    <cellStyle name="Normal 3 5 2 2 2 2 4 4" xfId="15530"/>
    <cellStyle name="Normal 3 5 2 2 2 2 4 4 2" xfId="51229"/>
    <cellStyle name="Normal 3 5 2 2 2 2 4 5" xfId="22020"/>
    <cellStyle name="Normal 3 5 2 2 2 2 4 6" xfId="35000"/>
    <cellStyle name="Normal 3 5 2 2 2 2 4 7" xfId="47983"/>
    <cellStyle name="Normal 3 5 2 2 2 2 5" xfId="4127"/>
    <cellStyle name="Normal 3 5 2 2 2 2 5 2" xfId="10659"/>
    <cellStyle name="Normal 3 5 2 2 2 2 5 2 2" xfId="30132"/>
    <cellStyle name="Normal 3 5 2 2 2 2 5 2 3" xfId="43112"/>
    <cellStyle name="Normal 3 5 2 2 2 2 5 2 4" xfId="59341"/>
    <cellStyle name="Normal 3 5 2 2 2 2 5 3" xfId="17152"/>
    <cellStyle name="Normal 3 5 2 2 2 2 5 4" xfId="23642"/>
    <cellStyle name="Normal 3 5 2 2 2 2 5 5" xfId="36622"/>
    <cellStyle name="Normal 3 5 2 2 2 2 5 6" xfId="52851"/>
    <cellStyle name="Normal 3 5 2 2 2 2 6" xfId="7414"/>
    <cellStyle name="Normal 3 5 2 2 2 2 6 2" xfId="26887"/>
    <cellStyle name="Normal 3 5 2 2 2 2 6 3" xfId="39867"/>
    <cellStyle name="Normal 3 5 2 2 2 2 6 4" xfId="56096"/>
    <cellStyle name="Normal 3 5 2 2 2 2 7" xfId="13907"/>
    <cellStyle name="Normal 3 5 2 2 2 2 7 2" xfId="49606"/>
    <cellStyle name="Normal 3 5 2 2 2 2 8" xfId="20397"/>
    <cellStyle name="Normal 3 5 2 2 2 2 9" xfId="33377"/>
    <cellStyle name="Normal 3 5 2 2 2 3" xfId="607"/>
    <cellStyle name="Normal 3 5 2 2 2 3 2" xfId="1556"/>
    <cellStyle name="Normal 3 5 2 2 2 3 2 2" xfId="3223"/>
    <cellStyle name="Normal 3 5 2 2 2 3 2 2 2" xfId="6468"/>
    <cellStyle name="Normal 3 5 2 2 2 3 2 2 2 2" xfId="13000"/>
    <cellStyle name="Normal 3 5 2 2 2 3 2 2 2 2 2" xfId="32473"/>
    <cellStyle name="Normal 3 5 2 2 2 3 2 2 2 2 3" xfId="45453"/>
    <cellStyle name="Normal 3 5 2 2 2 3 2 2 2 2 4" xfId="61682"/>
    <cellStyle name="Normal 3 5 2 2 2 3 2 2 2 3" xfId="19493"/>
    <cellStyle name="Normal 3 5 2 2 2 3 2 2 2 4" xfId="25983"/>
    <cellStyle name="Normal 3 5 2 2 2 3 2 2 2 5" xfId="38963"/>
    <cellStyle name="Normal 3 5 2 2 2 3 2 2 2 6" xfId="55192"/>
    <cellStyle name="Normal 3 5 2 2 2 3 2 2 3" xfId="9755"/>
    <cellStyle name="Normal 3 5 2 2 2 3 2 2 3 2" xfId="29228"/>
    <cellStyle name="Normal 3 5 2 2 2 3 2 2 3 3" xfId="42208"/>
    <cellStyle name="Normal 3 5 2 2 2 3 2 2 3 4" xfId="58437"/>
    <cellStyle name="Normal 3 5 2 2 2 3 2 2 4" xfId="16248"/>
    <cellStyle name="Normal 3 5 2 2 2 3 2 2 4 2" xfId="51947"/>
    <cellStyle name="Normal 3 5 2 2 2 3 2 2 5" xfId="22738"/>
    <cellStyle name="Normal 3 5 2 2 2 3 2 2 6" xfId="35718"/>
    <cellStyle name="Normal 3 5 2 2 2 3 2 2 7" xfId="48701"/>
    <cellStyle name="Normal 3 5 2 2 2 3 2 3" xfId="4845"/>
    <cellStyle name="Normal 3 5 2 2 2 3 2 3 2" xfId="11377"/>
    <cellStyle name="Normal 3 5 2 2 2 3 2 3 2 2" xfId="30850"/>
    <cellStyle name="Normal 3 5 2 2 2 3 2 3 2 3" xfId="43830"/>
    <cellStyle name="Normal 3 5 2 2 2 3 2 3 2 4" xfId="60059"/>
    <cellStyle name="Normal 3 5 2 2 2 3 2 3 3" xfId="17870"/>
    <cellStyle name="Normal 3 5 2 2 2 3 2 3 4" xfId="24360"/>
    <cellStyle name="Normal 3 5 2 2 2 3 2 3 5" xfId="37340"/>
    <cellStyle name="Normal 3 5 2 2 2 3 2 3 6" xfId="53569"/>
    <cellStyle name="Normal 3 5 2 2 2 3 2 4" xfId="8132"/>
    <cellStyle name="Normal 3 5 2 2 2 3 2 4 2" xfId="27605"/>
    <cellStyle name="Normal 3 5 2 2 2 3 2 4 3" xfId="40585"/>
    <cellStyle name="Normal 3 5 2 2 2 3 2 4 4" xfId="56814"/>
    <cellStyle name="Normal 3 5 2 2 2 3 2 5" xfId="14625"/>
    <cellStyle name="Normal 3 5 2 2 2 3 2 5 2" xfId="50324"/>
    <cellStyle name="Normal 3 5 2 2 2 3 2 6" xfId="21115"/>
    <cellStyle name="Normal 3 5 2 2 2 3 2 7" xfId="34095"/>
    <cellStyle name="Normal 3 5 2 2 2 3 2 8" xfId="47078"/>
    <cellStyle name="Normal 3 5 2 2 2 3 3" xfId="2275"/>
    <cellStyle name="Normal 3 5 2 2 2 3 3 2" xfId="5520"/>
    <cellStyle name="Normal 3 5 2 2 2 3 3 2 2" xfId="12052"/>
    <cellStyle name="Normal 3 5 2 2 2 3 3 2 2 2" xfId="31525"/>
    <cellStyle name="Normal 3 5 2 2 2 3 3 2 2 3" xfId="44505"/>
    <cellStyle name="Normal 3 5 2 2 2 3 3 2 2 4" xfId="60734"/>
    <cellStyle name="Normal 3 5 2 2 2 3 3 2 3" xfId="18545"/>
    <cellStyle name="Normal 3 5 2 2 2 3 3 2 4" xfId="25035"/>
    <cellStyle name="Normal 3 5 2 2 2 3 3 2 5" xfId="38015"/>
    <cellStyle name="Normal 3 5 2 2 2 3 3 2 6" xfId="54244"/>
    <cellStyle name="Normal 3 5 2 2 2 3 3 3" xfId="8807"/>
    <cellStyle name="Normal 3 5 2 2 2 3 3 3 2" xfId="28280"/>
    <cellStyle name="Normal 3 5 2 2 2 3 3 3 3" xfId="41260"/>
    <cellStyle name="Normal 3 5 2 2 2 3 3 3 4" xfId="57489"/>
    <cellStyle name="Normal 3 5 2 2 2 3 3 4" xfId="15300"/>
    <cellStyle name="Normal 3 5 2 2 2 3 3 4 2" xfId="50999"/>
    <cellStyle name="Normal 3 5 2 2 2 3 3 5" xfId="21790"/>
    <cellStyle name="Normal 3 5 2 2 2 3 3 6" xfId="34770"/>
    <cellStyle name="Normal 3 5 2 2 2 3 3 7" xfId="47753"/>
    <cellStyle name="Normal 3 5 2 2 2 3 4" xfId="3897"/>
    <cellStyle name="Normal 3 5 2 2 2 3 4 2" xfId="10429"/>
    <cellStyle name="Normal 3 5 2 2 2 3 4 2 2" xfId="29902"/>
    <cellStyle name="Normal 3 5 2 2 2 3 4 2 3" xfId="42882"/>
    <cellStyle name="Normal 3 5 2 2 2 3 4 2 4" xfId="59111"/>
    <cellStyle name="Normal 3 5 2 2 2 3 4 3" xfId="16922"/>
    <cellStyle name="Normal 3 5 2 2 2 3 4 4" xfId="23412"/>
    <cellStyle name="Normal 3 5 2 2 2 3 4 5" xfId="36392"/>
    <cellStyle name="Normal 3 5 2 2 2 3 4 6" xfId="52621"/>
    <cellStyle name="Normal 3 5 2 2 2 3 5" xfId="7184"/>
    <cellStyle name="Normal 3 5 2 2 2 3 5 2" xfId="26657"/>
    <cellStyle name="Normal 3 5 2 2 2 3 5 3" xfId="39637"/>
    <cellStyle name="Normal 3 5 2 2 2 3 5 4" xfId="55866"/>
    <cellStyle name="Normal 3 5 2 2 2 3 6" xfId="13677"/>
    <cellStyle name="Normal 3 5 2 2 2 3 6 2" xfId="49376"/>
    <cellStyle name="Normal 3 5 2 2 2 3 7" xfId="20167"/>
    <cellStyle name="Normal 3 5 2 2 2 3 8" xfId="33147"/>
    <cellStyle name="Normal 3 5 2 2 2 3 9" xfId="46130"/>
    <cellStyle name="Normal 3 5 2 2 2 4" xfId="1093"/>
    <cellStyle name="Normal 3 5 2 2 2 4 2" xfId="2760"/>
    <cellStyle name="Normal 3 5 2 2 2 4 2 2" xfId="6005"/>
    <cellStyle name="Normal 3 5 2 2 2 4 2 2 2" xfId="12537"/>
    <cellStyle name="Normal 3 5 2 2 2 4 2 2 2 2" xfId="32010"/>
    <cellStyle name="Normal 3 5 2 2 2 4 2 2 2 3" xfId="44990"/>
    <cellStyle name="Normal 3 5 2 2 2 4 2 2 2 4" xfId="61219"/>
    <cellStyle name="Normal 3 5 2 2 2 4 2 2 3" xfId="19030"/>
    <cellStyle name="Normal 3 5 2 2 2 4 2 2 4" xfId="25520"/>
    <cellStyle name="Normal 3 5 2 2 2 4 2 2 5" xfId="38500"/>
    <cellStyle name="Normal 3 5 2 2 2 4 2 2 6" xfId="54729"/>
    <cellStyle name="Normal 3 5 2 2 2 4 2 3" xfId="9292"/>
    <cellStyle name="Normal 3 5 2 2 2 4 2 3 2" xfId="28765"/>
    <cellStyle name="Normal 3 5 2 2 2 4 2 3 3" xfId="41745"/>
    <cellStyle name="Normal 3 5 2 2 2 4 2 3 4" xfId="57974"/>
    <cellStyle name="Normal 3 5 2 2 2 4 2 4" xfId="15785"/>
    <cellStyle name="Normal 3 5 2 2 2 4 2 4 2" xfId="51484"/>
    <cellStyle name="Normal 3 5 2 2 2 4 2 5" xfId="22275"/>
    <cellStyle name="Normal 3 5 2 2 2 4 2 6" xfId="35255"/>
    <cellStyle name="Normal 3 5 2 2 2 4 2 7" xfId="48238"/>
    <cellStyle name="Normal 3 5 2 2 2 4 3" xfId="4382"/>
    <cellStyle name="Normal 3 5 2 2 2 4 3 2" xfId="10914"/>
    <cellStyle name="Normal 3 5 2 2 2 4 3 2 2" xfId="30387"/>
    <cellStyle name="Normal 3 5 2 2 2 4 3 2 3" xfId="43367"/>
    <cellStyle name="Normal 3 5 2 2 2 4 3 2 4" xfId="59596"/>
    <cellStyle name="Normal 3 5 2 2 2 4 3 3" xfId="17407"/>
    <cellStyle name="Normal 3 5 2 2 2 4 3 4" xfId="23897"/>
    <cellStyle name="Normal 3 5 2 2 2 4 3 5" xfId="36877"/>
    <cellStyle name="Normal 3 5 2 2 2 4 3 6" xfId="53106"/>
    <cellStyle name="Normal 3 5 2 2 2 4 4" xfId="7669"/>
    <cellStyle name="Normal 3 5 2 2 2 4 4 2" xfId="27142"/>
    <cellStyle name="Normal 3 5 2 2 2 4 4 3" xfId="40122"/>
    <cellStyle name="Normal 3 5 2 2 2 4 4 4" xfId="56351"/>
    <cellStyle name="Normal 3 5 2 2 2 4 5" xfId="14162"/>
    <cellStyle name="Normal 3 5 2 2 2 4 5 2" xfId="49861"/>
    <cellStyle name="Normal 3 5 2 2 2 4 6" xfId="20652"/>
    <cellStyle name="Normal 3 5 2 2 2 4 7" xfId="33632"/>
    <cellStyle name="Normal 3 5 2 2 2 4 8" xfId="46615"/>
    <cellStyle name="Normal 3 5 2 2 2 5" xfId="2046"/>
    <cellStyle name="Normal 3 5 2 2 2 5 2" xfId="5291"/>
    <cellStyle name="Normal 3 5 2 2 2 5 2 2" xfId="11823"/>
    <cellStyle name="Normal 3 5 2 2 2 5 2 2 2" xfId="31296"/>
    <cellStyle name="Normal 3 5 2 2 2 5 2 2 3" xfId="44276"/>
    <cellStyle name="Normal 3 5 2 2 2 5 2 2 4" xfId="60505"/>
    <cellStyle name="Normal 3 5 2 2 2 5 2 3" xfId="18316"/>
    <cellStyle name="Normal 3 5 2 2 2 5 2 4" xfId="24806"/>
    <cellStyle name="Normal 3 5 2 2 2 5 2 5" xfId="37786"/>
    <cellStyle name="Normal 3 5 2 2 2 5 2 6" xfId="54015"/>
    <cellStyle name="Normal 3 5 2 2 2 5 3" xfId="8578"/>
    <cellStyle name="Normal 3 5 2 2 2 5 3 2" xfId="28051"/>
    <cellStyle name="Normal 3 5 2 2 2 5 3 3" xfId="41031"/>
    <cellStyle name="Normal 3 5 2 2 2 5 3 4" xfId="57260"/>
    <cellStyle name="Normal 3 5 2 2 2 5 4" xfId="15071"/>
    <cellStyle name="Normal 3 5 2 2 2 5 4 2" xfId="50770"/>
    <cellStyle name="Normal 3 5 2 2 2 5 5" xfId="21561"/>
    <cellStyle name="Normal 3 5 2 2 2 5 6" xfId="34541"/>
    <cellStyle name="Normal 3 5 2 2 2 5 7" xfId="47524"/>
    <cellStyle name="Normal 3 5 2 2 2 6" xfId="3667"/>
    <cellStyle name="Normal 3 5 2 2 2 6 2" xfId="10199"/>
    <cellStyle name="Normal 3 5 2 2 2 6 2 2" xfId="29672"/>
    <cellStyle name="Normal 3 5 2 2 2 6 2 3" xfId="42652"/>
    <cellStyle name="Normal 3 5 2 2 2 6 2 4" xfId="58881"/>
    <cellStyle name="Normal 3 5 2 2 2 6 3" xfId="16692"/>
    <cellStyle name="Normal 3 5 2 2 2 6 4" xfId="23182"/>
    <cellStyle name="Normal 3 5 2 2 2 6 5" xfId="36162"/>
    <cellStyle name="Normal 3 5 2 2 2 6 6" xfId="52391"/>
    <cellStyle name="Normal 3 5 2 2 2 7" xfId="6954"/>
    <cellStyle name="Normal 3 5 2 2 2 7 2" xfId="26427"/>
    <cellStyle name="Normal 3 5 2 2 2 7 3" xfId="39407"/>
    <cellStyle name="Normal 3 5 2 2 2 7 4" xfId="55636"/>
    <cellStyle name="Normal 3 5 2 2 2 8" xfId="13447"/>
    <cellStyle name="Normal 3 5 2 2 2 8 2" xfId="49146"/>
    <cellStyle name="Normal 3 5 2 2 2 9" xfId="19937"/>
    <cellStyle name="Normal 3 5 2 2 3" xfId="749"/>
    <cellStyle name="Normal 3 5 2 2 3 10" xfId="46272"/>
    <cellStyle name="Normal 3 5 2 2 3 2" xfId="1688"/>
    <cellStyle name="Normal 3 5 2 2 3 2 2" xfId="3355"/>
    <cellStyle name="Normal 3 5 2 2 3 2 2 2" xfId="6600"/>
    <cellStyle name="Normal 3 5 2 2 3 2 2 2 2" xfId="13132"/>
    <cellStyle name="Normal 3 5 2 2 3 2 2 2 2 2" xfId="32605"/>
    <cellStyle name="Normal 3 5 2 2 3 2 2 2 2 3" xfId="45585"/>
    <cellStyle name="Normal 3 5 2 2 3 2 2 2 2 4" xfId="61814"/>
    <cellStyle name="Normal 3 5 2 2 3 2 2 2 3" xfId="19625"/>
    <cellStyle name="Normal 3 5 2 2 3 2 2 2 4" xfId="26115"/>
    <cellStyle name="Normal 3 5 2 2 3 2 2 2 5" xfId="39095"/>
    <cellStyle name="Normal 3 5 2 2 3 2 2 2 6" xfId="55324"/>
    <cellStyle name="Normal 3 5 2 2 3 2 2 3" xfId="9887"/>
    <cellStyle name="Normal 3 5 2 2 3 2 2 3 2" xfId="29360"/>
    <cellStyle name="Normal 3 5 2 2 3 2 2 3 3" xfId="42340"/>
    <cellStyle name="Normal 3 5 2 2 3 2 2 3 4" xfId="58569"/>
    <cellStyle name="Normal 3 5 2 2 3 2 2 4" xfId="16380"/>
    <cellStyle name="Normal 3 5 2 2 3 2 2 4 2" xfId="52079"/>
    <cellStyle name="Normal 3 5 2 2 3 2 2 5" xfId="22870"/>
    <cellStyle name="Normal 3 5 2 2 3 2 2 6" xfId="35850"/>
    <cellStyle name="Normal 3 5 2 2 3 2 2 7" xfId="48833"/>
    <cellStyle name="Normal 3 5 2 2 3 2 3" xfId="4977"/>
    <cellStyle name="Normal 3 5 2 2 3 2 3 2" xfId="11509"/>
    <cellStyle name="Normal 3 5 2 2 3 2 3 2 2" xfId="30982"/>
    <cellStyle name="Normal 3 5 2 2 3 2 3 2 3" xfId="43962"/>
    <cellStyle name="Normal 3 5 2 2 3 2 3 2 4" xfId="60191"/>
    <cellStyle name="Normal 3 5 2 2 3 2 3 3" xfId="18002"/>
    <cellStyle name="Normal 3 5 2 2 3 2 3 4" xfId="24492"/>
    <cellStyle name="Normal 3 5 2 2 3 2 3 5" xfId="37472"/>
    <cellStyle name="Normal 3 5 2 2 3 2 3 6" xfId="53701"/>
    <cellStyle name="Normal 3 5 2 2 3 2 4" xfId="8264"/>
    <cellStyle name="Normal 3 5 2 2 3 2 4 2" xfId="27737"/>
    <cellStyle name="Normal 3 5 2 2 3 2 4 3" xfId="40717"/>
    <cellStyle name="Normal 3 5 2 2 3 2 4 4" xfId="56946"/>
    <cellStyle name="Normal 3 5 2 2 3 2 5" xfId="14757"/>
    <cellStyle name="Normal 3 5 2 2 3 2 5 2" xfId="50456"/>
    <cellStyle name="Normal 3 5 2 2 3 2 6" xfId="21247"/>
    <cellStyle name="Normal 3 5 2 2 3 2 7" xfId="34227"/>
    <cellStyle name="Normal 3 5 2 2 3 2 8" xfId="47210"/>
    <cellStyle name="Normal 3 5 2 2 3 3" xfId="1225"/>
    <cellStyle name="Normal 3 5 2 2 3 3 2" xfId="2892"/>
    <cellStyle name="Normal 3 5 2 2 3 3 2 2" xfId="6137"/>
    <cellStyle name="Normal 3 5 2 2 3 3 2 2 2" xfId="12669"/>
    <cellStyle name="Normal 3 5 2 2 3 3 2 2 2 2" xfId="32142"/>
    <cellStyle name="Normal 3 5 2 2 3 3 2 2 2 3" xfId="45122"/>
    <cellStyle name="Normal 3 5 2 2 3 3 2 2 2 4" xfId="61351"/>
    <cellStyle name="Normal 3 5 2 2 3 3 2 2 3" xfId="19162"/>
    <cellStyle name="Normal 3 5 2 2 3 3 2 2 4" xfId="25652"/>
    <cellStyle name="Normal 3 5 2 2 3 3 2 2 5" xfId="38632"/>
    <cellStyle name="Normal 3 5 2 2 3 3 2 2 6" xfId="54861"/>
    <cellStyle name="Normal 3 5 2 2 3 3 2 3" xfId="9424"/>
    <cellStyle name="Normal 3 5 2 2 3 3 2 3 2" xfId="28897"/>
    <cellStyle name="Normal 3 5 2 2 3 3 2 3 3" xfId="41877"/>
    <cellStyle name="Normal 3 5 2 2 3 3 2 3 4" xfId="58106"/>
    <cellStyle name="Normal 3 5 2 2 3 3 2 4" xfId="15917"/>
    <cellStyle name="Normal 3 5 2 2 3 3 2 4 2" xfId="51616"/>
    <cellStyle name="Normal 3 5 2 2 3 3 2 5" xfId="22407"/>
    <cellStyle name="Normal 3 5 2 2 3 3 2 6" xfId="35387"/>
    <cellStyle name="Normal 3 5 2 2 3 3 2 7" xfId="48370"/>
    <cellStyle name="Normal 3 5 2 2 3 3 3" xfId="4514"/>
    <cellStyle name="Normal 3 5 2 2 3 3 3 2" xfId="11046"/>
    <cellStyle name="Normal 3 5 2 2 3 3 3 2 2" xfId="30519"/>
    <cellStyle name="Normal 3 5 2 2 3 3 3 2 3" xfId="43499"/>
    <cellStyle name="Normal 3 5 2 2 3 3 3 2 4" xfId="59728"/>
    <cellStyle name="Normal 3 5 2 2 3 3 3 3" xfId="17539"/>
    <cellStyle name="Normal 3 5 2 2 3 3 3 4" xfId="24029"/>
    <cellStyle name="Normal 3 5 2 2 3 3 3 5" xfId="37009"/>
    <cellStyle name="Normal 3 5 2 2 3 3 3 6" xfId="53238"/>
    <cellStyle name="Normal 3 5 2 2 3 3 4" xfId="7801"/>
    <cellStyle name="Normal 3 5 2 2 3 3 4 2" xfId="27274"/>
    <cellStyle name="Normal 3 5 2 2 3 3 4 3" xfId="40254"/>
    <cellStyle name="Normal 3 5 2 2 3 3 4 4" xfId="56483"/>
    <cellStyle name="Normal 3 5 2 2 3 3 5" xfId="14294"/>
    <cellStyle name="Normal 3 5 2 2 3 3 5 2" xfId="49993"/>
    <cellStyle name="Normal 3 5 2 2 3 3 6" xfId="20784"/>
    <cellStyle name="Normal 3 5 2 2 3 3 7" xfId="33764"/>
    <cellStyle name="Normal 3 5 2 2 3 3 8" xfId="46747"/>
    <cellStyle name="Normal 3 5 2 2 3 4" xfId="2417"/>
    <cellStyle name="Normal 3 5 2 2 3 4 2" xfId="5662"/>
    <cellStyle name="Normal 3 5 2 2 3 4 2 2" xfId="12194"/>
    <cellStyle name="Normal 3 5 2 2 3 4 2 2 2" xfId="31667"/>
    <cellStyle name="Normal 3 5 2 2 3 4 2 2 3" xfId="44647"/>
    <cellStyle name="Normal 3 5 2 2 3 4 2 2 4" xfId="60876"/>
    <cellStyle name="Normal 3 5 2 2 3 4 2 3" xfId="18687"/>
    <cellStyle name="Normal 3 5 2 2 3 4 2 4" xfId="25177"/>
    <cellStyle name="Normal 3 5 2 2 3 4 2 5" xfId="38157"/>
    <cellStyle name="Normal 3 5 2 2 3 4 2 6" xfId="54386"/>
    <cellStyle name="Normal 3 5 2 2 3 4 3" xfId="8949"/>
    <cellStyle name="Normal 3 5 2 2 3 4 3 2" xfId="28422"/>
    <cellStyle name="Normal 3 5 2 2 3 4 3 3" xfId="41402"/>
    <cellStyle name="Normal 3 5 2 2 3 4 3 4" xfId="57631"/>
    <cellStyle name="Normal 3 5 2 2 3 4 4" xfId="15442"/>
    <cellStyle name="Normal 3 5 2 2 3 4 4 2" xfId="51141"/>
    <cellStyle name="Normal 3 5 2 2 3 4 5" xfId="21932"/>
    <cellStyle name="Normal 3 5 2 2 3 4 6" xfId="34912"/>
    <cellStyle name="Normal 3 5 2 2 3 4 7" xfId="47895"/>
    <cellStyle name="Normal 3 5 2 2 3 5" xfId="4039"/>
    <cellStyle name="Normal 3 5 2 2 3 5 2" xfId="10571"/>
    <cellStyle name="Normal 3 5 2 2 3 5 2 2" xfId="30044"/>
    <cellStyle name="Normal 3 5 2 2 3 5 2 3" xfId="43024"/>
    <cellStyle name="Normal 3 5 2 2 3 5 2 4" xfId="59253"/>
    <cellStyle name="Normal 3 5 2 2 3 5 3" xfId="17064"/>
    <cellStyle name="Normal 3 5 2 2 3 5 4" xfId="23554"/>
    <cellStyle name="Normal 3 5 2 2 3 5 5" xfId="36534"/>
    <cellStyle name="Normal 3 5 2 2 3 5 6" xfId="52763"/>
    <cellStyle name="Normal 3 5 2 2 3 6" xfId="7326"/>
    <cellStyle name="Normal 3 5 2 2 3 6 2" xfId="26799"/>
    <cellStyle name="Normal 3 5 2 2 3 6 3" xfId="39779"/>
    <cellStyle name="Normal 3 5 2 2 3 6 4" xfId="56008"/>
    <cellStyle name="Normal 3 5 2 2 3 7" xfId="13819"/>
    <cellStyle name="Normal 3 5 2 2 3 7 2" xfId="49518"/>
    <cellStyle name="Normal 3 5 2 2 3 8" xfId="20309"/>
    <cellStyle name="Normal 3 5 2 2 3 9" xfId="33289"/>
    <cellStyle name="Normal 3 5 2 2 4" xfId="519"/>
    <cellStyle name="Normal 3 5 2 2 4 2" xfId="1468"/>
    <cellStyle name="Normal 3 5 2 2 4 2 2" xfId="3135"/>
    <cellStyle name="Normal 3 5 2 2 4 2 2 2" xfId="6380"/>
    <cellStyle name="Normal 3 5 2 2 4 2 2 2 2" xfId="12912"/>
    <cellStyle name="Normal 3 5 2 2 4 2 2 2 2 2" xfId="32385"/>
    <cellStyle name="Normal 3 5 2 2 4 2 2 2 2 3" xfId="45365"/>
    <cellStyle name="Normal 3 5 2 2 4 2 2 2 2 4" xfId="61594"/>
    <cellStyle name="Normal 3 5 2 2 4 2 2 2 3" xfId="19405"/>
    <cellStyle name="Normal 3 5 2 2 4 2 2 2 4" xfId="25895"/>
    <cellStyle name="Normal 3 5 2 2 4 2 2 2 5" xfId="38875"/>
    <cellStyle name="Normal 3 5 2 2 4 2 2 2 6" xfId="55104"/>
    <cellStyle name="Normal 3 5 2 2 4 2 2 3" xfId="9667"/>
    <cellStyle name="Normal 3 5 2 2 4 2 2 3 2" xfId="29140"/>
    <cellStyle name="Normal 3 5 2 2 4 2 2 3 3" xfId="42120"/>
    <cellStyle name="Normal 3 5 2 2 4 2 2 3 4" xfId="58349"/>
    <cellStyle name="Normal 3 5 2 2 4 2 2 4" xfId="16160"/>
    <cellStyle name="Normal 3 5 2 2 4 2 2 4 2" xfId="51859"/>
    <cellStyle name="Normal 3 5 2 2 4 2 2 5" xfId="22650"/>
    <cellStyle name="Normal 3 5 2 2 4 2 2 6" xfId="35630"/>
    <cellStyle name="Normal 3 5 2 2 4 2 2 7" xfId="48613"/>
    <cellStyle name="Normal 3 5 2 2 4 2 3" xfId="4757"/>
    <cellStyle name="Normal 3 5 2 2 4 2 3 2" xfId="11289"/>
    <cellStyle name="Normal 3 5 2 2 4 2 3 2 2" xfId="30762"/>
    <cellStyle name="Normal 3 5 2 2 4 2 3 2 3" xfId="43742"/>
    <cellStyle name="Normal 3 5 2 2 4 2 3 2 4" xfId="59971"/>
    <cellStyle name="Normal 3 5 2 2 4 2 3 3" xfId="17782"/>
    <cellStyle name="Normal 3 5 2 2 4 2 3 4" xfId="24272"/>
    <cellStyle name="Normal 3 5 2 2 4 2 3 5" xfId="37252"/>
    <cellStyle name="Normal 3 5 2 2 4 2 3 6" xfId="53481"/>
    <cellStyle name="Normal 3 5 2 2 4 2 4" xfId="8044"/>
    <cellStyle name="Normal 3 5 2 2 4 2 4 2" xfId="27517"/>
    <cellStyle name="Normal 3 5 2 2 4 2 4 3" xfId="40497"/>
    <cellStyle name="Normal 3 5 2 2 4 2 4 4" xfId="56726"/>
    <cellStyle name="Normal 3 5 2 2 4 2 5" xfId="14537"/>
    <cellStyle name="Normal 3 5 2 2 4 2 5 2" xfId="50236"/>
    <cellStyle name="Normal 3 5 2 2 4 2 6" xfId="21027"/>
    <cellStyle name="Normal 3 5 2 2 4 2 7" xfId="34007"/>
    <cellStyle name="Normal 3 5 2 2 4 2 8" xfId="46990"/>
    <cellStyle name="Normal 3 5 2 2 4 3" xfId="2187"/>
    <cellStyle name="Normal 3 5 2 2 4 3 2" xfId="5432"/>
    <cellStyle name="Normal 3 5 2 2 4 3 2 2" xfId="11964"/>
    <cellStyle name="Normal 3 5 2 2 4 3 2 2 2" xfId="31437"/>
    <cellStyle name="Normal 3 5 2 2 4 3 2 2 3" xfId="44417"/>
    <cellStyle name="Normal 3 5 2 2 4 3 2 2 4" xfId="60646"/>
    <cellStyle name="Normal 3 5 2 2 4 3 2 3" xfId="18457"/>
    <cellStyle name="Normal 3 5 2 2 4 3 2 4" xfId="24947"/>
    <cellStyle name="Normal 3 5 2 2 4 3 2 5" xfId="37927"/>
    <cellStyle name="Normal 3 5 2 2 4 3 2 6" xfId="54156"/>
    <cellStyle name="Normal 3 5 2 2 4 3 3" xfId="8719"/>
    <cellStyle name="Normal 3 5 2 2 4 3 3 2" xfId="28192"/>
    <cellStyle name="Normal 3 5 2 2 4 3 3 3" xfId="41172"/>
    <cellStyle name="Normal 3 5 2 2 4 3 3 4" xfId="57401"/>
    <cellStyle name="Normal 3 5 2 2 4 3 4" xfId="15212"/>
    <cellStyle name="Normal 3 5 2 2 4 3 4 2" xfId="50911"/>
    <cellStyle name="Normal 3 5 2 2 4 3 5" xfId="21702"/>
    <cellStyle name="Normal 3 5 2 2 4 3 6" xfId="34682"/>
    <cellStyle name="Normal 3 5 2 2 4 3 7" xfId="47665"/>
    <cellStyle name="Normal 3 5 2 2 4 4" xfId="3809"/>
    <cellStyle name="Normal 3 5 2 2 4 4 2" xfId="10341"/>
    <cellStyle name="Normal 3 5 2 2 4 4 2 2" xfId="29814"/>
    <cellStyle name="Normal 3 5 2 2 4 4 2 3" xfId="42794"/>
    <cellStyle name="Normal 3 5 2 2 4 4 2 4" xfId="59023"/>
    <cellStyle name="Normal 3 5 2 2 4 4 3" xfId="16834"/>
    <cellStyle name="Normal 3 5 2 2 4 4 4" xfId="23324"/>
    <cellStyle name="Normal 3 5 2 2 4 4 5" xfId="36304"/>
    <cellStyle name="Normal 3 5 2 2 4 4 6" xfId="52533"/>
    <cellStyle name="Normal 3 5 2 2 4 5" xfId="7096"/>
    <cellStyle name="Normal 3 5 2 2 4 5 2" xfId="26569"/>
    <cellStyle name="Normal 3 5 2 2 4 5 3" xfId="39549"/>
    <cellStyle name="Normal 3 5 2 2 4 5 4" xfId="55778"/>
    <cellStyle name="Normal 3 5 2 2 4 6" xfId="13589"/>
    <cellStyle name="Normal 3 5 2 2 4 6 2" xfId="49288"/>
    <cellStyle name="Normal 3 5 2 2 4 7" xfId="20079"/>
    <cellStyle name="Normal 3 5 2 2 4 8" xfId="33059"/>
    <cellStyle name="Normal 3 5 2 2 4 9" xfId="46042"/>
    <cellStyle name="Normal 3 5 2 2 5" xfId="1005"/>
    <cellStyle name="Normal 3 5 2 2 5 2" xfId="2672"/>
    <cellStyle name="Normal 3 5 2 2 5 2 2" xfId="5917"/>
    <cellStyle name="Normal 3 5 2 2 5 2 2 2" xfId="12449"/>
    <cellStyle name="Normal 3 5 2 2 5 2 2 2 2" xfId="31922"/>
    <cellStyle name="Normal 3 5 2 2 5 2 2 2 3" xfId="44902"/>
    <cellStyle name="Normal 3 5 2 2 5 2 2 2 4" xfId="61131"/>
    <cellStyle name="Normal 3 5 2 2 5 2 2 3" xfId="18942"/>
    <cellStyle name="Normal 3 5 2 2 5 2 2 4" xfId="25432"/>
    <cellStyle name="Normal 3 5 2 2 5 2 2 5" xfId="38412"/>
    <cellStyle name="Normal 3 5 2 2 5 2 2 6" xfId="54641"/>
    <cellStyle name="Normal 3 5 2 2 5 2 3" xfId="9204"/>
    <cellStyle name="Normal 3 5 2 2 5 2 3 2" xfId="28677"/>
    <cellStyle name="Normal 3 5 2 2 5 2 3 3" xfId="41657"/>
    <cellStyle name="Normal 3 5 2 2 5 2 3 4" xfId="57886"/>
    <cellStyle name="Normal 3 5 2 2 5 2 4" xfId="15697"/>
    <cellStyle name="Normal 3 5 2 2 5 2 4 2" xfId="51396"/>
    <cellStyle name="Normal 3 5 2 2 5 2 5" xfId="22187"/>
    <cellStyle name="Normal 3 5 2 2 5 2 6" xfId="35167"/>
    <cellStyle name="Normal 3 5 2 2 5 2 7" xfId="48150"/>
    <cellStyle name="Normal 3 5 2 2 5 3" xfId="4294"/>
    <cellStyle name="Normal 3 5 2 2 5 3 2" xfId="10826"/>
    <cellStyle name="Normal 3 5 2 2 5 3 2 2" xfId="30299"/>
    <cellStyle name="Normal 3 5 2 2 5 3 2 3" xfId="43279"/>
    <cellStyle name="Normal 3 5 2 2 5 3 2 4" xfId="59508"/>
    <cellStyle name="Normal 3 5 2 2 5 3 3" xfId="17319"/>
    <cellStyle name="Normal 3 5 2 2 5 3 4" xfId="23809"/>
    <cellStyle name="Normal 3 5 2 2 5 3 5" xfId="36789"/>
    <cellStyle name="Normal 3 5 2 2 5 3 6" xfId="53018"/>
    <cellStyle name="Normal 3 5 2 2 5 4" xfId="7581"/>
    <cellStyle name="Normal 3 5 2 2 5 4 2" xfId="27054"/>
    <cellStyle name="Normal 3 5 2 2 5 4 3" xfId="40034"/>
    <cellStyle name="Normal 3 5 2 2 5 4 4" xfId="56263"/>
    <cellStyle name="Normal 3 5 2 2 5 5" xfId="14074"/>
    <cellStyle name="Normal 3 5 2 2 5 5 2" xfId="49773"/>
    <cellStyle name="Normal 3 5 2 2 5 6" xfId="20564"/>
    <cellStyle name="Normal 3 5 2 2 5 7" xfId="33544"/>
    <cellStyle name="Normal 3 5 2 2 5 8" xfId="46527"/>
    <cellStyle name="Normal 3 5 2 2 6" xfId="1958"/>
    <cellStyle name="Normal 3 5 2 2 6 2" xfId="5203"/>
    <cellStyle name="Normal 3 5 2 2 6 2 2" xfId="11735"/>
    <cellStyle name="Normal 3 5 2 2 6 2 2 2" xfId="31208"/>
    <cellStyle name="Normal 3 5 2 2 6 2 2 3" xfId="44188"/>
    <cellStyle name="Normal 3 5 2 2 6 2 2 4" xfId="60417"/>
    <cellStyle name="Normal 3 5 2 2 6 2 3" xfId="18228"/>
    <cellStyle name="Normal 3 5 2 2 6 2 4" xfId="24718"/>
    <cellStyle name="Normal 3 5 2 2 6 2 5" xfId="37698"/>
    <cellStyle name="Normal 3 5 2 2 6 2 6" xfId="53927"/>
    <cellStyle name="Normal 3 5 2 2 6 3" xfId="8490"/>
    <cellStyle name="Normal 3 5 2 2 6 3 2" xfId="27963"/>
    <cellStyle name="Normal 3 5 2 2 6 3 3" xfId="40943"/>
    <cellStyle name="Normal 3 5 2 2 6 3 4" xfId="57172"/>
    <cellStyle name="Normal 3 5 2 2 6 4" xfId="14983"/>
    <cellStyle name="Normal 3 5 2 2 6 4 2" xfId="50682"/>
    <cellStyle name="Normal 3 5 2 2 6 5" xfId="21473"/>
    <cellStyle name="Normal 3 5 2 2 6 6" xfId="34453"/>
    <cellStyle name="Normal 3 5 2 2 6 7" xfId="47436"/>
    <cellStyle name="Normal 3 5 2 2 7" xfId="3579"/>
    <cellStyle name="Normal 3 5 2 2 7 2" xfId="10111"/>
    <cellStyle name="Normal 3 5 2 2 7 2 2" xfId="29584"/>
    <cellStyle name="Normal 3 5 2 2 7 2 3" xfId="42564"/>
    <cellStyle name="Normal 3 5 2 2 7 2 4" xfId="58793"/>
    <cellStyle name="Normal 3 5 2 2 7 3" xfId="16604"/>
    <cellStyle name="Normal 3 5 2 2 7 4" xfId="23094"/>
    <cellStyle name="Normal 3 5 2 2 7 5" xfId="36074"/>
    <cellStyle name="Normal 3 5 2 2 7 6" xfId="52303"/>
    <cellStyle name="Normal 3 5 2 2 8" xfId="6866"/>
    <cellStyle name="Normal 3 5 2 2 8 2" xfId="26339"/>
    <cellStyle name="Normal 3 5 2 2 8 3" xfId="39319"/>
    <cellStyle name="Normal 3 5 2 2 8 4" xfId="55548"/>
    <cellStyle name="Normal 3 5 2 2 9" xfId="13359"/>
    <cellStyle name="Normal 3 5 2 2 9 2" xfId="49058"/>
    <cellStyle name="Normal 3 5 2 3" xfId="241"/>
    <cellStyle name="Normal 3 5 2 3 10" xfId="32785"/>
    <cellStyle name="Normal 3 5 2 3 11" xfId="45768"/>
    <cellStyle name="Normal 3 5 2 3 2" xfId="705"/>
    <cellStyle name="Normal 3 5 2 3 2 10" xfId="46228"/>
    <cellStyle name="Normal 3 5 2 3 2 2" xfId="1644"/>
    <cellStyle name="Normal 3 5 2 3 2 2 2" xfId="3311"/>
    <cellStyle name="Normal 3 5 2 3 2 2 2 2" xfId="6556"/>
    <cellStyle name="Normal 3 5 2 3 2 2 2 2 2" xfId="13088"/>
    <cellStyle name="Normal 3 5 2 3 2 2 2 2 2 2" xfId="32561"/>
    <cellStyle name="Normal 3 5 2 3 2 2 2 2 2 3" xfId="45541"/>
    <cellStyle name="Normal 3 5 2 3 2 2 2 2 2 4" xfId="61770"/>
    <cellStyle name="Normal 3 5 2 3 2 2 2 2 3" xfId="19581"/>
    <cellStyle name="Normal 3 5 2 3 2 2 2 2 4" xfId="26071"/>
    <cellStyle name="Normal 3 5 2 3 2 2 2 2 5" xfId="39051"/>
    <cellStyle name="Normal 3 5 2 3 2 2 2 2 6" xfId="55280"/>
    <cellStyle name="Normal 3 5 2 3 2 2 2 3" xfId="9843"/>
    <cellStyle name="Normal 3 5 2 3 2 2 2 3 2" xfId="29316"/>
    <cellStyle name="Normal 3 5 2 3 2 2 2 3 3" xfId="42296"/>
    <cellStyle name="Normal 3 5 2 3 2 2 2 3 4" xfId="58525"/>
    <cellStyle name="Normal 3 5 2 3 2 2 2 4" xfId="16336"/>
    <cellStyle name="Normal 3 5 2 3 2 2 2 4 2" xfId="52035"/>
    <cellStyle name="Normal 3 5 2 3 2 2 2 5" xfId="22826"/>
    <cellStyle name="Normal 3 5 2 3 2 2 2 6" xfId="35806"/>
    <cellStyle name="Normal 3 5 2 3 2 2 2 7" xfId="48789"/>
    <cellStyle name="Normal 3 5 2 3 2 2 3" xfId="4933"/>
    <cellStyle name="Normal 3 5 2 3 2 2 3 2" xfId="11465"/>
    <cellStyle name="Normal 3 5 2 3 2 2 3 2 2" xfId="30938"/>
    <cellStyle name="Normal 3 5 2 3 2 2 3 2 3" xfId="43918"/>
    <cellStyle name="Normal 3 5 2 3 2 2 3 2 4" xfId="60147"/>
    <cellStyle name="Normal 3 5 2 3 2 2 3 3" xfId="17958"/>
    <cellStyle name="Normal 3 5 2 3 2 2 3 4" xfId="24448"/>
    <cellStyle name="Normal 3 5 2 3 2 2 3 5" xfId="37428"/>
    <cellStyle name="Normal 3 5 2 3 2 2 3 6" xfId="53657"/>
    <cellStyle name="Normal 3 5 2 3 2 2 4" xfId="8220"/>
    <cellStyle name="Normal 3 5 2 3 2 2 4 2" xfId="27693"/>
    <cellStyle name="Normal 3 5 2 3 2 2 4 3" xfId="40673"/>
    <cellStyle name="Normal 3 5 2 3 2 2 4 4" xfId="56902"/>
    <cellStyle name="Normal 3 5 2 3 2 2 5" xfId="14713"/>
    <cellStyle name="Normal 3 5 2 3 2 2 5 2" xfId="50412"/>
    <cellStyle name="Normal 3 5 2 3 2 2 6" xfId="21203"/>
    <cellStyle name="Normal 3 5 2 3 2 2 7" xfId="34183"/>
    <cellStyle name="Normal 3 5 2 3 2 2 8" xfId="47166"/>
    <cellStyle name="Normal 3 5 2 3 2 3" xfId="1181"/>
    <cellStyle name="Normal 3 5 2 3 2 3 2" xfId="2848"/>
    <cellStyle name="Normal 3 5 2 3 2 3 2 2" xfId="6093"/>
    <cellStyle name="Normal 3 5 2 3 2 3 2 2 2" xfId="12625"/>
    <cellStyle name="Normal 3 5 2 3 2 3 2 2 2 2" xfId="32098"/>
    <cellStyle name="Normal 3 5 2 3 2 3 2 2 2 3" xfId="45078"/>
    <cellStyle name="Normal 3 5 2 3 2 3 2 2 2 4" xfId="61307"/>
    <cellStyle name="Normal 3 5 2 3 2 3 2 2 3" xfId="19118"/>
    <cellStyle name="Normal 3 5 2 3 2 3 2 2 4" xfId="25608"/>
    <cellStyle name="Normal 3 5 2 3 2 3 2 2 5" xfId="38588"/>
    <cellStyle name="Normal 3 5 2 3 2 3 2 2 6" xfId="54817"/>
    <cellStyle name="Normal 3 5 2 3 2 3 2 3" xfId="9380"/>
    <cellStyle name="Normal 3 5 2 3 2 3 2 3 2" xfId="28853"/>
    <cellStyle name="Normal 3 5 2 3 2 3 2 3 3" xfId="41833"/>
    <cellStyle name="Normal 3 5 2 3 2 3 2 3 4" xfId="58062"/>
    <cellStyle name="Normal 3 5 2 3 2 3 2 4" xfId="15873"/>
    <cellStyle name="Normal 3 5 2 3 2 3 2 4 2" xfId="51572"/>
    <cellStyle name="Normal 3 5 2 3 2 3 2 5" xfId="22363"/>
    <cellStyle name="Normal 3 5 2 3 2 3 2 6" xfId="35343"/>
    <cellStyle name="Normal 3 5 2 3 2 3 2 7" xfId="48326"/>
    <cellStyle name="Normal 3 5 2 3 2 3 3" xfId="4470"/>
    <cellStyle name="Normal 3 5 2 3 2 3 3 2" xfId="11002"/>
    <cellStyle name="Normal 3 5 2 3 2 3 3 2 2" xfId="30475"/>
    <cellStyle name="Normal 3 5 2 3 2 3 3 2 3" xfId="43455"/>
    <cellStyle name="Normal 3 5 2 3 2 3 3 2 4" xfId="59684"/>
    <cellStyle name="Normal 3 5 2 3 2 3 3 3" xfId="17495"/>
    <cellStyle name="Normal 3 5 2 3 2 3 3 4" xfId="23985"/>
    <cellStyle name="Normal 3 5 2 3 2 3 3 5" xfId="36965"/>
    <cellStyle name="Normal 3 5 2 3 2 3 3 6" xfId="53194"/>
    <cellStyle name="Normal 3 5 2 3 2 3 4" xfId="7757"/>
    <cellStyle name="Normal 3 5 2 3 2 3 4 2" xfId="27230"/>
    <cellStyle name="Normal 3 5 2 3 2 3 4 3" xfId="40210"/>
    <cellStyle name="Normal 3 5 2 3 2 3 4 4" xfId="56439"/>
    <cellStyle name="Normal 3 5 2 3 2 3 5" xfId="14250"/>
    <cellStyle name="Normal 3 5 2 3 2 3 5 2" xfId="49949"/>
    <cellStyle name="Normal 3 5 2 3 2 3 6" xfId="20740"/>
    <cellStyle name="Normal 3 5 2 3 2 3 7" xfId="33720"/>
    <cellStyle name="Normal 3 5 2 3 2 3 8" xfId="46703"/>
    <cellStyle name="Normal 3 5 2 3 2 4" xfId="2373"/>
    <cellStyle name="Normal 3 5 2 3 2 4 2" xfId="5618"/>
    <cellStyle name="Normal 3 5 2 3 2 4 2 2" xfId="12150"/>
    <cellStyle name="Normal 3 5 2 3 2 4 2 2 2" xfId="31623"/>
    <cellStyle name="Normal 3 5 2 3 2 4 2 2 3" xfId="44603"/>
    <cellStyle name="Normal 3 5 2 3 2 4 2 2 4" xfId="60832"/>
    <cellStyle name="Normal 3 5 2 3 2 4 2 3" xfId="18643"/>
    <cellStyle name="Normal 3 5 2 3 2 4 2 4" xfId="25133"/>
    <cellStyle name="Normal 3 5 2 3 2 4 2 5" xfId="38113"/>
    <cellStyle name="Normal 3 5 2 3 2 4 2 6" xfId="54342"/>
    <cellStyle name="Normal 3 5 2 3 2 4 3" xfId="8905"/>
    <cellStyle name="Normal 3 5 2 3 2 4 3 2" xfId="28378"/>
    <cellStyle name="Normal 3 5 2 3 2 4 3 3" xfId="41358"/>
    <cellStyle name="Normal 3 5 2 3 2 4 3 4" xfId="57587"/>
    <cellStyle name="Normal 3 5 2 3 2 4 4" xfId="15398"/>
    <cellStyle name="Normal 3 5 2 3 2 4 4 2" xfId="51097"/>
    <cellStyle name="Normal 3 5 2 3 2 4 5" xfId="21888"/>
    <cellStyle name="Normal 3 5 2 3 2 4 6" xfId="34868"/>
    <cellStyle name="Normal 3 5 2 3 2 4 7" xfId="47851"/>
    <cellStyle name="Normal 3 5 2 3 2 5" xfId="3995"/>
    <cellStyle name="Normal 3 5 2 3 2 5 2" xfId="10527"/>
    <cellStyle name="Normal 3 5 2 3 2 5 2 2" xfId="30000"/>
    <cellStyle name="Normal 3 5 2 3 2 5 2 3" xfId="42980"/>
    <cellStyle name="Normal 3 5 2 3 2 5 2 4" xfId="59209"/>
    <cellStyle name="Normal 3 5 2 3 2 5 3" xfId="17020"/>
    <cellStyle name="Normal 3 5 2 3 2 5 4" xfId="23510"/>
    <cellStyle name="Normal 3 5 2 3 2 5 5" xfId="36490"/>
    <cellStyle name="Normal 3 5 2 3 2 5 6" xfId="52719"/>
    <cellStyle name="Normal 3 5 2 3 2 6" xfId="7282"/>
    <cellStyle name="Normal 3 5 2 3 2 6 2" xfId="26755"/>
    <cellStyle name="Normal 3 5 2 3 2 6 3" xfId="39735"/>
    <cellStyle name="Normal 3 5 2 3 2 6 4" xfId="55964"/>
    <cellStyle name="Normal 3 5 2 3 2 7" xfId="13775"/>
    <cellStyle name="Normal 3 5 2 3 2 7 2" xfId="49474"/>
    <cellStyle name="Normal 3 5 2 3 2 8" xfId="20265"/>
    <cellStyle name="Normal 3 5 2 3 2 9" xfId="33245"/>
    <cellStyle name="Normal 3 5 2 3 3" xfId="475"/>
    <cellStyle name="Normal 3 5 2 3 3 2" xfId="1424"/>
    <cellStyle name="Normal 3 5 2 3 3 2 2" xfId="3091"/>
    <cellStyle name="Normal 3 5 2 3 3 2 2 2" xfId="6336"/>
    <cellStyle name="Normal 3 5 2 3 3 2 2 2 2" xfId="12868"/>
    <cellStyle name="Normal 3 5 2 3 3 2 2 2 2 2" xfId="32341"/>
    <cellStyle name="Normal 3 5 2 3 3 2 2 2 2 3" xfId="45321"/>
    <cellStyle name="Normal 3 5 2 3 3 2 2 2 2 4" xfId="61550"/>
    <cellStyle name="Normal 3 5 2 3 3 2 2 2 3" xfId="19361"/>
    <cellStyle name="Normal 3 5 2 3 3 2 2 2 4" xfId="25851"/>
    <cellStyle name="Normal 3 5 2 3 3 2 2 2 5" xfId="38831"/>
    <cellStyle name="Normal 3 5 2 3 3 2 2 2 6" xfId="55060"/>
    <cellStyle name="Normal 3 5 2 3 3 2 2 3" xfId="9623"/>
    <cellStyle name="Normal 3 5 2 3 3 2 2 3 2" xfId="29096"/>
    <cellStyle name="Normal 3 5 2 3 3 2 2 3 3" xfId="42076"/>
    <cellStyle name="Normal 3 5 2 3 3 2 2 3 4" xfId="58305"/>
    <cellStyle name="Normal 3 5 2 3 3 2 2 4" xfId="16116"/>
    <cellStyle name="Normal 3 5 2 3 3 2 2 4 2" xfId="51815"/>
    <cellStyle name="Normal 3 5 2 3 3 2 2 5" xfId="22606"/>
    <cellStyle name="Normal 3 5 2 3 3 2 2 6" xfId="35586"/>
    <cellStyle name="Normal 3 5 2 3 3 2 2 7" xfId="48569"/>
    <cellStyle name="Normal 3 5 2 3 3 2 3" xfId="4713"/>
    <cellStyle name="Normal 3 5 2 3 3 2 3 2" xfId="11245"/>
    <cellStyle name="Normal 3 5 2 3 3 2 3 2 2" xfId="30718"/>
    <cellStyle name="Normal 3 5 2 3 3 2 3 2 3" xfId="43698"/>
    <cellStyle name="Normal 3 5 2 3 3 2 3 2 4" xfId="59927"/>
    <cellStyle name="Normal 3 5 2 3 3 2 3 3" xfId="17738"/>
    <cellStyle name="Normal 3 5 2 3 3 2 3 4" xfId="24228"/>
    <cellStyle name="Normal 3 5 2 3 3 2 3 5" xfId="37208"/>
    <cellStyle name="Normal 3 5 2 3 3 2 3 6" xfId="53437"/>
    <cellStyle name="Normal 3 5 2 3 3 2 4" xfId="8000"/>
    <cellStyle name="Normal 3 5 2 3 3 2 4 2" xfId="27473"/>
    <cellStyle name="Normal 3 5 2 3 3 2 4 3" xfId="40453"/>
    <cellStyle name="Normal 3 5 2 3 3 2 4 4" xfId="56682"/>
    <cellStyle name="Normal 3 5 2 3 3 2 5" xfId="14493"/>
    <cellStyle name="Normal 3 5 2 3 3 2 5 2" xfId="50192"/>
    <cellStyle name="Normal 3 5 2 3 3 2 6" xfId="20983"/>
    <cellStyle name="Normal 3 5 2 3 3 2 7" xfId="33963"/>
    <cellStyle name="Normal 3 5 2 3 3 2 8" xfId="46946"/>
    <cellStyle name="Normal 3 5 2 3 3 3" xfId="2143"/>
    <cellStyle name="Normal 3 5 2 3 3 3 2" xfId="5388"/>
    <cellStyle name="Normal 3 5 2 3 3 3 2 2" xfId="11920"/>
    <cellStyle name="Normal 3 5 2 3 3 3 2 2 2" xfId="31393"/>
    <cellStyle name="Normal 3 5 2 3 3 3 2 2 3" xfId="44373"/>
    <cellStyle name="Normal 3 5 2 3 3 3 2 2 4" xfId="60602"/>
    <cellStyle name="Normal 3 5 2 3 3 3 2 3" xfId="18413"/>
    <cellStyle name="Normal 3 5 2 3 3 3 2 4" xfId="24903"/>
    <cellStyle name="Normal 3 5 2 3 3 3 2 5" xfId="37883"/>
    <cellStyle name="Normal 3 5 2 3 3 3 2 6" xfId="54112"/>
    <cellStyle name="Normal 3 5 2 3 3 3 3" xfId="8675"/>
    <cellStyle name="Normal 3 5 2 3 3 3 3 2" xfId="28148"/>
    <cellStyle name="Normal 3 5 2 3 3 3 3 3" xfId="41128"/>
    <cellStyle name="Normal 3 5 2 3 3 3 3 4" xfId="57357"/>
    <cellStyle name="Normal 3 5 2 3 3 3 4" xfId="15168"/>
    <cellStyle name="Normal 3 5 2 3 3 3 4 2" xfId="50867"/>
    <cellStyle name="Normal 3 5 2 3 3 3 5" xfId="21658"/>
    <cellStyle name="Normal 3 5 2 3 3 3 6" xfId="34638"/>
    <cellStyle name="Normal 3 5 2 3 3 3 7" xfId="47621"/>
    <cellStyle name="Normal 3 5 2 3 3 4" xfId="3765"/>
    <cellStyle name="Normal 3 5 2 3 3 4 2" xfId="10297"/>
    <cellStyle name="Normal 3 5 2 3 3 4 2 2" xfId="29770"/>
    <cellStyle name="Normal 3 5 2 3 3 4 2 3" xfId="42750"/>
    <cellStyle name="Normal 3 5 2 3 3 4 2 4" xfId="58979"/>
    <cellStyle name="Normal 3 5 2 3 3 4 3" xfId="16790"/>
    <cellStyle name="Normal 3 5 2 3 3 4 4" xfId="23280"/>
    <cellStyle name="Normal 3 5 2 3 3 4 5" xfId="36260"/>
    <cellStyle name="Normal 3 5 2 3 3 4 6" xfId="52489"/>
    <cellStyle name="Normal 3 5 2 3 3 5" xfId="7052"/>
    <cellStyle name="Normal 3 5 2 3 3 5 2" xfId="26525"/>
    <cellStyle name="Normal 3 5 2 3 3 5 3" xfId="39505"/>
    <cellStyle name="Normal 3 5 2 3 3 5 4" xfId="55734"/>
    <cellStyle name="Normal 3 5 2 3 3 6" xfId="13545"/>
    <cellStyle name="Normal 3 5 2 3 3 6 2" xfId="49244"/>
    <cellStyle name="Normal 3 5 2 3 3 7" xfId="20035"/>
    <cellStyle name="Normal 3 5 2 3 3 8" xfId="33015"/>
    <cellStyle name="Normal 3 5 2 3 3 9" xfId="45998"/>
    <cellStyle name="Normal 3 5 2 3 4" xfId="961"/>
    <cellStyle name="Normal 3 5 2 3 4 2" xfId="2628"/>
    <cellStyle name="Normal 3 5 2 3 4 2 2" xfId="5873"/>
    <cellStyle name="Normal 3 5 2 3 4 2 2 2" xfId="12405"/>
    <cellStyle name="Normal 3 5 2 3 4 2 2 2 2" xfId="31878"/>
    <cellStyle name="Normal 3 5 2 3 4 2 2 2 3" xfId="44858"/>
    <cellStyle name="Normal 3 5 2 3 4 2 2 2 4" xfId="61087"/>
    <cellStyle name="Normal 3 5 2 3 4 2 2 3" xfId="18898"/>
    <cellStyle name="Normal 3 5 2 3 4 2 2 4" xfId="25388"/>
    <cellStyle name="Normal 3 5 2 3 4 2 2 5" xfId="38368"/>
    <cellStyle name="Normal 3 5 2 3 4 2 2 6" xfId="54597"/>
    <cellStyle name="Normal 3 5 2 3 4 2 3" xfId="9160"/>
    <cellStyle name="Normal 3 5 2 3 4 2 3 2" xfId="28633"/>
    <cellStyle name="Normal 3 5 2 3 4 2 3 3" xfId="41613"/>
    <cellStyle name="Normal 3 5 2 3 4 2 3 4" xfId="57842"/>
    <cellStyle name="Normal 3 5 2 3 4 2 4" xfId="15653"/>
    <cellStyle name="Normal 3 5 2 3 4 2 4 2" xfId="51352"/>
    <cellStyle name="Normal 3 5 2 3 4 2 5" xfId="22143"/>
    <cellStyle name="Normal 3 5 2 3 4 2 6" xfId="35123"/>
    <cellStyle name="Normal 3 5 2 3 4 2 7" xfId="48106"/>
    <cellStyle name="Normal 3 5 2 3 4 3" xfId="4250"/>
    <cellStyle name="Normal 3 5 2 3 4 3 2" xfId="10782"/>
    <cellStyle name="Normal 3 5 2 3 4 3 2 2" xfId="30255"/>
    <cellStyle name="Normal 3 5 2 3 4 3 2 3" xfId="43235"/>
    <cellStyle name="Normal 3 5 2 3 4 3 2 4" xfId="59464"/>
    <cellStyle name="Normal 3 5 2 3 4 3 3" xfId="17275"/>
    <cellStyle name="Normal 3 5 2 3 4 3 4" xfId="23765"/>
    <cellStyle name="Normal 3 5 2 3 4 3 5" xfId="36745"/>
    <cellStyle name="Normal 3 5 2 3 4 3 6" xfId="52974"/>
    <cellStyle name="Normal 3 5 2 3 4 4" xfId="7537"/>
    <cellStyle name="Normal 3 5 2 3 4 4 2" xfId="27010"/>
    <cellStyle name="Normal 3 5 2 3 4 4 3" xfId="39990"/>
    <cellStyle name="Normal 3 5 2 3 4 4 4" xfId="56219"/>
    <cellStyle name="Normal 3 5 2 3 4 5" xfId="14030"/>
    <cellStyle name="Normal 3 5 2 3 4 5 2" xfId="49729"/>
    <cellStyle name="Normal 3 5 2 3 4 6" xfId="20520"/>
    <cellStyle name="Normal 3 5 2 3 4 7" xfId="33500"/>
    <cellStyle name="Normal 3 5 2 3 4 8" xfId="46483"/>
    <cellStyle name="Normal 3 5 2 3 5" xfId="1914"/>
    <cellStyle name="Normal 3 5 2 3 5 2" xfId="5159"/>
    <cellStyle name="Normal 3 5 2 3 5 2 2" xfId="11691"/>
    <cellStyle name="Normal 3 5 2 3 5 2 2 2" xfId="31164"/>
    <cellStyle name="Normal 3 5 2 3 5 2 2 3" xfId="44144"/>
    <cellStyle name="Normal 3 5 2 3 5 2 2 4" xfId="60373"/>
    <cellStyle name="Normal 3 5 2 3 5 2 3" xfId="18184"/>
    <cellStyle name="Normal 3 5 2 3 5 2 4" xfId="24674"/>
    <cellStyle name="Normal 3 5 2 3 5 2 5" xfId="37654"/>
    <cellStyle name="Normal 3 5 2 3 5 2 6" xfId="53883"/>
    <cellStyle name="Normal 3 5 2 3 5 3" xfId="8446"/>
    <cellStyle name="Normal 3 5 2 3 5 3 2" xfId="27919"/>
    <cellStyle name="Normal 3 5 2 3 5 3 3" xfId="40899"/>
    <cellStyle name="Normal 3 5 2 3 5 3 4" xfId="57128"/>
    <cellStyle name="Normal 3 5 2 3 5 4" xfId="14939"/>
    <cellStyle name="Normal 3 5 2 3 5 4 2" xfId="50638"/>
    <cellStyle name="Normal 3 5 2 3 5 5" xfId="21429"/>
    <cellStyle name="Normal 3 5 2 3 5 6" xfId="34409"/>
    <cellStyle name="Normal 3 5 2 3 5 7" xfId="47392"/>
    <cellStyle name="Normal 3 5 2 3 6" xfId="3535"/>
    <cellStyle name="Normal 3 5 2 3 6 2" xfId="10067"/>
    <cellStyle name="Normal 3 5 2 3 6 2 2" xfId="29540"/>
    <cellStyle name="Normal 3 5 2 3 6 2 3" xfId="42520"/>
    <cellStyle name="Normal 3 5 2 3 6 2 4" xfId="58749"/>
    <cellStyle name="Normal 3 5 2 3 6 3" xfId="16560"/>
    <cellStyle name="Normal 3 5 2 3 6 4" xfId="23050"/>
    <cellStyle name="Normal 3 5 2 3 6 5" xfId="36030"/>
    <cellStyle name="Normal 3 5 2 3 6 6" xfId="52259"/>
    <cellStyle name="Normal 3 5 2 3 7" xfId="6822"/>
    <cellStyle name="Normal 3 5 2 3 7 2" xfId="26295"/>
    <cellStyle name="Normal 3 5 2 3 7 3" xfId="39275"/>
    <cellStyle name="Normal 3 5 2 3 7 4" xfId="55504"/>
    <cellStyle name="Normal 3 5 2 3 8" xfId="13315"/>
    <cellStyle name="Normal 3 5 2 3 8 2" xfId="49014"/>
    <cellStyle name="Normal 3 5 2 3 9" xfId="19805"/>
    <cellStyle name="Normal 3 5 2 4" xfId="329"/>
    <cellStyle name="Normal 3 5 2 4 10" xfId="32873"/>
    <cellStyle name="Normal 3 5 2 4 11" xfId="45856"/>
    <cellStyle name="Normal 3 5 2 4 2" xfId="793"/>
    <cellStyle name="Normal 3 5 2 4 2 10" xfId="46316"/>
    <cellStyle name="Normal 3 5 2 4 2 2" xfId="1732"/>
    <cellStyle name="Normal 3 5 2 4 2 2 2" xfId="3399"/>
    <cellStyle name="Normal 3 5 2 4 2 2 2 2" xfId="6644"/>
    <cellStyle name="Normal 3 5 2 4 2 2 2 2 2" xfId="13176"/>
    <cellStyle name="Normal 3 5 2 4 2 2 2 2 2 2" xfId="32649"/>
    <cellStyle name="Normal 3 5 2 4 2 2 2 2 2 3" xfId="45629"/>
    <cellStyle name="Normal 3 5 2 4 2 2 2 2 2 4" xfId="61858"/>
    <cellStyle name="Normal 3 5 2 4 2 2 2 2 3" xfId="19669"/>
    <cellStyle name="Normal 3 5 2 4 2 2 2 2 4" xfId="26159"/>
    <cellStyle name="Normal 3 5 2 4 2 2 2 2 5" xfId="39139"/>
    <cellStyle name="Normal 3 5 2 4 2 2 2 2 6" xfId="55368"/>
    <cellStyle name="Normal 3 5 2 4 2 2 2 3" xfId="9931"/>
    <cellStyle name="Normal 3 5 2 4 2 2 2 3 2" xfId="29404"/>
    <cellStyle name="Normal 3 5 2 4 2 2 2 3 3" xfId="42384"/>
    <cellStyle name="Normal 3 5 2 4 2 2 2 3 4" xfId="58613"/>
    <cellStyle name="Normal 3 5 2 4 2 2 2 4" xfId="16424"/>
    <cellStyle name="Normal 3 5 2 4 2 2 2 4 2" xfId="52123"/>
    <cellStyle name="Normal 3 5 2 4 2 2 2 5" xfId="22914"/>
    <cellStyle name="Normal 3 5 2 4 2 2 2 6" xfId="35894"/>
    <cellStyle name="Normal 3 5 2 4 2 2 2 7" xfId="48877"/>
    <cellStyle name="Normal 3 5 2 4 2 2 3" xfId="5021"/>
    <cellStyle name="Normal 3 5 2 4 2 2 3 2" xfId="11553"/>
    <cellStyle name="Normal 3 5 2 4 2 2 3 2 2" xfId="31026"/>
    <cellStyle name="Normal 3 5 2 4 2 2 3 2 3" xfId="44006"/>
    <cellStyle name="Normal 3 5 2 4 2 2 3 2 4" xfId="60235"/>
    <cellStyle name="Normal 3 5 2 4 2 2 3 3" xfId="18046"/>
    <cellStyle name="Normal 3 5 2 4 2 2 3 4" xfId="24536"/>
    <cellStyle name="Normal 3 5 2 4 2 2 3 5" xfId="37516"/>
    <cellStyle name="Normal 3 5 2 4 2 2 3 6" xfId="53745"/>
    <cellStyle name="Normal 3 5 2 4 2 2 4" xfId="8308"/>
    <cellStyle name="Normal 3 5 2 4 2 2 4 2" xfId="27781"/>
    <cellStyle name="Normal 3 5 2 4 2 2 4 3" xfId="40761"/>
    <cellStyle name="Normal 3 5 2 4 2 2 4 4" xfId="56990"/>
    <cellStyle name="Normal 3 5 2 4 2 2 5" xfId="14801"/>
    <cellStyle name="Normal 3 5 2 4 2 2 5 2" xfId="50500"/>
    <cellStyle name="Normal 3 5 2 4 2 2 6" xfId="21291"/>
    <cellStyle name="Normal 3 5 2 4 2 2 7" xfId="34271"/>
    <cellStyle name="Normal 3 5 2 4 2 2 8" xfId="47254"/>
    <cellStyle name="Normal 3 5 2 4 2 3" xfId="1269"/>
    <cellStyle name="Normal 3 5 2 4 2 3 2" xfId="2936"/>
    <cellStyle name="Normal 3 5 2 4 2 3 2 2" xfId="6181"/>
    <cellStyle name="Normal 3 5 2 4 2 3 2 2 2" xfId="12713"/>
    <cellStyle name="Normal 3 5 2 4 2 3 2 2 2 2" xfId="32186"/>
    <cellStyle name="Normal 3 5 2 4 2 3 2 2 2 3" xfId="45166"/>
    <cellStyle name="Normal 3 5 2 4 2 3 2 2 2 4" xfId="61395"/>
    <cellStyle name="Normal 3 5 2 4 2 3 2 2 3" xfId="19206"/>
    <cellStyle name="Normal 3 5 2 4 2 3 2 2 4" xfId="25696"/>
    <cellStyle name="Normal 3 5 2 4 2 3 2 2 5" xfId="38676"/>
    <cellStyle name="Normal 3 5 2 4 2 3 2 2 6" xfId="54905"/>
    <cellStyle name="Normal 3 5 2 4 2 3 2 3" xfId="9468"/>
    <cellStyle name="Normal 3 5 2 4 2 3 2 3 2" xfId="28941"/>
    <cellStyle name="Normal 3 5 2 4 2 3 2 3 3" xfId="41921"/>
    <cellStyle name="Normal 3 5 2 4 2 3 2 3 4" xfId="58150"/>
    <cellStyle name="Normal 3 5 2 4 2 3 2 4" xfId="15961"/>
    <cellStyle name="Normal 3 5 2 4 2 3 2 4 2" xfId="51660"/>
    <cellStyle name="Normal 3 5 2 4 2 3 2 5" xfId="22451"/>
    <cellStyle name="Normal 3 5 2 4 2 3 2 6" xfId="35431"/>
    <cellStyle name="Normal 3 5 2 4 2 3 2 7" xfId="48414"/>
    <cellStyle name="Normal 3 5 2 4 2 3 3" xfId="4558"/>
    <cellStyle name="Normal 3 5 2 4 2 3 3 2" xfId="11090"/>
    <cellStyle name="Normal 3 5 2 4 2 3 3 2 2" xfId="30563"/>
    <cellStyle name="Normal 3 5 2 4 2 3 3 2 3" xfId="43543"/>
    <cellStyle name="Normal 3 5 2 4 2 3 3 2 4" xfId="59772"/>
    <cellStyle name="Normal 3 5 2 4 2 3 3 3" xfId="17583"/>
    <cellStyle name="Normal 3 5 2 4 2 3 3 4" xfId="24073"/>
    <cellStyle name="Normal 3 5 2 4 2 3 3 5" xfId="37053"/>
    <cellStyle name="Normal 3 5 2 4 2 3 3 6" xfId="53282"/>
    <cellStyle name="Normal 3 5 2 4 2 3 4" xfId="7845"/>
    <cellStyle name="Normal 3 5 2 4 2 3 4 2" xfId="27318"/>
    <cellStyle name="Normal 3 5 2 4 2 3 4 3" xfId="40298"/>
    <cellStyle name="Normal 3 5 2 4 2 3 4 4" xfId="56527"/>
    <cellStyle name="Normal 3 5 2 4 2 3 5" xfId="14338"/>
    <cellStyle name="Normal 3 5 2 4 2 3 5 2" xfId="50037"/>
    <cellStyle name="Normal 3 5 2 4 2 3 6" xfId="20828"/>
    <cellStyle name="Normal 3 5 2 4 2 3 7" xfId="33808"/>
    <cellStyle name="Normal 3 5 2 4 2 3 8" xfId="46791"/>
    <cellStyle name="Normal 3 5 2 4 2 4" xfId="2461"/>
    <cellStyle name="Normal 3 5 2 4 2 4 2" xfId="5706"/>
    <cellStyle name="Normal 3 5 2 4 2 4 2 2" xfId="12238"/>
    <cellStyle name="Normal 3 5 2 4 2 4 2 2 2" xfId="31711"/>
    <cellStyle name="Normal 3 5 2 4 2 4 2 2 3" xfId="44691"/>
    <cellStyle name="Normal 3 5 2 4 2 4 2 2 4" xfId="60920"/>
    <cellStyle name="Normal 3 5 2 4 2 4 2 3" xfId="18731"/>
    <cellStyle name="Normal 3 5 2 4 2 4 2 4" xfId="25221"/>
    <cellStyle name="Normal 3 5 2 4 2 4 2 5" xfId="38201"/>
    <cellStyle name="Normal 3 5 2 4 2 4 2 6" xfId="54430"/>
    <cellStyle name="Normal 3 5 2 4 2 4 3" xfId="8993"/>
    <cellStyle name="Normal 3 5 2 4 2 4 3 2" xfId="28466"/>
    <cellStyle name="Normal 3 5 2 4 2 4 3 3" xfId="41446"/>
    <cellStyle name="Normal 3 5 2 4 2 4 3 4" xfId="57675"/>
    <cellStyle name="Normal 3 5 2 4 2 4 4" xfId="15486"/>
    <cellStyle name="Normal 3 5 2 4 2 4 4 2" xfId="51185"/>
    <cellStyle name="Normal 3 5 2 4 2 4 5" xfId="21976"/>
    <cellStyle name="Normal 3 5 2 4 2 4 6" xfId="34956"/>
    <cellStyle name="Normal 3 5 2 4 2 4 7" xfId="47939"/>
    <cellStyle name="Normal 3 5 2 4 2 5" xfId="4083"/>
    <cellStyle name="Normal 3 5 2 4 2 5 2" xfId="10615"/>
    <cellStyle name="Normal 3 5 2 4 2 5 2 2" xfId="30088"/>
    <cellStyle name="Normal 3 5 2 4 2 5 2 3" xfId="43068"/>
    <cellStyle name="Normal 3 5 2 4 2 5 2 4" xfId="59297"/>
    <cellStyle name="Normal 3 5 2 4 2 5 3" xfId="17108"/>
    <cellStyle name="Normal 3 5 2 4 2 5 4" xfId="23598"/>
    <cellStyle name="Normal 3 5 2 4 2 5 5" xfId="36578"/>
    <cellStyle name="Normal 3 5 2 4 2 5 6" xfId="52807"/>
    <cellStyle name="Normal 3 5 2 4 2 6" xfId="7370"/>
    <cellStyle name="Normal 3 5 2 4 2 6 2" xfId="26843"/>
    <cellStyle name="Normal 3 5 2 4 2 6 3" xfId="39823"/>
    <cellStyle name="Normal 3 5 2 4 2 6 4" xfId="56052"/>
    <cellStyle name="Normal 3 5 2 4 2 7" xfId="13863"/>
    <cellStyle name="Normal 3 5 2 4 2 7 2" xfId="49562"/>
    <cellStyle name="Normal 3 5 2 4 2 8" xfId="20353"/>
    <cellStyle name="Normal 3 5 2 4 2 9" xfId="33333"/>
    <cellStyle name="Normal 3 5 2 4 3" xfId="563"/>
    <cellStyle name="Normal 3 5 2 4 3 2" xfId="1512"/>
    <cellStyle name="Normal 3 5 2 4 3 2 2" xfId="3179"/>
    <cellStyle name="Normal 3 5 2 4 3 2 2 2" xfId="6424"/>
    <cellStyle name="Normal 3 5 2 4 3 2 2 2 2" xfId="12956"/>
    <cellStyle name="Normal 3 5 2 4 3 2 2 2 2 2" xfId="32429"/>
    <cellStyle name="Normal 3 5 2 4 3 2 2 2 2 3" xfId="45409"/>
    <cellStyle name="Normal 3 5 2 4 3 2 2 2 2 4" xfId="61638"/>
    <cellStyle name="Normal 3 5 2 4 3 2 2 2 3" xfId="19449"/>
    <cellStyle name="Normal 3 5 2 4 3 2 2 2 4" xfId="25939"/>
    <cellStyle name="Normal 3 5 2 4 3 2 2 2 5" xfId="38919"/>
    <cellStyle name="Normal 3 5 2 4 3 2 2 2 6" xfId="55148"/>
    <cellStyle name="Normal 3 5 2 4 3 2 2 3" xfId="9711"/>
    <cellStyle name="Normal 3 5 2 4 3 2 2 3 2" xfId="29184"/>
    <cellStyle name="Normal 3 5 2 4 3 2 2 3 3" xfId="42164"/>
    <cellStyle name="Normal 3 5 2 4 3 2 2 3 4" xfId="58393"/>
    <cellStyle name="Normal 3 5 2 4 3 2 2 4" xfId="16204"/>
    <cellStyle name="Normal 3 5 2 4 3 2 2 4 2" xfId="51903"/>
    <cellStyle name="Normal 3 5 2 4 3 2 2 5" xfId="22694"/>
    <cellStyle name="Normal 3 5 2 4 3 2 2 6" xfId="35674"/>
    <cellStyle name="Normal 3 5 2 4 3 2 2 7" xfId="48657"/>
    <cellStyle name="Normal 3 5 2 4 3 2 3" xfId="4801"/>
    <cellStyle name="Normal 3 5 2 4 3 2 3 2" xfId="11333"/>
    <cellStyle name="Normal 3 5 2 4 3 2 3 2 2" xfId="30806"/>
    <cellStyle name="Normal 3 5 2 4 3 2 3 2 3" xfId="43786"/>
    <cellStyle name="Normal 3 5 2 4 3 2 3 2 4" xfId="60015"/>
    <cellStyle name="Normal 3 5 2 4 3 2 3 3" xfId="17826"/>
    <cellStyle name="Normal 3 5 2 4 3 2 3 4" xfId="24316"/>
    <cellStyle name="Normal 3 5 2 4 3 2 3 5" xfId="37296"/>
    <cellStyle name="Normal 3 5 2 4 3 2 3 6" xfId="53525"/>
    <cellStyle name="Normal 3 5 2 4 3 2 4" xfId="8088"/>
    <cellStyle name="Normal 3 5 2 4 3 2 4 2" xfId="27561"/>
    <cellStyle name="Normal 3 5 2 4 3 2 4 3" xfId="40541"/>
    <cellStyle name="Normal 3 5 2 4 3 2 4 4" xfId="56770"/>
    <cellStyle name="Normal 3 5 2 4 3 2 5" xfId="14581"/>
    <cellStyle name="Normal 3 5 2 4 3 2 5 2" xfId="50280"/>
    <cellStyle name="Normal 3 5 2 4 3 2 6" xfId="21071"/>
    <cellStyle name="Normal 3 5 2 4 3 2 7" xfId="34051"/>
    <cellStyle name="Normal 3 5 2 4 3 2 8" xfId="47034"/>
    <cellStyle name="Normal 3 5 2 4 3 3" xfId="2231"/>
    <cellStyle name="Normal 3 5 2 4 3 3 2" xfId="5476"/>
    <cellStyle name="Normal 3 5 2 4 3 3 2 2" xfId="12008"/>
    <cellStyle name="Normal 3 5 2 4 3 3 2 2 2" xfId="31481"/>
    <cellStyle name="Normal 3 5 2 4 3 3 2 2 3" xfId="44461"/>
    <cellStyle name="Normal 3 5 2 4 3 3 2 2 4" xfId="60690"/>
    <cellStyle name="Normal 3 5 2 4 3 3 2 3" xfId="18501"/>
    <cellStyle name="Normal 3 5 2 4 3 3 2 4" xfId="24991"/>
    <cellStyle name="Normal 3 5 2 4 3 3 2 5" xfId="37971"/>
    <cellStyle name="Normal 3 5 2 4 3 3 2 6" xfId="54200"/>
    <cellStyle name="Normal 3 5 2 4 3 3 3" xfId="8763"/>
    <cellStyle name="Normal 3 5 2 4 3 3 3 2" xfId="28236"/>
    <cellStyle name="Normal 3 5 2 4 3 3 3 3" xfId="41216"/>
    <cellStyle name="Normal 3 5 2 4 3 3 3 4" xfId="57445"/>
    <cellStyle name="Normal 3 5 2 4 3 3 4" xfId="15256"/>
    <cellStyle name="Normal 3 5 2 4 3 3 4 2" xfId="50955"/>
    <cellStyle name="Normal 3 5 2 4 3 3 5" xfId="21746"/>
    <cellStyle name="Normal 3 5 2 4 3 3 6" xfId="34726"/>
    <cellStyle name="Normal 3 5 2 4 3 3 7" xfId="47709"/>
    <cellStyle name="Normal 3 5 2 4 3 4" xfId="3853"/>
    <cellStyle name="Normal 3 5 2 4 3 4 2" xfId="10385"/>
    <cellStyle name="Normal 3 5 2 4 3 4 2 2" xfId="29858"/>
    <cellStyle name="Normal 3 5 2 4 3 4 2 3" xfId="42838"/>
    <cellStyle name="Normal 3 5 2 4 3 4 2 4" xfId="59067"/>
    <cellStyle name="Normal 3 5 2 4 3 4 3" xfId="16878"/>
    <cellStyle name="Normal 3 5 2 4 3 4 4" xfId="23368"/>
    <cellStyle name="Normal 3 5 2 4 3 4 5" xfId="36348"/>
    <cellStyle name="Normal 3 5 2 4 3 4 6" xfId="52577"/>
    <cellStyle name="Normal 3 5 2 4 3 5" xfId="7140"/>
    <cellStyle name="Normal 3 5 2 4 3 5 2" xfId="26613"/>
    <cellStyle name="Normal 3 5 2 4 3 5 3" xfId="39593"/>
    <cellStyle name="Normal 3 5 2 4 3 5 4" xfId="55822"/>
    <cellStyle name="Normal 3 5 2 4 3 6" xfId="13633"/>
    <cellStyle name="Normal 3 5 2 4 3 6 2" xfId="49332"/>
    <cellStyle name="Normal 3 5 2 4 3 7" xfId="20123"/>
    <cellStyle name="Normal 3 5 2 4 3 8" xfId="33103"/>
    <cellStyle name="Normal 3 5 2 4 3 9" xfId="46086"/>
    <cellStyle name="Normal 3 5 2 4 4" xfId="1049"/>
    <cellStyle name="Normal 3 5 2 4 4 2" xfId="2716"/>
    <cellStyle name="Normal 3 5 2 4 4 2 2" xfId="5961"/>
    <cellStyle name="Normal 3 5 2 4 4 2 2 2" xfId="12493"/>
    <cellStyle name="Normal 3 5 2 4 4 2 2 2 2" xfId="31966"/>
    <cellStyle name="Normal 3 5 2 4 4 2 2 2 3" xfId="44946"/>
    <cellStyle name="Normal 3 5 2 4 4 2 2 2 4" xfId="61175"/>
    <cellStyle name="Normal 3 5 2 4 4 2 2 3" xfId="18986"/>
    <cellStyle name="Normal 3 5 2 4 4 2 2 4" xfId="25476"/>
    <cellStyle name="Normal 3 5 2 4 4 2 2 5" xfId="38456"/>
    <cellStyle name="Normal 3 5 2 4 4 2 2 6" xfId="54685"/>
    <cellStyle name="Normal 3 5 2 4 4 2 3" xfId="9248"/>
    <cellStyle name="Normal 3 5 2 4 4 2 3 2" xfId="28721"/>
    <cellStyle name="Normal 3 5 2 4 4 2 3 3" xfId="41701"/>
    <cellStyle name="Normal 3 5 2 4 4 2 3 4" xfId="57930"/>
    <cellStyle name="Normal 3 5 2 4 4 2 4" xfId="15741"/>
    <cellStyle name="Normal 3 5 2 4 4 2 4 2" xfId="51440"/>
    <cellStyle name="Normal 3 5 2 4 4 2 5" xfId="22231"/>
    <cellStyle name="Normal 3 5 2 4 4 2 6" xfId="35211"/>
    <cellStyle name="Normal 3 5 2 4 4 2 7" xfId="48194"/>
    <cellStyle name="Normal 3 5 2 4 4 3" xfId="4338"/>
    <cellStyle name="Normal 3 5 2 4 4 3 2" xfId="10870"/>
    <cellStyle name="Normal 3 5 2 4 4 3 2 2" xfId="30343"/>
    <cellStyle name="Normal 3 5 2 4 4 3 2 3" xfId="43323"/>
    <cellStyle name="Normal 3 5 2 4 4 3 2 4" xfId="59552"/>
    <cellStyle name="Normal 3 5 2 4 4 3 3" xfId="17363"/>
    <cellStyle name="Normal 3 5 2 4 4 3 4" xfId="23853"/>
    <cellStyle name="Normal 3 5 2 4 4 3 5" xfId="36833"/>
    <cellStyle name="Normal 3 5 2 4 4 3 6" xfId="53062"/>
    <cellStyle name="Normal 3 5 2 4 4 4" xfId="7625"/>
    <cellStyle name="Normal 3 5 2 4 4 4 2" xfId="27098"/>
    <cellStyle name="Normal 3 5 2 4 4 4 3" xfId="40078"/>
    <cellStyle name="Normal 3 5 2 4 4 4 4" xfId="56307"/>
    <cellStyle name="Normal 3 5 2 4 4 5" xfId="14118"/>
    <cellStyle name="Normal 3 5 2 4 4 5 2" xfId="49817"/>
    <cellStyle name="Normal 3 5 2 4 4 6" xfId="20608"/>
    <cellStyle name="Normal 3 5 2 4 4 7" xfId="33588"/>
    <cellStyle name="Normal 3 5 2 4 4 8" xfId="46571"/>
    <cellStyle name="Normal 3 5 2 4 5" xfId="2002"/>
    <cellStyle name="Normal 3 5 2 4 5 2" xfId="5247"/>
    <cellStyle name="Normal 3 5 2 4 5 2 2" xfId="11779"/>
    <cellStyle name="Normal 3 5 2 4 5 2 2 2" xfId="31252"/>
    <cellStyle name="Normal 3 5 2 4 5 2 2 3" xfId="44232"/>
    <cellStyle name="Normal 3 5 2 4 5 2 2 4" xfId="60461"/>
    <cellStyle name="Normal 3 5 2 4 5 2 3" xfId="18272"/>
    <cellStyle name="Normal 3 5 2 4 5 2 4" xfId="24762"/>
    <cellStyle name="Normal 3 5 2 4 5 2 5" xfId="37742"/>
    <cellStyle name="Normal 3 5 2 4 5 2 6" xfId="53971"/>
    <cellStyle name="Normal 3 5 2 4 5 3" xfId="8534"/>
    <cellStyle name="Normal 3 5 2 4 5 3 2" xfId="28007"/>
    <cellStyle name="Normal 3 5 2 4 5 3 3" xfId="40987"/>
    <cellStyle name="Normal 3 5 2 4 5 3 4" xfId="57216"/>
    <cellStyle name="Normal 3 5 2 4 5 4" xfId="15027"/>
    <cellStyle name="Normal 3 5 2 4 5 4 2" xfId="50726"/>
    <cellStyle name="Normal 3 5 2 4 5 5" xfId="21517"/>
    <cellStyle name="Normal 3 5 2 4 5 6" xfId="34497"/>
    <cellStyle name="Normal 3 5 2 4 5 7" xfId="47480"/>
    <cellStyle name="Normal 3 5 2 4 6" xfId="3623"/>
    <cellStyle name="Normal 3 5 2 4 6 2" xfId="10155"/>
    <cellStyle name="Normal 3 5 2 4 6 2 2" xfId="29628"/>
    <cellStyle name="Normal 3 5 2 4 6 2 3" xfId="42608"/>
    <cellStyle name="Normal 3 5 2 4 6 2 4" xfId="58837"/>
    <cellStyle name="Normal 3 5 2 4 6 3" xfId="16648"/>
    <cellStyle name="Normal 3 5 2 4 6 4" xfId="23138"/>
    <cellStyle name="Normal 3 5 2 4 6 5" xfId="36118"/>
    <cellStyle name="Normal 3 5 2 4 6 6" xfId="52347"/>
    <cellStyle name="Normal 3 5 2 4 7" xfId="6910"/>
    <cellStyle name="Normal 3 5 2 4 7 2" xfId="26383"/>
    <cellStyle name="Normal 3 5 2 4 7 3" xfId="39363"/>
    <cellStyle name="Normal 3 5 2 4 7 4" xfId="55592"/>
    <cellStyle name="Normal 3 5 2 4 8" xfId="13403"/>
    <cellStyle name="Normal 3 5 2 4 8 2" xfId="49102"/>
    <cellStyle name="Normal 3 5 2 4 9" xfId="19893"/>
    <cellStyle name="Normal 3 5 2 5" xfId="661"/>
    <cellStyle name="Normal 3 5 2 5 10" xfId="46184"/>
    <cellStyle name="Normal 3 5 2 5 2" xfId="1600"/>
    <cellStyle name="Normal 3 5 2 5 2 2" xfId="3267"/>
    <cellStyle name="Normal 3 5 2 5 2 2 2" xfId="6512"/>
    <cellStyle name="Normal 3 5 2 5 2 2 2 2" xfId="13044"/>
    <cellStyle name="Normal 3 5 2 5 2 2 2 2 2" xfId="32517"/>
    <cellStyle name="Normal 3 5 2 5 2 2 2 2 3" xfId="45497"/>
    <cellStyle name="Normal 3 5 2 5 2 2 2 2 4" xfId="61726"/>
    <cellStyle name="Normal 3 5 2 5 2 2 2 3" xfId="19537"/>
    <cellStyle name="Normal 3 5 2 5 2 2 2 4" xfId="26027"/>
    <cellStyle name="Normal 3 5 2 5 2 2 2 5" xfId="39007"/>
    <cellStyle name="Normal 3 5 2 5 2 2 2 6" xfId="55236"/>
    <cellStyle name="Normal 3 5 2 5 2 2 3" xfId="9799"/>
    <cellStyle name="Normal 3 5 2 5 2 2 3 2" xfId="29272"/>
    <cellStyle name="Normal 3 5 2 5 2 2 3 3" xfId="42252"/>
    <cellStyle name="Normal 3 5 2 5 2 2 3 4" xfId="58481"/>
    <cellStyle name="Normal 3 5 2 5 2 2 4" xfId="16292"/>
    <cellStyle name="Normal 3 5 2 5 2 2 4 2" xfId="51991"/>
    <cellStyle name="Normal 3 5 2 5 2 2 5" xfId="22782"/>
    <cellStyle name="Normal 3 5 2 5 2 2 6" xfId="35762"/>
    <cellStyle name="Normal 3 5 2 5 2 2 7" xfId="48745"/>
    <cellStyle name="Normal 3 5 2 5 2 3" xfId="4889"/>
    <cellStyle name="Normal 3 5 2 5 2 3 2" xfId="11421"/>
    <cellStyle name="Normal 3 5 2 5 2 3 2 2" xfId="30894"/>
    <cellStyle name="Normal 3 5 2 5 2 3 2 3" xfId="43874"/>
    <cellStyle name="Normal 3 5 2 5 2 3 2 4" xfId="60103"/>
    <cellStyle name="Normal 3 5 2 5 2 3 3" xfId="17914"/>
    <cellStyle name="Normal 3 5 2 5 2 3 4" xfId="24404"/>
    <cellStyle name="Normal 3 5 2 5 2 3 5" xfId="37384"/>
    <cellStyle name="Normal 3 5 2 5 2 3 6" xfId="53613"/>
    <cellStyle name="Normal 3 5 2 5 2 4" xfId="8176"/>
    <cellStyle name="Normal 3 5 2 5 2 4 2" xfId="27649"/>
    <cellStyle name="Normal 3 5 2 5 2 4 3" xfId="40629"/>
    <cellStyle name="Normal 3 5 2 5 2 4 4" xfId="56858"/>
    <cellStyle name="Normal 3 5 2 5 2 5" xfId="14669"/>
    <cellStyle name="Normal 3 5 2 5 2 5 2" xfId="50368"/>
    <cellStyle name="Normal 3 5 2 5 2 6" xfId="21159"/>
    <cellStyle name="Normal 3 5 2 5 2 7" xfId="34139"/>
    <cellStyle name="Normal 3 5 2 5 2 8" xfId="47122"/>
    <cellStyle name="Normal 3 5 2 5 3" xfId="1137"/>
    <cellStyle name="Normal 3 5 2 5 3 2" xfId="2804"/>
    <cellStyle name="Normal 3 5 2 5 3 2 2" xfId="6049"/>
    <cellStyle name="Normal 3 5 2 5 3 2 2 2" xfId="12581"/>
    <cellStyle name="Normal 3 5 2 5 3 2 2 2 2" xfId="32054"/>
    <cellStyle name="Normal 3 5 2 5 3 2 2 2 3" xfId="45034"/>
    <cellStyle name="Normal 3 5 2 5 3 2 2 2 4" xfId="61263"/>
    <cellStyle name="Normal 3 5 2 5 3 2 2 3" xfId="19074"/>
    <cellStyle name="Normal 3 5 2 5 3 2 2 4" xfId="25564"/>
    <cellStyle name="Normal 3 5 2 5 3 2 2 5" xfId="38544"/>
    <cellStyle name="Normal 3 5 2 5 3 2 2 6" xfId="54773"/>
    <cellStyle name="Normal 3 5 2 5 3 2 3" xfId="9336"/>
    <cellStyle name="Normal 3 5 2 5 3 2 3 2" xfId="28809"/>
    <cellStyle name="Normal 3 5 2 5 3 2 3 3" xfId="41789"/>
    <cellStyle name="Normal 3 5 2 5 3 2 3 4" xfId="58018"/>
    <cellStyle name="Normal 3 5 2 5 3 2 4" xfId="15829"/>
    <cellStyle name="Normal 3 5 2 5 3 2 4 2" xfId="51528"/>
    <cellStyle name="Normal 3 5 2 5 3 2 5" xfId="22319"/>
    <cellStyle name="Normal 3 5 2 5 3 2 6" xfId="35299"/>
    <cellStyle name="Normal 3 5 2 5 3 2 7" xfId="48282"/>
    <cellStyle name="Normal 3 5 2 5 3 3" xfId="4426"/>
    <cellStyle name="Normal 3 5 2 5 3 3 2" xfId="10958"/>
    <cellStyle name="Normal 3 5 2 5 3 3 2 2" xfId="30431"/>
    <cellStyle name="Normal 3 5 2 5 3 3 2 3" xfId="43411"/>
    <cellStyle name="Normal 3 5 2 5 3 3 2 4" xfId="59640"/>
    <cellStyle name="Normal 3 5 2 5 3 3 3" xfId="17451"/>
    <cellStyle name="Normal 3 5 2 5 3 3 4" xfId="23941"/>
    <cellStyle name="Normal 3 5 2 5 3 3 5" xfId="36921"/>
    <cellStyle name="Normal 3 5 2 5 3 3 6" xfId="53150"/>
    <cellStyle name="Normal 3 5 2 5 3 4" xfId="7713"/>
    <cellStyle name="Normal 3 5 2 5 3 4 2" xfId="27186"/>
    <cellStyle name="Normal 3 5 2 5 3 4 3" xfId="40166"/>
    <cellStyle name="Normal 3 5 2 5 3 4 4" xfId="56395"/>
    <cellStyle name="Normal 3 5 2 5 3 5" xfId="14206"/>
    <cellStyle name="Normal 3 5 2 5 3 5 2" xfId="49905"/>
    <cellStyle name="Normal 3 5 2 5 3 6" xfId="20696"/>
    <cellStyle name="Normal 3 5 2 5 3 7" xfId="33676"/>
    <cellStyle name="Normal 3 5 2 5 3 8" xfId="46659"/>
    <cellStyle name="Normal 3 5 2 5 4" xfId="2329"/>
    <cellStyle name="Normal 3 5 2 5 4 2" xfId="5574"/>
    <cellStyle name="Normal 3 5 2 5 4 2 2" xfId="12106"/>
    <cellStyle name="Normal 3 5 2 5 4 2 2 2" xfId="31579"/>
    <cellStyle name="Normal 3 5 2 5 4 2 2 3" xfId="44559"/>
    <cellStyle name="Normal 3 5 2 5 4 2 2 4" xfId="60788"/>
    <cellStyle name="Normal 3 5 2 5 4 2 3" xfId="18599"/>
    <cellStyle name="Normal 3 5 2 5 4 2 4" xfId="25089"/>
    <cellStyle name="Normal 3 5 2 5 4 2 5" xfId="38069"/>
    <cellStyle name="Normal 3 5 2 5 4 2 6" xfId="54298"/>
    <cellStyle name="Normal 3 5 2 5 4 3" xfId="8861"/>
    <cellStyle name="Normal 3 5 2 5 4 3 2" xfId="28334"/>
    <cellStyle name="Normal 3 5 2 5 4 3 3" xfId="41314"/>
    <cellStyle name="Normal 3 5 2 5 4 3 4" xfId="57543"/>
    <cellStyle name="Normal 3 5 2 5 4 4" xfId="15354"/>
    <cellStyle name="Normal 3 5 2 5 4 4 2" xfId="51053"/>
    <cellStyle name="Normal 3 5 2 5 4 5" xfId="21844"/>
    <cellStyle name="Normal 3 5 2 5 4 6" xfId="34824"/>
    <cellStyle name="Normal 3 5 2 5 4 7" xfId="47807"/>
    <cellStyle name="Normal 3 5 2 5 5" xfId="3951"/>
    <cellStyle name="Normal 3 5 2 5 5 2" xfId="10483"/>
    <cellStyle name="Normal 3 5 2 5 5 2 2" xfId="29956"/>
    <cellStyle name="Normal 3 5 2 5 5 2 3" xfId="42936"/>
    <cellStyle name="Normal 3 5 2 5 5 2 4" xfId="59165"/>
    <cellStyle name="Normal 3 5 2 5 5 3" xfId="16976"/>
    <cellStyle name="Normal 3 5 2 5 5 4" xfId="23466"/>
    <cellStyle name="Normal 3 5 2 5 5 5" xfId="36446"/>
    <cellStyle name="Normal 3 5 2 5 5 6" xfId="52675"/>
    <cellStyle name="Normal 3 5 2 5 6" xfId="7238"/>
    <cellStyle name="Normal 3 5 2 5 6 2" xfId="26711"/>
    <cellStyle name="Normal 3 5 2 5 6 3" xfId="39691"/>
    <cellStyle name="Normal 3 5 2 5 6 4" xfId="55920"/>
    <cellStyle name="Normal 3 5 2 5 7" xfId="13731"/>
    <cellStyle name="Normal 3 5 2 5 7 2" xfId="49430"/>
    <cellStyle name="Normal 3 5 2 5 8" xfId="20221"/>
    <cellStyle name="Normal 3 5 2 5 9" xfId="33201"/>
    <cellStyle name="Normal 3 5 2 6" xfId="431"/>
    <cellStyle name="Normal 3 5 2 6 2" xfId="1380"/>
    <cellStyle name="Normal 3 5 2 6 2 2" xfId="3047"/>
    <cellStyle name="Normal 3 5 2 6 2 2 2" xfId="6292"/>
    <cellStyle name="Normal 3 5 2 6 2 2 2 2" xfId="12824"/>
    <cellStyle name="Normal 3 5 2 6 2 2 2 2 2" xfId="32297"/>
    <cellStyle name="Normal 3 5 2 6 2 2 2 2 3" xfId="45277"/>
    <cellStyle name="Normal 3 5 2 6 2 2 2 2 4" xfId="61506"/>
    <cellStyle name="Normal 3 5 2 6 2 2 2 3" xfId="19317"/>
    <cellStyle name="Normal 3 5 2 6 2 2 2 4" xfId="25807"/>
    <cellStyle name="Normal 3 5 2 6 2 2 2 5" xfId="38787"/>
    <cellStyle name="Normal 3 5 2 6 2 2 2 6" xfId="55016"/>
    <cellStyle name="Normal 3 5 2 6 2 2 3" xfId="9579"/>
    <cellStyle name="Normal 3 5 2 6 2 2 3 2" xfId="29052"/>
    <cellStyle name="Normal 3 5 2 6 2 2 3 3" xfId="42032"/>
    <cellStyle name="Normal 3 5 2 6 2 2 3 4" xfId="58261"/>
    <cellStyle name="Normal 3 5 2 6 2 2 4" xfId="16072"/>
    <cellStyle name="Normal 3 5 2 6 2 2 4 2" xfId="51771"/>
    <cellStyle name="Normal 3 5 2 6 2 2 5" xfId="22562"/>
    <cellStyle name="Normal 3 5 2 6 2 2 6" xfId="35542"/>
    <cellStyle name="Normal 3 5 2 6 2 2 7" xfId="48525"/>
    <cellStyle name="Normal 3 5 2 6 2 3" xfId="4669"/>
    <cellStyle name="Normal 3 5 2 6 2 3 2" xfId="11201"/>
    <cellStyle name="Normal 3 5 2 6 2 3 2 2" xfId="30674"/>
    <cellStyle name="Normal 3 5 2 6 2 3 2 3" xfId="43654"/>
    <cellStyle name="Normal 3 5 2 6 2 3 2 4" xfId="59883"/>
    <cellStyle name="Normal 3 5 2 6 2 3 3" xfId="17694"/>
    <cellStyle name="Normal 3 5 2 6 2 3 4" xfId="24184"/>
    <cellStyle name="Normal 3 5 2 6 2 3 5" xfId="37164"/>
    <cellStyle name="Normal 3 5 2 6 2 3 6" xfId="53393"/>
    <cellStyle name="Normal 3 5 2 6 2 4" xfId="7956"/>
    <cellStyle name="Normal 3 5 2 6 2 4 2" xfId="27429"/>
    <cellStyle name="Normal 3 5 2 6 2 4 3" xfId="40409"/>
    <cellStyle name="Normal 3 5 2 6 2 4 4" xfId="56638"/>
    <cellStyle name="Normal 3 5 2 6 2 5" xfId="14449"/>
    <cellStyle name="Normal 3 5 2 6 2 5 2" xfId="50148"/>
    <cellStyle name="Normal 3 5 2 6 2 6" xfId="20939"/>
    <cellStyle name="Normal 3 5 2 6 2 7" xfId="33919"/>
    <cellStyle name="Normal 3 5 2 6 2 8" xfId="46902"/>
    <cellStyle name="Normal 3 5 2 6 3" xfId="2099"/>
    <cellStyle name="Normal 3 5 2 6 3 2" xfId="5344"/>
    <cellStyle name="Normal 3 5 2 6 3 2 2" xfId="11876"/>
    <cellStyle name="Normal 3 5 2 6 3 2 2 2" xfId="31349"/>
    <cellStyle name="Normal 3 5 2 6 3 2 2 3" xfId="44329"/>
    <cellStyle name="Normal 3 5 2 6 3 2 2 4" xfId="60558"/>
    <cellStyle name="Normal 3 5 2 6 3 2 3" xfId="18369"/>
    <cellStyle name="Normal 3 5 2 6 3 2 4" xfId="24859"/>
    <cellStyle name="Normal 3 5 2 6 3 2 5" xfId="37839"/>
    <cellStyle name="Normal 3 5 2 6 3 2 6" xfId="54068"/>
    <cellStyle name="Normal 3 5 2 6 3 3" xfId="8631"/>
    <cellStyle name="Normal 3 5 2 6 3 3 2" xfId="28104"/>
    <cellStyle name="Normal 3 5 2 6 3 3 3" xfId="41084"/>
    <cellStyle name="Normal 3 5 2 6 3 3 4" xfId="57313"/>
    <cellStyle name="Normal 3 5 2 6 3 4" xfId="15124"/>
    <cellStyle name="Normal 3 5 2 6 3 4 2" xfId="50823"/>
    <cellStyle name="Normal 3 5 2 6 3 5" xfId="21614"/>
    <cellStyle name="Normal 3 5 2 6 3 6" xfId="34594"/>
    <cellStyle name="Normal 3 5 2 6 3 7" xfId="47577"/>
    <cellStyle name="Normal 3 5 2 6 4" xfId="3721"/>
    <cellStyle name="Normal 3 5 2 6 4 2" xfId="10253"/>
    <cellStyle name="Normal 3 5 2 6 4 2 2" xfId="29726"/>
    <cellStyle name="Normal 3 5 2 6 4 2 3" xfId="42706"/>
    <cellStyle name="Normal 3 5 2 6 4 2 4" xfId="58935"/>
    <cellStyle name="Normal 3 5 2 6 4 3" xfId="16746"/>
    <cellStyle name="Normal 3 5 2 6 4 4" xfId="23236"/>
    <cellStyle name="Normal 3 5 2 6 4 5" xfId="36216"/>
    <cellStyle name="Normal 3 5 2 6 4 6" xfId="52445"/>
    <cellStyle name="Normal 3 5 2 6 5" xfId="7008"/>
    <cellStyle name="Normal 3 5 2 6 5 2" xfId="26481"/>
    <cellStyle name="Normal 3 5 2 6 5 3" xfId="39461"/>
    <cellStyle name="Normal 3 5 2 6 5 4" xfId="55690"/>
    <cellStyle name="Normal 3 5 2 6 6" xfId="13501"/>
    <cellStyle name="Normal 3 5 2 6 6 2" xfId="49200"/>
    <cellStyle name="Normal 3 5 2 6 7" xfId="19991"/>
    <cellStyle name="Normal 3 5 2 6 8" xfId="32971"/>
    <cellStyle name="Normal 3 5 2 6 9" xfId="45954"/>
    <cellStyle name="Normal 3 5 2 7" xfId="917"/>
    <cellStyle name="Normal 3 5 2 7 2" xfId="2584"/>
    <cellStyle name="Normal 3 5 2 7 2 2" xfId="5829"/>
    <cellStyle name="Normal 3 5 2 7 2 2 2" xfId="12361"/>
    <cellStyle name="Normal 3 5 2 7 2 2 2 2" xfId="31834"/>
    <cellStyle name="Normal 3 5 2 7 2 2 2 3" xfId="44814"/>
    <cellStyle name="Normal 3 5 2 7 2 2 2 4" xfId="61043"/>
    <cellStyle name="Normal 3 5 2 7 2 2 3" xfId="18854"/>
    <cellStyle name="Normal 3 5 2 7 2 2 4" xfId="25344"/>
    <cellStyle name="Normal 3 5 2 7 2 2 5" xfId="38324"/>
    <cellStyle name="Normal 3 5 2 7 2 2 6" xfId="54553"/>
    <cellStyle name="Normal 3 5 2 7 2 3" xfId="9116"/>
    <cellStyle name="Normal 3 5 2 7 2 3 2" xfId="28589"/>
    <cellStyle name="Normal 3 5 2 7 2 3 3" xfId="41569"/>
    <cellStyle name="Normal 3 5 2 7 2 3 4" xfId="57798"/>
    <cellStyle name="Normal 3 5 2 7 2 4" xfId="15609"/>
    <cellStyle name="Normal 3 5 2 7 2 4 2" xfId="51308"/>
    <cellStyle name="Normal 3 5 2 7 2 5" xfId="22099"/>
    <cellStyle name="Normal 3 5 2 7 2 6" xfId="35079"/>
    <cellStyle name="Normal 3 5 2 7 2 7" xfId="48062"/>
    <cellStyle name="Normal 3 5 2 7 3" xfId="4206"/>
    <cellStyle name="Normal 3 5 2 7 3 2" xfId="10738"/>
    <cellStyle name="Normal 3 5 2 7 3 2 2" xfId="30211"/>
    <cellStyle name="Normal 3 5 2 7 3 2 3" xfId="43191"/>
    <cellStyle name="Normal 3 5 2 7 3 2 4" xfId="59420"/>
    <cellStyle name="Normal 3 5 2 7 3 3" xfId="17231"/>
    <cellStyle name="Normal 3 5 2 7 3 4" xfId="23721"/>
    <cellStyle name="Normal 3 5 2 7 3 5" xfId="36701"/>
    <cellStyle name="Normal 3 5 2 7 3 6" xfId="52930"/>
    <cellStyle name="Normal 3 5 2 7 4" xfId="7493"/>
    <cellStyle name="Normal 3 5 2 7 4 2" xfId="26966"/>
    <cellStyle name="Normal 3 5 2 7 4 3" xfId="39946"/>
    <cellStyle name="Normal 3 5 2 7 4 4" xfId="56175"/>
    <cellStyle name="Normal 3 5 2 7 5" xfId="13986"/>
    <cellStyle name="Normal 3 5 2 7 5 2" xfId="49685"/>
    <cellStyle name="Normal 3 5 2 7 6" xfId="20476"/>
    <cellStyle name="Normal 3 5 2 7 7" xfId="33456"/>
    <cellStyle name="Normal 3 5 2 7 8" xfId="46439"/>
    <cellStyle name="Normal 3 5 2 8" xfId="1870"/>
    <cellStyle name="Normal 3 5 2 8 2" xfId="5115"/>
    <cellStyle name="Normal 3 5 2 8 2 2" xfId="11647"/>
    <cellStyle name="Normal 3 5 2 8 2 2 2" xfId="31120"/>
    <cellStyle name="Normal 3 5 2 8 2 2 3" xfId="44100"/>
    <cellStyle name="Normal 3 5 2 8 2 2 4" xfId="60329"/>
    <cellStyle name="Normal 3 5 2 8 2 3" xfId="18140"/>
    <cellStyle name="Normal 3 5 2 8 2 4" xfId="24630"/>
    <cellStyle name="Normal 3 5 2 8 2 5" xfId="37610"/>
    <cellStyle name="Normal 3 5 2 8 2 6" xfId="53839"/>
    <cellStyle name="Normal 3 5 2 8 3" xfId="8402"/>
    <cellStyle name="Normal 3 5 2 8 3 2" xfId="27875"/>
    <cellStyle name="Normal 3 5 2 8 3 3" xfId="40855"/>
    <cellStyle name="Normal 3 5 2 8 3 4" xfId="57084"/>
    <cellStyle name="Normal 3 5 2 8 4" xfId="14895"/>
    <cellStyle name="Normal 3 5 2 8 4 2" xfId="50594"/>
    <cellStyle name="Normal 3 5 2 8 5" xfId="21385"/>
    <cellStyle name="Normal 3 5 2 8 6" xfId="34365"/>
    <cellStyle name="Normal 3 5 2 8 7" xfId="47348"/>
    <cellStyle name="Normal 3 5 2 9" xfId="3491"/>
    <cellStyle name="Normal 3 5 2 9 2" xfId="10023"/>
    <cellStyle name="Normal 3 5 2 9 2 2" xfId="29496"/>
    <cellStyle name="Normal 3 5 2 9 2 3" xfId="42476"/>
    <cellStyle name="Normal 3 5 2 9 2 4" xfId="58705"/>
    <cellStyle name="Normal 3 5 2 9 3" xfId="16516"/>
    <cellStyle name="Normal 3 5 2 9 4" xfId="23006"/>
    <cellStyle name="Normal 3 5 2 9 5" xfId="35986"/>
    <cellStyle name="Normal 3 5 2 9 6" xfId="52215"/>
    <cellStyle name="Normal 3 5 3" xfId="263"/>
    <cellStyle name="Normal 3 5 3 10" xfId="19827"/>
    <cellStyle name="Normal 3 5 3 11" xfId="32807"/>
    <cellStyle name="Normal 3 5 3 12" xfId="45790"/>
    <cellStyle name="Normal 3 5 3 2" xfId="351"/>
    <cellStyle name="Normal 3 5 3 2 10" xfId="32895"/>
    <cellStyle name="Normal 3 5 3 2 11" xfId="45878"/>
    <cellStyle name="Normal 3 5 3 2 2" xfId="815"/>
    <cellStyle name="Normal 3 5 3 2 2 10" xfId="46338"/>
    <cellStyle name="Normal 3 5 3 2 2 2" xfId="1754"/>
    <cellStyle name="Normal 3 5 3 2 2 2 2" xfId="3421"/>
    <cellStyle name="Normal 3 5 3 2 2 2 2 2" xfId="6666"/>
    <cellStyle name="Normal 3 5 3 2 2 2 2 2 2" xfId="13198"/>
    <cellStyle name="Normal 3 5 3 2 2 2 2 2 2 2" xfId="32671"/>
    <cellStyle name="Normal 3 5 3 2 2 2 2 2 2 3" xfId="45651"/>
    <cellStyle name="Normal 3 5 3 2 2 2 2 2 2 4" xfId="61880"/>
    <cellStyle name="Normal 3 5 3 2 2 2 2 2 3" xfId="19691"/>
    <cellStyle name="Normal 3 5 3 2 2 2 2 2 4" xfId="26181"/>
    <cellStyle name="Normal 3 5 3 2 2 2 2 2 5" xfId="39161"/>
    <cellStyle name="Normal 3 5 3 2 2 2 2 2 6" xfId="55390"/>
    <cellStyle name="Normal 3 5 3 2 2 2 2 3" xfId="9953"/>
    <cellStyle name="Normal 3 5 3 2 2 2 2 3 2" xfId="29426"/>
    <cellStyle name="Normal 3 5 3 2 2 2 2 3 3" xfId="42406"/>
    <cellStyle name="Normal 3 5 3 2 2 2 2 3 4" xfId="58635"/>
    <cellStyle name="Normal 3 5 3 2 2 2 2 4" xfId="16446"/>
    <cellStyle name="Normal 3 5 3 2 2 2 2 4 2" xfId="52145"/>
    <cellStyle name="Normal 3 5 3 2 2 2 2 5" xfId="22936"/>
    <cellStyle name="Normal 3 5 3 2 2 2 2 6" xfId="35916"/>
    <cellStyle name="Normal 3 5 3 2 2 2 2 7" xfId="48899"/>
    <cellStyle name="Normal 3 5 3 2 2 2 3" xfId="5043"/>
    <cellStyle name="Normal 3 5 3 2 2 2 3 2" xfId="11575"/>
    <cellStyle name="Normal 3 5 3 2 2 2 3 2 2" xfId="31048"/>
    <cellStyle name="Normal 3 5 3 2 2 2 3 2 3" xfId="44028"/>
    <cellStyle name="Normal 3 5 3 2 2 2 3 2 4" xfId="60257"/>
    <cellStyle name="Normal 3 5 3 2 2 2 3 3" xfId="18068"/>
    <cellStyle name="Normal 3 5 3 2 2 2 3 4" xfId="24558"/>
    <cellStyle name="Normal 3 5 3 2 2 2 3 5" xfId="37538"/>
    <cellStyle name="Normal 3 5 3 2 2 2 3 6" xfId="53767"/>
    <cellStyle name="Normal 3 5 3 2 2 2 4" xfId="8330"/>
    <cellStyle name="Normal 3 5 3 2 2 2 4 2" xfId="27803"/>
    <cellStyle name="Normal 3 5 3 2 2 2 4 3" xfId="40783"/>
    <cellStyle name="Normal 3 5 3 2 2 2 4 4" xfId="57012"/>
    <cellStyle name="Normal 3 5 3 2 2 2 5" xfId="14823"/>
    <cellStyle name="Normal 3 5 3 2 2 2 5 2" xfId="50522"/>
    <cellStyle name="Normal 3 5 3 2 2 2 6" xfId="21313"/>
    <cellStyle name="Normal 3 5 3 2 2 2 7" xfId="34293"/>
    <cellStyle name="Normal 3 5 3 2 2 2 8" xfId="47276"/>
    <cellStyle name="Normal 3 5 3 2 2 3" xfId="1291"/>
    <cellStyle name="Normal 3 5 3 2 2 3 2" xfId="2958"/>
    <cellStyle name="Normal 3 5 3 2 2 3 2 2" xfId="6203"/>
    <cellStyle name="Normal 3 5 3 2 2 3 2 2 2" xfId="12735"/>
    <cellStyle name="Normal 3 5 3 2 2 3 2 2 2 2" xfId="32208"/>
    <cellStyle name="Normal 3 5 3 2 2 3 2 2 2 3" xfId="45188"/>
    <cellStyle name="Normal 3 5 3 2 2 3 2 2 2 4" xfId="61417"/>
    <cellStyle name="Normal 3 5 3 2 2 3 2 2 3" xfId="19228"/>
    <cellStyle name="Normal 3 5 3 2 2 3 2 2 4" xfId="25718"/>
    <cellStyle name="Normal 3 5 3 2 2 3 2 2 5" xfId="38698"/>
    <cellStyle name="Normal 3 5 3 2 2 3 2 2 6" xfId="54927"/>
    <cellStyle name="Normal 3 5 3 2 2 3 2 3" xfId="9490"/>
    <cellStyle name="Normal 3 5 3 2 2 3 2 3 2" xfId="28963"/>
    <cellStyle name="Normal 3 5 3 2 2 3 2 3 3" xfId="41943"/>
    <cellStyle name="Normal 3 5 3 2 2 3 2 3 4" xfId="58172"/>
    <cellStyle name="Normal 3 5 3 2 2 3 2 4" xfId="15983"/>
    <cellStyle name="Normal 3 5 3 2 2 3 2 4 2" xfId="51682"/>
    <cellStyle name="Normal 3 5 3 2 2 3 2 5" xfId="22473"/>
    <cellStyle name="Normal 3 5 3 2 2 3 2 6" xfId="35453"/>
    <cellStyle name="Normal 3 5 3 2 2 3 2 7" xfId="48436"/>
    <cellStyle name="Normal 3 5 3 2 2 3 3" xfId="4580"/>
    <cellStyle name="Normal 3 5 3 2 2 3 3 2" xfId="11112"/>
    <cellStyle name="Normal 3 5 3 2 2 3 3 2 2" xfId="30585"/>
    <cellStyle name="Normal 3 5 3 2 2 3 3 2 3" xfId="43565"/>
    <cellStyle name="Normal 3 5 3 2 2 3 3 2 4" xfId="59794"/>
    <cellStyle name="Normal 3 5 3 2 2 3 3 3" xfId="17605"/>
    <cellStyle name="Normal 3 5 3 2 2 3 3 4" xfId="24095"/>
    <cellStyle name="Normal 3 5 3 2 2 3 3 5" xfId="37075"/>
    <cellStyle name="Normal 3 5 3 2 2 3 3 6" xfId="53304"/>
    <cellStyle name="Normal 3 5 3 2 2 3 4" xfId="7867"/>
    <cellStyle name="Normal 3 5 3 2 2 3 4 2" xfId="27340"/>
    <cellStyle name="Normal 3 5 3 2 2 3 4 3" xfId="40320"/>
    <cellStyle name="Normal 3 5 3 2 2 3 4 4" xfId="56549"/>
    <cellStyle name="Normal 3 5 3 2 2 3 5" xfId="14360"/>
    <cellStyle name="Normal 3 5 3 2 2 3 5 2" xfId="50059"/>
    <cellStyle name="Normal 3 5 3 2 2 3 6" xfId="20850"/>
    <cellStyle name="Normal 3 5 3 2 2 3 7" xfId="33830"/>
    <cellStyle name="Normal 3 5 3 2 2 3 8" xfId="46813"/>
    <cellStyle name="Normal 3 5 3 2 2 4" xfId="2483"/>
    <cellStyle name="Normal 3 5 3 2 2 4 2" xfId="5728"/>
    <cellStyle name="Normal 3 5 3 2 2 4 2 2" xfId="12260"/>
    <cellStyle name="Normal 3 5 3 2 2 4 2 2 2" xfId="31733"/>
    <cellStyle name="Normal 3 5 3 2 2 4 2 2 3" xfId="44713"/>
    <cellStyle name="Normal 3 5 3 2 2 4 2 2 4" xfId="60942"/>
    <cellStyle name="Normal 3 5 3 2 2 4 2 3" xfId="18753"/>
    <cellStyle name="Normal 3 5 3 2 2 4 2 4" xfId="25243"/>
    <cellStyle name="Normal 3 5 3 2 2 4 2 5" xfId="38223"/>
    <cellStyle name="Normal 3 5 3 2 2 4 2 6" xfId="54452"/>
    <cellStyle name="Normal 3 5 3 2 2 4 3" xfId="9015"/>
    <cellStyle name="Normal 3 5 3 2 2 4 3 2" xfId="28488"/>
    <cellStyle name="Normal 3 5 3 2 2 4 3 3" xfId="41468"/>
    <cellStyle name="Normal 3 5 3 2 2 4 3 4" xfId="57697"/>
    <cellStyle name="Normal 3 5 3 2 2 4 4" xfId="15508"/>
    <cellStyle name="Normal 3 5 3 2 2 4 4 2" xfId="51207"/>
    <cellStyle name="Normal 3 5 3 2 2 4 5" xfId="21998"/>
    <cellStyle name="Normal 3 5 3 2 2 4 6" xfId="34978"/>
    <cellStyle name="Normal 3 5 3 2 2 4 7" xfId="47961"/>
    <cellStyle name="Normal 3 5 3 2 2 5" xfId="4105"/>
    <cellStyle name="Normal 3 5 3 2 2 5 2" xfId="10637"/>
    <cellStyle name="Normal 3 5 3 2 2 5 2 2" xfId="30110"/>
    <cellStyle name="Normal 3 5 3 2 2 5 2 3" xfId="43090"/>
    <cellStyle name="Normal 3 5 3 2 2 5 2 4" xfId="59319"/>
    <cellStyle name="Normal 3 5 3 2 2 5 3" xfId="17130"/>
    <cellStyle name="Normal 3 5 3 2 2 5 4" xfId="23620"/>
    <cellStyle name="Normal 3 5 3 2 2 5 5" xfId="36600"/>
    <cellStyle name="Normal 3 5 3 2 2 5 6" xfId="52829"/>
    <cellStyle name="Normal 3 5 3 2 2 6" xfId="7392"/>
    <cellStyle name="Normal 3 5 3 2 2 6 2" xfId="26865"/>
    <cellStyle name="Normal 3 5 3 2 2 6 3" xfId="39845"/>
    <cellStyle name="Normal 3 5 3 2 2 6 4" xfId="56074"/>
    <cellStyle name="Normal 3 5 3 2 2 7" xfId="13885"/>
    <cellStyle name="Normal 3 5 3 2 2 7 2" xfId="49584"/>
    <cellStyle name="Normal 3 5 3 2 2 8" xfId="20375"/>
    <cellStyle name="Normal 3 5 3 2 2 9" xfId="33355"/>
    <cellStyle name="Normal 3 5 3 2 3" xfId="585"/>
    <cellStyle name="Normal 3 5 3 2 3 2" xfId="1534"/>
    <cellStyle name="Normal 3 5 3 2 3 2 2" xfId="3201"/>
    <cellStyle name="Normal 3 5 3 2 3 2 2 2" xfId="6446"/>
    <cellStyle name="Normal 3 5 3 2 3 2 2 2 2" xfId="12978"/>
    <cellStyle name="Normal 3 5 3 2 3 2 2 2 2 2" xfId="32451"/>
    <cellStyle name="Normal 3 5 3 2 3 2 2 2 2 3" xfId="45431"/>
    <cellStyle name="Normal 3 5 3 2 3 2 2 2 2 4" xfId="61660"/>
    <cellStyle name="Normal 3 5 3 2 3 2 2 2 3" xfId="19471"/>
    <cellStyle name="Normal 3 5 3 2 3 2 2 2 4" xfId="25961"/>
    <cellStyle name="Normal 3 5 3 2 3 2 2 2 5" xfId="38941"/>
    <cellStyle name="Normal 3 5 3 2 3 2 2 2 6" xfId="55170"/>
    <cellStyle name="Normal 3 5 3 2 3 2 2 3" xfId="9733"/>
    <cellStyle name="Normal 3 5 3 2 3 2 2 3 2" xfId="29206"/>
    <cellStyle name="Normal 3 5 3 2 3 2 2 3 3" xfId="42186"/>
    <cellStyle name="Normal 3 5 3 2 3 2 2 3 4" xfId="58415"/>
    <cellStyle name="Normal 3 5 3 2 3 2 2 4" xfId="16226"/>
    <cellStyle name="Normal 3 5 3 2 3 2 2 4 2" xfId="51925"/>
    <cellStyle name="Normal 3 5 3 2 3 2 2 5" xfId="22716"/>
    <cellStyle name="Normal 3 5 3 2 3 2 2 6" xfId="35696"/>
    <cellStyle name="Normal 3 5 3 2 3 2 2 7" xfId="48679"/>
    <cellStyle name="Normal 3 5 3 2 3 2 3" xfId="4823"/>
    <cellStyle name="Normal 3 5 3 2 3 2 3 2" xfId="11355"/>
    <cellStyle name="Normal 3 5 3 2 3 2 3 2 2" xfId="30828"/>
    <cellStyle name="Normal 3 5 3 2 3 2 3 2 3" xfId="43808"/>
    <cellStyle name="Normal 3 5 3 2 3 2 3 2 4" xfId="60037"/>
    <cellStyle name="Normal 3 5 3 2 3 2 3 3" xfId="17848"/>
    <cellStyle name="Normal 3 5 3 2 3 2 3 4" xfId="24338"/>
    <cellStyle name="Normal 3 5 3 2 3 2 3 5" xfId="37318"/>
    <cellStyle name="Normal 3 5 3 2 3 2 3 6" xfId="53547"/>
    <cellStyle name="Normal 3 5 3 2 3 2 4" xfId="8110"/>
    <cellStyle name="Normal 3 5 3 2 3 2 4 2" xfId="27583"/>
    <cellStyle name="Normal 3 5 3 2 3 2 4 3" xfId="40563"/>
    <cellStyle name="Normal 3 5 3 2 3 2 4 4" xfId="56792"/>
    <cellStyle name="Normal 3 5 3 2 3 2 5" xfId="14603"/>
    <cellStyle name="Normal 3 5 3 2 3 2 5 2" xfId="50302"/>
    <cellStyle name="Normal 3 5 3 2 3 2 6" xfId="21093"/>
    <cellStyle name="Normal 3 5 3 2 3 2 7" xfId="34073"/>
    <cellStyle name="Normal 3 5 3 2 3 2 8" xfId="47056"/>
    <cellStyle name="Normal 3 5 3 2 3 3" xfId="2253"/>
    <cellStyle name="Normal 3 5 3 2 3 3 2" xfId="5498"/>
    <cellStyle name="Normal 3 5 3 2 3 3 2 2" xfId="12030"/>
    <cellStyle name="Normal 3 5 3 2 3 3 2 2 2" xfId="31503"/>
    <cellStyle name="Normal 3 5 3 2 3 3 2 2 3" xfId="44483"/>
    <cellStyle name="Normal 3 5 3 2 3 3 2 2 4" xfId="60712"/>
    <cellStyle name="Normal 3 5 3 2 3 3 2 3" xfId="18523"/>
    <cellStyle name="Normal 3 5 3 2 3 3 2 4" xfId="25013"/>
    <cellStyle name="Normal 3 5 3 2 3 3 2 5" xfId="37993"/>
    <cellStyle name="Normal 3 5 3 2 3 3 2 6" xfId="54222"/>
    <cellStyle name="Normal 3 5 3 2 3 3 3" xfId="8785"/>
    <cellStyle name="Normal 3 5 3 2 3 3 3 2" xfId="28258"/>
    <cellStyle name="Normal 3 5 3 2 3 3 3 3" xfId="41238"/>
    <cellStyle name="Normal 3 5 3 2 3 3 3 4" xfId="57467"/>
    <cellStyle name="Normal 3 5 3 2 3 3 4" xfId="15278"/>
    <cellStyle name="Normal 3 5 3 2 3 3 4 2" xfId="50977"/>
    <cellStyle name="Normal 3 5 3 2 3 3 5" xfId="21768"/>
    <cellStyle name="Normal 3 5 3 2 3 3 6" xfId="34748"/>
    <cellStyle name="Normal 3 5 3 2 3 3 7" xfId="47731"/>
    <cellStyle name="Normal 3 5 3 2 3 4" xfId="3875"/>
    <cellStyle name="Normal 3 5 3 2 3 4 2" xfId="10407"/>
    <cellStyle name="Normal 3 5 3 2 3 4 2 2" xfId="29880"/>
    <cellStyle name="Normal 3 5 3 2 3 4 2 3" xfId="42860"/>
    <cellStyle name="Normal 3 5 3 2 3 4 2 4" xfId="59089"/>
    <cellStyle name="Normal 3 5 3 2 3 4 3" xfId="16900"/>
    <cellStyle name="Normal 3 5 3 2 3 4 4" xfId="23390"/>
    <cellStyle name="Normal 3 5 3 2 3 4 5" xfId="36370"/>
    <cellStyle name="Normal 3 5 3 2 3 4 6" xfId="52599"/>
    <cellStyle name="Normal 3 5 3 2 3 5" xfId="7162"/>
    <cellStyle name="Normal 3 5 3 2 3 5 2" xfId="26635"/>
    <cellStyle name="Normal 3 5 3 2 3 5 3" xfId="39615"/>
    <cellStyle name="Normal 3 5 3 2 3 5 4" xfId="55844"/>
    <cellStyle name="Normal 3 5 3 2 3 6" xfId="13655"/>
    <cellStyle name="Normal 3 5 3 2 3 6 2" xfId="49354"/>
    <cellStyle name="Normal 3 5 3 2 3 7" xfId="20145"/>
    <cellStyle name="Normal 3 5 3 2 3 8" xfId="33125"/>
    <cellStyle name="Normal 3 5 3 2 3 9" xfId="46108"/>
    <cellStyle name="Normal 3 5 3 2 4" xfId="1071"/>
    <cellStyle name="Normal 3 5 3 2 4 2" xfId="2738"/>
    <cellStyle name="Normal 3 5 3 2 4 2 2" xfId="5983"/>
    <cellStyle name="Normal 3 5 3 2 4 2 2 2" xfId="12515"/>
    <cellStyle name="Normal 3 5 3 2 4 2 2 2 2" xfId="31988"/>
    <cellStyle name="Normal 3 5 3 2 4 2 2 2 3" xfId="44968"/>
    <cellStyle name="Normal 3 5 3 2 4 2 2 2 4" xfId="61197"/>
    <cellStyle name="Normal 3 5 3 2 4 2 2 3" xfId="19008"/>
    <cellStyle name="Normal 3 5 3 2 4 2 2 4" xfId="25498"/>
    <cellStyle name="Normal 3 5 3 2 4 2 2 5" xfId="38478"/>
    <cellStyle name="Normal 3 5 3 2 4 2 2 6" xfId="54707"/>
    <cellStyle name="Normal 3 5 3 2 4 2 3" xfId="9270"/>
    <cellStyle name="Normal 3 5 3 2 4 2 3 2" xfId="28743"/>
    <cellStyle name="Normal 3 5 3 2 4 2 3 3" xfId="41723"/>
    <cellStyle name="Normal 3 5 3 2 4 2 3 4" xfId="57952"/>
    <cellStyle name="Normal 3 5 3 2 4 2 4" xfId="15763"/>
    <cellStyle name="Normal 3 5 3 2 4 2 4 2" xfId="51462"/>
    <cellStyle name="Normal 3 5 3 2 4 2 5" xfId="22253"/>
    <cellStyle name="Normal 3 5 3 2 4 2 6" xfId="35233"/>
    <cellStyle name="Normal 3 5 3 2 4 2 7" xfId="48216"/>
    <cellStyle name="Normal 3 5 3 2 4 3" xfId="4360"/>
    <cellStyle name="Normal 3 5 3 2 4 3 2" xfId="10892"/>
    <cellStyle name="Normal 3 5 3 2 4 3 2 2" xfId="30365"/>
    <cellStyle name="Normal 3 5 3 2 4 3 2 3" xfId="43345"/>
    <cellStyle name="Normal 3 5 3 2 4 3 2 4" xfId="59574"/>
    <cellStyle name="Normal 3 5 3 2 4 3 3" xfId="17385"/>
    <cellStyle name="Normal 3 5 3 2 4 3 4" xfId="23875"/>
    <cellStyle name="Normal 3 5 3 2 4 3 5" xfId="36855"/>
    <cellStyle name="Normal 3 5 3 2 4 3 6" xfId="53084"/>
    <cellStyle name="Normal 3 5 3 2 4 4" xfId="7647"/>
    <cellStyle name="Normal 3 5 3 2 4 4 2" xfId="27120"/>
    <cellStyle name="Normal 3 5 3 2 4 4 3" xfId="40100"/>
    <cellStyle name="Normal 3 5 3 2 4 4 4" xfId="56329"/>
    <cellStyle name="Normal 3 5 3 2 4 5" xfId="14140"/>
    <cellStyle name="Normal 3 5 3 2 4 5 2" xfId="49839"/>
    <cellStyle name="Normal 3 5 3 2 4 6" xfId="20630"/>
    <cellStyle name="Normal 3 5 3 2 4 7" xfId="33610"/>
    <cellStyle name="Normal 3 5 3 2 4 8" xfId="46593"/>
    <cellStyle name="Normal 3 5 3 2 5" xfId="2024"/>
    <cellStyle name="Normal 3 5 3 2 5 2" xfId="5269"/>
    <cellStyle name="Normal 3 5 3 2 5 2 2" xfId="11801"/>
    <cellStyle name="Normal 3 5 3 2 5 2 2 2" xfId="31274"/>
    <cellStyle name="Normal 3 5 3 2 5 2 2 3" xfId="44254"/>
    <cellStyle name="Normal 3 5 3 2 5 2 2 4" xfId="60483"/>
    <cellStyle name="Normal 3 5 3 2 5 2 3" xfId="18294"/>
    <cellStyle name="Normal 3 5 3 2 5 2 4" xfId="24784"/>
    <cellStyle name="Normal 3 5 3 2 5 2 5" xfId="37764"/>
    <cellStyle name="Normal 3 5 3 2 5 2 6" xfId="53993"/>
    <cellStyle name="Normal 3 5 3 2 5 3" xfId="8556"/>
    <cellStyle name="Normal 3 5 3 2 5 3 2" xfId="28029"/>
    <cellStyle name="Normal 3 5 3 2 5 3 3" xfId="41009"/>
    <cellStyle name="Normal 3 5 3 2 5 3 4" xfId="57238"/>
    <cellStyle name="Normal 3 5 3 2 5 4" xfId="15049"/>
    <cellStyle name="Normal 3 5 3 2 5 4 2" xfId="50748"/>
    <cellStyle name="Normal 3 5 3 2 5 5" xfId="21539"/>
    <cellStyle name="Normal 3 5 3 2 5 6" xfId="34519"/>
    <cellStyle name="Normal 3 5 3 2 5 7" xfId="47502"/>
    <cellStyle name="Normal 3 5 3 2 6" xfId="3645"/>
    <cellStyle name="Normal 3 5 3 2 6 2" xfId="10177"/>
    <cellStyle name="Normal 3 5 3 2 6 2 2" xfId="29650"/>
    <cellStyle name="Normal 3 5 3 2 6 2 3" xfId="42630"/>
    <cellStyle name="Normal 3 5 3 2 6 2 4" xfId="58859"/>
    <cellStyle name="Normal 3 5 3 2 6 3" xfId="16670"/>
    <cellStyle name="Normal 3 5 3 2 6 4" xfId="23160"/>
    <cellStyle name="Normal 3 5 3 2 6 5" xfId="36140"/>
    <cellStyle name="Normal 3 5 3 2 6 6" xfId="52369"/>
    <cellStyle name="Normal 3 5 3 2 7" xfId="6932"/>
    <cellStyle name="Normal 3 5 3 2 7 2" xfId="26405"/>
    <cellStyle name="Normal 3 5 3 2 7 3" xfId="39385"/>
    <cellStyle name="Normal 3 5 3 2 7 4" xfId="55614"/>
    <cellStyle name="Normal 3 5 3 2 8" xfId="13425"/>
    <cellStyle name="Normal 3 5 3 2 8 2" xfId="49124"/>
    <cellStyle name="Normal 3 5 3 2 9" xfId="19915"/>
    <cellStyle name="Normal 3 5 3 3" xfId="727"/>
    <cellStyle name="Normal 3 5 3 3 10" xfId="46250"/>
    <cellStyle name="Normal 3 5 3 3 2" xfId="1666"/>
    <cellStyle name="Normal 3 5 3 3 2 2" xfId="3333"/>
    <cellStyle name="Normal 3 5 3 3 2 2 2" xfId="6578"/>
    <cellStyle name="Normal 3 5 3 3 2 2 2 2" xfId="13110"/>
    <cellStyle name="Normal 3 5 3 3 2 2 2 2 2" xfId="32583"/>
    <cellStyle name="Normal 3 5 3 3 2 2 2 2 3" xfId="45563"/>
    <cellStyle name="Normal 3 5 3 3 2 2 2 2 4" xfId="61792"/>
    <cellStyle name="Normal 3 5 3 3 2 2 2 3" xfId="19603"/>
    <cellStyle name="Normal 3 5 3 3 2 2 2 4" xfId="26093"/>
    <cellStyle name="Normal 3 5 3 3 2 2 2 5" xfId="39073"/>
    <cellStyle name="Normal 3 5 3 3 2 2 2 6" xfId="55302"/>
    <cellStyle name="Normal 3 5 3 3 2 2 3" xfId="9865"/>
    <cellStyle name="Normal 3 5 3 3 2 2 3 2" xfId="29338"/>
    <cellStyle name="Normal 3 5 3 3 2 2 3 3" xfId="42318"/>
    <cellStyle name="Normal 3 5 3 3 2 2 3 4" xfId="58547"/>
    <cellStyle name="Normal 3 5 3 3 2 2 4" xfId="16358"/>
    <cellStyle name="Normal 3 5 3 3 2 2 4 2" xfId="52057"/>
    <cellStyle name="Normal 3 5 3 3 2 2 5" xfId="22848"/>
    <cellStyle name="Normal 3 5 3 3 2 2 6" xfId="35828"/>
    <cellStyle name="Normal 3 5 3 3 2 2 7" xfId="48811"/>
    <cellStyle name="Normal 3 5 3 3 2 3" xfId="4955"/>
    <cellStyle name="Normal 3 5 3 3 2 3 2" xfId="11487"/>
    <cellStyle name="Normal 3 5 3 3 2 3 2 2" xfId="30960"/>
    <cellStyle name="Normal 3 5 3 3 2 3 2 3" xfId="43940"/>
    <cellStyle name="Normal 3 5 3 3 2 3 2 4" xfId="60169"/>
    <cellStyle name="Normal 3 5 3 3 2 3 3" xfId="17980"/>
    <cellStyle name="Normal 3 5 3 3 2 3 4" xfId="24470"/>
    <cellStyle name="Normal 3 5 3 3 2 3 5" xfId="37450"/>
    <cellStyle name="Normal 3 5 3 3 2 3 6" xfId="53679"/>
    <cellStyle name="Normal 3 5 3 3 2 4" xfId="8242"/>
    <cellStyle name="Normal 3 5 3 3 2 4 2" xfId="27715"/>
    <cellStyle name="Normal 3 5 3 3 2 4 3" xfId="40695"/>
    <cellStyle name="Normal 3 5 3 3 2 4 4" xfId="56924"/>
    <cellStyle name="Normal 3 5 3 3 2 5" xfId="14735"/>
    <cellStyle name="Normal 3 5 3 3 2 5 2" xfId="50434"/>
    <cellStyle name="Normal 3 5 3 3 2 6" xfId="21225"/>
    <cellStyle name="Normal 3 5 3 3 2 7" xfId="34205"/>
    <cellStyle name="Normal 3 5 3 3 2 8" xfId="47188"/>
    <cellStyle name="Normal 3 5 3 3 3" xfId="1203"/>
    <cellStyle name="Normal 3 5 3 3 3 2" xfId="2870"/>
    <cellStyle name="Normal 3 5 3 3 3 2 2" xfId="6115"/>
    <cellStyle name="Normal 3 5 3 3 3 2 2 2" xfId="12647"/>
    <cellStyle name="Normal 3 5 3 3 3 2 2 2 2" xfId="32120"/>
    <cellStyle name="Normal 3 5 3 3 3 2 2 2 3" xfId="45100"/>
    <cellStyle name="Normal 3 5 3 3 3 2 2 2 4" xfId="61329"/>
    <cellStyle name="Normal 3 5 3 3 3 2 2 3" xfId="19140"/>
    <cellStyle name="Normal 3 5 3 3 3 2 2 4" xfId="25630"/>
    <cellStyle name="Normal 3 5 3 3 3 2 2 5" xfId="38610"/>
    <cellStyle name="Normal 3 5 3 3 3 2 2 6" xfId="54839"/>
    <cellStyle name="Normal 3 5 3 3 3 2 3" xfId="9402"/>
    <cellStyle name="Normal 3 5 3 3 3 2 3 2" xfId="28875"/>
    <cellStyle name="Normal 3 5 3 3 3 2 3 3" xfId="41855"/>
    <cellStyle name="Normal 3 5 3 3 3 2 3 4" xfId="58084"/>
    <cellStyle name="Normal 3 5 3 3 3 2 4" xfId="15895"/>
    <cellStyle name="Normal 3 5 3 3 3 2 4 2" xfId="51594"/>
    <cellStyle name="Normal 3 5 3 3 3 2 5" xfId="22385"/>
    <cellStyle name="Normal 3 5 3 3 3 2 6" xfId="35365"/>
    <cellStyle name="Normal 3 5 3 3 3 2 7" xfId="48348"/>
    <cellStyle name="Normal 3 5 3 3 3 3" xfId="4492"/>
    <cellStyle name="Normal 3 5 3 3 3 3 2" xfId="11024"/>
    <cellStyle name="Normal 3 5 3 3 3 3 2 2" xfId="30497"/>
    <cellStyle name="Normal 3 5 3 3 3 3 2 3" xfId="43477"/>
    <cellStyle name="Normal 3 5 3 3 3 3 2 4" xfId="59706"/>
    <cellStyle name="Normal 3 5 3 3 3 3 3" xfId="17517"/>
    <cellStyle name="Normal 3 5 3 3 3 3 4" xfId="24007"/>
    <cellStyle name="Normal 3 5 3 3 3 3 5" xfId="36987"/>
    <cellStyle name="Normal 3 5 3 3 3 3 6" xfId="53216"/>
    <cellStyle name="Normal 3 5 3 3 3 4" xfId="7779"/>
    <cellStyle name="Normal 3 5 3 3 3 4 2" xfId="27252"/>
    <cellStyle name="Normal 3 5 3 3 3 4 3" xfId="40232"/>
    <cellStyle name="Normal 3 5 3 3 3 4 4" xfId="56461"/>
    <cellStyle name="Normal 3 5 3 3 3 5" xfId="14272"/>
    <cellStyle name="Normal 3 5 3 3 3 5 2" xfId="49971"/>
    <cellStyle name="Normal 3 5 3 3 3 6" xfId="20762"/>
    <cellStyle name="Normal 3 5 3 3 3 7" xfId="33742"/>
    <cellStyle name="Normal 3 5 3 3 3 8" xfId="46725"/>
    <cellStyle name="Normal 3 5 3 3 4" xfId="2395"/>
    <cellStyle name="Normal 3 5 3 3 4 2" xfId="5640"/>
    <cellStyle name="Normal 3 5 3 3 4 2 2" xfId="12172"/>
    <cellStyle name="Normal 3 5 3 3 4 2 2 2" xfId="31645"/>
    <cellStyle name="Normal 3 5 3 3 4 2 2 3" xfId="44625"/>
    <cellStyle name="Normal 3 5 3 3 4 2 2 4" xfId="60854"/>
    <cellStyle name="Normal 3 5 3 3 4 2 3" xfId="18665"/>
    <cellStyle name="Normal 3 5 3 3 4 2 4" xfId="25155"/>
    <cellStyle name="Normal 3 5 3 3 4 2 5" xfId="38135"/>
    <cellStyle name="Normal 3 5 3 3 4 2 6" xfId="54364"/>
    <cellStyle name="Normal 3 5 3 3 4 3" xfId="8927"/>
    <cellStyle name="Normal 3 5 3 3 4 3 2" xfId="28400"/>
    <cellStyle name="Normal 3 5 3 3 4 3 3" xfId="41380"/>
    <cellStyle name="Normal 3 5 3 3 4 3 4" xfId="57609"/>
    <cellStyle name="Normal 3 5 3 3 4 4" xfId="15420"/>
    <cellStyle name="Normal 3 5 3 3 4 4 2" xfId="51119"/>
    <cellStyle name="Normal 3 5 3 3 4 5" xfId="21910"/>
    <cellStyle name="Normal 3 5 3 3 4 6" xfId="34890"/>
    <cellStyle name="Normal 3 5 3 3 4 7" xfId="47873"/>
    <cellStyle name="Normal 3 5 3 3 5" xfId="4017"/>
    <cellStyle name="Normal 3 5 3 3 5 2" xfId="10549"/>
    <cellStyle name="Normal 3 5 3 3 5 2 2" xfId="30022"/>
    <cellStyle name="Normal 3 5 3 3 5 2 3" xfId="43002"/>
    <cellStyle name="Normal 3 5 3 3 5 2 4" xfId="59231"/>
    <cellStyle name="Normal 3 5 3 3 5 3" xfId="17042"/>
    <cellStyle name="Normal 3 5 3 3 5 4" xfId="23532"/>
    <cellStyle name="Normal 3 5 3 3 5 5" xfId="36512"/>
    <cellStyle name="Normal 3 5 3 3 5 6" xfId="52741"/>
    <cellStyle name="Normal 3 5 3 3 6" xfId="7304"/>
    <cellStyle name="Normal 3 5 3 3 6 2" xfId="26777"/>
    <cellStyle name="Normal 3 5 3 3 6 3" xfId="39757"/>
    <cellStyle name="Normal 3 5 3 3 6 4" xfId="55986"/>
    <cellStyle name="Normal 3 5 3 3 7" xfId="13797"/>
    <cellStyle name="Normal 3 5 3 3 7 2" xfId="49496"/>
    <cellStyle name="Normal 3 5 3 3 8" xfId="20287"/>
    <cellStyle name="Normal 3 5 3 3 9" xfId="33267"/>
    <cellStyle name="Normal 3 5 3 4" xfId="497"/>
    <cellStyle name="Normal 3 5 3 4 2" xfId="1446"/>
    <cellStyle name="Normal 3 5 3 4 2 2" xfId="3113"/>
    <cellStyle name="Normal 3 5 3 4 2 2 2" xfId="6358"/>
    <cellStyle name="Normal 3 5 3 4 2 2 2 2" xfId="12890"/>
    <cellStyle name="Normal 3 5 3 4 2 2 2 2 2" xfId="32363"/>
    <cellStyle name="Normal 3 5 3 4 2 2 2 2 3" xfId="45343"/>
    <cellStyle name="Normal 3 5 3 4 2 2 2 2 4" xfId="61572"/>
    <cellStyle name="Normal 3 5 3 4 2 2 2 3" xfId="19383"/>
    <cellStyle name="Normal 3 5 3 4 2 2 2 4" xfId="25873"/>
    <cellStyle name="Normal 3 5 3 4 2 2 2 5" xfId="38853"/>
    <cellStyle name="Normal 3 5 3 4 2 2 2 6" xfId="55082"/>
    <cellStyle name="Normal 3 5 3 4 2 2 3" xfId="9645"/>
    <cellStyle name="Normal 3 5 3 4 2 2 3 2" xfId="29118"/>
    <cellStyle name="Normal 3 5 3 4 2 2 3 3" xfId="42098"/>
    <cellStyle name="Normal 3 5 3 4 2 2 3 4" xfId="58327"/>
    <cellStyle name="Normal 3 5 3 4 2 2 4" xfId="16138"/>
    <cellStyle name="Normal 3 5 3 4 2 2 4 2" xfId="51837"/>
    <cellStyle name="Normal 3 5 3 4 2 2 5" xfId="22628"/>
    <cellStyle name="Normal 3 5 3 4 2 2 6" xfId="35608"/>
    <cellStyle name="Normal 3 5 3 4 2 2 7" xfId="48591"/>
    <cellStyle name="Normal 3 5 3 4 2 3" xfId="4735"/>
    <cellStyle name="Normal 3 5 3 4 2 3 2" xfId="11267"/>
    <cellStyle name="Normal 3 5 3 4 2 3 2 2" xfId="30740"/>
    <cellStyle name="Normal 3 5 3 4 2 3 2 3" xfId="43720"/>
    <cellStyle name="Normal 3 5 3 4 2 3 2 4" xfId="59949"/>
    <cellStyle name="Normal 3 5 3 4 2 3 3" xfId="17760"/>
    <cellStyle name="Normal 3 5 3 4 2 3 4" xfId="24250"/>
    <cellStyle name="Normal 3 5 3 4 2 3 5" xfId="37230"/>
    <cellStyle name="Normal 3 5 3 4 2 3 6" xfId="53459"/>
    <cellStyle name="Normal 3 5 3 4 2 4" xfId="8022"/>
    <cellStyle name="Normal 3 5 3 4 2 4 2" xfId="27495"/>
    <cellStyle name="Normal 3 5 3 4 2 4 3" xfId="40475"/>
    <cellStyle name="Normal 3 5 3 4 2 4 4" xfId="56704"/>
    <cellStyle name="Normal 3 5 3 4 2 5" xfId="14515"/>
    <cellStyle name="Normal 3 5 3 4 2 5 2" xfId="50214"/>
    <cellStyle name="Normal 3 5 3 4 2 6" xfId="21005"/>
    <cellStyle name="Normal 3 5 3 4 2 7" xfId="33985"/>
    <cellStyle name="Normal 3 5 3 4 2 8" xfId="46968"/>
    <cellStyle name="Normal 3 5 3 4 3" xfId="2165"/>
    <cellStyle name="Normal 3 5 3 4 3 2" xfId="5410"/>
    <cellStyle name="Normal 3 5 3 4 3 2 2" xfId="11942"/>
    <cellStyle name="Normal 3 5 3 4 3 2 2 2" xfId="31415"/>
    <cellStyle name="Normal 3 5 3 4 3 2 2 3" xfId="44395"/>
    <cellStyle name="Normal 3 5 3 4 3 2 2 4" xfId="60624"/>
    <cellStyle name="Normal 3 5 3 4 3 2 3" xfId="18435"/>
    <cellStyle name="Normal 3 5 3 4 3 2 4" xfId="24925"/>
    <cellStyle name="Normal 3 5 3 4 3 2 5" xfId="37905"/>
    <cellStyle name="Normal 3 5 3 4 3 2 6" xfId="54134"/>
    <cellStyle name="Normal 3 5 3 4 3 3" xfId="8697"/>
    <cellStyle name="Normal 3 5 3 4 3 3 2" xfId="28170"/>
    <cellStyle name="Normal 3 5 3 4 3 3 3" xfId="41150"/>
    <cellStyle name="Normal 3 5 3 4 3 3 4" xfId="57379"/>
    <cellStyle name="Normal 3 5 3 4 3 4" xfId="15190"/>
    <cellStyle name="Normal 3 5 3 4 3 4 2" xfId="50889"/>
    <cellStyle name="Normal 3 5 3 4 3 5" xfId="21680"/>
    <cellStyle name="Normal 3 5 3 4 3 6" xfId="34660"/>
    <cellStyle name="Normal 3 5 3 4 3 7" xfId="47643"/>
    <cellStyle name="Normal 3 5 3 4 4" xfId="3787"/>
    <cellStyle name="Normal 3 5 3 4 4 2" xfId="10319"/>
    <cellStyle name="Normal 3 5 3 4 4 2 2" xfId="29792"/>
    <cellStyle name="Normal 3 5 3 4 4 2 3" xfId="42772"/>
    <cellStyle name="Normal 3 5 3 4 4 2 4" xfId="59001"/>
    <cellStyle name="Normal 3 5 3 4 4 3" xfId="16812"/>
    <cellStyle name="Normal 3 5 3 4 4 4" xfId="23302"/>
    <cellStyle name="Normal 3 5 3 4 4 5" xfId="36282"/>
    <cellStyle name="Normal 3 5 3 4 4 6" xfId="52511"/>
    <cellStyle name="Normal 3 5 3 4 5" xfId="7074"/>
    <cellStyle name="Normal 3 5 3 4 5 2" xfId="26547"/>
    <cellStyle name="Normal 3 5 3 4 5 3" xfId="39527"/>
    <cellStyle name="Normal 3 5 3 4 5 4" xfId="55756"/>
    <cellStyle name="Normal 3 5 3 4 6" xfId="13567"/>
    <cellStyle name="Normal 3 5 3 4 6 2" xfId="49266"/>
    <cellStyle name="Normal 3 5 3 4 7" xfId="20057"/>
    <cellStyle name="Normal 3 5 3 4 8" xfId="33037"/>
    <cellStyle name="Normal 3 5 3 4 9" xfId="46020"/>
    <cellStyle name="Normal 3 5 3 5" xfId="983"/>
    <cellStyle name="Normal 3 5 3 5 2" xfId="2650"/>
    <cellStyle name="Normal 3 5 3 5 2 2" xfId="5895"/>
    <cellStyle name="Normal 3 5 3 5 2 2 2" xfId="12427"/>
    <cellStyle name="Normal 3 5 3 5 2 2 2 2" xfId="31900"/>
    <cellStyle name="Normal 3 5 3 5 2 2 2 3" xfId="44880"/>
    <cellStyle name="Normal 3 5 3 5 2 2 2 4" xfId="61109"/>
    <cellStyle name="Normal 3 5 3 5 2 2 3" xfId="18920"/>
    <cellStyle name="Normal 3 5 3 5 2 2 4" xfId="25410"/>
    <cellStyle name="Normal 3 5 3 5 2 2 5" xfId="38390"/>
    <cellStyle name="Normal 3 5 3 5 2 2 6" xfId="54619"/>
    <cellStyle name="Normal 3 5 3 5 2 3" xfId="9182"/>
    <cellStyle name="Normal 3 5 3 5 2 3 2" xfId="28655"/>
    <cellStyle name="Normal 3 5 3 5 2 3 3" xfId="41635"/>
    <cellStyle name="Normal 3 5 3 5 2 3 4" xfId="57864"/>
    <cellStyle name="Normal 3 5 3 5 2 4" xfId="15675"/>
    <cellStyle name="Normal 3 5 3 5 2 4 2" xfId="51374"/>
    <cellStyle name="Normal 3 5 3 5 2 5" xfId="22165"/>
    <cellStyle name="Normal 3 5 3 5 2 6" xfId="35145"/>
    <cellStyle name="Normal 3 5 3 5 2 7" xfId="48128"/>
    <cellStyle name="Normal 3 5 3 5 3" xfId="4272"/>
    <cellStyle name="Normal 3 5 3 5 3 2" xfId="10804"/>
    <cellStyle name="Normal 3 5 3 5 3 2 2" xfId="30277"/>
    <cellStyle name="Normal 3 5 3 5 3 2 3" xfId="43257"/>
    <cellStyle name="Normal 3 5 3 5 3 2 4" xfId="59486"/>
    <cellStyle name="Normal 3 5 3 5 3 3" xfId="17297"/>
    <cellStyle name="Normal 3 5 3 5 3 4" xfId="23787"/>
    <cellStyle name="Normal 3 5 3 5 3 5" xfId="36767"/>
    <cellStyle name="Normal 3 5 3 5 3 6" xfId="52996"/>
    <cellStyle name="Normal 3 5 3 5 4" xfId="7559"/>
    <cellStyle name="Normal 3 5 3 5 4 2" xfId="27032"/>
    <cellStyle name="Normal 3 5 3 5 4 3" xfId="40012"/>
    <cellStyle name="Normal 3 5 3 5 4 4" xfId="56241"/>
    <cellStyle name="Normal 3 5 3 5 5" xfId="14052"/>
    <cellStyle name="Normal 3 5 3 5 5 2" xfId="49751"/>
    <cellStyle name="Normal 3 5 3 5 6" xfId="20542"/>
    <cellStyle name="Normal 3 5 3 5 7" xfId="33522"/>
    <cellStyle name="Normal 3 5 3 5 8" xfId="46505"/>
    <cellStyle name="Normal 3 5 3 6" xfId="1936"/>
    <cellStyle name="Normal 3 5 3 6 2" xfId="5181"/>
    <cellStyle name="Normal 3 5 3 6 2 2" xfId="11713"/>
    <cellStyle name="Normal 3 5 3 6 2 2 2" xfId="31186"/>
    <cellStyle name="Normal 3 5 3 6 2 2 3" xfId="44166"/>
    <cellStyle name="Normal 3 5 3 6 2 2 4" xfId="60395"/>
    <cellStyle name="Normal 3 5 3 6 2 3" xfId="18206"/>
    <cellStyle name="Normal 3 5 3 6 2 4" xfId="24696"/>
    <cellStyle name="Normal 3 5 3 6 2 5" xfId="37676"/>
    <cellStyle name="Normal 3 5 3 6 2 6" xfId="53905"/>
    <cellStyle name="Normal 3 5 3 6 3" xfId="8468"/>
    <cellStyle name="Normal 3 5 3 6 3 2" xfId="27941"/>
    <cellStyle name="Normal 3 5 3 6 3 3" xfId="40921"/>
    <cellStyle name="Normal 3 5 3 6 3 4" xfId="57150"/>
    <cellStyle name="Normal 3 5 3 6 4" xfId="14961"/>
    <cellStyle name="Normal 3 5 3 6 4 2" xfId="50660"/>
    <cellStyle name="Normal 3 5 3 6 5" xfId="21451"/>
    <cellStyle name="Normal 3 5 3 6 6" xfId="34431"/>
    <cellStyle name="Normal 3 5 3 6 7" xfId="47414"/>
    <cellStyle name="Normal 3 5 3 7" xfId="3557"/>
    <cellStyle name="Normal 3 5 3 7 2" xfId="10089"/>
    <cellStyle name="Normal 3 5 3 7 2 2" xfId="29562"/>
    <cellStyle name="Normal 3 5 3 7 2 3" xfId="42542"/>
    <cellStyle name="Normal 3 5 3 7 2 4" xfId="58771"/>
    <cellStyle name="Normal 3 5 3 7 3" xfId="16582"/>
    <cellStyle name="Normal 3 5 3 7 4" xfId="23072"/>
    <cellStyle name="Normal 3 5 3 7 5" xfId="36052"/>
    <cellStyle name="Normal 3 5 3 7 6" xfId="52281"/>
    <cellStyle name="Normal 3 5 3 8" xfId="6844"/>
    <cellStyle name="Normal 3 5 3 8 2" xfId="26317"/>
    <cellStyle name="Normal 3 5 3 8 3" xfId="39297"/>
    <cellStyle name="Normal 3 5 3 8 4" xfId="55526"/>
    <cellStyle name="Normal 3 5 3 9" xfId="13337"/>
    <cellStyle name="Normal 3 5 3 9 2" xfId="49036"/>
    <cellStyle name="Normal 3 5 4" xfId="219"/>
    <cellStyle name="Normal 3 5 4 10" xfId="32763"/>
    <cellStyle name="Normal 3 5 4 11" xfId="45746"/>
    <cellStyle name="Normal 3 5 4 2" xfId="683"/>
    <cellStyle name="Normal 3 5 4 2 10" xfId="46206"/>
    <cellStyle name="Normal 3 5 4 2 2" xfId="1622"/>
    <cellStyle name="Normal 3 5 4 2 2 2" xfId="3289"/>
    <cellStyle name="Normal 3 5 4 2 2 2 2" xfId="6534"/>
    <cellStyle name="Normal 3 5 4 2 2 2 2 2" xfId="13066"/>
    <cellStyle name="Normal 3 5 4 2 2 2 2 2 2" xfId="32539"/>
    <cellStyle name="Normal 3 5 4 2 2 2 2 2 3" xfId="45519"/>
    <cellStyle name="Normal 3 5 4 2 2 2 2 2 4" xfId="61748"/>
    <cellStyle name="Normal 3 5 4 2 2 2 2 3" xfId="19559"/>
    <cellStyle name="Normal 3 5 4 2 2 2 2 4" xfId="26049"/>
    <cellStyle name="Normal 3 5 4 2 2 2 2 5" xfId="39029"/>
    <cellStyle name="Normal 3 5 4 2 2 2 2 6" xfId="55258"/>
    <cellStyle name="Normal 3 5 4 2 2 2 3" xfId="9821"/>
    <cellStyle name="Normal 3 5 4 2 2 2 3 2" xfId="29294"/>
    <cellStyle name="Normal 3 5 4 2 2 2 3 3" xfId="42274"/>
    <cellStyle name="Normal 3 5 4 2 2 2 3 4" xfId="58503"/>
    <cellStyle name="Normal 3 5 4 2 2 2 4" xfId="16314"/>
    <cellStyle name="Normal 3 5 4 2 2 2 4 2" xfId="52013"/>
    <cellStyle name="Normal 3 5 4 2 2 2 5" xfId="22804"/>
    <cellStyle name="Normal 3 5 4 2 2 2 6" xfId="35784"/>
    <cellStyle name="Normal 3 5 4 2 2 2 7" xfId="48767"/>
    <cellStyle name="Normal 3 5 4 2 2 3" xfId="4911"/>
    <cellStyle name="Normal 3 5 4 2 2 3 2" xfId="11443"/>
    <cellStyle name="Normal 3 5 4 2 2 3 2 2" xfId="30916"/>
    <cellStyle name="Normal 3 5 4 2 2 3 2 3" xfId="43896"/>
    <cellStyle name="Normal 3 5 4 2 2 3 2 4" xfId="60125"/>
    <cellStyle name="Normal 3 5 4 2 2 3 3" xfId="17936"/>
    <cellStyle name="Normal 3 5 4 2 2 3 4" xfId="24426"/>
    <cellStyle name="Normal 3 5 4 2 2 3 5" xfId="37406"/>
    <cellStyle name="Normal 3 5 4 2 2 3 6" xfId="53635"/>
    <cellStyle name="Normal 3 5 4 2 2 4" xfId="8198"/>
    <cellStyle name="Normal 3 5 4 2 2 4 2" xfId="27671"/>
    <cellStyle name="Normal 3 5 4 2 2 4 3" xfId="40651"/>
    <cellStyle name="Normal 3 5 4 2 2 4 4" xfId="56880"/>
    <cellStyle name="Normal 3 5 4 2 2 5" xfId="14691"/>
    <cellStyle name="Normal 3 5 4 2 2 5 2" xfId="50390"/>
    <cellStyle name="Normal 3 5 4 2 2 6" xfId="21181"/>
    <cellStyle name="Normal 3 5 4 2 2 7" xfId="34161"/>
    <cellStyle name="Normal 3 5 4 2 2 8" xfId="47144"/>
    <cellStyle name="Normal 3 5 4 2 3" xfId="1159"/>
    <cellStyle name="Normal 3 5 4 2 3 2" xfId="2826"/>
    <cellStyle name="Normal 3 5 4 2 3 2 2" xfId="6071"/>
    <cellStyle name="Normal 3 5 4 2 3 2 2 2" xfId="12603"/>
    <cellStyle name="Normal 3 5 4 2 3 2 2 2 2" xfId="32076"/>
    <cellStyle name="Normal 3 5 4 2 3 2 2 2 3" xfId="45056"/>
    <cellStyle name="Normal 3 5 4 2 3 2 2 2 4" xfId="61285"/>
    <cellStyle name="Normal 3 5 4 2 3 2 2 3" xfId="19096"/>
    <cellStyle name="Normal 3 5 4 2 3 2 2 4" xfId="25586"/>
    <cellStyle name="Normal 3 5 4 2 3 2 2 5" xfId="38566"/>
    <cellStyle name="Normal 3 5 4 2 3 2 2 6" xfId="54795"/>
    <cellStyle name="Normal 3 5 4 2 3 2 3" xfId="9358"/>
    <cellStyle name="Normal 3 5 4 2 3 2 3 2" xfId="28831"/>
    <cellStyle name="Normal 3 5 4 2 3 2 3 3" xfId="41811"/>
    <cellStyle name="Normal 3 5 4 2 3 2 3 4" xfId="58040"/>
    <cellStyle name="Normal 3 5 4 2 3 2 4" xfId="15851"/>
    <cellStyle name="Normal 3 5 4 2 3 2 4 2" xfId="51550"/>
    <cellStyle name="Normal 3 5 4 2 3 2 5" xfId="22341"/>
    <cellStyle name="Normal 3 5 4 2 3 2 6" xfId="35321"/>
    <cellStyle name="Normal 3 5 4 2 3 2 7" xfId="48304"/>
    <cellStyle name="Normal 3 5 4 2 3 3" xfId="4448"/>
    <cellStyle name="Normal 3 5 4 2 3 3 2" xfId="10980"/>
    <cellStyle name="Normal 3 5 4 2 3 3 2 2" xfId="30453"/>
    <cellStyle name="Normal 3 5 4 2 3 3 2 3" xfId="43433"/>
    <cellStyle name="Normal 3 5 4 2 3 3 2 4" xfId="59662"/>
    <cellStyle name="Normal 3 5 4 2 3 3 3" xfId="17473"/>
    <cellStyle name="Normal 3 5 4 2 3 3 4" xfId="23963"/>
    <cellStyle name="Normal 3 5 4 2 3 3 5" xfId="36943"/>
    <cellStyle name="Normal 3 5 4 2 3 3 6" xfId="53172"/>
    <cellStyle name="Normal 3 5 4 2 3 4" xfId="7735"/>
    <cellStyle name="Normal 3 5 4 2 3 4 2" xfId="27208"/>
    <cellStyle name="Normal 3 5 4 2 3 4 3" xfId="40188"/>
    <cellStyle name="Normal 3 5 4 2 3 4 4" xfId="56417"/>
    <cellStyle name="Normal 3 5 4 2 3 5" xfId="14228"/>
    <cellStyle name="Normal 3 5 4 2 3 5 2" xfId="49927"/>
    <cellStyle name="Normal 3 5 4 2 3 6" xfId="20718"/>
    <cellStyle name="Normal 3 5 4 2 3 7" xfId="33698"/>
    <cellStyle name="Normal 3 5 4 2 3 8" xfId="46681"/>
    <cellStyle name="Normal 3 5 4 2 4" xfId="2351"/>
    <cellStyle name="Normal 3 5 4 2 4 2" xfId="5596"/>
    <cellStyle name="Normal 3 5 4 2 4 2 2" xfId="12128"/>
    <cellStyle name="Normal 3 5 4 2 4 2 2 2" xfId="31601"/>
    <cellStyle name="Normal 3 5 4 2 4 2 2 3" xfId="44581"/>
    <cellStyle name="Normal 3 5 4 2 4 2 2 4" xfId="60810"/>
    <cellStyle name="Normal 3 5 4 2 4 2 3" xfId="18621"/>
    <cellStyle name="Normal 3 5 4 2 4 2 4" xfId="25111"/>
    <cellStyle name="Normal 3 5 4 2 4 2 5" xfId="38091"/>
    <cellStyle name="Normal 3 5 4 2 4 2 6" xfId="54320"/>
    <cellStyle name="Normal 3 5 4 2 4 3" xfId="8883"/>
    <cellStyle name="Normal 3 5 4 2 4 3 2" xfId="28356"/>
    <cellStyle name="Normal 3 5 4 2 4 3 3" xfId="41336"/>
    <cellStyle name="Normal 3 5 4 2 4 3 4" xfId="57565"/>
    <cellStyle name="Normal 3 5 4 2 4 4" xfId="15376"/>
    <cellStyle name="Normal 3 5 4 2 4 4 2" xfId="51075"/>
    <cellStyle name="Normal 3 5 4 2 4 5" xfId="21866"/>
    <cellStyle name="Normal 3 5 4 2 4 6" xfId="34846"/>
    <cellStyle name="Normal 3 5 4 2 4 7" xfId="47829"/>
    <cellStyle name="Normal 3 5 4 2 5" xfId="3973"/>
    <cellStyle name="Normal 3 5 4 2 5 2" xfId="10505"/>
    <cellStyle name="Normal 3 5 4 2 5 2 2" xfId="29978"/>
    <cellStyle name="Normal 3 5 4 2 5 2 3" xfId="42958"/>
    <cellStyle name="Normal 3 5 4 2 5 2 4" xfId="59187"/>
    <cellStyle name="Normal 3 5 4 2 5 3" xfId="16998"/>
    <cellStyle name="Normal 3 5 4 2 5 4" xfId="23488"/>
    <cellStyle name="Normal 3 5 4 2 5 5" xfId="36468"/>
    <cellStyle name="Normal 3 5 4 2 5 6" xfId="52697"/>
    <cellStyle name="Normal 3 5 4 2 6" xfId="7260"/>
    <cellStyle name="Normal 3 5 4 2 6 2" xfId="26733"/>
    <cellStyle name="Normal 3 5 4 2 6 3" xfId="39713"/>
    <cellStyle name="Normal 3 5 4 2 6 4" xfId="55942"/>
    <cellStyle name="Normal 3 5 4 2 7" xfId="13753"/>
    <cellStyle name="Normal 3 5 4 2 7 2" xfId="49452"/>
    <cellStyle name="Normal 3 5 4 2 8" xfId="20243"/>
    <cellStyle name="Normal 3 5 4 2 9" xfId="33223"/>
    <cellStyle name="Normal 3 5 4 3" xfId="453"/>
    <cellStyle name="Normal 3 5 4 3 2" xfId="1402"/>
    <cellStyle name="Normal 3 5 4 3 2 2" xfId="3069"/>
    <cellStyle name="Normal 3 5 4 3 2 2 2" xfId="6314"/>
    <cellStyle name="Normal 3 5 4 3 2 2 2 2" xfId="12846"/>
    <cellStyle name="Normal 3 5 4 3 2 2 2 2 2" xfId="32319"/>
    <cellStyle name="Normal 3 5 4 3 2 2 2 2 3" xfId="45299"/>
    <cellStyle name="Normal 3 5 4 3 2 2 2 2 4" xfId="61528"/>
    <cellStyle name="Normal 3 5 4 3 2 2 2 3" xfId="19339"/>
    <cellStyle name="Normal 3 5 4 3 2 2 2 4" xfId="25829"/>
    <cellStyle name="Normal 3 5 4 3 2 2 2 5" xfId="38809"/>
    <cellStyle name="Normal 3 5 4 3 2 2 2 6" xfId="55038"/>
    <cellStyle name="Normal 3 5 4 3 2 2 3" xfId="9601"/>
    <cellStyle name="Normal 3 5 4 3 2 2 3 2" xfId="29074"/>
    <cellStyle name="Normal 3 5 4 3 2 2 3 3" xfId="42054"/>
    <cellStyle name="Normal 3 5 4 3 2 2 3 4" xfId="58283"/>
    <cellStyle name="Normal 3 5 4 3 2 2 4" xfId="16094"/>
    <cellStyle name="Normal 3 5 4 3 2 2 4 2" xfId="51793"/>
    <cellStyle name="Normal 3 5 4 3 2 2 5" xfId="22584"/>
    <cellStyle name="Normal 3 5 4 3 2 2 6" xfId="35564"/>
    <cellStyle name="Normal 3 5 4 3 2 2 7" xfId="48547"/>
    <cellStyle name="Normal 3 5 4 3 2 3" xfId="4691"/>
    <cellStyle name="Normal 3 5 4 3 2 3 2" xfId="11223"/>
    <cellStyle name="Normal 3 5 4 3 2 3 2 2" xfId="30696"/>
    <cellStyle name="Normal 3 5 4 3 2 3 2 3" xfId="43676"/>
    <cellStyle name="Normal 3 5 4 3 2 3 2 4" xfId="59905"/>
    <cellStyle name="Normal 3 5 4 3 2 3 3" xfId="17716"/>
    <cellStyle name="Normal 3 5 4 3 2 3 4" xfId="24206"/>
    <cellStyle name="Normal 3 5 4 3 2 3 5" xfId="37186"/>
    <cellStyle name="Normal 3 5 4 3 2 3 6" xfId="53415"/>
    <cellStyle name="Normal 3 5 4 3 2 4" xfId="7978"/>
    <cellStyle name="Normal 3 5 4 3 2 4 2" xfId="27451"/>
    <cellStyle name="Normal 3 5 4 3 2 4 3" xfId="40431"/>
    <cellStyle name="Normal 3 5 4 3 2 4 4" xfId="56660"/>
    <cellStyle name="Normal 3 5 4 3 2 5" xfId="14471"/>
    <cellStyle name="Normal 3 5 4 3 2 5 2" xfId="50170"/>
    <cellStyle name="Normal 3 5 4 3 2 6" xfId="20961"/>
    <cellStyle name="Normal 3 5 4 3 2 7" xfId="33941"/>
    <cellStyle name="Normal 3 5 4 3 2 8" xfId="46924"/>
    <cellStyle name="Normal 3 5 4 3 3" xfId="2121"/>
    <cellStyle name="Normal 3 5 4 3 3 2" xfId="5366"/>
    <cellStyle name="Normal 3 5 4 3 3 2 2" xfId="11898"/>
    <cellStyle name="Normal 3 5 4 3 3 2 2 2" xfId="31371"/>
    <cellStyle name="Normal 3 5 4 3 3 2 2 3" xfId="44351"/>
    <cellStyle name="Normal 3 5 4 3 3 2 2 4" xfId="60580"/>
    <cellStyle name="Normal 3 5 4 3 3 2 3" xfId="18391"/>
    <cellStyle name="Normal 3 5 4 3 3 2 4" xfId="24881"/>
    <cellStyle name="Normal 3 5 4 3 3 2 5" xfId="37861"/>
    <cellStyle name="Normal 3 5 4 3 3 2 6" xfId="54090"/>
    <cellStyle name="Normal 3 5 4 3 3 3" xfId="8653"/>
    <cellStyle name="Normal 3 5 4 3 3 3 2" xfId="28126"/>
    <cellStyle name="Normal 3 5 4 3 3 3 3" xfId="41106"/>
    <cellStyle name="Normal 3 5 4 3 3 3 4" xfId="57335"/>
    <cellStyle name="Normal 3 5 4 3 3 4" xfId="15146"/>
    <cellStyle name="Normal 3 5 4 3 3 4 2" xfId="50845"/>
    <cellStyle name="Normal 3 5 4 3 3 5" xfId="21636"/>
    <cellStyle name="Normal 3 5 4 3 3 6" xfId="34616"/>
    <cellStyle name="Normal 3 5 4 3 3 7" xfId="47599"/>
    <cellStyle name="Normal 3 5 4 3 4" xfId="3743"/>
    <cellStyle name="Normal 3 5 4 3 4 2" xfId="10275"/>
    <cellStyle name="Normal 3 5 4 3 4 2 2" xfId="29748"/>
    <cellStyle name="Normal 3 5 4 3 4 2 3" xfId="42728"/>
    <cellStyle name="Normal 3 5 4 3 4 2 4" xfId="58957"/>
    <cellStyle name="Normal 3 5 4 3 4 3" xfId="16768"/>
    <cellStyle name="Normal 3 5 4 3 4 4" xfId="23258"/>
    <cellStyle name="Normal 3 5 4 3 4 5" xfId="36238"/>
    <cellStyle name="Normal 3 5 4 3 4 6" xfId="52467"/>
    <cellStyle name="Normal 3 5 4 3 5" xfId="7030"/>
    <cellStyle name="Normal 3 5 4 3 5 2" xfId="26503"/>
    <cellStyle name="Normal 3 5 4 3 5 3" xfId="39483"/>
    <cellStyle name="Normal 3 5 4 3 5 4" xfId="55712"/>
    <cellStyle name="Normal 3 5 4 3 6" xfId="13523"/>
    <cellStyle name="Normal 3 5 4 3 6 2" xfId="49222"/>
    <cellStyle name="Normal 3 5 4 3 7" xfId="20013"/>
    <cellStyle name="Normal 3 5 4 3 8" xfId="32993"/>
    <cellStyle name="Normal 3 5 4 3 9" xfId="45976"/>
    <cellStyle name="Normal 3 5 4 4" xfId="939"/>
    <cellStyle name="Normal 3 5 4 4 2" xfId="2606"/>
    <cellStyle name="Normal 3 5 4 4 2 2" xfId="5851"/>
    <cellStyle name="Normal 3 5 4 4 2 2 2" xfId="12383"/>
    <cellStyle name="Normal 3 5 4 4 2 2 2 2" xfId="31856"/>
    <cellStyle name="Normal 3 5 4 4 2 2 2 3" xfId="44836"/>
    <cellStyle name="Normal 3 5 4 4 2 2 2 4" xfId="61065"/>
    <cellStyle name="Normal 3 5 4 4 2 2 3" xfId="18876"/>
    <cellStyle name="Normal 3 5 4 4 2 2 4" xfId="25366"/>
    <cellStyle name="Normal 3 5 4 4 2 2 5" xfId="38346"/>
    <cellStyle name="Normal 3 5 4 4 2 2 6" xfId="54575"/>
    <cellStyle name="Normal 3 5 4 4 2 3" xfId="9138"/>
    <cellStyle name="Normal 3 5 4 4 2 3 2" xfId="28611"/>
    <cellStyle name="Normal 3 5 4 4 2 3 3" xfId="41591"/>
    <cellStyle name="Normal 3 5 4 4 2 3 4" xfId="57820"/>
    <cellStyle name="Normal 3 5 4 4 2 4" xfId="15631"/>
    <cellStyle name="Normal 3 5 4 4 2 4 2" xfId="51330"/>
    <cellStyle name="Normal 3 5 4 4 2 5" xfId="22121"/>
    <cellStyle name="Normal 3 5 4 4 2 6" xfId="35101"/>
    <cellStyle name="Normal 3 5 4 4 2 7" xfId="48084"/>
    <cellStyle name="Normal 3 5 4 4 3" xfId="4228"/>
    <cellStyle name="Normal 3 5 4 4 3 2" xfId="10760"/>
    <cellStyle name="Normal 3 5 4 4 3 2 2" xfId="30233"/>
    <cellStyle name="Normal 3 5 4 4 3 2 3" xfId="43213"/>
    <cellStyle name="Normal 3 5 4 4 3 2 4" xfId="59442"/>
    <cellStyle name="Normal 3 5 4 4 3 3" xfId="17253"/>
    <cellStyle name="Normal 3 5 4 4 3 4" xfId="23743"/>
    <cellStyle name="Normal 3 5 4 4 3 5" xfId="36723"/>
    <cellStyle name="Normal 3 5 4 4 3 6" xfId="52952"/>
    <cellStyle name="Normal 3 5 4 4 4" xfId="7515"/>
    <cellStyle name="Normal 3 5 4 4 4 2" xfId="26988"/>
    <cellStyle name="Normal 3 5 4 4 4 3" xfId="39968"/>
    <cellStyle name="Normal 3 5 4 4 4 4" xfId="56197"/>
    <cellStyle name="Normal 3 5 4 4 5" xfId="14008"/>
    <cellStyle name="Normal 3 5 4 4 5 2" xfId="49707"/>
    <cellStyle name="Normal 3 5 4 4 6" xfId="20498"/>
    <cellStyle name="Normal 3 5 4 4 7" xfId="33478"/>
    <cellStyle name="Normal 3 5 4 4 8" xfId="46461"/>
    <cellStyle name="Normal 3 5 4 5" xfId="1892"/>
    <cellStyle name="Normal 3 5 4 5 2" xfId="5137"/>
    <cellStyle name="Normal 3 5 4 5 2 2" xfId="11669"/>
    <cellStyle name="Normal 3 5 4 5 2 2 2" xfId="31142"/>
    <cellStyle name="Normal 3 5 4 5 2 2 3" xfId="44122"/>
    <cellStyle name="Normal 3 5 4 5 2 2 4" xfId="60351"/>
    <cellStyle name="Normal 3 5 4 5 2 3" xfId="18162"/>
    <cellStyle name="Normal 3 5 4 5 2 4" xfId="24652"/>
    <cellStyle name="Normal 3 5 4 5 2 5" xfId="37632"/>
    <cellStyle name="Normal 3 5 4 5 2 6" xfId="53861"/>
    <cellStyle name="Normal 3 5 4 5 3" xfId="8424"/>
    <cellStyle name="Normal 3 5 4 5 3 2" xfId="27897"/>
    <cellStyle name="Normal 3 5 4 5 3 3" xfId="40877"/>
    <cellStyle name="Normal 3 5 4 5 3 4" xfId="57106"/>
    <cellStyle name="Normal 3 5 4 5 4" xfId="14917"/>
    <cellStyle name="Normal 3 5 4 5 4 2" xfId="50616"/>
    <cellStyle name="Normal 3 5 4 5 5" xfId="21407"/>
    <cellStyle name="Normal 3 5 4 5 6" xfId="34387"/>
    <cellStyle name="Normal 3 5 4 5 7" xfId="47370"/>
    <cellStyle name="Normal 3 5 4 6" xfId="3513"/>
    <cellStyle name="Normal 3 5 4 6 2" xfId="10045"/>
    <cellStyle name="Normal 3 5 4 6 2 2" xfId="29518"/>
    <cellStyle name="Normal 3 5 4 6 2 3" xfId="42498"/>
    <cellStyle name="Normal 3 5 4 6 2 4" xfId="58727"/>
    <cellStyle name="Normal 3 5 4 6 3" xfId="16538"/>
    <cellStyle name="Normal 3 5 4 6 4" xfId="23028"/>
    <cellStyle name="Normal 3 5 4 6 5" xfId="36008"/>
    <cellStyle name="Normal 3 5 4 6 6" xfId="52237"/>
    <cellStyle name="Normal 3 5 4 7" xfId="6800"/>
    <cellStyle name="Normal 3 5 4 7 2" xfId="26273"/>
    <cellStyle name="Normal 3 5 4 7 3" xfId="39253"/>
    <cellStyle name="Normal 3 5 4 7 4" xfId="55482"/>
    <cellStyle name="Normal 3 5 4 8" xfId="13293"/>
    <cellStyle name="Normal 3 5 4 8 2" xfId="48992"/>
    <cellStyle name="Normal 3 5 4 9" xfId="19783"/>
    <cellStyle name="Normal 3 5 5" xfId="307"/>
    <cellStyle name="Normal 3 5 5 10" xfId="32851"/>
    <cellStyle name="Normal 3 5 5 11" xfId="45834"/>
    <cellStyle name="Normal 3 5 5 2" xfId="771"/>
    <cellStyle name="Normal 3 5 5 2 10" xfId="46294"/>
    <cellStyle name="Normal 3 5 5 2 2" xfId="1710"/>
    <cellStyle name="Normal 3 5 5 2 2 2" xfId="3377"/>
    <cellStyle name="Normal 3 5 5 2 2 2 2" xfId="6622"/>
    <cellStyle name="Normal 3 5 5 2 2 2 2 2" xfId="13154"/>
    <cellStyle name="Normal 3 5 5 2 2 2 2 2 2" xfId="32627"/>
    <cellStyle name="Normal 3 5 5 2 2 2 2 2 3" xfId="45607"/>
    <cellStyle name="Normal 3 5 5 2 2 2 2 2 4" xfId="61836"/>
    <cellStyle name="Normal 3 5 5 2 2 2 2 3" xfId="19647"/>
    <cellStyle name="Normal 3 5 5 2 2 2 2 4" xfId="26137"/>
    <cellStyle name="Normal 3 5 5 2 2 2 2 5" xfId="39117"/>
    <cellStyle name="Normal 3 5 5 2 2 2 2 6" xfId="55346"/>
    <cellStyle name="Normal 3 5 5 2 2 2 3" xfId="9909"/>
    <cellStyle name="Normal 3 5 5 2 2 2 3 2" xfId="29382"/>
    <cellStyle name="Normal 3 5 5 2 2 2 3 3" xfId="42362"/>
    <cellStyle name="Normal 3 5 5 2 2 2 3 4" xfId="58591"/>
    <cellStyle name="Normal 3 5 5 2 2 2 4" xfId="16402"/>
    <cellStyle name="Normal 3 5 5 2 2 2 4 2" xfId="52101"/>
    <cellStyle name="Normal 3 5 5 2 2 2 5" xfId="22892"/>
    <cellStyle name="Normal 3 5 5 2 2 2 6" xfId="35872"/>
    <cellStyle name="Normal 3 5 5 2 2 2 7" xfId="48855"/>
    <cellStyle name="Normal 3 5 5 2 2 3" xfId="4999"/>
    <cellStyle name="Normal 3 5 5 2 2 3 2" xfId="11531"/>
    <cellStyle name="Normal 3 5 5 2 2 3 2 2" xfId="31004"/>
    <cellStyle name="Normal 3 5 5 2 2 3 2 3" xfId="43984"/>
    <cellStyle name="Normal 3 5 5 2 2 3 2 4" xfId="60213"/>
    <cellStyle name="Normal 3 5 5 2 2 3 3" xfId="18024"/>
    <cellStyle name="Normal 3 5 5 2 2 3 4" xfId="24514"/>
    <cellStyle name="Normal 3 5 5 2 2 3 5" xfId="37494"/>
    <cellStyle name="Normal 3 5 5 2 2 3 6" xfId="53723"/>
    <cellStyle name="Normal 3 5 5 2 2 4" xfId="8286"/>
    <cellStyle name="Normal 3 5 5 2 2 4 2" xfId="27759"/>
    <cellStyle name="Normal 3 5 5 2 2 4 3" xfId="40739"/>
    <cellStyle name="Normal 3 5 5 2 2 4 4" xfId="56968"/>
    <cellStyle name="Normal 3 5 5 2 2 5" xfId="14779"/>
    <cellStyle name="Normal 3 5 5 2 2 5 2" xfId="50478"/>
    <cellStyle name="Normal 3 5 5 2 2 6" xfId="21269"/>
    <cellStyle name="Normal 3 5 5 2 2 7" xfId="34249"/>
    <cellStyle name="Normal 3 5 5 2 2 8" xfId="47232"/>
    <cellStyle name="Normal 3 5 5 2 3" xfId="1247"/>
    <cellStyle name="Normal 3 5 5 2 3 2" xfId="2914"/>
    <cellStyle name="Normal 3 5 5 2 3 2 2" xfId="6159"/>
    <cellStyle name="Normal 3 5 5 2 3 2 2 2" xfId="12691"/>
    <cellStyle name="Normal 3 5 5 2 3 2 2 2 2" xfId="32164"/>
    <cellStyle name="Normal 3 5 5 2 3 2 2 2 3" xfId="45144"/>
    <cellStyle name="Normal 3 5 5 2 3 2 2 2 4" xfId="61373"/>
    <cellStyle name="Normal 3 5 5 2 3 2 2 3" xfId="19184"/>
    <cellStyle name="Normal 3 5 5 2 3 2 2 4" xfId="25674"/>
    <cellStyle name="Normal 3 5 5 2 3 2 2 5" xfId="38654"/>
    <cellStyle name="Normal 3 5 5 2 3 2 2 6" xfId="54883"/>
    <cellStyle name="Normal 3 5 5 2 3 2 3" xfId="9446"/>
    <cellStyle name="Normal 3 5 5 2 3 2 3 2" xfId="28919"/>
    <cellStyle name="Normal 3 5 5 2 3 2 3 3" xfId="41899"/>
    <cellStyle name="Normal 3 5 5 2 3 2 3 4" xfId="58128"/>
    <cellStyle name="Normal 3 5 5 2 3 2 4" xfId="15939"/>
    <cellStyle name="Normal 3 5 5 2 3 2 4 2" xfId="51638"/>
    <cellStyle name="Normal 3 5 5 2 3 2 5" xfId="22429"/>
    <cellStyle name="Normal 3 5 5 2 3 2 6" xfId="35409"/>
    <cellStyle name="Normal 3 5 5 2 3 2 7" xfId="48392"/>
    <cellStyle name="Normal 3 5 5 2 3 3" xfId="4536"/>
    <cellStyle name="Normal 3 5 5 2 3 3 2" xfId="11068"/>
    <cellStyle name="Normal 3 5 5 2 3 3 2 2" xfId="30541"/>
    <cellStyle name="Normal 3 5 5 2 3 3 2 3" xfId="43521"/>
    <cellStyle name="Normal 3 5 5 2 3 3 2 4" xfId="59750"/>
    <cellStyle name="Normal 3 5 5 2 3 3 3" xfId="17561"/>
    <cellStyle name="Normal 3 5 5 2 3 3 4" xfId="24051"/>
    <cellStyle name="Normal 3 5 5 2 3 3 5" xfId="37031"/>
    <cellStyle name="Normal 3 5 5 2 3 3 6" xfId="53260"/>
    <cellStyle name="Normal 3 5 5 2 3 4" xfId="7823"/>
    <cellStyle name="Normal 3 5 5 2 3 4 2" xfId="27296"/>
    <cellStyle name="Normal 3 5 5 2 3 4 3" xfId="40276"/>
    <cellStyle name="Normal 3 5 5 2 3 4 4" xfId="56505"/>
    <cellStyle name="Normal 3 5 5 2 3 5" xfId="14316"/>
    <cellStyle name="Normal 3 5 5 2 3 5 2" xfId="50015"/>
    <cellStyle name="Normal 3 5 5 2 3 6" xfId="20806"/>
    <cellStyle name="Normal 3 5 5 2 3 7" xfId="33786"/>
    <cellStyle name="Normal 3 5 5 2 3 8" xfId="46769"/>
    <cellStyle name="Normal 3 5 5 2 4" xfId="2439"/>
    <cellStyle name="Normal 3 5 5 2 4 2" xfId="5684"/>
    <cellStyle name="Normal 3 5 5 2 4 2 2" xfId="12216"/>
    <cellStyle name="Normal 3 5 5 2 4 2 2 2" xfId="31689"/>
    <cellStyle name="Normal 3 5 5 2 4 2 2 3" xfId="44669"/>
    <cellStyle name="Normal 3 5 5 2 4 2 2 4" xfId="60898"/>
    <cellStyle name="Normal 3 5 5 2 4 2 3" xfId="18709"/>
    <cellStyle name="Normal 3 5 5 2 4 2 4" xfId="25199"/>
    <cellStyle name="Normal 3 5 5 2 4 2 5" xfId="38179"/>
    <cellStyle name="Normal 3 5 5 2 4 2 6" xfId="54408"/>
    <cellStyle name="Normal 3 5 5 2 4 3" xfId="8971"/>
    <cellStyle name="Normal 3 5 5 2 4 3 2" xfId="28444"/>
    <cellStyle name="Normal 3 5 5 2 4 3 3" xfId="41424"/>
    <cellStyle name="Normal 3 5 5 2 4 3 4" xfId="57653"/>
    <cellStyle name="Normal 3 5 5 2 4 4" xfId="15464"/>
    <cellStyle name="Normal 3 5 5 2 4 4 2" xfId="51163"/>
    <cellStyle name="Normal 3 5 5 2 4 5" xfId="21954"/>
    <cellStyle name="Normal 3 5 5 2 4 6" xfId="34934"/>
    <cellStyle name="Normal 3 5 5 2 4 7" xfId="47917"/>
    <cellStyle name="Normal 3 5 5 2 5" xfId="4061"/>
    <cellStyle name="Normal 3 5 5 2 5 2" xfId="10593"/>
    <cellStyle name="Normal 3 5 5 2 5 2 2" xfId="30066"/>
    <cellStyle name="Normal 3 5 5 2 5 2 3" xfId="43046"/>
    <cellStyle name="Normal 3 5 5 2 5 2 4" xfId="59275"/>
    <cellStyle name="Normal 3 5 5 2 5 3" xfId="17086"/>
    <cellStyle name="Normal 3 5 5 2 5 4" xfId="23576"/>
    <cellStyle name="Normal 3 5 5 2 5 5" xfId="36556"/>
    <cellStyle name="Normal 3 5 5 2 5 6" xfId="52785"/>
    <cellStyle name="Normal 3 5 5 2 6" xfId="7348"/>
    <cellStyle name="Normal 3 5 5 2 6 2" xfId="26821"/>
    <cellStyle name="Normal 3 5 5 2 6 3" xfId="39801"/>
    <cellStyle name="Normal 3 5 5 2 6 4" xfId="56030"/>
    <cellStyle name="Normal 3 5 5 2 7" xfId="13841"/>
    <cellStyle name="Normal 3 5 5 2 7 2" xfId="49540"/>
    <cellStyle name="Normal 3 5 5 2 8" xfId="20331"/>
    <cellStyle name="Normal 3 5 5 2 9" xfId="33311"/>
    <cellStyle name="Normal 3 5 5 3" xfId="541"/>
    <cellStyle name="Normal 3 5 5 3 2" xfId="1490"/>
    <cellStyle name="Normal 3 5 5 3 2 2" xfId="3157"/>
    <cellStyle name="Normal 3 5 5 3 2 2 2" xfId="6402"/>
    <cellStyle name="Normal 3 5 5 3 2 2 2 2" xfId="12934"/>
    <cellStyle name="Normal 3 5 5 3 2 2 2 2 2" xfId="32407"/>
    <cellStyle name="Normal 3 5 5 3 2 2 2 2 3" xfId="45387"/>
    <cellStyle name="Normal 3 5 5 3 2 2 2 2 4" xfId="61616"/>
    <cellStyle name="Normal 3 5 5 3 2 2 2 3" xfId="19427"/>
    <cellStyle name="Normal 3 5 5 3 2 2 2 4" xfId="25917"/>
    <cellStyle name="Normal 3 5 5 3 2 2 2 5" xfId="38897"/>
    <cellStyle name="Normal 3 5 5 3 2 2 2 6" xfId="55126"/>
    <cellStyle name="Normal 3 5 5 3 2 2 3" xfId="9689"/>
    <cellStyle name="Normal 3 5 5 3 2 2 3 2" xfId="29162"/>
    <cellStyle name="Normal 3 5 5 3 2 2 3 3" xfId="42142"/>
    <cellStyle name="Normal 3 5 5 3 2 2 3 4" xfId="58371"/>
    <cellStyle name="Normal 3 5 5 3 2 2 4" xfId="16182"/>
    <cellStyle name="Normal 3 5 5 3 2 2 4 2" xfId="51881"/>
    <cellStyle name="Normal 3 5 5 3 2 2 5" xfId="22672"/>
    <cellStyle name="Normal 3 5 5 3 2 2 6" xfId="35652"/>
    <cellStyle name="Normal 3 5 5 3 2 2 7" xfId="48635"/>
    <cellStyle name="Normal 3 5 5 3 2 3" xfId="4779"/>
    <cellStyle name="Normal 3 5 5 3 2 3 2" xfId="11311"/>
    <cellStyle name="Normal 3 5 5 3 2 3 2 2" xfId="30784"/>
    <cellStyle name="Normal 3 5 5 3 2 3 2 3" xfId="43764"/>
    <cellStyle name="Normal 3 5 5 3 2 3 2 4" xfId="59993"/>
    <cellStyle name="Normal 3 5 5 3 2 3 3" xfId="17804"/>
    <cellStyle name="Normal 3 5 5 3 2 3 4" xfId="24294"/>
    <cellStyle name="Normal 3 5 5 3 2 3 5" xfId="37274"/>
    <cellStyle name="Normal 3 5 5 3 2 3 6" xfId="53503"/>
    <cellStyle name="Normal 3 5 5 3 2 4" xfId="8066"/>
    <cellStyle name="Normal 3 5 5 3 2 4 2" xfId="27539"/>
    <cellStyle name="Normal 3 5 5 3 2 4 3" xfId="40519"/>
    <cellStyle name="Normal 3 5 5 3 2 4 4" xfId="56748"/>
    <cellStyle name="Normal 3 5 5 3 2 5" xfId="14559"/>
    <cellStyle name="Normal 3 5 5 3 2 5 2" xfId="50258"/>
    <cellStyle name="Normal 3 5 5 3 2 6" xfId="21049"/>
    <cellStyle name="Normal 3 5 5 3 2 7" xfId="34029"/>
    <cellStyle name="Normal 3 5 5 3 2 8" xfId="47012"/>
    <cellStyle name="Normal 3 5 5 3 3" xfId="2209"/>
    <cellStyle name="Normal 3 5 5 3 3 2" xfId="5454"/>
    <cellStyle name="Normal 3 5 5 3 3 2 2" xfId="11986"/>
    <cellStyle name="Normal 3 5 5 3 3 2 2 2" xfId="31459"/>
    <cellStyle name="Normal 3 5 5 3 3 2 2 3" xfId="44439"/>
    <cellStyle name="Normal 3 5 5 3 3 2 2 4" xfId="60668"/>
    <cellStyle name="Normal 3 5 5 3 3 2 3" xfId="18479"/>
    <cellStyle name="Normal 3 5 5 3 3 2 4" xfId="24969"/>
    <cellStyle name="Normal 3 5 5 3 3 2 5" xfId="37949"/>
    <cellStyle name="Normal 3 5 5 3 3 2 6" xfId="54178"/>
    <cellStyle name="Normal 3 5 5 3 3 3" xfId="8741"/>
    <cellStyle name="Normal 3 5 5 3 3 3 2" xfId="28214"/>
    <cellStyle name="Normal 3 5 5 3 3 3 3" xfId="41194"/>
    <cellStyle name="Normal 3 5 5 3 3 3 4" xfId="57423"/>
    <cellStyle name="Normal 3 5 5 3 3 4" xfId="15234"/>
    <cellStyle name="Normal 3 5 5 3 3 4 2" xfId="50933"/>
    <cellStyle name="Normal 3 5 5 3 3 5" xfId="21724"/>
    <cellStyle name="Normal 3 5 5 3 3 6" xfId="34704"/>
    <cellStyle name="Normal 3 5 5 3 3 7" xfId="47687"/>
    <cellStyle name="Normal 3 5 5 3 4" xfId="3831"/>
    <cellStyle name="Normal 3 5 5 3 4 2" xfId="10363"/>
    <cellStyle name="Normal 3 5 5 3 4 2 2" xfId="29836"/>
    <cellStyle name="Normal 3 5 5 3 4 2 3" xfId="42816"/>
    <cellStyle name="Normal 3 5 5 3 4 2 4" xfId="59045"/>
    <cellStyle name="Normal 3 5 5 3 4 3" xfId="16856"/>
    <cellStyle name="Normal 3 5 5 3 4 4" xfId="23346"/>
    <cellStyle name="Normal 3 5 5 3 4 5" xfId="36326"/>
    <cellStyle name="Normal 3 5 5 3 4 6" xfId="52555"/>
    <cellStyle name="Normal 3 5 5 3 5" xfId="7118"/>
    <cellStyle name="Normal 3 5 5 3 5 2" xfId="26591"/>
    <cellStyle name="Normal 3 5 5 3 5 3" xfId="39571"/>
    <cellStyle name="Normal 3 5 5 3 5 4" xfId="55800"/>
    <cellStyle name="Normal 3 5 5 3 6" xfId="13611"/>
    <cellStyle name="Normal 3 5 5 3 6 2" xfId="49310"/>
    <cellStyle name="Normal 3 5 5 3 7" xfId="20101"/>
    <cellStyle name="Normal 3 5 5 3 8" xfId="33081"/>
    <cellStyle name="Normal 3 5 5 3 9" xfId="46064"/>
    <cellStyle name="Normal 3 5 5 4" xfId="1027"/>
    <cellStyle name="Normal 3 5 5 4 2" xfId="2694"/>
    <cellStyle name="Normal 3 5 5 4 2 2" xfId="5939"/>
    <cellStyle name="Normal 3 5 5 4 2 2 2" xfId="12471"/>
    <cellStyle name="Normal 3 5 5 4 2 2 2 2" xfId="31944"/>
    <cellStyle name="Normal 3 5 5 4 2 2 2 3" xfId="44924"/>
    <cellStyle name="Normal 3 5 5 4 2 2 2 4" xfId="61153"/>
    <cellStyle name="Normal 3 5 5 4 2 2 3" xfId="18964"/>
    <cellStyle name="Normal 3 5 5 4 2 2 4" xfId="25454"/>
    <cellStyle name="Normal 3 5 5 4 2 2 5" xfId="38434"/>
    <cellStyle name="Normal 3 5 5 4 2 2 6" xfId="54663"/>
    <cellStyle name="Normal 3 5 5 4 2 3" xfId="9226"/>
    <cellStyle name="Normal 3 5 5 4 2 3 2" xfId="28699"/>
    <cellStyle name="Normal 3 5 5 4 2 3 3" xfId="41679"/>
    <cellStyle name="Normal 3 5 5 4 2 3 4" xfId="57908"/>
    <cellStyle name="Normal 3 5 5 4 2 4" xfId="15719"/>
    <cellStyle name="Normal 3 5 5 4 2 4 2" xfId="51418"/>
    <cellStyle name="Normal 3 5 5 4 2 5" xfId="22209"/>
    <cellStyle name="Normal 3 5 5 4 2 6" xfId="35189"/>
    <cellStyle name="Normal 3 5 5 4 2 7" xfId="48172"/>
    <cellStyle name="Normal 3 5 5 4 3" xfId="4316"/>
    <cellStyle name="Normal 3 5 5 4 3 2" xfId="10848"/>
    <cellStyle name="Normal 3 5 5 4 3 2 2" xfId="30321"/>
    <cellStyle name="Normal 3 5 5 4 3 2 3" xfId="43301"/>
    <cellStyle name="Normal 3 5 5 4 3 2 4" xfId="59530"/>
    <cellStyle name="Normal 3 5 5 4 3 3" xfId="17341"/>
    <cellStyle name="Normal 3 5 5 4 3 4" xfId="23831"/>
    <cellStyle name="Normal 3 5 5 4 3 5" xfId="36811"/>
    <cellStyle name="Normal 3 5 5 4 3 6" xfId="53040"/>
    <cellStyle name="Normal 3 5 5 4 4" xfId="7603"/>
    <cellStyle name="Normal 3 5 5 4 4 2" xfId="27076"/>
    <cellStyle name="Normal 3 5 5 4 4 3" xfId="40056"/>
    <cellStyle name="Normal 3 5 5 4 4 4" xfId="56285"/>
    <cellStyle name="Normal 3 5 5 4 5" xfId="14096"/>
    <cellStyle name="Normal 3 5 5 4 5 2" xfId="49795"/>
    <cellStyle name="Normal 3 5 5 4 6" xfId="20586"/>
    <cellStyle name="Normal 3 5 5 4 7" xfId="33566"/>
    <cellStyle name="Normal 3 5 5 4 8" xfId="46549"/>
    <cellStyle name="Normal 3 5 5 5" xfId="1980"/>
    <cellStyle name="Normal 3 5 5 5 2" xfId="5225"/>
    <cellStyle name="Normal 3 5 5 5 2 2" xfId="11757"/>
    <cellStyle name="Normal 3 5 5 5 2 2 2" xfId="31230"/>
    <cellStyle name="Normal 3 5 5 5 2 2 3" xfId="44210"/>
    <cellStyle name="Normal 3 5 5 5 2 2 4" xfId="60439"/>
    <cellStyle name="Normal 3 5 5 5 2 3" xfId="18250"/>
    <cellStyle name="Normal 3 5 5 5 2 4" xfId="24740"/>
    <cellStyle name="Normal 3 5 5 5 2 5" xfId="37720"/>
    <cellStyle name="Normal 3 5 5 5 2 6" xfId="53949"/>
    <cellStyle name="Normal 3 5 5 5 3" xfId="8512"/>
    <cellStyle name="Normal 3 5 5 5 3 2" xfId="27985"/>
    <cellStyle name="Normal 3 5 5 5 3 3" xfId="40965"/>
    <cellStyle name="Normal 3 5 5 5 3 4" xfId="57194"/>
    <cellStyle name="Normal 3 5 5 5 4" xfId="15005"/>
    <cellStyle name="Normal 3 5 5 5 4 2" xfId="50704"/>
    <cellStyle name="Normal 3 5 5 5 5" xfId="21495"/>
    <cellStyle name="Normal 3 5 5 5 6" xfId="34475"/>
    <cellStyle name="Normal 3 5 5 5 7" xfId="47458"/>
    <cellStyle name="Normal 3 5 5 6" xfId="3601"/>
    <cellStyle name="Normal 3 5 5 6 2" xfId="10133"/>
    <cellStyle name="Normal 3 5 5 6 2 2" xfId="29606"/>
    <cellStyle name="Normal 3 5 5 6 2 3" xfId="42586"/>
    <cellStyle name="Normal 3 5 5 6 2 4" xfId="58815"/>
    <cellStyle name="Normal 3 5 5 6 3" xfId="16626"/>
    <cellStyle name="Normal 3 5 5 6 4" xfId="23116"/>
    <cellStyle name="Normal 3 5 5 6 5" xfId="36096"/>
    <cellStyle name="Normal 3 5 5 6 6" xfId="52325"/>
    <cellStyle name="Normal 3 5 5 7" xfId="6888"/>
    <cellStyle name="Normal 3 5 5 7 2" xfId="26361"/>
    <cellStyle name="Normal 3 5 5 7 3" xfId="39341"/>
    <cellStyle name="Normal 3 5 5 7 4" xfId="55570"/>
    <cellStyle name="Normal 3 5 5 8" xfId="13381"/>
    <cellStyle name="Normal 3 5 5 8 2" xfId="49080"/>
    <cellStyle name="Normal 3 5 5 9" xfId="19871"/>
    <cellStyle name="Normal 3 5 6" xfId="639"/>
    <cellStyle name="Normal 3 5 6 10" xfId="46162"/>
    <cellStyle name="Normal 3 5 6 2" xfId="1358"/>
    <cellStyle name="Normal 3 5 6 2 2" xfId="3025"/>
    <cellStyle name="Normal 3 5 6 2 2 2" xfId="6270"/>
    <cellStyle name="Normal 3 5 6 2 2 2 2" xfId="12802"/>
    <cellStyle name="Normal 3 5 6 2 2 2 2 2" xfId="32275"/>
    <cellStyle name="Normal 3 5 6 2 2 2 2 3" xfId="45255"/>
    <cellStyle name="Normal 3 5 6 2 2 2 2 4" xfId="61484"/>
    <cellStyle name="Normal 3 5 6 2 2 2 3" xfId="19295"/>
    <cellStyle name="Normal 3 5 6 2 2 2 4" xfId="25785"/>
    <cellStyle name="Normal 3 5 6 2 2 2 5" xfId="38765"/>
    <cellStyle name="Normal 3 5 6 2 2 2 6" xfId="54994"/>
    <cellStyle name="Normal 3 5 6 2 2 3" xfId="9557"/>
    <cellStyle name="Normal 3 5 6 2 2 3 2" xfId="29030"/>
    <cellStyle name="Normal 3 5 6 2 2 3 3" xfId="42010"/>
    <cellStyle name="Normal 3 5 6 2 2 3 4" xfId="58239"/>
    <cellStyle name="Normal 3 5 6 2 2 4" xfId="16050"/>
    <cellStyle name="Normal 3 5 6 2 2 4 2" xfId="51749"/>
    <cellStyle name="Normal 3 5 6 2 2 5" xfId="22540"/>
    <cellStyle name="Normal 3 5 6 2 2 6" xfId="35520"/>
    <cellStyle name="Normal 3 5 6 2 2 7" xfId="48503"/>
    <cellStyle name="Normal 3 5 6 2 3" xfId="4647"/>
    <cellStyle name="Normal 3 5 6 2 3 2" xfId="11179"/>
    <cellStyle name="Normal 3 5 6 2 3 2 2" xfId="30652"/>
    <cellStyle name="Normal 3 5 6 2 3 2 3" xfId="43632"/>
    <cellStyle name="Normal 3 5 6 2 3 2 4" xfId="59861"/>
    <cellStyle name="Normal 3 5 6 2 3 3" xfId="17672"/>
    <cellStyle name="Normal 3 5 6 2 3 4" xfId="24162"/>
    <cellStyle name="Normal 3 5 6 2 3 5" xfId="37142"/>
    <cellStyle name="Normal 3 5 6 2 3 6" xfId="53371"/>
    <cellStyle name="Normal 3 5 6 2 4" xfId="7934"/>
    <cellStyle name="Normal 3 5 6 2 4 2" xfId="27407"/>
    <cellStyle name="Normal 3 5 6 2 4 3" xfId="40387"/>
    <cellStyle name="Normal 3 5 6 2 4 4" xfId="56616"/>
    <cellStyle name="Normal 3 5 6 2 5" xfId="14427"/>
    <cellStyle name="Normal 3 5 6 2 5 2" xfId="50126"/>
    <cellStyle name="Normal 3 5 6 2 6" xfId="20917"/>
    <cellStyle name="Normal 3 5 6 2 7" xfId="33897"/>
    <cellStyle name="Normal 3 5 6 2 8" xfId="46880"/>
    <cellStyle name="Normal 3 5 6 3" xfId="895"/>
    <cellStyle name="Normal 3 5 6 3 2" xfId="2562"/>
    <cellStyle name="Normal 3 5 6 3 2 2" xfId="5807"/>
    <cellStyle name="Normal 3 5 6 3 2 2 2" xfId="12339"/>
    <cellStyle name="Normal 3 5 6 3 2 2 2 2" xfId="31812"/>
    <cellStyle name="Normal 3 5 6 3 2 2 2 3" xfId="44792"/>
    <cellStyle name="Normal 3 5 6 3 2 2 2 4" xfId="61021"/>
    <cellStyle name="Normal 3 5 6 3 2 2 3" xfId="18832"/>
    <cellStyle name="Normal 3 5 6 3 2 2 4" xfId="25322"/>
    <cellStyle name="Normal 3 5 6 3 2 2 5" xfId="38302"/>
    <cellStyle name="Normal 3 5 6 3 2 2 6" xfId="54531"/>
    <cellStyle name="Normal 3 5 6 3 2 3" xfId="9094"/>
    <cellStyle name="Normal 3 5 6 3 2 3 2" xfId="28567"/>
    <cellStyle name="Normal 3 5 6 3 2 3 3" xfId="41547"/>
    <cellStyle name="Normal 3 5 6 3 2 3 4" xfId="57776"/>
    <cellStyle name="Normal 3 5 6 3 2 4" xfId="15587"/>
    <cellStyle name="Normal 3 5 6 3 2 4 2" xfId="51286"/>
    <cellStyle name="Normal 3 5 6 3 2 5" xfId="22077"/>
    <cellStyle name="Normal 3 5 6 3 2 6" xfId="35057"/>
    <cellStyle name="Normal 3 5 6 3 2 7" xfId="48040"/>
    <cellStyle name="Normal 3 5 6 3 3" xfId="4184"/>
    <cellStyle name="Normal 3 5 6 3 3 2" xfId="10716"/>
    <cellStyle name="Normal 3 5 6 3 3 2 2" xfId="30189"/>
    <cellStyle name="Normal 3 5 6 3 3 2 3" xfId="43169"/>
    <cellStyle name="Normal 3 5 6 3 3 2 4" xfId="59398"/>
    <cellStyle name="Normal 3 5 6 3 3 3" xfId="17209"/>
    <cellStyle name="Normal 3 5 6 3 3 4" xfId="23699"/>
    <cellStyle name="Normal 3 5 6 3 3 5" xfId="36679"/>
    <cellStyle name="Normal 3 5 6 3 3 6" xfId="52908"/>
    <cellStyle name="Normal 3 5 6 3 4" xfId="7471"/>
    <cellStyle name="Normal 3 5 6 3 4 2" xfId="26944"/>
    <cellStyle name="Normal 3 5 6 3 4 3" xfId="39924"/>
    <cellStyle name="Normal 3 5 6 3 4 4" xfId="56153"/>
    <cellStyle name="Normal 3 5 6 3 5" xfId="13964"/>
    <cellStyle name="Normal 3 5 6 3 5 2" xfId="49663"/>
    <cellStyle name="Normal 3 5 6 3 6" xfId="20454"/>
    <cellStyle name="Normal 3 5 6 3 7" xfId="33434"/>
    <cellStyle name="Normal 3 5 6 3 8" xfId="46417"/>
    <cellStyle name="Normal 3 5 6 4" xfId="2307"/>
    <cellStyle name="Normal 3 5 6 4 2" xfId="5552"/>
    <cellStyle name="Normal 3 5 6 4 2 2" xfId="12084"/>
    <cellStyle name="Normal 3 5 6 4 2 2 2" xfId="31557"/>
    <cellStyle name="Normal 3 5 6 4 2 2 3" xfId="44537"/>
    <cellStyle name="Normal 3 5 6 4 2 2 4" xfId="60766"/>
    <cellStyle name="Normal 3 5 6 4 2 3" xfId="18577"/>
    <cellStyle name="Normal 3 5 6 4 2 4" xfId="25067"/>
    <cellStyle name="Normal 3 5 6 4 2 5" xfId="38047"/>
    <cellStyle name="Normal 3 5 6 4 2 6" xfId="54276"/>
    <cellStyle name="Normal 3 5 6 4 3" xfId="8839"/>
    <cellStyle name="Normal 3 5 6 4 3 2" xfId="28312"/>
    <cellStyle name="Normal 3 5 6 4 3 3" xfId="41292"/>
    <cellStyle name="Normal 3 5 6 4 3 4" xfId="57521"/>
    <cellStyle name="Normal 3 5 6 4 4" xfId="15332"/>
    <cellStyle name="Normal 3 5 6 4 4 2" xfId="51031"/>
    <cellStyle name="Normal 3 5 6 4 5" xfId="21822"/>
    <cellStyle name="Normal 3 5 6 4 6" xfId="34802"/>
    <cellStyle name="Normal 3 5 6 4 7" xfId="47785"/>
    <cellStyle name="Normal 3 5 6 5" xfId="3929"/>
    <cellStyle name="Normal 3 5 6 5 2" xfId="10461"/>
    <cellStyle name="Normal 3 5 6 5 2 2" xfId="29934"/>
    <cellStyle name="Normal 3 5 6 5 2 3" xfId="42914"/>
    <cellStyle name="Normal 3 5 6 5 2 4" xfId="59143"/>
    <cellStyle name="Normal 3 5 6 5 3" xfId="16954"/>
    <cellStyle name="Normal 3 5 6 5 4" xfId="23444"/>
    <cellStyle name="Normal 3 5 6 5 5" xfId="36424"/>
    <cellStyle name="Normal 3 5 6 5 6" xfId="52653"/>
    <cellStyle name="Normal 3 5 6 6" xfId="7216"/>
    <cellStyle name="Normal 3 5 6 6 2" xfId="26689"/>
    <cellStyle name="Normal 3 5 6 6 3" xfId="39669"/>
    <cellStyle name="Normal 3 5 6 6 4" xfId="55898"/>
    <cellStyle name="Normal 3 5 6 7" xfId="13709"/>
    <cellStyle name="Normal 3 5 6 7 2" xfId="49408"/>
    <cellStyle name="Normal 3 5 6 8" xfId="20199"/>
    <cellStyle name="Normal 3 5 6 9" xfId="33179"/>
    <cellStyle name="Normal 3 5 7" xfId="409"/>
    <cellStyle name="Normal 3 5 7 10" xfId="45932"/>
    <cellStyle name="Normal 3 5 7 2" xfId="1578"/>
    <cellStyle name="Normal 3 5 7 2 2" xfId="3245"/>
    <cellStyle name="Normal 3 5 7 2 2 2" xfId="6490"/>
    <cellStyle name="Normal 3 5 7 2 2 2 2" xfId="13022"/>
    <cellStyle name="Normal 3 5 7 2 2 2 2 2" xfId="32495"/>
    <cellStyle name="Normal 3 5 7 2 2 2 2 3" xfId="45475"/>
    <cellStyle name="Normal 3 5 7 2 2 2 2 4" xfId="61704"/>
    <cellStyle name="Normal 3 5 7 2 2 2 3" xfId="19515"/>
    <cellStyle name="Normal 3 5 7 2 2 2 4" xfId="26005"/>
    <cellStyle name="Normal 3 5 7 2 2 2 5" xfId="38985"/>
    <cellStyle name="Normal 3 5 7 2 2 2 6" xfId="55214"/>
    <cellStyle name="Normal 3 5 7 2 2 3" xfId="9777"/>
    <cellStyle name="Normal 3 5 7 2 2 3 2" xfId="29250"/>
    <cellStyle name="Normal 3 5 7 2 2 3 3" xfId="42230"/>
    <cellStyle name="Normal 3 5 7 2 2 3 4" xfId="58459"/>
    <cellStyle name="Normal 3 5 7 2 2 4" xfId="16270"/>
    <cellStyle name="Normal 3 5 7 2 2 4 2" xfId="51969"/>
    <cellStyle name="Normal 3 5 7 2 2 5" xfId="22760"/>
    <cellStyle name="Normal 3 5 7 2 2 6" xfId="35740"/>
    <cellStyle name="Normal 3 5 7 2 2 7" xfId="48723"/>
    <cellStyle name="Normal 3 5 7 2 3" xfId="4867"/>
    <cellStyle name="Normal 3 5 7 2 3 2" xfId="11399"/>
    <cellStyle name="Normal 3 5 7 2 3 2 2" xfId="30872"/>
    <cellStyle name="Normal 3 5 7 2 3 2 3" xfId="43852"/>
    <cellStyle name="Normal 3 5 7 2 3 2 4" xfId="60081"/>
    <cellStyle name="Normal 3 5 7 2 3 3" xfId="17892"/>
    <cellStyle name="Normal 3 5 7 2 3 4" xfId="24382"/>
    <cellStyle name="Normal 3 5 7 2 3 5" xfId="37362"/>
    <cellStyle name="Normal 3 5 7 2 3 6" xfId="53591"/>
    <cellStyle name="Normal 3 5 7 2 4" xfId="8154"/>
    <cellStyle name="Normal 3 5 7 2 4 2" xfId="27627"/>
    <cellStyle name="Normal 3 5 7 2 4 3" xfId="40607"/>
    <cellStyle name="Normal 3 5 7 2 4 4" xfId="56836"/>
    <cellStyle name="Normal 3 5 7 2 5" xfId="14647"/>
    <cellStyle name="Normal 3 5 7 2 5 2" xfId="50346"/>
    <cellStyle name="Normal 3 5 7 2 6" xfId="21137"/>
    <cellStyle name="Normal 3 5 7 2 7" xfId="34117"/>
    <cellStyle name="Normal 3 5 7 2 8" xfId="47100"/>
    <cellStyle name="Normal 3 5 7 3" xfId="1115"/>
    <cellStyle name="Normal 3 5 7 3 2" xfId="2782"/>
    <cellStyle name="Normal 3 5 7 3 2 2" xfId="6027"/>
    <cellStyle name="Normal 3 5 7 3 2 2 2" xfId="12559"/>
    <cellStyle name="Normal 3 5 7 3 2 2 2 2" xfId="32032"/>
    <cellStyle name="Normal 3 5 7 3 2 2 2 3" xfId="45012"/>
    <cellStyle name="Normal 3 5 7 3 2 2 2 4" xfId="61241"/>
    <cellStyle name="Normal 3 5 7 3 2 2 3" xfId="19052"/>
    <cellStyle name="Normal 3 5 7 3 2 2 4" xfId="25542"/>
    <cellStyle name="Normal 3 5 7 3 2 2 5" xfId="38522"/>
    <cellStyle name="Normal 3 5 7 3 2 2 6" xfId="54751"/>
    <cellStyle name="Normal 3 5 7 3 2 3" xfId="9314"/>
    <cellStyle name="Normal 3 5 7 3 2 3 2" xfId="28787"/>
    <cellStyle name="Normal 3 5 7 3 2 3 3" xfId="41767"/>
    <cellStyle name="Normal 3 5 7 3 2 3 4" xfId="57996"/>
    <cellStyle name="Normal 3 5 7 3 2 4" xfId="15807"/>
    <cellStyle name="Normal 3 5 7 3 2 4 2" xfId="51506"/>
    <cellStyle name="Normal 3 5 7 3 2 5" xfId="22297"/>
    <cellStyle name="Normal 3 5 7 3 2 6" xfId="35277"/>
    <cellStyle name="Normal 3 5 7 3 2 7" xfId="48260"/>
    <cellStyle name="Normal 3 5 7 3 3" xfId="4404"/>
    <cellStyle name="Normal 3 5 7 3 3 2" xfId="10936"/>
    <cellStyle name="Normal 3 5 7 3 3 2 2" xfId="30409"/>
    <cellStyle name="Normal 3 5 7 3 3 2 3" xfId="43389"/>
    <cellStyle name="Normal 3 5 7 3 3 2 4" xfId="59618"/>
    <cellStyle name="Normal 3 5 7 3 3 3" xfId="17429"/>
    <cellStyle name="Normal 3 5 7 3 3 4" xfId="23919"/>
    <cellStyle name="Normal 3 5 7 3 3 5" xfId="36899"/>
    <cellStyle name="Normal 3 5 7 3 3 6" xfId="53128"/>
    <cellStyle name="Normal 3 5 7 3 4" xfId="7691"/>
    <cellStyle name="Normal 3 5 7 3 4 2" xfId="27164"/>
    <cellStyle name="Normal 3 5 7 3 4 3" xfId="40144"/>
    <cellStyle name="Normal 3 5 7 3 4 4" xfId="56373"/>
    <cellStyle name="Normal 3 5 7 3 5" xfId="14184"/>
    <cellStyle name="Normal 3 5 7 3 5 2" xfId="49883"/>
    <cellStyle name="Normal 3 5 7 3 6" xfId="20674"/>
    <cellStyle name="Normal 3 5 7 3 7" xfId="33654"/>
    <cellStyle name="Normal 3 5 7 3 8" xfId="46637"/>
    <cellStyle name="Normal 3 5 7 4" xfId="2077"/>
    <cellStyle name="Normal 3 5 7 4 2" xfId="5322"/>
    <cellStyle name="Normal 3 5 7 4 2 2" xfId="11854"/>
    <cellStyle name="Normal 3 5 7 4 2 2 2" xfId="31327"/>
    <cellStyle name="Normal 3 5 7 4 2 2 3" xfId="44307"/>
    <cellStyle name="Normal 3 5 7 4 2 2 4" xfId="60536"/>
    <cellStyle name="Normal 3 5 7 4 2 3" xfId="18347"/>
    <cellStyle name="Normal 3 5 7 4 2 4" xfId="24837"/>
    <cellStyle name="Normal 3 5 7 4 2 5" xfId="37817"/>
    <cellStyle name="Normal 3 5 7 4 2 6" xfId="54046"/>
    <cellStyle name="Normal 3 5 7 4 3" xfId="8609"/>
    <cellStyle name="Normal 3 5 7 4 3 2" xfId="28082"/>
    <cellStyle name="Normal 3 5 7 4 3 3" xfId="41062"/>
    <cellStyle name="Normal 3 5 7 4 3 4" xfId="57291"/>
    <cellStyle name="Normal 3 5 7 4 4" xfId="15102"/>
    <cellStyle name="Normal 3 5 7 4 4 2" xfId="50801"/>
    <cellStyle name="Normal 3 5 7 4 5" xfId="21592"/>
    <cellStyle name="Normal 3 5 7 4 6" xfId="34572"/>
    <cellStyle name="Normal 3 5 7 4 7" xfId="47555"/>
    <cellStyle name="Normal 3 5 7 5" xfId="3699"/>
    <cellStyle name="Normal 3 5 7 5 2" xfId="10231"/>
    <cellStyle name="Normal 3 5 7 5 2 2" xfId="29704"/>
    <cellStyle name="Normal 3 5 7 5 2 3" xfId="42684"/>
    <cellStyle name="Normal 3 5 7 5 2 4" xfId="58913"/>
    <cellStyle name="Normal 3 5 7 5 3" xfId="16724"/>
    <cellStyle name="Normal 3 5 7 5 4" xfId="23214"/>
    <cellStyle name="Normal 3 5 7 5 5" xfId="36194"/>
    <cellStyle name="Normal 3 5 7 5 6" xfId="52423"/>
    <cellStyle name="Normal 3 5 7 6" xfId="6986"/>
    <cellStyle name="Normal 3 5 7 6 2" xfId="26459"/>
    <cellStyle name="Normal 3 5 7 6 3" xfId="39439"/>
    <cellStyle name="Normal 3 5 7 6 4" xfId="55668"/>
    <cellStyle name="Normal 3 5 7 7" xfId="13479"/>
    <cellStyle name="Normal 3 5 7 7 2" xfId="49178"/>
    <cellStyle name="Normal 3 5 7 8" xfId="19969"/>
    <cellStyle name="Normal 3 5 7 9" xfId="32949"/>
    <cellStyle name="Normal 3 5 8" xfId="1335"/>
    <cellStyle name="Normal 3 5 8 2" xfId="3002"/>
    <cellStyle name="Normal 3 5 8 2 2" xfId="6247"/>
    <cellStyle name="Normal 3 5 8 2 2 2" xfId="12779"/>
    <cellStyle name="Normal 3 5 8 2 2 2 2" xfId="32252"/>
    <cellStyle name="Normal 3 5 8 2 2 2 3" xfId="45232"/>
    <cellStyle name="Normal 3 5 8 2 2 2 4" xfId="61461"/>
    <cellStyle name="Normal 3 5 8 2 2 3" xfId="19272"/>
    <cellStyle name="Normal 3 5 8 2 2 4" xfId="25762"/>
    <cellStyle name="Normal 3 5 8 2 2 5" xfId="38742"/>
    <cellStyle name="Normal 3 5 8 2 2 6" xfId="54971"/>
    <cellStyle name="Normal 3 5 8 2 3" xfId="9534"/>
    <cellStyle name="Normal 3 5 8 2 3 2" xfId="29007"/>
    <cellStyle name="Normal 3 5 8 2 3 3" xfId="41987"/>
    <cellStyle name="Normal 3 5 8 2 3 4" xfId="58216"/>
    <cellStyle name="Normal 3 5 8 2 4" xfId="16027"/>
    <cellStyle name="Normal 3 5 8 2 4 2" xfId="51726"/>
    <cellStyle name="Normal 3 5 8 2 5" xfId="22517"/>
    <cellStyle name="Normal 3 5 8 2 6" xfId="35497"/>
    <cellStyle name="Normal 3 5 8 2 7" xfId="48480"/>
    <cellStyle name="Normal 3 5 8 3" xfId="4624"/>
    <cellStyle name="Normal 3 5 8 3 2" xfId="11156"/>
    <cellStyle name="Normal 3 5 8 3 2 2" xfId="30629"/>
    <cellStyle name="Normal 3 5 8 3 2 3" xfId="43609"/>
    <cellStyle name="Normal 3 5 8 3 2 4" xfId="59838"/>
    <cellStyle name="Normal 3 5 8 3 3" xfId="17649"/>
    <cellStyle name="Normal 3 5 8 3 4" xfId="24139"/>
    <cellStyle name="Normal 3 5 8 3 5" xfId="37119"/>
    <cellStyle name="Normal 3 5 8 3 6" xfId="53348"/>
    <cellStyle name="Normal 3 5 8 4" xfId="7911"/>
    <cellStyle name="Normal 3 5 8 4 2" xfId="27384"/>
    <cellStyle name="Normal 3 5 8 4 3" xfId="40364"/>
    <cellStyle name="Normal 3 5 8 4 4" xfId="56593"/>
    <cellStyle name="Normal 3 5 8 5" xfId="14404"/>
    <cellStyle name="Normal 3 5 8 5 2" xfId="50103"/>
    <cellStyle name="Normal 3 5 8 6" xfId="20894"/>
    <cellStyle name="Normal 3 5 8 7" xfId="33874"/>
    <cellStyle name="Normal 3 5 8 8" xfId="46857"/>
    <cellStyle name="Normal 3 5 9" xfId="871"/>
    <cellStyle name="Normal 3 5 9 2" xfId="2539"/>
    <cellStyle name="Normal 3 5 9 2 2" xfId="5784"/>
    <cellStyle name="Normal 3 5 9 2 2 2" xfId="12316"/>
    <cellStyle name="Normal 3 5 9 2 2 2 2" xfId="31789"/>
    <cellStyle name="Normal 3 5 9 2 2 2 3" xfId="44769"/>
    <cellStyle name="Normal 3 5 9 2 2 2 4" xfId="60998"/>
    <cellStyle name="Normal 3 5 9 2 2 3" xfId="18809"/>
    <cellStyle name="Normal 3 5 9 2 2 4" xfId="25299"/>
    <cellStyle name="Normal 3 5 9 2 2 5" xfId="38279"/>
    <cellStyle name="Normal 3 5 9 2 2 6" xfId="54508"/>
    <cellStyle name="Normal 3 5 9 2 3" xfId="9071"/>
    <cellStyle name="Normal 3 5 9 2 3 2" xfId="28544"/>
    <cellStyle name="Normal 3 5 9 2 3 3" xfId="41524"/>
    <cellStyle name="Normal 3 5 9 2 3 4" xfId="57753"/>
    <cellStyle name="Normal 3 5 9 2 4" xfId="15564"/>
    <cellStyle name="Normal 3 5 9 2 4 2" xfId="51263"/>
    <cellStyle name="Normal 3 5 9 2 5" xfId="22054"/>
    <cellStyle name="Normal 3 5 9 2 6" xfId="35034"/>
    <cellStyle name="Normal 3 5 9 2 7" xfId="48017"/>
    <cellStyle name="Normal 3 5 9 3" xfId="4161"/>
    <cellStyle name="Normal 3 5 9 3 2" xfId="10693"/>
    <cellStyle name="Normal 3 5 9 3 2 2" xfId="30166"/>
    <cellStyle name="Normal 3 5 9 3 2 3" xfId="43146"/>
    <cellStyle name="Normal 3 5 9 3 2 4" xfId="59375"/>
    <cellStyle name="Normal 3 5 9 3 3" xfId="17186"/>
    <cellStyle name="Normal 3 5 9 3 4" xfId="23676"/>
    <cellStyle name="Normal 3 5 9 3 5" xfId="36656"/>
    <cellStyle name="Normal 3 5 9 3 6" xfId="52885"/>
    <cellStyle name="Normal 3 5 9 4" xfId="7448"/>
    <cellStyle name="Normal 3 5 9 4 2" xfId="26921"/>
    <cellStyle name="Normal 3 5 9 4 3" xfId="39901"/>
    <cellStyle name="Normal 3 5 9 4 4" xfId="56130"/>
    <cellStyle name="Normal 3 5 9 5" xfId="13941"/>
    <cellStyle name="Normal 3 5 9 5 2" xfId="49640"/>
    <cellStyle name="Normal 3 5 9 6" xfId="20431"/>
    <cellStyle name="Normal 3 5 9 7" xfId="33411"/>
    <cellStyle name="Normal 3 5 9 8" xfId="46394"/>
    <cellStyle name="Normal 3 6" xfId="175"/>
    <cellStyle name="Normal 3 6 10" xfId="3470"/>
    <cellStyle name="Normal 3 6 10 2" xfId="10002"/>
    <cellStyle name="Normal 3 6 10 2 2" xfId="29475"/>
    <cellStyle name="Normal 3 6 10 2 3" xfId="42455"/>
    <cellStyle name="Normal 3 6 10 2 4" xfId="58684"/>
    <cellStyle name="Normal 3 6 10 3" xfId="16495"/>
    <cellStyle name="Normal 3 6 10 4" xfId="22985"/>
    <cellStyle name="Normal 3 6 10 5" xfId="35965"/>
    <cellStyle name="Normal 3 6 10 6" xfId="52194"/>
    <cellStyle name="Normal 3 6 11" xfId="6757"/>
    <cellStyle name="Normal 3 6 11 2" xfId="26230"/>
    <cellStyle name="Normal 3 6 11 3" xfId="39210"/>
    <cellStyle name="Normal 3 6 11 4" xfId="55439"/>
    <cellStyle name="Normal 3 6 12" xfId="13250"/>
    <cellStyle name="Normal 3 6 12 2" xfId="48949"/>
    <cellStyle name="Normal 3 6 13" xfId="19740"/>
    <cellStyle name="Normal 3 6 14" xfId="32720"/>
    <cellStyle name="Normal 3 6 15" xfId="45703"/>
    <cellStyle name="Normal 3 6 2" xfId="264"/>
    <cellStyle name="Normal 3 6 2 10" xfId="19828"/>
    <cellStyle name="Normal 3 6 2 11" xfId="32808"/>
    <cellStyle name="Normal 3 6 2 12" xfId="45791"/>
    <cellStyle name="Normal 3 6 2 2" xfId="352"/>
    <cellStyle name="Normal 3 6 2 2 10" xfId="32896"/>
    <cellStyle name="Normal 3 6 2 2 11" xfId="45879"/>
    <cellStyle name="Normal 3 6 2 2 2" xfId="816"/>
    <cellStyle name="Normal 3 6 2 2 2 10" xfId="46339"/>
    <cellStyle name="Normal 3 6 2 2 2 2" xfId="1755"/>
    <cellStyle name="Normal 3 6 2 2 2 2 2" xfId="3422"/>
    <cellStyle name="Normal 3 6 2 2 2 2 2 2" xfId="6667"/>
    <cellStyle name="Normal 3 6 2 2 2 2 2 2 2" xfId="13199"/>
    <cellStyle name="Normal 3 6 2 2 2 2 2 2 2 2" xfId="32672"/>
    <cellStyle name="Normal 3 6 2 2 2 2 2 2 2 3" xfId="45652"/>
    <cellStyle name="Normal 3 6 2 2 2 2 2 2 2 4" xfId="61881"/>
    <cellStyle name="Normal 3 6 2 2 2 2 2 2 3" xfId="19692"/>
    <cellStyle name="Normal 3 6 2 2 2 2 2 2 4" xfId="26182"/>
    <cellStyle name="Normal 3 6 2 2 2 2 2 2 5" xfId="39162"/>
    <cellStyle name="Normal 3 6 2 2 2 2 2 2 6" xfId="55391"/>
    <cellStyle name="Normal 3 6 2 2 2 2 2 3" xfId="9954"/>
    <cellStyle name="Normal 3 6 2 2 2 2 2 3 2" xfId="29427"/>
    <cellStyle name="Normal 3 6 2 2 2 2 2 3 3" xfId="42407"/>
    <cellStyle name="Normal 3 6 2 2 2 2 2 3 4" xfId="58636"/>
    <cellStyle name="Normal 3 6 2 2 2 2 2 4" xfId="16447"/>
    <cellStyle name="Normal 3 6 2 2 2 2 2 4 2" xfId="52146"/>
    <cellStyle name="Normal 3 6 2 2 2 2 2 5" xfId="22937"/>
    <cellStyle name="Normal 3 6 2 2 2 2 2 6" xfId="35917"/>
    <cellStyle name="Normal 3 6 2 2 2 2 2 7" xfId="48900"/>
    <cellStyle name="Normal 3 6 2 2 2 2 3" xfId="5044"/>
    <cellStyle name="Normal 3 6 2 2 2 2 3 2" xfId="11576"/>
    <cellStyle name="Normal 3 6 2 2 2 2 3 2 2" xfId="31049"/>
    <cellStyle name="Normal 3 6 2 2 2 2 3 2 3" xfId="44029"/>
    <cellStyle name="Normal 3 6 2 2 2 2 3 2 4" xfId="60258"/>
    <cellStyle name="Normal 3 6 2 2 2 2 3 3" xfId="18069"/>
    <cellStyle name="Normal 3 6 2 2 2 2 3 4" xfId="24559"/>
    <cellStyle name="Normal 3 6 2 2 2 2 3 5" xfId="37539"/>
    <cellStyle name="Normal 3 6 2 2 2 2 3 6" xfId="53768"/>
    <cellStyle name="Normal 3 6 2 2 2 2 4" xfId="8331"/>
    <cellStyle name="Normal 3 6 2 2 2 2 4 2" xfId="27804"/>
    <cellStyle name="Normal 3 6 2 2 2 2 4 3" xfId="40784"/>
    <cellStyle name="Normal 3 6 2 2 2 2 4 4" xfId="57013"/>
    <cellStyle name="Normal 3 6 2 2 2 2 5" xfId="14824"/>
    <cellStyle name="Normal 3 6 2 2 2 2 5 2" xfId="50523"/>
    <cellStyle name="Normal 3 6 2 2 2 2 6" xfId="21314"/>
    <cellStyle name="Normal 3 6 2 2 2 2 7" xfId="34294"/>
    <cellStyle name="Normal 3 6 2 2 2 2 8" xfId="47277"/>
    <cellStyle name="Normal 3 6 2 2 2 3" xfId="1292"/>
    <cellStyle name="Normal 3 6 2 2 2 3 2" xfId="2959"/>
    <cellStyle name="Normal 3 6 2 2 2 3 2 2" xfId="6204"/>
    <cellStyle name="Normal 3 6 2 2 2 3 2 2 2" xfId="12736"/>
    <cellStyle name="Normal 3 6 2 2 2 3 2 2 2 2" xfId="32209"/>
    <cellStyle name="Normal 3 6 2 2 2 3 2 2 2 3" xfId="45189"/>
    <cellStyle name="Normal 3 6 2 2 2 3 2 2 2 4" xfId="61418"/>
    <cellStyle name="Normal 3 6 2 2 2 3 2 2 3" xfId="19229"/>
    <cellStyle name="Normal 3 6 2 2 2 3 2 2 4" xfId="25719"/>
    <cellStyle name="Normal 3 6 2 2 2 3 2 2 5" xfId="38699"/>
    <cellStyle name="Normal 3 6 2 2 2 3 2 2 6" xfId="54928"/>
    <cellStyle name="Normal 3 6 2 2 2 3 2 3" xfId="9491"/>
    <cellStyle name="Normal 3 6 2 2 2 3 2 3 2" xfId="28964"/>
    <cellStyle name="Normal 3 6 2 2 2 3 2 3 3" xfId="41944"/>
    <cellStyle name="Normal 3 6 2 2 2 3 2 3 4" xfId="58173"/>
    <cellStyle name="Normal 3 6 2 2 2 3 2 4" xfId="15984"/>
    <cellStyle name="Normal 3 6 2 2 2 3 2 4 2" xfId="51683"/>
    <cellStyle name="Normal 3 6 2 2 2 3 2 5" xfId="22474"/>
    <cellStyle name="Normal 3 6 2 2 2 3 2 6" xfId="35454"/>
    <cellStyle name="Normal 3 6 2 2 2 3 2 7" xfId="48437"/>
    <cellStyle name="Normal 3 6 2 2 2 3 3" xfId="4581"/>
    <cellStyle name="Normal 3 6 2 2 2 3 3 2" xfId="11113"/>
    <cellStyle name="Normal 3 6 2 2 2 3 3 2 2" xfId="30586"/>
    <cellStyle name="Normal 3 6 2 2 2 3 3 2 3" xfId="43566"/>
    <cellStyle name="Normal 3 6 2 2 2 3 3 2 4" xfId="59795"/>
    <cellStyle name="Normal 3 6 2 2 2 3 3 3" xfId="17606"/>
    <cellStyle name="Normal 3 6 2 2 2 3 3 4" xfId="24096"/>
    <cellStyle name="Normal 3 6 2 2 2 3 3 5" xfId="37076"/>
    <cellStyle name="Normal 3 6 2 2 2 3 3 6" xfId="53305"/>
    <cellStyle name="Normal 3 6 2 2 2 3 4" xfId="7868"/>
    <cellStyle name="Normal 3 6 2 2 2 3 4 2" xfId="27341"/>
    <cellStyle name="Normal 3 6 2 2 2 3 4 3" xfId="40321"/>
    <cellStyle name="Normal 3 6 2 2 2 3 4 4" xfId="56550"/>
    <cellStyle name="Normal 3 6 2 2 2 3 5" xfId="14361"/>
    <cellStyle name="Normal 3 6 2 2 2 3 5 2" xfId="50060"/>
    <cellStyle name="Normal 3 6 2 2 2 3 6" xfId="20851"/>
    <cellStyle name="Normal 3 6 2 2 2 3 7" xfId="33831"/>
    <cellStyle name="Normal 3 6 2 2 2 3 8" xfId="46814"/>
    <cellStyle name="Normal 3 6 2 2 2 4" xfId="2484"/>
    <cellStyle name="Normal 3 6 2 2 2 4 2" xfId="5729"/>
    <cellStyle name="Normal 3 6 2 2 2 4 2 2" xfId="12261"/>
    <cellStyle name="Normal 3 6 2 2 2 4 2 2 2" xfId="31734"/>
    <cellStyle name="Normal 3 6 2 2 2 4 2 2 3" xfId="44714"/>
    <cellStyle name="Normal 3 6 2 2 2 4 2 2 4" xfId="60943"/>
    <cellStyle name="Normal 3 6 2 2 2 4 2 3" xfId="18754"/>
    <cellStyle name="Normal 3 6 2 2 2 4 2 4" xfId="25244"/>
    <cellStyle name="Normal 3 6 2 2 2 4 2 5" xfId="38224"/>
    <cellStyle name="Normal 3 6 2 2 2 4 2 6" xfId="54453"/>
    <cellStyle name="Normal 3 6 2 2 2 4 3" xfId="9016"/>
    <cellStyle name="Normal 3 6 2 2 2 4 3 2" xfId="28489"/>
    <cellStyle name="Normal 3 6 2 2 2 4 3 3" xfId="41469"/>
    <cellStyle name="Normal 3 6 2 2 2 4 3 4" xfId="57698"/>
    <cellStyle name="Normal 3 6 2 2 2 4 4" xfId="15509"/>
    <cellStyle name="Normal 3 6 2 2 2 4 4 2" xfId="51208"/>
    <cellStyle name="Normal 3 6 2 2 2 4 5" xfId="21999"/>
    <cellStyle name="Normal 3 6 2 2 2 4 6" xfId="34979"/>
    <cellStyle name="Normal 3 6 2 2 2 4 7" xfId="47962"/>
    <cellStyle name="Normal 3 6 2 2 2 5" xfId="4106"/>
    <cellStyle name="Normal 3 6 2 2 2 5 2" xfId="10638"/>
    <cellStyle name="Normal 3 6 2 2 2 5 2 2" xfId="30111"/>
    <cellStyle name="Normal 3 6 2 2 2 5 2 3" xfId="43091"/>
    <cellStyle name="Normal 3 6 2 2 2 5 2 4" xfId="59320"/>
    <cellStyle name="Normal 3 6 2 2 2 5 3" xfId="17131"/>
    <cellStyle name="Normal 3 6 2 2 2 5 4" xfId="23621"/>
    <cellStyle name="Normal 3 6 2 2 2 5 5" xfId="36601"/>
    <cellStyle name="Normal 3 6 2 2 2 5 6" xfId="52830"/>
    <cellStyle name="Normal 3 6 2 2 2 6" xfId="7393"/>
    <cellStyle name="Normal 3 6 2 2 2 6 2" xfId="26866"/>
    <cellStyle name="Normal 3 6 2 2 2 6 3" xfId="39846"/>
    <cellStyle name="Normal 3 6 2 2 2 6 4" xfId="56075"/>
    <cellStyle name="Normal 3 6 2 2 2 7" xfId="13886"/>
    <cellStyle name="Normal 3 6 2 2 2 7 2" xfId="49585"/>
    <cellStyle name="Normal 3 6 2 2 2 8" xfId="20376"/>
    <cellStyle name="Normal 3 6 2 2 2 9" xfId="33356"/>
    <cellStyle name="Normal 3 6 2 2 3" xfId="586"/>
    <cellStyle name="Normal 3 6 2 2 3 2" xfId="1535"/>
    <cellStyle name="Normal 3 6 2 2 3 2 2" xfId="3202"/>
    <cellStyle name="Normal 3 6 2 2 3 2 2 2" xfId="6447"/>
    <cellStyle name="Normal 3 6 2 2 3 2 2 2 2" xfId="12979"/>
    <cellStyle name="Normal 3 6 2 2 3 2 2 2 2 2" xfId="32452"/>
    <cellStyle name="Normal 3 6 2 2 3 2 2 2 2 3" xfId="45432"/>
    <cellStyle name="Normal 3 6 2 2 3 2 2 2 2 4" xfId="61661"/>
    <cellStyle name="Normal 3 6 2 2 3 2 2 2 3" xfId="19472"/>
    <cellStyle name="Normal 3 6 2 2 3 2 2 2 4" xfId="25962"/>
    <cellStyle name="Normal 3 6 2 2 3 2 2 2 5" xfId="38942"/>
    <cellStyle name="Normal 3 6 2 2 3 2 2 2 6" xfId="55171"/>
    <cellStyle name="Normal 3 6 2 2 3 2 2 3" xfId="9734"/>
    <cellStyle name="Normal 3 6 2 2 3 2 2 3 2" xfId="29207"/>
    <cellStyle name="Normal 3 6 2 2 3 2 2 3 3" xfId="42187"/>
    <cellStyle name="Normal 3 6 2 2 3 2 2 3 4" xfId="58416"/>
    <cellStyle name="Normal 3 6 2 2 3 2 2 4" xfId="16227"/>
    <cellStyle name="Normal 3 6 2 2 3 2 2 4 2" xfId="51926"/>
    <cellStyle name="Normal 3 6 2 2 3 2 2 5" xfId="22717"/>
    <cellStyle name="Normal 3 6 2 2 3 2 2 6" xfId="35697"/>
    <cellStyle name="Normal 3 6 2 2 3 2 2 7" xfId="48680"/>
    <cellStyle name="Normal 3 6 2 2 3 2 3" xfId="4824"/>
    <cellStyle name="Normal 3 6 2 2 3 2 3 2" xfId="11356"/>
    <cellStyle name="Normal 3 6 2 2 3 2 3 2 2" xfId="30829"/>
    <cellStyle name="Normal 3 6 2 2 3 2 3 2 3" xfId="43809"/>
    <cellStyle name="Normal 3 6 2 2 3 2 3 2 4" xfId="60038"/>
    <cellStyle name="Normal 3 6 2 2 3 2 3 3" xfId="17849"/>
    <cellStyle name="Normal 3 6 2 2 3 2 3 4" xfId="24339"/>
    <cellStyle name="Normal 3 6 2 2 3 2 3 5" xfId="37319"/>
    <cellStyle name="Normal 3 6 2 2 3 2 3 6" xfId="53548"/>
    <cellStyle name="Normal 3 6 2 2 3 2 4" xfId="8111"/>
    <cellStyle name="Normal 3 6 2 2 3 2 4 2" xfId="27584"/>
    <cellStyle name="Normal 3 6 2 2 3 2 4 3" xfId="40564"/>
    <cellStyle name="Normal 3 6 2 2 3 2 4 4" xfId="56793"/>
    <cellStyle name="Normal 3 6 2 2 3 2 5" xfId="14604"/>
    <cellStyle name="Normal 3 6 2 2 3 2 5 2" xfId="50303"/>
    <cellStyle name="Normal 3 6 2 2 3 2 6" xfId="21094"/>
    <cellStyle name="Normal 3 6 2 2 3 2 7" xfId="34074"/>
    <cellStyle name="Normal 3 6 2 2 3 2 8" xfId="47057"/>
    <cellStyle name="Normal 3 6 2 2 3 3" xfId="2254"/>
    <cellStyle name="Normal 3 6 2 2 3 3 2" xfId="5499"/>
    <cellStyle name="Normal 3 6 2 2 3 3 2 2" xfId="12031"/>
    <cellStyle name="Normal 3 6 2 2 3 3 2 2 2" xfId="31504"/>
    <cellStyle name="Normal 3 6 2 2 3 3 2 2 3" xfId="44484"/>
    <cellStyle name="Normal 3 6 2 2 3 3 2 2 4" xfId="60713"/>
    <cellStyle name="Normal 3 6 2 2 3 3 2 3" xfId="18524"/>
    <cellStyle name="Normal 3 6 2 2 3 3 2 4" xfId="25014"/>
    <cellStyle name="Normal 3 6 2 2 3 3 2 5" xfId="37994"/>
    <cellStyle name="Normal 3 6 2 2 3 3 2 6" xfId="54223"/>
    <cellStyle name="Normal 3 6 2 2 3 3 3" xfId="8786"/>
    <cellStyle name="Normal 3 6 2 2 3 3 3 2" xfId="28259"/>
    <cellStyle name="Normal 3 6 2 2 3 3 3 3" xfId="41239"/>
    <cellStyle name="Normal 3 6 2 2 3 3 3 4" xfId="57468"/>
    <cellStyle name="Normal 3 6 2 2 3 3 4" xfId="15279"/>
    <cellStyle name="Normal 3 6 2 2 3 3 4 2" xfId="50978"/>
    <cellStyle name="Normal 3 6 2 2 3 3 5" xfId="21769"/>
    <cellStyle name="Normal 3 6 2 2 3 3 6" xfId="34749"/>
    <cellStyle name="Normal 3 6 2 2 3 3 7" xfId="47732"/>
    <cellStyle name="Normal 3 6 2 2 3 4" xfId="3876"/>
    <cellStyle name="Normal 3 6 2 2 3 4 2" xfId="10408"/>
    <cellStyle name="Normal 3 6 2 2 3 4 2 2" xfId="29881"/>
    <cellStyle name="Normal 3 6 2 2 3 4 2 3" xfId="42861"/>
    <cellStyle name="Normal 3 6 2 2 3 4 2 4" xfId="59090"/>
    <cellStyle name="Normal 3 6 2 2 3 4 3" xfId="16901"/>
    <cellStyle name="Normal 3 6 2 2 3 4 4" xfId="23391"/>
    <cellStyle name="Normal 3 6 2 2 3 4 5" xfId="36371"/>
    <cellStyle name="Normal 3 6 2 2 3 4 6" xfId="52600"/>
    <cellStyle name="Normal 3 6 2 2 3 5" xfId="7163"/>
    <cellStyle name="Normal 3 6 2 2 3 5 2" xfId="26636"/>
    <cellStyle name="Normal 3 6 2 2 3 5 3" xfId="39616"/>
    <cellStyle name="Normal 3 6 2 2 3 5 4" xfId="55845"/>
    <cellStyle name="Normal 3 6 2 2 3 6" xfId="13656"/>
    <cellStyle name="Normal 3 6 2 2 3 6 2" xfId="49355"/>
    <cellStyle name="Normal 3 6 2 2 3 7" xfId="20146"/>
    <cellStyle name="Normal 3 6 2 2 3 8" xfId="33126"/>
    <cellStyle name="Normal 3 6 2 2 3 9" xfId="46109"/>
    <cellStyle name="Normal 3 6 2 2 4" xfId="1072"/>
    <cellStyle name="Normal 3 6 2 2 4 2" xfId="2739"/>
    <cellStyle name="Normal 3 6 2 2 4 2 2" xfId="5984"/>
    <cellStyle name="Normal 3 6 2 2 4 2 2 2" xfId="12516"/>
    <cellStyle name="Normal 3 6 2 2 4 2 2 2 2" xfId="31989"/>
    <cellStyle name="Normal 3 6 2 2 4 2 2 2 3" xfId="44969"/>
    <cellStyle name="Normal 3 6 2 2 4 2 2 2 4" xfId="61198"/>
    <cellStyle name="Normal 3 6 2 2 4 2 2 3" xfId="19009"/>
    <cellStyle name="Normal 3 6 2 2 4 2 2 4" xfId="25499"/>
    <cellStyle name="Normal 3 6 2 2 4 2 2 5" xfId="38479"/>
    <cellStyle name="Normal 3 6 2 2 4 2 2 6" xfId="54708"/>
    <cellStyle name="Normal 3 6 2 2 4 2 3" xfId="9271"/>
    <cellStyle name="Normal 3 6 2 2 4 2 3 2" xfId="28744"/>
    <cellStyle name="Normal 3 6 2 2 4 2 3 3" xfId="41724"/>
    <cellStyle name="Normal 3 6 2 2 4 2 3 4" xfId="57953"/>
    <cellStyle name="Normal 3 6 2 2 4 2 4" xfId="15764"/>
    <cellStyle name="Normal 3 6 2 2 4 2 4 2" xfId="51463"/>
    <cellStyle name="Normal 3 6 2 2 4 2 5" xfId="22254"/>
    <cellStyle name="Normal 3 6 2 2 4 2 6" xfId="35234"/>
    <cellStyle name="Normal 3 6 2 2 4 2 7" xfId="48217"/>
    <cellStyle name="Normal 3 6 2 2 4 3" xfId="4361"/>
    <cellStyle name="Normal 3 6 2 2 4 3 2" xfId="10893"/>
    <cellStyle name="Normal 3 6 2 2 4 3 2 2" xfId="30366"/>
    <cellStyle name="Normal 3 6 2 2 4 3 2 3" xfId="43346"/>
    <cellStyle name="Normal 3 6 2 2 4 3 2 4" xfId="59575"/>
    <cellStyle name="Normal 3 6 2 2 4 3 3" xfId="17386"/>
    <cellStyle name="Normal 3 6 2 2 4 3 4" xfId="23876"/>
    <cellStyle name="Normal 3 6 2 2 4 3 5" xfId="36856"/>
    <cellStyle name="Normal 3 6 2 2 4 3 6" xfId="53085"/>
    <cellStyle name="Normal 3 6 2 2 4 4" xfId="7648"/>
    <cellStyle name="Normal 3 6 2 2 4 4 2" xfId="27121"/>
    <cellStyle name="Normal 3 6 2 2 4 4 3" xfId="40101"/>
    <cellStyle name="Normal 3 6 2 2 4 4 4" xfId="56330"/>
    <cellStyle name="Normal 3 6 2 2 4 5" xfId="14141"/>
    <cellStyle name="Normal 3 6 2 2 4 5 2" xfId="49840"/>
    <cellStyle name="Normal 3 6 2 2 4 6" xfId="20631"/>
    <cellStyle name="Normal 3 6 2 2 4 7" xfId="33611"/>
    <cellStyle name="Normal 3 6 2 2 4 8" xfId="46594"/>
    <cellStyle name="Normal 3 6 2 2 5" xfId="2025"/>
    <cellStyle name="Normal 3 6 2 2 5 2" xfId="5270"/>
    <cellStyle name="Normal 3 6 2 2 5 2 2" xfId="11802"/>
    <cellStyle name="Normal 3 6 2 2 5 2 2 2" xfId="31275"/>
    <cellStyle name="Normal 3 6 2 2 5 2 2 3" xfId="44255"/>
    <cellStyle name="Normal 3 6 2 2 5 2 2 4" xfId="60484"/>
    <cellStyle name="Normal 3 6 2 2 5 2 3" xfId="18295"/>
    <cellStyle name="Normal 3 6 2 2 5 2 4" xfId="24785"/>
    <cellStyle name="Normal 3 6 2 2 5 2 5" xfId="37765"/>
    <cellStyle name="Normal 3 6 2 2 5 2 6" xfId="53994"/>
    <cellStyle name="Normal 3 6 2 2 5 3" xfId="8557"/>
    <cellStyle name="Normal 3 6 2 2 5 3 2" xfId="28030"/>
    <cellStyle name="Normal 3 6 2 2 5 3 3" xfId="41010"/>
    <cellStyle name="Normal 3 6 2 2 5 3 4" xfId="57239"/>
    <cellStyle name="Normal 3 6 2 2 5 4" xfId="15050"/>
    <cellStyle name="Normal 3 6 2 2 5 4 2" xfId="50749"/>
    <cellStyle name="Normal 3 6 2 2 5 5" xfId="21540"/>
    <cellStyle name="Normal 3 6 2 2 5 6" xfId="34520"/>
    <cellStyle name="Normal 3 6 2 2 5 7" xfId="47503"/>
    <cellStyle name="Normal 3 6 2 2 6" xfId="3646"/>
    <cellStyle name="Normal 3 6 2 2 6 2" xfId="10178"/>
    <cellStyle name="Normal 3 6 2 2 6 2 2" xfId="29651"/>
    <cellStyle name="Normal 3 6 2 2 6 2 3" xfId="42631"/>
    <cellStyle name="Normal 3 6 2 2 6 2 4" xfId="58860"/>
    <cellStyle name="Normal 3 6 2 2 6 3" xfId="16671"/>
    <cellStyle name="Normal 3 6 2 2 6 4" xfId="23161"/>
    <cellStyle name="Normal 3 6 2 2 6 5" xfId="36141"/>
    <cellStyle name="Normal 3 6 2 2 6 6" xfId="52370"/>
    <cellStyle name="Normal 3 6 2 2 7" xfId="6933"/>
    <cellStyle name="Normal 3 6 2 2 7 2" xfId="26406"/>
    <cellStyle name="Normal 3 6 2 2 7 3" xfId="39386"/>
    <cellStyle name="Normal 3 6 2 2 7 4" xfId="55615"/>
    <cellStyle name="Normal 3 6 2 2 8" xfId="13426"/>
    <cellStyle name="Normal 3 6 2 2 8 2" xfId="49125"/>
    <cellStyle name="Normal 3 6 2 2 9" xfId="19916"/>
    <cellStyle name="Normal 3 6 2 3" xfId="728"/>
    <cellStyle name="Normal 3 6 2 3 10" xfId="46251"/>
    <cellStyle name="Normal 3 6 2 3 2" xfId="1667"/>
    <cellStyle name="Normal 3 6 2 3 2 2" xfId="3334"/>
    <cellStyle name="Normal 3 6 2 3 2 2 2" xfId="6579"/>
    <cellStyle name="Normal 3 6 2 3 2 2 2 2" xfId="13111"/>
    <cellStyle name="Normal 3 6 2 3 2 2 2 2 2" xfId="32584"/>
    <cellStyle name="Normal 3 6 2 3 2 2 2 2 3" xfId="45564"/>
    <cellStyle name="Normal 3 6 2 3 2 2 2 2 4" xfId="61793"/>
    <cellStyle name="Normal 3 6 2 3 2 2 2 3" xfId="19604"/>
    <cellStyle name="Normal 3 6 2 3 2 2 2 4" xfId="26094"/>
    <cellStyle name="Normal 3 6 2 3 2 2 2 5" xfId="39074"/>
    <cellStyle name="Normal 3 6 2 3 2 2 2 6" xfId="55303"/>
    <cellStyle name="Normal 3 6 2 3 2 2 3" xfId="9866"/>
    <cellStyle name="Normal 3 6 2 3 2 2 3 2" xfId="29339"/>
    <cellStyle name="Normal 3 6 2 3 2 2 3 3" xfId="42319"/>
    <cellStyle name="Normal 3 6 2 3 2 2 3 4" xfId="58548"/>
    <cellStyle name="Normal 3 6 2 3 2 2 4" xfId="16359"/>
    <cellStyle name="Normal 3 6 2 3 2 2 4 2" xfId="52058"/>
    <cellStyle name="Normal 3 6 2 3 2 2 5" xfId="22849"/>
    <cellStyle name="Normal 3 6 2 3 2 2 6" xfId="35829"/>
    <cellStyle name="Normal 3 6 2 3 2 2 7" xfId="48812"/>
    <cellStyle name="Normal 3 6 2 3 2 3" xfId="4956"/>
    <cellStyle name="Normal 3 6 2 3 2 3 2" xfId="11488"/>
    <cellStyle name="Normal 3 6 2 3 2 3 2 2" xfId="30961"/>
    <cellStyle name="Normal 3 6 2 3 2 3 2 3" xfId="43941"/>
    <cellStyle name="Normal 3 6 2 3 2 3 2 4" xfId="60170"/>
    <cellStyle name="Normal 3 6 2 3 2 3 3" xfId="17981"/>
    <cellStyle name="Normal 3 6 2 3 2 3 4" xfId="24471"/>
    <cellStyle name="Normal 3 6 2 3 2 3 5" xfId="37451"/>
    <cellStyle name="Normal 3 6 2 3 2 3 6" xfId="53680"/>
    <cellStyle name="Normal 3 6 2 3 2 4" xfId="8243"/>
    <cellStyle name="Normal 3 6 2 3 2 4 2" xfId="27716"/>
    <cellStyle name="Normal 3 6 2 3 2 4 3" xfId="40696"/>
    <cellStyle name="Normal 3 6 2 3 2 4 4" xfId="56925"/>
    <cellStyle name="Normal 3 6 2 3 2 5" xfId="14736"/>
    <cellStyle name="Normal 3 6 2 3 2 5 2" xfId="50435"/>
    <cellStyle name="Normal 3 6 2 3 2 6" xfId="21226"/>
    <cellStyle name="Normal 3 6 2 3 2 7" xfId="34206"/>
    <cellStyle name="Normal 3 6 2 3 2 8" xfId="47189"/>
    <cellStyle name="Normal 3 6 2 3 3" xfId="1204"/>
    <cellStyle name="Normal 3 6 2 3 3 2" xfId="2871"/>
    <cellStyle name="Normal 3 6 2 3 3 2 2" xfId="6116"/>
    <cellStyle name="Normal 3 6 2 3 3 2 2 2" xfId="12648"/>
    <cellStyle name="Normal 3 6 2 3 3 2 2 2 2" xfId="32121"/>
    <cellStyle name="Normal 3 6 2 3 3 2 2 2 3" xfId="45101"/>
    <cellStyle name="Normal 3 6 2 3 3 2 2 2 4" xfId="61330"/>
    <cellStyle name="Normal 3 6 2 3 3 2 2 3" xfId="19141"/>
    <cellStyle name="Normal 3 6 2 3 3 2 2 4" xfId="25631"/>
    <cellStyle name="Normal 3 6 2 3 3 2 2 5" xfId="38611"/>
    <cellStyle name="Normal 3 6 2 3 3 2 2 6" xfId="54840"/>
    <cellStyle name="Normal 3 6 2 3 3 2 3" xfId="9403"/>
    <cellStyle name="Normal 3 6 2 3 3 2 3 2" xfId="28876"/>
    <cellStyle name="Normal 3 6 2 3 3 2 3 3" xfId="41856"/>
    <cellStyle name="Normal 3 6 2 3 3 2 3 4" xfId="58085"/>
    <cellStyle name="Normal 3 6 2 3 3 2 4" xfId="15896"/>
    <cellStyle name="Normal 3 6 2 3 3 2 4 2" xfId="51595"/>
    <cellStyle name="Normal 3 6 2 3 3 2 5" xfId="22386"/>
    <cellStyle name="Normal 3 6 2 3 3 2 6" xfId="35366"/>
    <cellStyle name="Normal 3 6 2 3 3 2 7" xfId="48349"/>
    <cellStyle name="Normal 3 6 2 3 3 3" xfId="4493"/>
    <cellStyle name="Normal 3 6 2 3 3 3 2" xfId="11025"/>
    <cellStyle name="Normal 3 6 2 3 3 3 2 2" xfId="30498"/>
    <cellStyle name="Normal 3 6 2 3 3 3 2 3" xfId="43478"/>
    <cellStyle name="Normal 3 6 2 3 3 3 2 4" xfId="59707"/>
    <cellStyle name="Normal 3 6 2 3 3 3 3" xfId="17518"/>
    <cellStyle name="Normal 3 6 2 3 3 3 4" xfId="24008"/>
    <cellStyle name="Normal 3 6 2 3 3 3 5" xfId="36988"/>
    <cellStyle name="Normal 3 6 2 3 3 3 6" xfId="53217"/>
    <cellStyle name="Normal 3 6 2 3 3 4" xfId="7780"/>
    <cellStyle name="Normal 3 6 2 3 3 4 2" xfId="27253"/>
    <cellStyle name="Normal 3 6 2 3 3 4 3" xfId="40233"/>
    <cellStyle name="Normal 3 6 2 3 3 4 4" xfId="56462"/>
    <cellStyle name="Normal 3 6 2 3 3 5" xfId="14273"/>
    <cellStyle name="Normal 3 6 2 3 3 5 2" xfId="49972"/>
    <cellStyle name="Normal 3 6 2 3 3 6" xfId="20763"/>
    <cellStyle name="Normal 3 6 2 3 3 7" xfId="33743"/>
    <cellStyle name="Normal 3 6 2 3 3 8" xfId="46726"/>
    <cellStyle name="Normal 3 6 2 3 4" xfId="2396"/>
    <cellStyle name="Normal 3 6 2 3 4 2" xfId="5641"/>
    <cellStyle name="Normal 3 6 2 3 4 2 2" xfId="12173"/>
    <cellStyle name="Normal 3 6 2 3 4 2 2 2" xfId="31646"/>
    <cellStyle name="Normal 3 6 2 3 4 2 2 3" xfId="44626"/>
    <cellStyle name="Normal 3 6 2 3 4 2 2 4" xfId="60855"/>
    <cellStyle name="Normal 3 6 2 3 4 2 3" xfId="18666"/>
    <cellStyle name="Normal 3 6 2 3 4 2 4" xfId="25156"/>
    <cellStyle name="Normal 3 6 2 3 4 2 5" xfId="38136"/>
    <cellStyle name="Normal 3 6 2 3 4 2 6" xfId="54365"/>
    <cellStyle name="Normal 3 6 2 3 4 3" xfId="8928"/>
    <cellStyle name="Normal 3 6 2 3 4 3 2" xfId="28401"/>
    <cellStyle name="Normal 3 6 2 3 4 3 3" xfId="41381"/>
    <cellStyle name="Normal 3 6 2 3 4 3 4" xfId="57610"/>
    <cellStyle name="Normal 3 6 2 3 4 4" xfId="15421"/>
    <cellStyle name="Normal 3 6 2 3 4 4 2" xfId="51120"/>
    <cellStyle name="Normal 3 6 2 3 4 5" xfId="21911"/>
    <cellStyle name="Normal 3 6 2 3 4 6" xfId="34891"/>
    <cellStyle name="Normal 3 6 2 3 4 7" xfId="47874"/>
    <cellStyle name="Normal 3 6 2 3 5" xfId="4018"/>
    <cellStyle name="Normal 3 6 2 3 5 2" xfId="10550"/>
    <cellStyle name="Normal 3 6 2 3 5 2 2" xfId="30023"/>
    <cellStyle name="Normal 3 6 2 3 5 2 3" xfId="43003"/>
    <cellStyle name="Normal 3 6 2 3 5 2 4" xfId="59232"/>
    <cellStyle name="Normal 3 6 2 3 5 3" xfId="17043"/>
    <cellStyle name="Normal 3 6 2 3 5 4" xfId="23533"/>
    <cellStyle name="Normal 3 6 2 3 5 5" xfId="36513"/>
    <cellStyle name="Normal 3 6 2 3 5 6" xfId="52742"/>
    <cellStyle name="Normal 3 6 2 3 6" xfId="7305"/>
    <cellStyle name="Normal 3 6 2 3 6 2" xfId="26778"/>
    <cellStyle name="Normal 3 6 2 3 6 3" xfId="39758"/>
    <cellStyle name="Normal 3 6 2 3 6 4" xfId="55987"/>
    <cellStyle name="Normal 3 6 2 3 7" xfId="13798"/>
    <cellStyle name="Normal 3 6 2 3 7 2" xfId="49497"/>
    <cellStyle name="Normal 3 6 2 3 8" xfId="20288"/>
    <cellStyle name="Normal 3 6 2 3 9" xfId="33268"/>
    <cellStyle name="Normal 3 6 2 4" xfId="498"/>
    <cellStyle name="Normal 3 6 2 4 2" xfId="1447"/>
    <cellStyle name="Normal 3 6 2 4 2 2" xfId="3114"/>
    <cellStyle name="Normal 3 6 2 4 2 2 2" xfId="6359"/>
    <cellStyle name="Normal 3 6 2 4 2 2 2 2" xfId="12891"/>
    <cellStyle name="Normal 3 6 2 4 2 2 2 2 2" xfId="32364"/>
    <cellStyle name="Normal 3 6 2 4 2 2 2 2 3" xfId="45344"/>
    <cellStyle name="Normal 3 6 2 4 2 2 2 2 4" xfId="61573"/>
    <cellStyle name="Normal 3 6 2 4 2 2 2 3" xfId="19384"/>
    <cellStyle name="Normal 3 6 2 4 2 2 2 4" xfId="25874"/>
    <cellStyle name="Normal 3 6 2 4 2 2 2 5" xfId="38854"/>
    <cellStyle name="Normal 3 6 2 4 2 2 2 6" xfId="55083"/>
    <cellStyle name="Normal 3 6 2 4 2 2 3" xfId="9646"/>
    <cellStyle name="Normal 3 6 2 4 2 2 3 2" xfId="29119"/>
    <cellStyle name="Normal 3 6 2 4 2 2 3 3" xfId="42099"/>
    <cellStyle name="Normal 3 6 2 4 2 2 3 4" xfId="58328"/>
    <cellStyle name="Normal 3 6 2 4 2 2 4" xfId="16139"/>
    <cellStyle name="Normal 3 6 2 4 2 2 4 2" xfId="51838"/>
    <cellStyle name="Normal 3 6 2 4 2 2 5" xfId="22629"/>
    <cellStyle name="Normal 3 6 2 4 2 2 6" xfId="35609"/>
    <cellStyle name="Normal 3 6 2 4 2 2 7" xfId="48592"/>
    <cellStyle name="Normal 3 6 2 4 2 3" xfId="4736"/>
    <cellStyle name="Normal 3 6 2 4 2 3 2" xfId="11268"/>
    <cellStyle name="Normal 3 6 2 4 2 3 2 2" xfId="30741"/>
    <cellStyle name="Normal 3 6 2 4 2 3 2 3" xfId="43721"/>
    <cellStyle name="Normal 3 6 2 4 2 3 2 4" xfId="59950"/>
    <cellStyle name="Normal 3 6 2 4 2 3 3" xfId="17761"/>
    <cellStyle name="Normal 3 6 2 4 2 3 4" xfId="24251"/>
    <cellStyle name="Normal 3 6 2 4 2 3 5" xfId="37231"/>
    <cellStyle name="Normal 3 6 2 4 2 3 6" xfId="53460"/>
    <cellStyle name="Normal 3 6 2 4 2 4" xfId="8023"/>
    <cellStyle name="Normal 3 6 2 4 2 4 2" xfId="27496"/>
    <cellStyle name="Normal 3 6 2 4 2 4 3" xfId="40476"/>
    <cellStyle name="Normal 3 6 2 4 2 4 4" xfId="56705"/>
    <cellStyle name="Normal 3 6 2 4 2 5" xfId="14516"/>
    <cellStyle name="Normal 3 6 2 4 2 5 2" xfId="50215"/>
    <cellStyle name="Normal 3 6 2 4 2 6" xfId="21006"/>
    <cellStyle name="Normal 3 6 2 4 2 7" xfId="33986"/>
    <cellStyle name="Normal 3 6 2 4 2 8" xfId="46969"/>
    <cellStyle name="Normal 3 6 2 4 3" xfId="2166"/>
    <cellStyle name="Normal 3 6 2 4 3 2" xfId="5411"/>
    <cellStyle name="Normal 3 6 2 4 3 2 2" xfId="11943"/>
    <cellStyle name="Normal 3 6 2 4 3 2 2 2" xfId="31416"/>
    <cellStyle name="Normal 3 6 2 4 3 2 2 3" xfId="44396"/>
    <cellStyle name="Normal 3 6 2 4 3 2 2 4" xfId="60625"/>
    <cellStyle name="Normal 3 6 2 4 3 2 3" xfId="18436"/>
    <cellStyle name="Normal 3 6 2 4 3 2 4" xfId="24926"/>
    <cellStyle name="Normal 3 6 2 4 3 2 5" xfId="37906"/>
    <cellStyle name="Normal 3 6 2 4 3 2 6" xfId="54135"/>
    <cellStyle name="Normal 3 6 2 4 3 3" xfId="8698"/>
    <cellStyle name="Normal 3 6 2 4 3 3 2" xfId="28171"/>
    <cellStyle name="Normal 3 6 2 4 3 3 3" xfId="41151"/>
    <cellStyle name="Normal 3 6 2 4 3 3 4" xfId="57380"/>
    <cellStyle name="Normal 3 6 2 4 3 4" xfId="15191"/>
    <cellStyle name="Normal 3 6 2 4 3 4 2" xfId="50890"/>
    <cellStyle name="Normal 3 6 2 4 3 5" xfId="21681"/>
    <cellStyle name="Normal 3 6 2 4 3 6" xfId="34661"/>
    <cellStyle name="Normal 3 6 2 4 3 7" xfId="47644"/>
    <cellStyle name="Normal 3 6 2 4 4" xfId="3788"/>
    <cellStyle name="Normal 3 6 2 4 4 2" xfId="10320"/>
    <cellStyle name="Normal 3 6 2 4 4 2 2" xfId="29793"/>
    <cellStyle name="Normal 3 6 2 4 4 2 3" xfId="42773"/>
    <cellStyle name="Normal 3 6 2 4 4 2 4" xfId="59002"/>
    <cellStyle name="Normal 3 6 2 4 4 3" xfId="16813"/>
    <cellStyle name="Normal 3 6 2 4 4 4" xfId="23303"/>
    <cellStyle name="Normal 3 6 2 4 4 5" xfId="36283"/>
    <cellStyle name="Normal 3 6 2 4 4 6" xfId="52512"/>
    <cellStyle name="Normal 3 6 2 4 5" xfId="7075"/>
    <cellStyle name="Normal 3 6 2 4 5 2" xfId="26548"/>
    <cellStyle name="Normal 3 6 2 4 5 3" xfId="39528"/>
    <cellStyle name="Normal 3 6 2 4 5 4" xfId="55757"/>
    <cellStyle name="Normal 3 6 2 4 6" xfId="13568"/>
    <cellStyle name="Normal 3 6 2 4 6 2" xfId="49267"/>
    <cellStyle name="Normal 3 6 2 4 7" xfId="20058"/>
    <cellStyle name="Normal 3 6 2 4 8" xfId="33038"/>
    <cellStyle name="Normal 3 6 2 4 9" xfId="46021"/>
    <cellStyle name="Normal 3 6 2 5" xfId="984"/>
    <cellStyle name="Normal 3 6 2 5 2" xfId="2651"/>
    <cellStyle name="Normal 3 6 2 5 2 2" xfId="5896"/>
    <cellStyle name="Normal 3 6 2 5 2 2 2" xfId="12428"/>
    <cellStyle name="Normal 3 6 2 5 2 2 2 2" xfId="31901"/>
    <cellStyle name="Normal 3 6 2 5 2 2 2 3" xfId="44881"/>
    <cellStyle name="Normal 3 6 2 5 2 2 2 4" xfId="61110"/>
    <cellStyle name="Normal 3 6 2 5 2 2 3" xfId="18921"/>
    <cellStyle name="Normal 3 6 2 5 2 2 4" xfId="25411"/>
    <cellStyle name="Normal 3 6 2 5 2 2 5" xfId="38391"/>
    <cellStyle name="Normal 3 6 2 5 2 2 6" xfId="54620"/>
    <cellStyle name="Normal 3 6 2 5 2 3" xfId="9183"/>
    <cellStyle name="Normal 3 6 2 5 2 3 2" xfId="28656"/>
    <cellStyle name="Normal 3 6 2 5 2 3 3" xfId="41636"/>
    <cellStyle name="Normal 3 6 2 5 2 3 4" xfId="57865"/>
    <cellStyle name="Normal 3 6 2 5 2 4" xfId="15676"/>
    <cellStyle name="Normal 3 6 2 5 2 4 2" xfId="51375"/>
    <cellStyle name="Normal 3 6 2 5 2 5" xfId="22166"/>
    <cellStyle name="Normal 3 6 2 5 2 6" xfId="35146"/>
    <cellStyle name="Normal 3 6 2 5 2 7" xfId="48129"/>
    <cellStyle name="Normal 3 6 2 5 3" xfId="4273"/>
    <cellStyle name="Normal 3 6 2 5 3 2" xfId="10805"/>
    <cellStyle name="Normal 3 6 2 5 3 2 2" xfId="30278"/>
    <cellStyle name="Normal 3 6 2 5 3 2 3" xfId="43258"/>
    <cellStyle name="Normal 3 6 2 5 3 2 4" xfId="59487"/>
    <cellStyle name="Normal 3 6 2 5 3 3" xfId="17298"/>
    <cellStyle name="Normal 3 6 2 5 3 4" xfId="23788"/>
    <cellStyle name="Normal 3 6 2 5 3 5" xfId="36768"/>
    <cellStyle name="Normal 3 6 2 5 3 6" xfId="52997"/>
    <cellStyle name="Normal 3 6 2 5 4" xfId="7560"/>
    <cellStyle name="Normal 3 6 2 5 4 2" xfId="27033"/>
    <cellStyle name="Normal 3 6 2 5 4 3" xfId="40013"/>
    <cellStyle name="Normal 3 6 2 5 4 4" xfId="56242"/>
    <cellStyle name="Normal 3 6 2 5 5" xfId="14053"/>
    <cellStyle name="Normal 3 6 2 5 5 2" xfId="49752"/>
    <cellStyle name="Normal 3 6 2 5 6" xfId="20543"/>
    <cellStyle name="Normal 3 6 2 5 7" xfId="33523"/>
    <cellStyle name="Normal 3 6 2 5 8" xfId="46506"/>
    <cellStyle name="Normal 3 6 2 6" xfId="1937"/>
    <cellStyle name="Normal 3 6 2 6 2" xfId="5182"/>
    <cellStyle name="Normal 3 6 2 6 2 2" xfId="11714"/>
    <cellStyle name="Normal 3 6 2 6 2 2 2" xfId="31187"/>
    <cellStyle name="Normal 3 6 2 6 2 2 3" xfId="44167"/>
    <cellStyle name="Normal 3 6 2 6 2 2 4" xfId="60396"/>
    <cellStyle name="Normal 3 6 2 6 2 3" xfId="18207"/>
    <cellStyle name="Normal 3 6 2 6 2 4" xfId="24697"/>
    <cellStyle name="Normal 3 6 2 6 2 5" xfId="37677"/>
    <cellStyle name="Normal 3 6 2 6 2 6" xfId="53906"/>
    <cellStyle name="Normal 3 6 2 6 3" xfId="8469"/>
    <cellStyle name="Normal 3 6 2 6 3 2" xfId="27942"/>
    <cellStyle name="Normal 3 6 2 6 3 3" xfId="40922"/>
    <cellStyle name="Normal 3 6 2 6 3 4" xfId="57151"/>
    <cellStyle name="Normal 3 6 2 6 4" xfId="14962"/>
    <cellStyle name="Normal 3 6 2 6 4 2" xfId="50661"/>
    <cellStyle name="Normal 3 6 2 6 5" xfId="21452"/>
    <cellStyle name="Normal 3 6 2 6 6" xfId="34432"/>
    <cellStyle name="Normal 3 6 2 6 7" xfId="47415"/>
    <cellStyle name="Normal 3 6 2 7" xfId="3558"/>
    <cellStyle name="Normal 3 6 2 7 2" xfId="10090"/>
    <cellStyle name="Normal 3 6 2 7 2 2" xfId="29563"/>
    <cellStyle name="Normal 3 6 2 7 2 3" xfId="42543"/>
    <cellStyle name="Normal 3 6 2 7 2 4" xfId="58772"/>
    <cellStyle name="Normal 3 6 2 7 3" xfId="16583"/>
    <cellStyle name="Normal 3 6 2 7 4" xfId="23073"/>
    <cellStyle name="Normal 3 6 2 7 5" xfId="36053"/>
    <cellStyle name="Normal 3 6 2 7 6" xfId="52282"/>
    <cellStyle name="Normal 3 6 2 8" xfId="6845"/>
    <cellStyle name="Normal 3 6 2 8 2" xfId="26318"/>
    <cellStyle name="Normal 3 6 2 8 3" xfId="39298"/>
    <cellStyle name="Normal 3 6 2 8 4" xfId="55527"/>
    <cellStyle name="Normal 3 6 2 9" xfId="13338"/>
    <cellStyle name="Normal 3 6 2 9 2" xfId="49037"/>
    <cellStyle name="Normal 3 6 3" xfId="220"/>
    <cellStyle name="Normal 3 6 3 10" xfId="32764"/>
    <cellStyle name="Normal 3 6 3 11" xfId="45747"/>
    <cellStyle name="Normal 3 6 3 2" xfId="684"/>
    <cellStyle name="Normal 3 6 3 2 10" xfId="46207"/>
    <cellStyle name="Normal 3 6 3 2 2" xfId="1623"/>
    <cellStyle name="Normal 3 6 3 2 2 2" xfId="3290"/>
    <cellStyle name="Normal 3 6 3 2 2 2 2" xfId="6535"/>
    <cellStyle name="Normal 3 6 3 2 2 2 2 2" xfId="13067"/>
    <cellStyle name="Normal 3 6 3 2 2 2 2 2 2" xfId="32540"/>
    <cellStyle name="Normal 3 6 3 2 2 2 2 2 3" xfId="45520"/>
    <cellStyle name="Normal 3 6 3 2 2 2 2 2 4" xfId="61749"/>
    <cellStyle name="Normal 3 6 3 2 2 2 2 3" xfId="19560"/>
    <cellStyle name="Normal 3 6 3 2 2 2 2 4" xfId="26050"/>
    <cellStyle name="Normal 3 6 3 2 2 2 2 5" xfId="39030"/>
    <cellStyle name="Normal 3 6 3 2 2 2 2 6" xfId="55259"/>
    <cellStyle name="Normal 3 6 3 2 2 2 3" xfId="9822"/>
    <cellStyle name="Normal 3 6 3 2 2 2 3 2" xfId="29295"/>
    <cellStyle name="Normal 3 6 3 2 2 2 3 3" xfId="42275"/>
    <cellStyle name="Normal 3 6 3 2 2 2 3 4" xfId="58504"/>
    <cellStyle name="Normal 3 6 3 2 2 2 4" xfId="16315"/>
    <cellStyle name="Normal 3 6 3 2 2 2 4 2" xfId="52014"/>
    <cellStyle name="Normal 3 6 3 2 2 2 5" xfId="22805"/>
    <cellStyle name="Normal 3 6 3 2 2 2 6" xfId="35785"/>
    <cellStyle name="Normal 3 6 3 2 2 2 7" xfId="48768"/>
    <cellStyle name="Normal 3 6 3 2 2 3" xfId="4912"/>
    <cellStyle name="Normal 3 6 3 2 2 3 2" xfId="11444"/>
    <cellStyle name="Normal 3 6 3 2 2 3 2 2" xfId="30917"/>
    <cellStyle name="Normal 3 6 3 2 2 3 2 3" xfId="43897"/>
    <cellStyle name="Normal 3 6 3 2 2 3 2 4" xfId="60126"/>
    <cellStyle name="Normal 3 6 3 2 2 3 3" xfId="17937"/>
    <cellStyle name="Normal 3 6 3 2 2 3 4" xfId="24427"/>
    <cellStyle name="Normal 3 6 3 2 2 3 5" xfId="37407"/>
    <cellStyle name="Normal 3 6 3 2 2 3 6" xfId="53636"/>
    <cellStyle name="Normal 3 6 3 2 2 4" xfId="8199"/>
    <cellStyle name="Normal 3 6 3 2 2 4 2" xfId="27672"/>
    <cellStyle name="Normal 3 6 3 2 2 4 3" xfId="40652"/>
    <cellStyle name="Normal 3 6 3 2 2 4 4" xfId="56881"/>
    <cellStyle name="Normal 3 6 3 2 2 5" xfId="14692"/>
    <cellStyle name="Normal 3 6 3 2 2 5 2" xfId="50391"/>
    <cellStyle name="Normal 3 6 3 2 2 6" xfId="21182"/>
    <cellStyle name="Normal 3 6 3 2 2 7" xfId="34162"/>
    <cellStyle name="Normal 3 6 3 2 2 8" xfId="47145"/>
    <cellStyle name="Normal 3 6 3 2 3" xfId="1160"/>
    <cellStyle name="Normal 3 6 3 2 3 2" xfId="2827"/>
    <cellStyle name="Normal 3 6 3 2 3 2 2" xfId="6072"/>
    <cellStyle name="Normal 3 6 3 2 3 2 2 2" xfId="12604"/>
    <cellStyle name="Normal 3 6 3 2 3 2 2 2 2" xfId="32077"/>
    <cellStyle name="Normal 3 6 3 2 3 2 2 2 3" xfId="45057"/>
    <cellStyle name="Normal 3 6 3 2 3 2 2 2 4" xfId="61286"/>
    <cellStyle name="Normal 3 6 3 2 3 2 2 3" xfId="19097"/>
    <cellStyle name="Normal 3 6 3 2 3 2 2 4" xfId="25587"/>
    <cellStyle name="Normal 3 6 3 2 3 2 2 5" xfId="38567"/>
    <cellStyle name="Normal 3 6 3 2 3 2 2 6" xfId="54796"/>
    <cellStyle name="Normal 3 6 3 2 3 2 3" xfId="9359"/>
    <cellStyle name="Normal 3 6 3 2 3 2 3 2" xfId="28832"/>
    <cellStyle name="Normal 3 6 3 2 3 2 3 3" xfId="41812"/>
    <cellStyle name="Normal 3 6 3 2 3 2 3 4" xfId="58041"/>
    <cellStyle name="Normal 3 6 3 2 3 2 4" xfId="15852"/>
    <cellStyle name="Normal 3 6 3 2 3 2 4 2" xfId="51551"/>
    <cellStyle name="Normal 3 6 3 2 3 2 5" xfId="22342"/>
    <cellStyle name="Normal 3 6 3 2 3 2 6" xfId="35322"/>
    <cellStyle name="Normal 3 6 3 2 3 2 7" xfId="48305"/>
    <cellStyle name="Normal 3 6 3 2 3 3" xfId="4449"/>
    <cellStyle name="Normal 3 6 3 2 3 3 2" xfId="10981"/>
    <cellStyle name="Normal 3 6 3 2 3 3 2 2" xfId="30454"/>
    <cellStyle name="Normal 3 6 3 2 3 3 2 3" xfId="43434"/>
    <cellStyle name="Normal 3 6 3 2 3 3 2 4" xfId="59663"/>
    <cellStyle name="Normal 3 6 3 2 3 3 3" xfId="17474"/>
    <cellStyle name="Normal 3 6 3 2 3 3 4" xfId="23964"/>
    <cellStyle name="Normal 3 6 3 2 3 3 5" xfId="36944"/>
    <cellStyle name="Normal 3 6 3 2 3 3 6" xfId="53173"/>
    <cellStyle name="Normal 3 6 3 2 3 4" xfId="7736"/>
    <cellStyle name="Normal 3 6 3 2 3 4 2" xfId="27209"/>
    <cellStyle name="Normal 3 6 3 2 3 4 3" xfId="40189"/>
    <cellStyle name="Normal 3 6 3 2 3 4 4" xfId="56418"/>
    <cellStyle name="Normal 3 6 3 2 3 5" xfId="14229"/>
    <cellStyle name="Normal 3 6 3 2 3 5 2" xfId="49928"/>
    <cellStyle name="Normal 3 6 3 2 3 6" xfId="20719"/>
    <cellStyle name="Normal 3 6 3 2 3 7" xfId="33699"/>
    <cellStyle name="Normal 3 6 3 2 3 8" xfId="46682"/>
    <cellStyle name="Normal 3 6 3 2 4" xfId="2352"/>
    <cellStyle name="Normal 3 6 3 2 4 2" xfId="5597"/>
    <cellStyle name="Normal 3 6 3 2 4 2 2" xfId="12129"/>
    <cellStyle name="Normal 3 6 3 2 4 2 2 2" xfId="31602"/>
    <cellStyle name="Normal 3 6 3 2 4 2 2 3" xfId="44582"/>
    <cellStyle name="Normal 3 6 3 2 4 2 2 4" xfId="60811"/>
    <cellStyle name="Normal 3 6 3 2 4 2 3" xfId="18622"/>
    <cellStyle name="Normal 3 6 3 2 4 2 4" xfId="25112"/>
    <cellStyle name="Normal 3 6 3 2 4 2 5" xfId="38092"/>
    <cellStyle name="Normal 3 6 3 2 4 2 6" xfId="54321"/>
    <cellStyle name="Normal 3 6 3 2 4 3" xfId="8884"/>
    <cellStyle name="Normal 3 6 3 2 4 3 2" xfId="28357"/>
    <cellStyle name="Normal 3 6 3 2 4 3 3" xfId="41337"/>
    <cellStyle name="Normal 3 6 3 2 4 3 4" xfId="57566"/>
    <cellStyle name="Normal 3 6 3 2 4 4" xfId="15377"/>
    <cellStyle name="Normal 3 6 3 2 4 4 2" xfId="51076"/>
    <cellStyle name="Normal 3 6 3 2 4 5" xfId="21867"/>
    <cellStyle name="Normal 3 6 3 2 4 6" xfId="34847"/>
    <cellStyle name="Normal 3 6 3 2 4 7" xfId="47830"/>
    <cellStyle name="Normal 3 6 3 2 5" xfId="3974"/>
    <cellStyle name="Normal 3 6 3 2 5 2" xfId="10506"/>
    <cellStyle name="Normal 3 6 3 2 5 2 2" xfId="29979"/>
    <cellStyle name="Normal 3 6 3 2 5 2 3" xfId="42959"/>
    <cellStyle name="Normal 3 6 3 2 5 2 4" xfId="59188"/>
    <cellStyle name="Normal 3 6 3 2 5 3" xfId="16999"/>
    <cellStyle name="Normal 3 6 3 2 5 4" xfId="23489"/>
    <cellStyle name="Normal 3 6 3 2 5 5" xfId="36469"/>
    <cellStyle name="Normal 3 6 3 2 5 6" xfId="52698"/>
    <cellStyle name="Normal 3 6 3 2 6" xfId="7261"/>
    <cellStyle name="Normal 3 6 3 2 6 2" xfId="26734"/>
    <cellStyle name="Normal 3 6 3 2 6 3" xfId="39714"/>
    <cellStyle name="Normal 3 6 3 2 6 4" xfId="55943"/>
    <cellStyle name="Normal 3 6 3 2 7" xfId="13754"/>
    <cellStyle name="Normal 3 6 3 2 7 2" xfId="49453"/>
    <cellStyle name="Normal 3 6 3 2 8" xfId="20244"/>
    <cellStyle name="Normal 3 6 3 2 9" xfId="33224"/>
    <cellStyle name="Normal 3 6 3 3" xfId="454"/>
    <cellStyle name="Normal 3 6 3 3 2" xfId="1403"/>
    <cellStyle name="Normal 3 6 3 3 2 2" xfId="3070"/>
    <cellStyle name="Normal 3 6 3 3 2 2 2" xfId="6315"/>
    <cellStyle name="Normal 3 6 3 3 2 2 2 2" xfId="12847"/>
    <cellStyle name="Normal 3 6 3 3 2 2 2 2 2" xfId="32320"/>
    <cellStyle name="Normal 3 6 3 3 2 2 2 2 3" xfId="45300"/>
    <cellStyle name="Normal 3 6 3 3 2 2 2 2 4" xfId="61529"/>
    <cellStyle name="Normal 3 6 3 3 2 2 2 3" xfId="19340"/>
    <cellStyle name="Normal 3 6 3 3 2 2 2 4" xfId="25830"/>
    <cellStyle name="Normal 3 6 3 3 2 2 2 5" xfId="38810"/>
    <cellStyle name="Normal 3 6 3 3 2 2 2 6" xfId="55039"/>
    <cellStyle name="Normal 3 6 3 3 2 2 3" xfId="9602"/>
    <cellStyle name="Normal 3 6 3 3 2 2 3 2" xfId="29075"/>
    <cellStyle name="Normal 3 6 3 3 2 2 3 3" xfId="42055"/>
    <cellStyle name="Normal 3 6 3 3 2 2 3 4" xfId="58284"/>
    <cellStyle name="Normal 3 6 3 3 2 2 4" xfId="16095"/>
    <cellStyle name="Normal 3 6 3 3 2 2 4 2" xfId="51794"/>
    <cellStyle name="Normal 3 6 3 3 2 2 5" xfId="22585"/>
    <cellStyle name="Normal 3 6 3 3 2 2 6" xfId="35565"/>
    <cellStyle name="Normal 3 6 3 3 2 2 7" xfId="48548"/>
    <cellStyle name="Normal 3 6 3 3 2 3" xfId="4692"/>
    <cellStyle name="Normal 3 6 3 3 2 3 2" xfId="11224"/>
    <cellStyle name="Normal 3 6 3 3 2 3 2 2" xfId="30697"/>
    <cellStyle name="Normal 3 6 3 3 2 3 2 3" xfId="43677"/>
    <cellStyle name="Normal 3 6 3 3 2 3 2 4" xfId="59906"/>
    <cellStyle name="Normal 3 6 3 3 2 3 3" xfId="17717"/>
    <cellStyle name="Normal 3 6 3 3 2 3 4" xfId="24207"/>
    <cellStyle name="Normal 3 6 3 3 2 3 5" xfId="37187"/>
    <cellStyle name="Normal 3 6 3 3 2 3 6" xfId="53416"/>
    <cellStyle name="Normal 3 6 3 3 2 4" xfId="7979"/>
    <cellStyle name="Normal 3 6 3 3 2 4 2" xfId="27452"/>
    <cellStyle name="Normal 3 6 3 3 2 4 3" xfId="40432"/>
    <cellStyle name="Normal 3 6 3 3 2 4 4" xfId="56661"/>
    <cellStyle name="Normal 3 6 3 3 2 5" xfId="14472"/>
    <cellStyle name="Normal 3 6 3 3 2 5 2" xfId="50171"/>
    <cellStyle name="Normal 3 6 3 3 2 6" xfId="20962"/>
    <cellStyle name="Normal 3 6 3 3 2 7" xfId="33942"/>
    <cellStyle name="Normal 3 6 3 3 2 8" xfId="46925"/>
    <cellStyle name="Normal 3 6 3 3 3" xfId="2122"/>
    <cellStyle name="Normal 3 6 3 3 3 2" xfId="5367"/>
    <cellStyle name="Normal 3 6 3 3 3 2 2" xfId="11899"/>
    <cellStyle name="Normal 3 6 3 3 3 2 2 2" xfId="31372"/>
    <cellStyle name="Normal 3 6 3 3 3 2 2 3" xfId="44352"/>
    <cellStyle name="Normal 3 6 3 3 3 2 2 4" xfId="60581"/>
    <cellStyle name="Normal 3 6 3 3 3 2 3" xfId="18392"/>
    <cellStyle name="Normal 3 6 3 3 3 2 4" xfId="24882"/>
    <cellStyle name="Normal 3 6 3 3 3 2 5" xfId="37862"/>
    <cellStyle name="Normal 3 6 3 3 3 2 6" xfId="54091"/>
    <cellStyle name="Normal 3 6 3 3 3 3" xfId="8654"/>
    <cellStyle name="Normal 3 6 3 3 3 3 2" xfId="28127"/>
    <cellStyle name="Normal 3 6 3 3 3 3 3" xfId="41107"/>
    <cellStyle name="Normal 3 6 3 3 3 3 4" xfId="57336"/>
    <cellStyle name="Normal 3 6 3 3 3 4" xfId="15147"/>
    <cellStyle name="Normal 3 6 3 3 3 4 2" xfId="50846"/>
    <cellStyle name="Normal 3 6 3 3 3 5" xfId="21637"/>
    <cellStyle name="Normal 3 6 3 3 3 6" xfId="34617"/>
    <cellStyle name="Normal 3 6 3 3 3 7" xfId="47600"/>
    <cellStyle name="Normal 3 6 3 3 4" xfId="3744"/>
    <cellStyle name="Normal 3 6 3 3 4 2" xfId="10276"/>
    <cellStyle name="Normal 3 6 3 3 4 2 2" xfId="29749"/>
    <cellStyle name="Normal 3 6 3 3 4 2 3" xfId="42729"/>
    <cellStyle name="Normal 3 6 3 3 4 2 4" xfId="58958"/>
    <cellStyle name="Normal 3 6 3 3 4 3" xfId="16769"/>
    <cellStyle name="Normal 3 6 3 3 4 4" xfId="23259"/>
    <cellStyle name="Normal 3 6 3 3 4 5" xfId="36239"/>
    <cellStyle name="Normal 3 6 3 3 4 6" xfId="52468"/>
    <cellStyle name="Normal 3 6 3 3 5" xfId="7031"/>
    <cellStyle name="Normal 3 6 3 3 5 2" xfId="26504"/>
    <cellStyle name="Normal 3 6 3 3 5 3" xfId="39484"/>
    <cellStyle name="Normal 3 6 3 3 5 4" xfId="55713"/>
    <cellStyle name="Normal 3 6 3 3 6" xfId="13524"/>
    <cellStyle name="Normal 3 6 3 3 6 2" xfId="49223"/>
    <cellStyle name="Normal 3 6 3 3 7" xfId="20014"/>
    <cellStyle name="Normal 3 6 3 3 8" xfId="32994"/>
    <cellStyle name="Normal 3 6 3 3 9" xfId="45977"/>
    <cellStyle name="Normal 3 6 3 4" xfId="940"/>
    <cellStyle name="Normal 3 6 3 4 2" xfId="2607"/>
    <cellStyle name="Normal 3 6 3 4 2 2" xfId="5852"/>
    <cellStyle name="Normal 3 6 3 4 2 2 2" xfId="12384"/>
    <cellStyle name="Normal 3 6 3 4 2 2 2 2" xfId="31857"/>
    <cellStyle name="Normal 3 6 3 4 2 2 2 3" xfId="44837"/>
    <cellStyle name="Normal 3 6 3 4 2 2 2 4" xfId="61066"/>
    <cellStyle name="Normal 3 6 3 4 2 2 3" xfId="18877"/>
    <cellStyle name="Normal 3 6 3 4 2 2 4" xfId="25367"/>
    <cellStyle name="Normal 3 6 3 4 2 2 5" xfId="38347"/>
    <cellStyle name="Normal 3 6 3 4 2 2 6" xfId="54576"/>
    <cellStyle name="Normal 3 6 3 4 2 3" xfId="9139"/>
    <cellStyle name="Normal 3 6 3 4 2 3 2" xfId="28612"/>
    <cellStyle name="Normal 3 6 3 4 2 3 3" xfId="41592"/>
    <cellStyle name="Normal 3 6 3 4 2 3 4" xfId="57821"/>
    <cellStyle name="Normal 3 6 3 4 2 4" xfId="15632"/>
    <cellStyle name="Normal 3 6 3 4 2 4 2" xfId="51331"/>
    <cellStyle name="Normal 3 6 3 4 2 5" xfId="22122"/>
    <cellStyle name="Normal 3 6 3 4 2 6" xfId="35102"/>
    <cellStyle name="Normal 3 6 3 4 2 7" xfId="48085"/>
    <cellStyle name="Normal 3 6 3 4 3" xfId="4229"/>
    <cellStyle name="Normal 3 6 3 4 3 2" xfId="10761"/>
    <cellStyle name="Normal 3 6 3 4 3 2 2" xfId="30234"/>
    <cellStyle name="Normal 3 6 3 4 3 2 3" xfId="43214"/>
    <cellStyle name="Normal 3 6 3 4 3 2 4" xfId="59443"/>
    <cellStyle name="Normal 3 6 3 4 3 3" xfId="17254"/>
    <cellStyle name="Normal 3 6 3 4 3 4" xfId="23744"/>
    <cellStyle name="Normal 3 6 3 4 3 5" xfId="36724"/>
    <cellStyle name="Normal 3 6 3 4 3 6" xfId="52953"/>
    <cellStyle name="Normal 3 6 3 4 4" xfId="7516"/>
    <cellStyle name="Normal 3 6 3 4 4 2" xfId="26989"/>
    <cellStyle name="Normal 3 6 3 4 4 3" xfId="39969"/>
    <cellStyle name="Normal 3 6 3 4 4 4" xfId="56198"/>
    <cellStyle name="Normal 3 6 3 4 5" xfId="14009"/>
    <cellStyle name="Normal 3 6 3 4 5 2" xfId="49708"/>
    <cellStyle name="Normal 3 6 3 4 6" xfId="20499"/>
    <cellStyle name="Normal 3 6 3 4 7" xfId="33479"/>
    <cellStyle name="Normal 3 6 3 4 8" xfId="46462"/>
    <cellStyle name="Normal 3 6 3 5" xfId="1893"/>
    <cellStyle name="Normal 3 6 3 5 2" xfId="5138"/>
    <cellStyle name="Normal 3 6 3 5 2 2" xfId="11670"/>
    <cellStyle name="Normal 3 6 3 5 2 2 2" xfId="31143"/>
    <cellStyle name="Normal 3 6 3 5 2 2 3" xfId="44123"/>
    <cellStyle name="Normal 3 6 3 5 2 2 4" xfId="60352"/>
    <cellStyle name="Normal 3 6 3 5 2 3" xfId="18163"/>
    <cellStyle name="Normal 3 6 3 5 2 4" xfId="24653"/>
    <cellStyle name="Normal 3 6 3 5 2 5" xfId="37633"/>
    <cellStyle name="Normal 3 6 3 5 2 6" xfId="53862"/>
    <cellStyle name="Normal 3 6 3 5 3" xfId="8425"/>
    <cellStyle name="Normal 3 6 3 5 3 2" xfId="27898"/>
    <cellStyle name="Normal 3 6 3 5 3 3" xfId="40878"/>
    <cellStyle name="Normal 3 6 3 5 3 4" xfId="57107"/>
    <cellStyle name="Normal 3 6 3 5 4" xfId="14918"/>
    <cellStyle name="Normal 3 6 3 5 4 2" xfId="50617"/>
    <cellStyle name="Normal 3 6 3 5 5" xfId="21408"/>
    <cellStyle name="Normal 3 6 3 5 6" xfId="34388"/>
    <cellStyle name="Normal 3 6 3 5 7" xfId="47371"/>
    <cellStyle name="Normal 3 6 3 6" xfId="3514"/>
    <cellStyle name="Normal 3 6 3 6 2" xfId="10046"/>
    <cellStyle name="Normal 3 6 3 6 2 2" xfId="29519"/>
    <cellStyle name="Normal 3 6 3 6 2 3" xfId="42499"/>
    <cellStyle name="Normal 3 6 3 6 2 4" xfId="58728"/>
    <cellStyle name="Normal 3 6 3 6 3" xfId="16539"/>
    <cellStyle name="Normal 3 6 3 6 4" xfId="23029"/>
    <cellStyle name="Normal 3 6 3 6 5" xfId="36009"/>
    <cellStyle name="Normal 3 6 3 6 6" xfId="52238"/>
    <cellStyle name="Normal 3 6 3 7" xfId="6801"/>
    <cellStyle name="Normal 3 6 3 7 2" xfId="26274"/>
    <cellStyle name="Normal 3 6 3 7 3" xfId="39254"/>
    <cellStyle name="Normal 3 6 3 7 4" xfId="55483"/>
    <cellStyle name="Normal 3 6 3 8" xfId="13294"/>
    <cellStyle name="Normal 3 6 3 8 2" xfId="48993"/>
    <cellStyle name="Normal 3 6 3 9" xfId="19784"/>
    <cellStyle name="Normal 3 6 4" xfId="308"/>
    <cellStyle name="Normal 3 6 4 10" xfId="32852"/>
    <cellStyle name="Normal 3 6 4 11" xfId="45835"/>
    <cellStyle name="Normal 3 6 4 2" xfId="772"/>
    <cellStyle name="Normal 3 6 4 2 10" xfId="46295"/>
    <cellStyle name="Normal 3 6 4 2 2" xfId="1711"/>
    <cellStyle name="Normal 3 6 4 2 2 2" xfId="3378"/>
    <cellStyle name="Normal 3 6 4 2 2 2 2" xfId="6623"/>
    <cellStyle name="Normal 3 6 4 2 2 2 2 2" xfId="13155"/>
    <cellStyle name="Normal 3 6 4 2 2 2 2 2 2" xfId="32628"/>
    <cellStyle name="Normal 3 6 4 2 2 2 2 2 3" xfId="45608"/>
    <cellStyle name="Normal 3 6 4 2 2 2 2 2 4" xfId="61837"/>
    <cellStyle name="Normal 3 6 4 2 2 2 2 3" xfId="19648"/>
    <cellStyle name="Normal 3 6 4 2 2 2 2 4" xfId="26138"/>
    <cellStyle name="Normal 3 6 4 2 2 2 2 5" xfId="39118"/>
    <cellStyle name="Normal 3 6 4 2 2 2 2 6" xfId="55347"/>
    <cellStyle name="Normal 3 6 4 2 2 2 3" xfId="9910"/>
    <cellStyle name="Normal 3 6 4 2 2 2 3 2" xfId="29383"/>
    <cellStyle name="Normal 3 6 4 2 2 2 3 3" xfId="42363"/>
    <cellStyle name="Normal 3 6 4 2 2 2 3 4" xfId="58592"/>
    <cellStyle name="Normal 3 6 4 2 2 2 4" xfId="16403"/>
    <cellStyle name="Normal 3 6 4 2 2 2 4 2" xfId="52102"/>
    <cellStyle name="Normal 3 6 4 2 2 2 5" xfId="22893"/>
    <cellStyle name="Normal 3 6 4 2 2 2 6" xfId="35873"/>
    <cellStyle name="Normal 3 6 4 2 2 2 7" xfId="48856"/>
    <cellStyle name="Normal 3 6 4 2 2 3" xfId="5000"/>
    <cellStyle name="Normal 3 6 4 2 2 3 2" xfId="11532"/>
    <cellStyle name="Normal 3 6 4 2 2 3 2 2" xfId="31005"/>
    <cellStyle name="Normal 3 6 4 2 2 3 2 3" xfId="43985"/>
    <cellStyle name="Normal 3 6 4 2 2 3 2 4" xfId="60214"/>
    <cellStyle name="Normal 3 6 4 2 2 3 3" xfId="18025"/>
    <cellStyle name="Normal 3 6 4 2 2 3 4" xfId="24515"/>
    <cellStyle name="Normal 3 6 4 2 2 3 5" xfId="37495"/>
    <cellStyle name="Normal 3 6 4 2 2 3 6" xfId="53724"/>
    <cellStyle name="Normal 3 6 4 2 2 4" xfId="8287"/>
    <cellStyle name="Normal 3 6 4 2 2 4 2" xfId="27760"/>
    <cellStyle name="Normal 3 6 4 2 2 4 3" xfId="40740"/>
    <cellStyle name="Normal 3 6 4 2 2 4 4" xfId="56969"/>
    <cellStyle name="Normal 3 6 4 2 2 5" xfId="14780"/>
    <cellStyle name="Normal 3 6 4 2 2 5 2" xfId="50479"/>
    <cellStyle name="Normal 3 6 4 2 2 6" xfId="21270"/>
    <cellStyle name="Normal 3 6 4 2 2 7" xfId="34250"/>
    <cellStyle name="Normal 3 6 4 2 2 8" xfId="47233"/>
    <cellStyle name="Normal 3 6 4 2 3" xfId="1248"/>
    <cellStyle name="Normal 3 6 4 2 3 2" xfId="2915"/>
    <cellStyle name="Normal 3 6 4 2 3 2 2" xfId="6160"/>
    <cellStyle name="Normal 3 6 4 2 3 2 2 2" xfId="12692"/>
    <cellStyle name="Normal 3 6 4 2 3 2 2 2 2" xfId="32165"/>
    <cellStyle name="Normal 3 6 4 2 3 2 2 2 3" xfId="45145"/>
    <cellStyle name="Normal 3 6 4 2 3 2 2 2 4" xfId="61374"/>
    <cellStyle name="Normal 3 6 4 2 3 2 2 3" xfId="19185"/>
    <cellStyle name="Normal 3 6 4 2 3 2 2 4" xfId="25675"/>
    <cellStyle name="Normal 3 6 4 2 3 2 2 5" xfId="38655"/>
    <cellStyle name="Normal 3 6 4 2 3 2 2 6" xfId="54884"/>
    <cellStyle name="Normal 3 6 4 2 3 2 3" xfId="9447"/>
    <cellStyle name="Normal 3 6 4 2 3 2 3 2" xfId="28920"/>
    <cellStyle name="Normal 3 6 4 2 3 2 3 3" xfId="41900"/>
    <cellStyle name="Normal 3 6 4 2 3 2 3 4" xfId="58129"/>
    <cellStyle name="Normal 3 6 4 2 3 2 4" xfId="15940"/>
    <cellStyle name="Normal 3 6 4 2 3 2 4 2" xfId="51639"/>
    <cellStyle name="Normal 3 6 4 2 3 2 5" xfId="22430"/>
    <cellStyle name="Normal 3 6 4 2 3 2 6" xfId="35410"/>
    <cellStyle name="Normal 3 6 4 2 3 2 7" xfId="48393"/>
    <cellStyle name="Normal 3 6 4 2 3 3" xfId="4537"/>
    <cellStyle name="Normal 3 6 4 2 3 3 2" xfId="11069"/>
    <cellStyle name="Normal 3 6 4 2 3 3 2 2" xfId="30542"/>
    <cellStyle name="Normal 3 6 4 2 3 3 2 3" xfId="43522"/>
    <cellStyle name="Normal 3 6 4 2 3 3 2 4" xfId="59751"/>
    <cellStyle name="Normal 3 6 4 2 3 3 3" xfId="17562"/>
    <cellStyle name="Normal 3 6 4 2 3 3 4" xfId="24052"/>
    <cellStyle name="Normal 3 6 4 2 3 3 5" xfId="37032"/>
    <cellStyle name="Normal 3 6 4 2 3 3 6" xfId="53261"/>
    <cellStyle name="Normal 3 6 4 2 3 4" xfId="7824"/>
    <cellStyle name="Normal 3 6 4 2 3 4 2" xfId="27297"/>
    <cellStyle name="Normal 3 6 4 2 3 4 3" xfId="40277"/>
    <cellStyle name="Normal 3 6 4 2 3 4 4" xfId="56506"/>
    <cellStyle name="Normal 3 6 4 2 3 5" xfId="14317"/>
    <cellStyle name="Normal 3 6 4 2 3 5 2" xfId="50016"/>
    <cellStyle name="Normal 3 6 4 2 3 6" xfId="20807"/>
    <cellStyle name="Normal 3 6 4 2 3 7" xfId="33787"/>
    <cellStyle name="Normal 3 6 4 2 3 8" xfId="46770"/>
    <cellStyle name="Normal 3 6 4 2 4" xfId="2440"/>
    <cellStyle name="Normal 3 6 4 2 4 2" xfId="5685"/>
    <cellStyle name="Normal 3 6 4 2 4 2 2" xfId="12217"/>
    <cellStyle name="Normal 3 6 4 2 4 2 2 2" xfId="31690"/>
    <cellStyle name="Normal 3 6 4 2 4 2 2 3" xfId="44670"/>
    <cellStyle name="Normal 3 6 4 2 4 2 2 4" xfId="60899"/>
    <cellStyle name="Normal 3 6 4 2 4 2 3" xfId="18710"/>
    <cellStyle name="Normal 3 6 4 2 4 2 4" xfId="25200"/>
    <cellStyle name="Normal 3 6 4 2 4 2 5" xfId="38180"/>
    <cellStyle name="Normal 3 6 4 2 4 2 6" xfId="54409"/>
    <cellStyle name="Normal 3 6 4 2 4 3" xfId="8972"/>
    <cellStyle name="Normal 3 6 4 2 4 3 2" xfId="28445"/>
    <cellStyle name="Normal 3 6 4 2 4 3 3" xfId="41425"/>
    <cellStyle name="Normal 3 6 4 2 4 3 4" xfId="57654"/>
    <cellStyle name="Normal 3 6 4 2 4 4" xfId="15465"/>
    <cellStyle name="Normal 3 6 4 2 4 4 2" xfId="51164"/>
    <cellStyle name="Normal 3 6 4 2 4 5" xfId="21955"/>
    <cellStyle name="Normal 3 6 4 2 4 6" xfId="34935"/>
    <cellStyle name="Normal 3 6 4 2 4 7" xfId="47918"/>
    <cellStyle name="Normal 3 6 4 2 5" xfId="4062"/>
    <cellStyle name="Normal 3 6 4 2 5 2" xfId="10594"/>
    <cellStyle name="Normal 3 6 4 2 5 2 2" xfId="30067"/>
    <cellStyle name="Normal 3 6 4 2 5 2 3" xfId="43047"/>
    <cellStyle name="Normal 3 6 4 2 5 2 4" xfId="59276"/>
    <cellStyle name="Normal 3 6 4 2 5 3" xfId="17087"/>
    <cellStyle name="Normal 3 6 4 2 5 4" xfId="23577"/>
    <cellStyle name="Normal 3 6 4 2 5 5" xfId="36557"/>
    <cellStyle name="Normal 3 6 4 2 5 6" xfId="52786"/>
    <cellStyle name="Normal 3 6 4 2 6" xfId="7349"/>
    <cellStyle name="Normal 3 6 4 2 6 2" xfId="26822"/>
    <cellStyle name="Normal 3 6 4 2 6 3" xfId="39802"/>
    <cellStyle name="Normal 3 6 4 2 6 4" xfId="56031"/>
    <cellStyle name="Normal 3 6 4 2 7" xfId="13842"/>
    <cellStyle name="Normal 3 6 4 2 7 2" xfId="49541"/>
    <cellStyle name="Normal 3 6 4 2 8" xfId="20332"/>
    <cellStyle name="Normal 3 6 4 2 9" xfId="33312"/>
    <cellStyle name="Normal 3 6 4 3" xfId="542"/>
    <cellStyle name="Normal 3 6 4 3 2" xfId="1491"/>
    <cellStyle name="Normal 3 6 4 3 2 2" xfId="3158"/>
    <cellStyle name="Normal 3 6 4 3 2 2 2" xfId="6403"/>
    <cellStyle name="Normal 3 6 4 3 2 2 2 2" xfId="12935"/>
    <cellStyle name="Normal 3 6 4 3 2 2 2 2 2" xfId="32408"/>
    <cellStyle name="Normal 3 6 4 3 2 2 2 2 3" xfId="45388"/>
    <cellStyle name="Normal 3 6 4 3 2 2 2 2 4" xfId="61617"/>
    <cellStyle name="Normal 3 6 4 3 2 2 2 3" xfId="19428"/>
    <cellStyle name="Normal 3 6 4 3 2 2 2 4" xfId="25918"/>
    <cellStyle name="Normal 3 6 4 3 2 2 2 5" xfId="38898"/>
    <cellStyle name="Normal 3 6 4 3 2 2 2 6" xfId="55127"/>
    <cellStyle name="Normal 3 6 4 3 2 2 3" xfId="9690"/>
    <cellStyle name="Normal 3 6 4 3 2 2 3 2" xfId="29163"/>
    <cellStyle name="Normal 3 6 4 3 2 2 3 3" xfId="42143"/>
    <cellStyle name="Normal 3 6 4 3 2 2 3 4" xfId="58372"/>
    <cellStyle name="Normal 3 6 4 3 2 2 4" xfId="16183"/>
    <cellStyle name="Normal 3 6 4 3 2 2 4 2" xfId="51882"/>
    <cellStyle name="Normal 3 6 4 3 2 2 5" xfId="22673"/>
    <cellStyle name="Normal 3 6 4 3 2 2 6" xfId="35653"/>
    <cellStyle name="Normal 3 6 4 3 2 2 7" xfId="48636"/>
    <cellStyle name="Normal 3 6 4 3 2 3" xfId="4780"/>
    <cellStyle name="Normal 3 6 4 3 2 3 2" xfId="11312"/>
    <cellStyle name="Normal 3 6 4 3 2 3 2 2" xfId="30785"/>
    <cellStyle name="Normal 3 6 4 3 2 3 2 3" xfId="43765"/>
    <cellStyle name="Normal 3 6 4 3 2 3 2 4" xfId="59994"/>
    <cellStyle name="Normal 3 6 4 3 2 3 3" xfId="17805"/>
    <cellStyle name="Normal 3 6 4 3 2 3 4" xfId="24295"/>
    <cellStyle name="Normal 3 6 4 3 2 3 5" xfId="37275"/>
    <cellStyle name="Normal 3 6 4 3 2 3 6" xfId="53504"/>
    <cellStyle name="Normal 3 6 4 3 2 4" xfId="8067"/>
    <cellStyle name="Normal 3 6 4 3 2 4 2" xfId="27540"/>
    <cellStyle name="Normal 3 6 4 3 2 4 3" xfId="40520"/>
    <cellStyle name="Normal 3 6 4 3 2 4 4" xfId="56749"/>
    <cellStyle name="Normal 3 6 4 3 2 5" xfId="14560"/>
    <cellStyle name="Normal 3 6 4 3 2 5 2" xfId="50259"/>
    <cellStyle name="Normal 3 6 4 3 2 6" xfId="21050"/>
    <cellStyle name="Normal 3 6 4 3 2 7" xfId="34030"/>
    <cellStyle name="Normal 3 6 4 3 2 8" xfId="47013"/>
    <cellStyle name="Normal 3 6 4 3 3" xfId="2210"/>
    <cellStyle name="Normal 3 6 4 3 3 2" xfId="5455"/>
    <cellStyle name="Normal 3 6 4 3 3 2 2" xfId="11987"/>
    <cellStyle name="Normal 3 6 4 3 3 2 2 2" xfId="31460"/>
    <cellStyle name="Normal 3 6 4 3 3 2 2 3" xfId="44440"/>
    <cellStyle name="Normal 3 6 4 3 3 2 2 4" xfId="60669"/>
    <cellStyle name="Normal 3 6 4 3 3 2 3" xfId="18480"/>
    <cellStyle name="Normal 3 6 4 3 3 2 4" xfId="24970"/>
    <cellStyle name="Normal 3 6 4 3 3 2 5" xfId="37950"/>
    <cellStyle name="Normal 3 6 4 3 3 2 6" xfId="54179"/>
    <cellStyle name="Normal 3 6 4 3 3 3" xfId="8742"/>
    <cellStyle name="Normal 3 6 4 3 3 3 2" xfId="28215"/>
    <cellStyle name="Normal 3 6 4 3 3 3 3" xfId="41195"/>
    <cellStyle name="Normal 3 6 4 3 3 3 4" xfId="57424"/>
    <cellStyle name="Normal 3 6 4 3 3 4" xfId="15235"/>
    <cellStyle name="Normal 3 6 4 3 3 4 2" xfId="50934"/>
    <cellStyle name="Normal 3 6 4 3 3 5" xfId="21725"/>
    <cellStyle name="Normal 3 6 4 3 3 6" xfId="34705"/>
    <cellStyle name="Normal 3 6 4 3 3 7" xfId="47688"/>
    <cellStyle name="Normal 3 6 4 3 4" xfId="3832"/>
    <cellStyle name="Normal 3 6 4 3 4 2" xfId="10364"/>
    <cellStyle name="Normal 3 6 4 3 4 2 2" xfId="29837"/>
    <cellStyle name="Normal 3 6 4 3 4 2 3" xfId="42817"/>
    <cellStyle name="Normal 3 6 4 3 4 2 4" xfId="59046"/>
    <cellStyle name="Normal 3 6 4 3 4 3" xfId="16857"/>
    <cellStyle name="Normal 3 6 4 3 4 4" xfId="23347"/>
    <cellStyle name="Normal 3 6 4 3 4 5" xfId="36327"/>
    <cellStyle name="Normal 3 6 4 3 4 6" xfId="52556"/>
    <cellStyle name="Normal 3 6 4 3 5" xfId="7119"/>
    <cellStyle name="Normal 3 6 4 3 5 2" xfId="26592"/>
    <cellStyle name="Normal 3 6 4 3 5 3" xfId="39572"/>
    <cellStyle name="Normal 3 6 4 3 5 4" xfId="55801"/>
    <cellStyle name="Normal 3 6 4 3 6" xfId="13612"/>
    <cellStyle name="Normal 3 6 4 3 6 2" xfId="49311"/>
    <cellStyle name="Normal 3 6 4 3 7" xfId="20102"/>
    <cellStyle name="Normal 3 6 4 3 8" xfId="33082"/>
    <cellStyle name="Normal 3 6 4 3 9" xfId="46065"/>
    <cellStyle name="Normal 3 6 4 4" xfId="1028"/>
    <cellStyle name="Normal 3 6 4 4 2" xfId="2695"/>
    <cellStyle name="Normal 3 6 4 4 2 2" xfId="5940"/>
    <cellStyle name="Normal 3 6 4 4 2 2 2" xfId="12472"/>
    <cellStyle name="Normal 3 6 4 4 2 2 2 2" xfId="31945"/>
    <cellStyle name="Normal 3 6 4 4 2 2 2 3" xfId="44925"/>
    <cellStyle name="Normal 3 6 4 4 2 2 2 4" xfId="61154"/>
    <cellStyle name="Normal 3 6 4 4 2 2 3" xfId="18965"/>
    <cellStyle name="Normal 3 6 4 4 2 2 4" xfId="25455"/>
    <cellStyle name="Normal 3 6 4 4 2 2 5" xfId="38435"/>
    <cellStyle name="Normal 3 6 4 4 2 2 6" xfId="54664"/>
    <cellStyle name="Normal 3 6 4 4 2 3" xfId="9227"/>
    <cellStyle name="Normal 3 6 4 4 2 3 2" xfId="28700"/>
    <cellStyle name="Normal 3 6 4 4 2 3 3" xfId="41680"/>
    <cellStyle name="Normal 3 6 4 4 2 3 4" xfId="57909"/>
    <cellStyle name="Normal 3 6 4 4 2 4" xfId="15720"/>
    <cellStyle name="Normal 3 6 4 4 2 4 2" xfId="51419"/>
    <cellStyle name="Normal 3 6 4 4 2 5" xfId="22210"/>
    <cellStyle name="Normal 3 6 4 4 2 6" xfId="35190"/>
    <cellStyle name="Normal 3 6 4 4 2 7" xfId="48173"/>
    <cellStyle name="Normal 3 6 4 4 3" xfId="4317"/>
    <cellStyle name="Normal 3 6 4 4 3 2" xfId="10849"/>
    <cellStyle name="Normal 3 6 4 4 3 2 2" xfId="30322"/>
    <cellStyle name="Normal 3 6 4 4 3 2 3" xfId="43302"/>
    <cellStyle name="Normal 3 6 4 4 3 2 4" xfId="59531"/>
    <cellStyle name="Normal 3 6 4 4 3 3" xfId="17342"/>
    <cellStyle name="Normal 3 6 4 4 3 4" xfId="23832"/>
    <cellStyle name="Normal 3 6 4 4 3 5" xfId="36812"/>
    <cellStyle name="Normal 3 6 4 4 3 6" xfId="53041"/>
    <cellStyle name="Normal 3 6 4 4 4" xfId="7604"/>
    <cellStyle name="Normal 3 6 4 4 4 2" xfId="27077"/>
    <cellStyle name="Normal 3 6 4 4 4 3" xfId="40057"/>
    <cellStyle name="Normal 3 6 4 4 4 4" xfId="56286"/>
    <cellStyle name="Normal 3 6 4 4 5" xfId="14097"/>
    <cellStyle name="Normal 3 6 4 4 5 2" xfId="49796"/>
    <cellStyle name="Normal 3 6 4 4 6" xfId="20587"/>
    <cellStyle name="Normal 3 6 4 4 7" xfId="33567"/>
    <cellStyle name="Normal 3 6 4 4 8" xfId="46550"/>
    <cellStyle name="Normal 3 6 4 5" xfId="1981"/>
    <cellStyle name="Normal 3 6 4 5 2" xfId="5226"/>
    <cellStyle name="Normal 3 6 4 5 2 2" xfId="11758"/>
    <cellStyle name="Normal 3 6 4 5 2 2 2" xfId="31231"/>
    <cellStyle name="Normal 3 6 4 5 2 2 3" xfId="44211"/>
    <cellStyle name="Normal 3 6 4 5 2 2 4" xfId="60440"/>
    <cellStyle name="Normal 3 6 4 5 2 3" xfId="18251"/>
    <cellStyle name="Normal 3 6 4 5 2 4" xfId="24741"/>
    <cellStyle name="Normal 3 6 4 5 2 5" xfId="37721"/>
    <cellStyle name="Normal 3 6 4 5 2 6" xfId="53950"/>
    <cellStyle name="Normal 3 6 4 5 3" xfId="8513"/>
    <cellStyle name="Normal 3 6 4 5 3 2" xfId="27986"/>
    <cellStyle name="Normal 3 6 4 5 3 3" xfId="40966"/>
    <cellStyle name="Normal 3 6 4 5 3 4" xfId="57195"/>
    <cellStyle name="Normal 3 6 4 5 4" xfId="15006"/>
    <cellStyle name="Normal 3 6 4 5 4 2" xfId="50705"/>
    <cellStyle name="Normal 3 6 4 5 5" xfId="21496"/>
    <cellStyle name="Normal 3 6 4 5 6" xfId="34476"/>
    <cellStyle name="Normal 3 6 4 5 7" xfId="47459"/>
    <cellStyle name="Normal 3 6 4 6" xfId="3602"/>
    <cellStyle name="Normal 3 6 4 6 2" xfId="10134"/>
    <cellStyle name="Normal 3 6 4 6 2 2" xfId="29607"/>
    <cellStyle name="Normal 3 6 4 6 2 3" xfId="42587"/>
    <cellStyle name="Normal 3 6 4 6 2 4" xfId="58816"/>
    <cellStyle name="Normal 3 6 4 6 3" xfId="16627"/>
    <cellStyle name="Normal 3 6 4 6 4" xfId="23117"/>
    <cellStyle name="Normal 3 6 4 6 5" xfId="36097"/>
    <cellStyle name="Normal 3 6 4 6 6" xfId="52326"/>
    <cellStyle name="Normal 3 6 4 7" xfId="6889"/>
    <cellStyle name="Normal 3 6 4 7 2" xfId="26362"/>
    <cellStyle name="Normal 3 6 4 7 3" xfId="39342"/>
    <cellStyle name="Normal 3 6 4 7 4" xfId="55571"/>
    <cellStyle name="Normal 3 6 4 8" xfId="13382"/>
    <cellStyle name="Normal 3 6 4 8 2" xfId="49081"/>
    <cellStyle name="Normal 3 6 4 9" xfId="19872"/>
    <cellStyle name="Normal 3 6 5" xfId="640"/>
    <cellStyle name="Normal 3 6 5 10" xfId="46163"/>
    <cellStyle name="Normal 3 6 5 2" xfId="1359"/>
    <cellStyle name="Normal 3 6 5 2 2" xfId="3026"/>
    <cellStyle name="Normal 3 6 5 2 2 2" xfId="6271"/>
    <cellStyle name="Normal 3 6 5 2 2 2 2" xfId="12803"/>
    <cellStyle name="Normal 3 6 5 2 2 2 2 2" xfId="32276"/>
    <cellStyle name="Normal 3 6 5 2 2 2 2 3" xfId="45256"/>
    <cellStyle name="Normal 3 6 5 2 2 2 2 4" xfId="61485"/>
    <cellStyle name="Normal 3 6 5 2 2 2 3" xfId="19296"/>
    <cellStyle name="Normal 3 6 5 2 2 2 4" xfId="25786"/>
    <cellStyle name="Normal 3 6 5 2 2 2 5" xfId="38766"/>
    <cellStyle name="Normal 3 6 5 2 2 2 6" xfId="54995"/>
    <cellStyle name="Normal 3 6 5 2 2 3" xfId="9558"/>
    <cellStyle name="Normal 3 6 5 2 2 3 2" xfId="29031"/>
    <cellStyle name="Normal 3 6 5 2 2 3 3" xfId="42011"/>
    <cellStyle name="Normal 3 6 5 2 2 3 4" xfId="58240"/>
    <cellStyle name="Normal 3 6 5 2 2 4" xfId="16051"/>
    <cellStyle name="Normal 3 6 5 2 2 4 2" xfId="51750"/>
    <cellStyle name="Normal 3 6 5 2 2 5" xfId="22541"/>
    <cellStyle name="Normal 3 6 5 2 2 6" xfId="35521"/>
    <cellStyle name="Normal 3 6 5 2 2 7" xfId="48504"/>
    <cellStyle name="Normal 3 6 5 2 3" xfId="4648"/>
    <cellStyle name="Normal 3 6 5 2 3 2" xfId="11180"/>
    <cellStyle name="Normal 3 6 5 2 3 2 2" xfId="30653"/>
    <cellStyle name="Normal 3 6 5 2 3 2 3" xfId="43633"/>
    <cellStyle name="Normal 3 6 5 2 3 2 4" xfId="59862"/>
    <cellStyle name="Normal 3 6 5 2 3 3" xfId="17673"/>
    <cellStyle name="Normal 3 6 5 2 3 4" xfId="24163"/>
    <cellStyle name="Normal 3 6 5 2 3 5" xfId="37143"/>
    <cellStyle name="Normal 3 6 5 2 3 6" xfId="53372"/>
    <cellStyle name="Normal 3 6 5 2 4" xfId="7935"/>
    <cellStyle name="Normal 3 6 5 2 4 2" xfId="27408"/>
    <cellStyle name="Normal 3 6 5 2 4 3" xfId="40388"/>
    <cellStyle name="Normal 3 6 5 2 4 4" xfId="56617"/>
    <cellStyle name="Normal 3 6 5 2 5" xfId="14428"/>
    <cellStyle name="Normal 3 6 5 2 5 2" xfId="50127"/>
    <cellStyle name="Normal 3 6 5 2 6" xfId="20918"/>
    <cellStyle name="Normal 3 6 5 2 7" xfId="33898"/>
    <cellStyle name="Normal 3 6 5 2 8" xfId="46881"/>
    <cellStyle name="Normal 3 6 5 3" xfId="896"/>
    <cellStyle name="Normal 3 6 5 3 2" xfId="2563"/>
    <cellStyle name="Normal 3 6 5 3 2 2" xfId="5808"/>
    <cellStyle name="Normal 3 6 5 3 2 2 2" xfId="12340"/>
    <cellStyle name="Normal 3 6 5 3 2 2 2 2" xfId="31813"/>
    <cellStyle name="Normal 3 6 5 3 2 2 2 3" xfId="44793"/>
    <cellStyle name="Normal 3 6 5 3 2 2 2 4" xfId="61022"/>
    <cellStyle name="Normal 3 6 5 3 2 2 3" xfId="18833"/>
    <cellStyle name="Normal 3 6 5 3 2 2 4" xfId="25323"/>
    <cellStyle name="Normal 3 6 5 3 2 2 5" xfId="38303"/>
    <cellStyle name="Normal 3 6 5 3 2 2 6" xfId="54532"/>
    <cellStyle name="Normal 3 6 5 3 2 3" xfId="9095"/>
    <cellStyle name="Normal 3 6 5 3 2 3 2" xfId="28568"/>
    <cellStyle name="Normal 3 6 5 3 2 3 3" xfId="41548"/>
    <cellStyle name="Normal 3 6 5 3 2 3 4" xfId="57777"/>
    <cellStyle name="Normal 3 6 5 3 2 4" xfId="15588"/>
    <cellStyle name="Normal 3 6 5 3 2 4 2" xfId="51287"/>
    <cellStyle name="Normal 3 6 5 3 2 5" xfId="22078"/>
    <cellStyle name="Normal 3 6 5 3 2 6" xfId="35058"/>
    <cellStyle name="Normal 3 6 5 3 2 7" xfId="48041"/>
    <cellStyle name="Normal 3 6 5 3 3" xfId="4185"/>
    <cellStyle name="Normal 3 6 5 3 3 2" xfId="10717"/>
    <cellStyle name="Normal 3 6 5 3 3 2 2" xfId="30190"/>
    <cellStyle name="Normal 3 6 5 3 3 2 3" xfId="43170"/>
    <cellStyle name="Normal 3 6 5 3 3 2 4" xfId="59399"/>
    <cellStyle name="Normal 3 6 5 3 3 3" xfId="17210"/>
    <cellStyle name="Normal 3 6 5 3 3 4" xfId="23700"/>
    <cellStyle name="Normal 3 6 5 3 3 5" xfId="36680"/>
    <cellStyle name="Normal 3 6 5 3 3 6" xfId="52909"/>
    <cellStyle name="Normal 3 6 5 3 4" xfId="7472"/>
    <cellStyle name="Normal 3 6 5 3 4 2" xfId="26945"/>
    <cellStyle name="Normal 3 6 5 3 4 3" xfId="39925"/>
    <cellStyle name="Normal 3 6 5 3 4 4" xfId="56154"/>
    <cellStyle name="Normal 3 6 5 3 5" xfId="13965"/>
    <cellStyle name="Normal 3 6 5 3 5 2" xfId="49664"/>
    <cellStyle name="Normal 3 6 5 3 6" xfId="20455"/>
    <cellStyle name="Normal 3 6 5 3 7" xfId="33435"/>
    <cellStyle name="Normal 3 6 5 3 8" xfId="46418"/>
    <cellStyle name="Normal 3 6 5 4" xfId="2308"/>
    <cellStyle name="Normal 3 6 5 4 2" xfId="5553"/>
    <cellStyle name="Normal 3 6 5 4 2 2" xfId="12085"/>
    <cellStyle name="Normal 3 6 5 4 2 2 2" xfId="31558"/>
    <cellStyle name="Normal 3 6 5 4 2 2 3" xfId="44538"/>
    <cellStyle name="Normal 3 6 5 4 2 2 4" xfId="60767"/>
    <cellStyle name="Normal 3 6 5 4 2 3" xfId="18578"/>
    <cellStyle name="Normal 3 6 5 4 2 4" xfId="25068"/>
    <cellStyle name="Normal 3 6 5 4 2 5" xfId="38048"/>
    <cellStyle name="Normal 3 6 5 4 2 6" xfId="54277"/>
    <cellStyle name="Normal 3 6 5 4 3" xfId="8840"/>
    <cellStyle name="Normal 3 6 5 4 3 2" xfId="28313"/>
    <cellStyle name="Normal 3 6 5 4 3 3" xfId="41293"/>
    <cellStyle name="Normal 3 6 5 4 3 4" xfId="57522"/>
    <cellStyle name="Normal 3 6 5 4 4" xfId="15333"/>
    <cellStyle name="Normal 3 6 5 4 4 2" xfId="51032"/>
    <cellStyle name="Normal 3 6 5 4 5" xfId="21823"/>
    <cellStyle name="Normal 3 6 5 4 6" xfId="34803"/>
    <cellStyle name="Normal 3 6 5 4 7" xfId="47786"/>
    <cellStyle name="Normal 3 6 5 5" xfId="3930"/>
    <cellStyle name="Normal 3 6 5 5 2" xfId="10462"/>
    <cellStyle name="Normal 3 6 5 5 2 2" xfId="29935"/>
    <cellStyle name="Normal 3 6 5 5 2 3" xfId="42915"/>
    <cellStyle name="Normal 3 6 5 5 2 4" xfId="59144"/>
    <cellStyle name="Normal 3 6 5 5 3" xfId="16955"/>
    <cellStyle name="Normal 3 6 5 5 4" xfId="23445"/>
    <cellStyle name="Normal 3 6 5 5 5" xfId="36425"/>
    <cellStyle name="Normal 3 6 5 5 6" xfId="52654"/>
    <cellStyle name="Normal 3 6 5 6" xfId="7217"/>
    <cellStyle name="Normal 3 6 5 6 2" xfId="26690"/>
    <cellStyle name="Normal 3 6 5 6 3" xfId="39670"/>
    <cellStyle name="Normal 3 6 5 6 4" xfId="55899"/>
    <cellStyle name="Normal 3 6 5 7" xfId="13710"/>
    <cellStyle name="Normal 3 6 5 7 2" xfId="49409"/>
    <cellStyle name="Normal 3 6 5 8" xfId="20200"/>
    <cellStyle name="Normal 3 6 5 9" xfId="33180"/>
    <cellStyle name="Normal 3 6 6" xfId="410"/>
    <cellStyle name="Normal 3 6 6 10" xfId="45933"/>
    <cellStyle name="Normal 3 6 6 2" xfId="1579"/>
    <cellStyle name="Normal 3 6 6 2 2" xfId="3246"/>
    <cellStyle name="Normal 3 6 6 2 2 2" xfId="6491"/>
    <cellStyle name="Normal 3 6 6 2 2 2 2" xfId="13023"/>
    <cellStyle name="Normal 3 6 6 2 2 2 2 2" xfId="32496"/>
    <cellStyle name="Normal 3 6 6 2 2 2 2 3" xfId="45476"/>
    <cellStyle name="Normal 3 6 6 2 2 2 2 4" xfId="61705"/>
    <cellStyle name="Normal 3 6 6 2 2 2 3" xfId="19516"/>
    <cellStyle name="Normal 3 6 6 2 2 2 4" xfId="26006"/>
    <cellStyle name="Normal 3 6 6 2 2 2 5" xfId="38986"/>
    <cellStyle name="Normal 3 6 6 2 2 2 6" xfId="55215"/>
    <cellStyle name="Normal 3 6 6 2 2 3" xfId="9778"/>
    <cellStyle name="Normal 3 6 6 2 2 3 2" xfId="29251"/>
    <cellStyle name="Normal 3 6 6 2 2 3 3" xfId="42231"/>
    <cellStyle name="Normal 3 6 6 2 2 3 4" xfId="58460"/>
    <cellStyle name="Normal 3 6 6 2 2 4" xfId="16271"/>
    <cellStyle name="Normal 3 6 6 2 2 4 2" xfId="51970"/>
    <cellStyle name="Normal 3 6 6 2 2 5" xfId="22761"/>
    <cellStyle name="Normal 3 6 6 2 2 6" xfId="35741"/>
    <cellStyle name="Normal 3 6 6 2 2 7" xfId="48724"/>
    <cellStyle name="Normal 3 6 6 2 3" xfId="4868"/>
    <cellStyle name="Normal 3 6 6 2 3 2" xfId="11400"/>
    <cellStyle name="Normal 3 6 6 2 3 2 2" xfId="30873"/>
    <cellStyle name="Normal 3 6 6 2 3 2 3" xfId="43853"/>
    <cellStyle name="Normal 3 6 6 2 3 2 4" xfId="60082"/>
    <cellStyle name="Normal 3 6 6 2 3 3" xfId="17893"/>
    <cellStyle name="Normal 3 6 6 2 3 4" xfId="24383"/>
    <cellStyle name="Normal 3 6 6 2 3 5" xfId="37363"/>
    <cellStyle name="Normal 3 6 6 2 3 6" xfId="53592"/>
    <cellStyle name="Normal 3 6 6 2 4" xfId="8155"/>
    <cellStyle name="Normal 3 6 6 2 4 2" xfId="27628"/>
    <cellStyle name="Normal 3 6 6 2 4 3" xfId="40608"/>
    <cellStyle name="Normal 3 6 6 2 4 4" xfId="56837"/>
    <cellStyle name="Normal 3 6 6 2 5" xfId="14648"/>
    <cellStyle name="Normal 3 6 6 2 5 2" xfId="50347"/>
    <cellStyle name="Normal 3 6 6 2 6" xfId="21138"/>
    <cellStyle name="Normal 3 6 6 2 7" xfId="34118"/>
    <cellStyle name="Normal 3 6 6 2 8" xfId="47101"/>
    <cellStyle name="Normal 3 6 6 3" xfId="1116"/>
    <cellStyle name="Normal 3 6 6 3 2" xfId="2783"/>
    <cellStyle name="Normal 3 6 6 3 2 2" xfId="6028"/>
    <cellStyle name="Normal 3 6 6 3 2 2 2" xfId="12560"/>
    <cellStyle name="Normal 3 6 6 3 2 2 2 2" xfId="32033"/>
    <cellStyle name="Normal 3 6 6 3 2 2 2 3" xfId="45013"/>
    <cellStyle name="Normal 3 6 6 3 2 2 2 4" xfId="61242"/>
    <cellStyle name="Normal 3 6 6 3 2 2 3" xfId="19053"/>
    <cellStyle name="Normal 3 6 6 3 2 2 4" xfId="25543"/>
    <cellStyle name="Normal 3 6 6 3 2 2 5" xfId="38523"/>
    <cellStyle name="Normal 3 6 6 3 2 2 6" xfId="54752"/>
    <cellStyle name="Normal 3 6 6 3 2 3" xfId="9315"/>
    <cellStyle name="Normal 3 6 6 3 2 3 2" xfId="28788"/>
    <cellStyle name="Normal 3 6 6 3 2 3 3" xfId="41768"/>
    <cellStyle name="Normal 3 6 6 3 2 3 4" xfId="57997"/>
    <cellStyle name="Normal 3 6 6 3 2 4" xfId="15808"/>
    <cellStyle name="Normal 3 6 6 3 2 4 2" xfId="51507"/>
    <cellStyle name="Normal 3 6 6 3 2 5" xfId="22298"/>
    <cellStyle name="Normal 3 6 6 3 2 6" xfId="35278"/>
    <cellStyle name="Normal 3 6 6 3 2 7" xfId="48261"/>
    <cellStyle name="Normal 3 6 6 3 3" xfId="4405"/>
    <cellStyle name="Normal 3 6 6 3 3 2" xfId="10937"/>
    <cellStyle name="Normal 3 6 6 3 3 2 2" xfId="30410"/>
    <cellStyle name="Normal 3 6 6 3 3 2 3" xfId="43390"/>
    <cellStyle name="Normal 3 6 6 3 3 2 4" xfId="59619"/>
    <cellStyle name="Normal 3 6 6 3 3 3" xfId="17430"/>
    <cellStyle name="Normal 3 6 6 3 3 4" xfId="23920"/>
    <cellStyle name="Normal 3 6 6 3 3 5" xfId="36900"/>
    <cellStyle name="Normal 3 6 6 3 3 6" xfId="53129"/>
    <cellStyle name="Normal 3 6 6 3 4" xfId="7692"/>
    <cellStyle name="Normal 3 6 6 3 4 2" xfId="27165"/>
    <cellStyle name="Normal 3 6 6 3 4 3" xfId="40145"/>
    <cellStyle name="Normal 3 6 6 3 4 4" xfId="56374"/>
    <cellStyle name="Normal 3 6 6 3 5" xfId="14185"/>
    <cellStyle name="Normal 3 6 6 3 5 2" xfId="49884"/>
    <cellStyle name="Normal 3 6 6 3 6" xfId="20675"/>
    <cellStyle name="Normal 3 6 6 3 7" xfId="33655"/>
    <cellStyle name="Normal 3 6 6 3 8" xfId="46638"/>
    <cellStyle name="Normal 3 6 6 4" xfId="2078"/>
    <cellStyle name="Normal 3 6 6 4 2" xfId="5323"/>
    <cellStyle name="Normal 3 6 6 4 2 2" xfId="11855"/>
    <cellStyle name="Normal 3 6 6 4 2 2 2" xfId="31328"/>
    <cellStyle name="Normal 3 6 6 4 2 2 3" xfId="44308"/>
    <cellStyle name="Normal 3 6 6 4 2 2 4" xfId="60537"/>
    <cellStyle name="Normal 3 6 6 4 2 3" xfId="18348"/>
    <cellStyle name="Normal 3 6 6 4 2 4" xfId="24838"/>
    <cellStyle name="Normal 3 6 6 4 2 5" xfId="37818"/>
    <cellStyle name="Normal 3 6 6 4 2 6" xfId="54047"/>
    <cellStyle name="Normal 3 6 6 4 3" xfId="8610"/>
    <cellStyle name="Normal 3 6 6 4 3 2" xfId="28083"/>
    <cellStyle name="Normal 3 6 6 4 3 3" xfId="41063"/>
    <cellStyle name="Normal 3 6 6 4 3 4" xfId="57292"/>
    <cellStyle name="Normal 3 6 6 4 4" xfId="15103"/>
    <cellStyle name="Normal 3 6 6 4 4 2" xfId="50802"/>
    <cellStyle name="Normal 3 6 6 4 5" xfId="21593"/>
    <cellStyle name="Normal 3 6 6 4 6" xfId="34573"/>
    <cellStyle name="Normal 3 6 6 4 7" xfId="47556"/>
    <cellStyle name="Normal 3 6 6 5" xfId="3700"/>
    <cellStyle name="Normal 3 6 6 5 2" xfId="10232"/>
    <cellStyle name="Normal 3 6 6 5 2 2" xfId="29705"/>
    <cellStyle name="Normal 3 6 6 5 2 3" xfId="42685"/>
    <cellStyle name="Normal 3 6 6 5 2 4" xfId="58914"/>
    <cellStyle name="Normal 3 6 6 5 3" xfId="16725"/>
    <cellStyle name="Normal 3 6 6 5 4" xfId="23215"/>
    <cellStyle name="Normal 3 6 6 5 5" xfId="36195"/>
    <cellStyle name="Normal 3 6 6 5 6" xfId="52424"/>
    <cellStyle name="Normal 3 6 6 6" xfId="6987"/>
    <cellStyle name="Normal 3 6 6 6 2" xfId="26460"/>
    <cellStyle name="Normal 3 6 6 6 3" xfId="39440"/>
    <cellStyle name="Normal 3 6 6 6 4" xfId="55669"/>
    <cellStyle name="Normal 3 6 6 7" xfId="13480"/>
    <cellStyle name="Normal 3 6 6 7 2" xfId="49179"/>
    <cellStyle name="Normal 3 6 6 8" xfId="19970"/>
    <cellStyle name="Normal 3 6 6 9" xfId="32950"/>
    <cellStyle name="Normal 3 6 7" xfId="1336"/>
    <cellStyle name="Normal 3 6 7 2" xfId="3003"/>
    <cellStyle name="Normal 3 6 7 2 2" xfId="6248"/>
    <cellStyle name="Normal 3 6 7 2 2 2" xfId="12780"/>
    <cellStyle name="Normal 3 6 7 2 2 2 2" xfId="32253"/>
    <cellStyle name="Normal 3 6 7 2 2 2 3" xfId="45233"/>
    <cellStyle name="Normal 3 6 7 2 2 2 4" xfId="61462"/>
    <cellStyle name="Normal 3 6 7 2 2 3" xfId="19273"/>
    <cellStyle name="Normal 3 6 7 2 2 4" xfId="25763"/>
    <cellStyle name="Normal 3 6 7 2 2 5" xfId="38743"/>
    <cellStyle name="Normal 3 6 7 2 2 6" xfId="54972"/>
    <cellStyle name="Normal 3 6 7 2 3" xfId="9535"/>
    <cellStyle name="Normal 3 6 7 2 3 2" xfId="29008"/>
    <cellStyle name="Normal 3 6 7 2 3 3" xfId="41988"/>
    <cellStyle name="Normal 3 6 7 2 3 4" xfId="58217"/>
    <cellStyle name="Normal 3 6 7 2 4" xfId="16028"/>
    <cellStyle name="Normal 3 6 7 2 4 2" xfId="51727"/>
    <cellStyle name="Normal 3 6 7 2 5" xfId="22518"/>
    <cellStyle name="Normal 3 6 7 2 6" xfId="35498"/>
    <cellStyle name="Normal 3 6 7 2 7" xfId="48481"/>
    <cellStyle name="Normal 3 6 7 3" xfId="4625"/>
    <cellStyle name="Normal 3 6 7 3 2" xfId="11157"/>
    <cellStyle name="Normal 3 6 7 3 2 2" xfId="30630"/>
    <cellStyle name="Normal 3 6 7 3 2 3" xfId="43610"/>
    <cellStyle name="Normal 3 6 7 3 2 4" xfId="59839"/>
    <cellStyle name="Normal 3 6 7 3 3" xfId="17650"/>
    <cellStyle name="Normal 3 6 7 3 4" xfId="24140"/>
    <cellStyle name="Normal 3 6 7 3 5" xfId="37120"/>
    <cellStyle name="Normal 3 6 7 3 6" xfId="53349"/>
    <cellStyle name="Normal 3 6 7 4" xfId="7912"/>
    <cellStyle name="Normal 3 6 7 4 2" xfId="27385"/>
    <cellStyle name="Normal 3 6 7 4 3" xfId="40365"/>
    <cellStyle name="Normal 3 6 7 4 4" xfId="56594"/>
    <cellStyle name="Normal 3 6 7 5" xfId="14405"/>
    <cellStyle name="Normal 3 6 7 5 2" xfId="50104"/>
    <cellStyle name="Normal 3 6 7 6" xfId="20895"/>
    <cellStyle name="Normal 3 6 7 7" xfId="33875"/>
    <cellStyle name="Normal 3 6 7 8" xfId="46858"/>
    <cellStyle name="Normal 3 6 8" xfId="872"/>
    <cellStyle name="Normal 3 6 8 2" xfId="2540"/>
    <cellStyle name="Normal 3 6 8 2 2" xfId="5785"/>
    <cellStyle name="Normal 3 6 8 2 2 2" xfId="12317"/>
    <cellStyle name="Normal 3 6 8 2 2 2 2" xfId="31790"/>
    <cellStyle name="Normal 3 6 8 2 2 2 3" xfId="44770"/>
    <cellStyle name="Normal 3 6 8 2 2 2 4" xfId="60999"/>
    <cellStyle name="Normal 3 6 8 2 2 3" xfId="18810"/>
    <cellStyle name="Normal 3 6 8 2 2 4" xfId="25300"/>
    <cellStyle name="Normal 3 6 8 2 2 5" xfId="38280"/>
    <cellStyle name="Normal 3 6 8 2 2 6" xfId="54509"/>
    <cellStyle name="Normal 3 6 8 2 3" xfId="9072"/>
    <cellStyle name="Normal 3 6 8 2 3 2" xfId="28545"/>
    <cellStyle name="Normal 3 6 8 2 3 3" xfId="41525"/>
    <cellStyle name="Normal 3 6 8 2 3 4" xfId="57754"/>
    <cellStyle name="Normal 3 6 8 2 4" xfId="15565"/>
    <cellStyle name="Normal 3 6 8 2 4 2" xfId="51264"/>
    <cellStyle name="Normal 3 6 8 2 5" xfId="22055"/>
    <cellStyle name="Normal 3 6 8 2 6" xfId="35035"/>
    <cellStyle name="Normal 3 6 8 2 7" xfId="48018"/>
    <cellStyle name="Normal 3 6 8 3" xfId="4162"/>
    <cellStyle name="Normal 3 6 8 3 2" xfId="10694"/>
    <cellStyle name="Normal 3 6 8 3 2 2" xfId="30167"/>
    <cellStyle name="Normal 3 6 8 3 2 3" xfId="43147"/>
    <cellStyle name="Normal 3 6 8 3 2 4" xfId="59376"/>
    <cellStyle name="Normal 3 6 8 3 3" xfId="17187"/>
    <cellStyle name="Normal 3 6 8 3 4" xfId="23677"/>
    <cellStyle name="Normal 3 6 8 3 5" xfId="36657"/>
    <cellStyle name="Normal 3 6 8 3 6" xfId="52886"/>
    <cellStyle name="Normal 3 6 8 4" xfId="7449"/>
    <cellStyle name="Normal 3 6 8 4 2" xfId="26922"/>
    <cellStyle name="Normal 3 6 8 4 3" xfId="39902"/>
    <cellStyle name="Normal 3 6 8 4 4" xfId="56131"/>
    <cellStyle name="Normal 3 6 8 5" xfId="13942"/>
    <cellStyle name="Normal 3 6 8 5 2" xfId="49641"/>
    <cellStyle name="Normal 3 6 8 6" xfId="20432"/>
    <cellStyle name="Normal 3 6 8 7" xfId="33412"/>
    <cellStyle name="Normal 3 6 8 8" xfId="46395"/>
    <cellStyle name="Normal 3 6 9" xfId="1849"/>
    <cellStyle name="Normal 3 6 9 2" xfId="5094"/>
    <cellStyle name="Normal 3 6 9 2 2" xfId="11626"/>
    <cellStyle name="Normal 3 6 9 2 2 2" xfId="31099"/>
    <cellStyle name="Normal 3 6 9 2 2 3" xfId="44079"/>
    <cellStyle name="Normal 3 6 9 2 2 4" xfId="60308"/>
    <cellStyle name="Normal 3 6 9 2 3" xfId="18119"/>
    <cellStyle name="Normal 3 6 9 2 4" xfId="24609"/>
    <cellStyle name="Normal 3 6 9 2 5" xfId="37589"/>
    <cellStyle name="Normal 3 6 9 2 6" xfId="53818"/>
    <cellStyle name="Normal 3 6 9 3" xfId="8381"/>
    <cellStyle name="Normal 3 6 9 3 2" xfId="27854"/>
    <cellStyle name="Normal 3 6 9 3 3" xfId="40834"/>
    <cellStyle name="Normal 3 6 9 3 4" xfId="57063"/>
    <cellStyle name="Normal 3 6 9 4" xfId="14874"/>
    <cellStyle name="Normal 3 6 9 4 2" xfId="50573"/>
    <cellStyle name="Normal 3 6 9 5" xfId="21364"/>
    <cellStyle name="Normal 3 6 9 6" xfId="34344"/>
    <cellStyle name="Normal 3 6 9 7" xfId="47327"/>
    <cellStyle name="Normal 3 7" xfId="242"/>
    <cellStyle name="Normal 3 7 10" xfId="19806"/>
    <cellStyle name="Normal 3 7 11" xfId="32786"/>
    <cellStyle name="Normal 3 7 12" xfId="45769"/>
    <cellStyle name="Normal 3 7 2" xfId="330"/>
    <cellStyle name="Normal 3 7 2 10" xfId="32874"/>
    <cellStyle name="Normal 3 7 2 11" xfId="45857"/>
    <cellStyle name="Normal 3 7 2 2" xfId="794"/>
    <cellStyle name="Normal 3 7 2 2 10" xfId="46317"/>
    <cellStyle name="Normal 3 7 2 2 2" xfId="1733"/>
    <cellStyle name="Normal 3 7 2 2 2 2" xfId="3400"/>
    <cellStyle name="Normal 3 7 2 2 2 2 2" xfId="6645"/>
    <cellStyle name="Normal 3 7 2 2 2 2 2 2" xfId="13177"/>
    <cellStyle name="Normal 3 7 2 2 2 2 2 2 2" xfId="32650"/>
    <cellStyle name="Normal 3 7 2 2 2 2 2 2 3" xfId="45630"/>
    <cellStyle name="Normal 3 7 2 2 2 2 2 2 4" xfId="61859"/>
    <cellStyle name="Normal 3 7 2 2 2 2 2 3" xfId="19670"/>
    <cellStyle name="Normal 3 7 2 2 2 2 2 4" xfId="26160"/>
    <cellStyle name="Normal 3 7 2 2 2 2 2 5" xfId="39140"/>
    <cellStyle name="Normal 3 7 2 2 2 2 2 6" xfId="55369"/>
    <cellStyle name="Normal 3 7 2 2 2 2 3" xfId="9932"/>
    <cellStyle name="Normal 3 7 2 2 2 2 3 2" xfId="29405"/>
    <cellStyle name="Normal 3 7 2 2 2 2 3 3" xfId="42385"/>
    <cellStyle name="Normal 3 7 2 2 2 2 3 4" xfId="58614"/>
    <cellStyle name="Normal 3 7 2 2 2 2 4" xfId="16425"/>
    <cellStyle name="Normal 3 7 2 2 2 2 4 2" xfId="52124"/>
    <cellStyle name="Normal 3 7 2 2 2 2 5" xfId="22915"/>
    <cellStyle name="Normal 3 7 2 2 2 2 6" xfId="35895"/>
    <cellStyle name="Normal 3 7 2 2 2 2 7" xfId="48878"/>
    <cellStyle name="Normal 3 7 2 2 2 3" xfId="5022"/>
    <cellStyle name="Normal 3 7 2 2 2 3 2" xfId="11554"/>
    <cellStyle name="Normal 3 7 2 2 2 3 2 2" xfId="31027"/>
    <cellStyle name="Normal 3 7 2 2 2 3 2 3" xfId="44007"/>
    <cellStyle name="Normal 3 7 2 2 2 3 2 4" xfId="60236"/>
    <cellStyle name="Normal 3 7 2 2 2 3 3" xfId="18047"/>
    <cellStyle name="Normal 3 7 2 2 2 3 4" xfId="24537"/>
    <cellStyle name="Normal 3 7 2 2 2 3 5" xfId="37517"/>
    <cellStyle name="Normal 3 7 2 2 2 3 6" xfId="53746"/>
    <cellStyle name="Normal 3 7 2 2 2 4" xfId="8309"/>
    <cellStyle name="Normal 3 7 2 2 2 4 2" xfId="27782"/>
    <cellStyle name="Normal 3 7 2 2 2 4 3" xfId="40762"/>
    <cellStyle name="Normal 3 7 2 2 2 4 4" xfId="56991"/>
    <cellStyle name="Normal 3 7 2 2 2 5" xfId="14802"/>
    <cellStyle name="Normal 3 7 2 2 2 5 2" xfId="50501"/>
    <cellStyle name="Normal 3 7 2 2 2 6" xfId="21292"/>
    <cellStyle name="Normal 3 7 2 2 2 7" xfId="34272"/>
    <cellStyle name="Normal 3 7 2 2 2 8" xfId="47255"/>
    <cellStyle name="Normal 3 7 2 2 3" xfId="1270"/>
    <cellStyle name="Normal 3 7 2 2 3 2" xfId="2937"/>
    <cellStyle name="Normal 3 7 2 2 3 2 2" xfId="6182"/>
    <cellStyle name="Normal 3 7 2 2 3 2 2 2" xfId="12714"/>
    <cellStyle name="Normal 3 7 2 2 3 2 2 2 2" xfId="32187"/>
    <cellStyle name="Normal 3 7 2 2 3 2 2 2 3" xfId="45167"/>
    <cellStyle name="Normal 3 7 2 2 3 2 2 2 4" xfId="61396"/>
    <cellStyle name="Normal 3 7 2 2 3 2 2 3" xfId="19207"/>
    <cellStyle name="Normal 3 7 2 2 3 2 2 4" xfId="25697"/>
    <cellStyle name="Normal 3 7 2 2 3 2 2 5" xfId="38677"/>
    <cellStyle name="Normal 3 7 2 2 3 2 2 6" xfId="54906"/>
    <cellStyle name="Normal 3 7 2 2 3 2 3" xfId="9469"/>
    <cellStyle name="Normal 3 7 2 2 3 2 3 2" xfId="28942"/>
    <cellStyle name="Normal 3 7 2 2 3 2 3 3" xfId="41922"/>
    <cellStyle name="Normal 3 7 2 2 3 2 3 4" xfId="58151"/>
    <cellStyle name="Normal 3 7 2 2 3 2 4" xfId="15962"/>
    <cellStyle name="Normal 3 7 2 2 3 2 4 2" xfId="51661"/>
    <cellStyle name="Normal 3 7 2 2 3 2 5" xfId="22452"/>
    <cellStyle name="Normal 3 7 2 2 3 2 6" xfId="35432"/>
    <cellStyle name="Normal 3 7 2 2 3 2 7" xfId="48415"/>
    <cellStyle name="Normal 3 7 2 2 3 3" xfId="4559"/>
    <cellStyle name="Normal 3 7 2 2 3 3 2" xfId="11091"/>
    <cellStyle name="Normal 3 7 2 2 3 3 2 2" xfId="30564"/>
    <cellStyle name="Normal 3 7 2 2 3 3 2 3" xfId="43544"/>
    <cellStyle name="Normal 3 7 2 2 3 3 2 4" xfId="59773"/>
    <cellStyle name="Normal 3 7 2 2 3 3 3" xfId="17584"/>
    <cellStyle name="Normal 3 7 2 2 3 3 4" xfId="24074"/>
    <cellStyle name="Normal 3 7 2 2 3 3 5" xfId="37054"/>
    <cellStyle name="Normal 3 7 2 2 3 3 6" xfId="53283"/>
    <cellStyle name="Normal 3 7 2 2 3 4" xfId="7846"/>
    <cellStyle name="Normal 3 7 2 2 3 4 2" xfId="27319"/>
    <cellStyle name="Normal 3 7 2 2 3 4 3" xfId="40299"/>
    <cellStyle name="Normal 3 7 2 2 3 4 4" xfId="56528"/>
    <cellStyle name="Normal 3 7 2 2 3 5" xfId="14339"/>
    <cellStyle name="Normal 3 7 2 2 3 5 2" xfId="50038"/>
    <cellStyle name="Normal 3 7 2 2 3 6" xfId="20829"/>
    <cellStyle name="Normal 3 7 2 2 3 7" xfId="33809"/>
    <cellStyle name="Normal 3 7 2 2 3 8" xfId="46792"/>
    <cellStyle name="Normal 3 7 2 2 4" xfId="2462"/>
    <cellStyle name="Normal 3 7 2 2 4 2" xfId="5707"/>
    <cellStyle name="Normal 3 7 2 2 4 2 2" xfId="12239"/>
    <cellStyle name="Normal 3 7 2 2 4 2 2 2" xfId="31712"/>
    <cellStyle name="Normal 3 7 2 2 4 2 2 3" xfId="44692"/>
    <cellStyle name="Normal 3 7 2 2 4 2 2 4" xfId="60921"/>
    <cellStyle name="Normal 3 7 2 2 4 2 3" xfId="18732"/>
    <cellStyle name="Normal 3 7 2 2 4 2 4" xfId="25222"/>
    <cellStyle name="Normal 3 7 2 2 4 2 5" xfId="38202"/>
    <cellStyle name="Normal 3 7 2 2 4 2 6" xfId="54431"/>
    <cellStyle name="Normal 3 7 2 2 4 3" xfId="8994"/>
    <cellStyle name="Normal 3 7 2 2 4 3 2" xfId="28467"/>
    <cellStyle name="Normal 3 7 2 2 4 3 3" xfId="41447"/>
    <cellStyle name="Normal 3 7 2 2 4 3 4" xfId="57676"/>
    <cellStyle name="Normal 3 7 2 2 4 4" xfId="15487"/>
    <cellStyle name="Normal 3 7 2 2 4 4 2" xfId="51186"/>
    <cellStyle name="Normal 3 7 2 2 4 5" xfId="21977"/>
    <cellStyle name="Normal 3 7 2 2 4 6" xfId="34957"/>
    <cellStyle name="Normal 3 7 2 2 4 7" xfId="47940"/>
    <cellStyle name="Normal 3 7 2 2 5" xfId="4084"/>
    <cellStyle name="Normal 3 7 2 2 5 2" xfId="10616"/>
    <cellStyle name="Normal 3 7 2 2 5 2 2" xfId="30089"/>
    <cellStyle name="Normal 3 7 2 2 5 2 3" xfId="43069"/>
    <cellStyle name="Normal 3 7 2 2 5 2 4" xfId="59298"/>
    <cellStyle name="Normal 3 7 2 2 5 3" xfId="17109"/>
    <cellStyle name="Normal 3 7 2 2 5 4" xfId="23599"/>
    <cellStyle name="Normal 3 7 2 2 5 5" xfId="36579"/>
    <cellStyle name="Normal 3 7 2 2 5 6" xfId="52808"/>
    <cellStyle name="Normal 3 7 2 2 6" xfId="7371"/>
    <cellStyle name="Normal 3 7 2 2 6 2" xfId="26844"/>
    <cellStyle name="Normal 3 7 2 2 6 3" xfId="39824"/>
    <cellStyle name="Normal 3 7 2 2 6 4" xfId="56053"/>
    <cellStyle name="Normal 3 7 2 2 7" xfId="13864"/>
    <cellStyle name="Normal 3 7 2 2 7 2" xfId="49563"/>
    <cellStyle name="Normal 3 7 2 2 8" xfId="20354"/>
    <cellStyle name="Normal 3 7 2 2 9" xfId="33334"/>
    <cellStyle name="Normal 3 7 2 3" xfId="564"/>
    <cellStyle name="Normal 3 7 2 3 2" xfId="1513"/>
    <cellStyle name="Normal 3 7 2 3 2 2" xfId="3180"/>
    <cellStyle name="Normal 3 7 2 3 2 2 2" xfId="6425"/>
    <cellStyle name="Normal 3 7 2 3 2 2 2 2" xfId="12957"/>
    <cellStyle name="Normal 3 7 2 3 2 2 2 2 2" xfId="32430"/>
    <cellStyle name="Normal 3 7 2 3 2 2 2 2 3" xfId="45410"/>
    <cellStyle name="Normal 3 7 2 3 2 2 2 2 4" xfId="61639"/>
    <cellStyle name="Normal 3 7 2 3 2 2 2 3" xfId="19450"/>
    <cellStyle name="Normal 3 7 2 3 2 2 2 4" xfId="25940"/>
    <cellStyle name="Normal 3 7 2 3 2 2 2 5" xfId="38920"/>
    <cellStyle name="Normal 3 7 2 3 2 2 2 6" xfId="55149"/>
    <cellStyle name="Normal 3 7 2 3 2 2 3" xfId="9712"/>
    <cellStyle name="Normal 3 7 2 3 2 2 3 2" xfId="29185"/>
    <cellStyle name="Normal 3 7 2 3 2 2 3 3" xfId="42165"/>
    <cellStyle name="Normal 3 7 2 3 2 2 3 4" xfId="58394"/>
    <cellStyle name="Normal 3 7 2 3 2 2 4" xfId="16205"/>
    <cellStyle name="Normal 3 7 2 3 2 2 4 2" xfId="51904"/>
    <cellStyle name="Normal 3 7 2 3 2 2 5" xfId="22695"/>
    <cellStyle name="Normal 3 7 2 3 2 2 6" xfId="35675"/>
    <cellStyle name="Normal 3 7 2 3 2 2 7" xfId="48658"/>
    <cellStyle name="Normal 3 7 2 3 2 3" xfId="4802"/>
    <cellStyle name="Normal 3 7 2 3 2 3 2" xfId="11334"/>
    <cellStyle name="Normal 3 7 2 3 2 3 2 2" xfId="30807"/>
    <cellStyle name="Normal 3 7 2 3 2 3 2 3" xfId="43787"/>
    <cellStyle name="Normal 3 7 2 3 2 3 2 4" xfId="60016"/>
    <cellStyle name="Normal 3 7 2 3 2 3 3" xfId="17827"/>
    <cellStyle name="Normal 3 7 2 3 2 3 4" xfId="24317"/>
    <cellStyle name="Normal 3 7 2 3 2 3 5" xfId="37297"/>
    <cellStyle name="Normal 3 7 2 3 2 3 6" xfId="53526"/>
    <cellStyle name="Normal 3 7 2 3 2 4" xfId="8089"/>
    <cellStyle name="Normal 3 7 2 3 2 4 2" xfId="27562"/>
    <cellStyle name="Normal 3 7 2 3 2 4 3" xfId="40542"/>
    <cellStyle name="Normal 3 7 2 3 2 4 4" xfId="56771"/>
    <cellStyle name="Normal 3 7 2 3 2 5" xfId="14582"/>
    <cellStyle name="Normal 3 7 2 3 2 5 2" xfId="50281"/>
    <cellStyle name="Normal 3 7 2 3 2 6" xfId="21072"/>
    <cellStyle name="Normal 3 7 2 3 2 7" xfId="34052"/>
    <cellStyle name="Normal 3 7 2 3 2 8" xfId="47035"/>
    <cellStyle name="Normal 3 7 2 3 3" xfId="2232"/>
    <cellStyle name="Normal 3 7 2 3 3 2" xfId="5477"/>
    <cellStyle name="Normal 3 7 2 3 3 2 2" xfId="12009"/>
    <cellStyle name="Normal 3 7 2 3 3 2 2 2" xfId="31482"/>
    <cellStyle name="Normal 3 7 2 3 3 2 2 3" xfId="44462"/>
    <cellStyle name="Normal 3 7 2 3 3 2 2 4" xfId="60691"/>
    <cellStyle name="Normal 3 7 2 3 3 2 3" xfId="18502"/>
    <cellStyle name="Normal 3 7 2 3 3 2 4" xfId="24992"/>
    <cellStyle name="Normal 3 7 2 3 3 2 5" xfId="37972"/>
    <cellStyle name="Normal 3 7 2 3 3 2 6" xfId="54201"/>
    <cellStyle name="Normal 3 7 2 3 3 3" xfId="8764"/>
    <cellStyle name="Normal 3 7 2 3 3 3 2" xfId="28237"/>
    <cellStyle name="Normal 3 7 2 3 3 3 3" xfId="41217"/>
    <cellStyle name="Normal 3 7 2 3 3 3 4" xfId="57446"/>
    <cellStyle name="Normal 3 7 2 3 3 4" xfId="15257"/>
    <cellStyle name="Normal 3 7 2 3 3 4 2" xfId="50956"/>
    <cellStyle name="Normal 3 7 2 3 3 5" xfId="21747"/>
    <cellStyle name="Normal 3 7 2 3 3 6" xfId="34727"/>
    <cellStyle name="Normal 3 7 2 3 3 7" xfId="47710"/>
    <cellStyle name="Normal 3 7 2 3 4" xfId="3854"/>
    <cellStyle name="Normal 3 7 2 3 4 2" xfId="10386"/>
    <cellStyle name="Normal 3 7 2 3 4 2 2" xfId="29859"/>
    <cellStyle name="Normal 3 7 2 3 4 2 3" xfId="42839"/>
    <cellStyle name="Normal 3 7 2 3 4 2 4" xfId="59068"/>
    <cellStyle name="Normal 3 7 2 3 4 3" xfId="16879"/>
    <cellStyle name="Normal 3 7 2 3 4 4" xfId="23369"/>
    <cellStyle name="Normal 3 7 2 3 4 5" xfId="36349"/>
    <cellStyle name="Normal 3 7 2 3 4 6" xfId="52578"/>
    <cellStyle name="Normal 3 7 2 3 5" xfId="7141"/>
    <cellStyle name="Normal 3 7 2 3 5 2" xfId="26614"/>
    <cellStyle name="Normal 3 7 2 3 5 3" xfId="39594"/>
    <cellStyle name="Normal 3 7 2 3 5 4" xfId="55823"/>
    <cellStyle name="Normal 3 7 2 3 6" xfId="13634"/>
    <cellStyle name="Normal 3 7 2 3 6 2" xfId="49333"/>
    <cellStyle name="Normal 3 7 2 3 7" xfId="20124"/>
    <cellStyle name="Normal 3 7 2 3 8" xfId="33104"/>
    <cellStyle name="Normal 3 7 2 3 9" xfId="46087"/>
    <cellStyle name="Normal 3 7 2 4" xfId="1050"/>
    <cellStyle name="Normal 3 7 2 4 2" xfId="2717"/>
    <cellStyle name="Normal 3 7 2 4 2 2" xfId="5962"/>
    <cellStyle name="Normal 3 7 2 4 2 2 2" xfId="12494"/>
    <cellStyle name="Normal 3 7 2 4 2 2 2 2" xfId="31967"/>
    <cellStyle name="Normal 3 7 2 4 2 2 2 3" xfId="44947"/>
    <cellStyle name="Normal 3 7 2 4 2 2 2 4" xfId="61176"/>
    <cellStyle name="Normal 3 7 2 4 2 2 3" xfId="18987"/>
    <cellStyle name="Normal 3 7 2 4 2 2 4" xfId="25477"/>
    <cellStyle name="Normal 3 7 2 4 2 2 5" xfId="38457"/>
    <cellStyle name="Normal 3 7 2 4 2 2 6" xfId="54686"/>
    <cellStyle name="Normal 3 7 2 4 2 3" xfId="9249"/>
    <cellStyle name="Normal 3 7 2 4 2 3 2" xfId="28722"/>
    <cellStyle name="Normal 3 7 2 4 2 3 3" xfId="41702"/>
    <cellStyle name="Normal 3 7 2 4 2 3 4" xfId="57931"/>
    <cellStyle name="Normal 3 7 2 4 2 4" xfId="15742"/>
    <cellStyle name="Normal 3 7 2 4 2 4 2" xfId="51441"/>
    <cellStyle name="Normal 3 7 2 4 2 5" xfId="22232"/>
    <cellStyle name="Normal 3 7 2 4 2 6" xfId="35212"/>
    <cellStyle name="Normal 3 7 2 4 2 7" xfId="48195"/>
    <cellStyle name="Normal 3 7 2 4 3" xfId="4339"/>
    <cellStyle name="Normal 3 7 2 4 3 2" xfId="10871"/>
    <cellStyle name="Normal 3 7 2 4 3 2 2" xfId="30344"/>
    <cellStyle name="Normal 3 7 2 4 3 2 3" xfId="43324"/>
    <cellStyle name="Normal 3 7 2 4 3 2 4" xfId="59553"/>
    <cellStyle name="Normal 3 7 2 4 3 3" xfId="17364"/>
    <cellStyle name="Normal 3 7 2 4 3 4" xfId="23854"/>
    <cellStyle name="Normal 3 7 2 4 3 5" xfId="36834"/>
    <cellStyle name="Normal 3 7 2 4 3 6" xfId="53063"/>
    <cellStyle name="Normal 3 7 2 4 4" xfId="7626"/>
    <cellStyle name="Normal 3 7 2 4 4 2" xfId="27099"/>
    <cellStyle name="Normal 3 7 2 4 4 3" xfId="40079"/>
    <cellStyle name="Normal 3 7 2 4 4 4" xfId="56308"/>
    <cellStyle name="Normal 3 7 2 4 5" xfId="14119"/>
    <cellStyle name="Normal 3 7 2 4 5 2" xfId="49818"/>
    <cellStyle name="Normal 3 7 2 4 6" xfId="20609"/>
    <cellStyle name="Normal 3 7 2 4 7" xfId="33589"/>
    <cellStyle name="Normal 3 7 2 4 8" xfId="46572"/>
    <cellStyle name="Normal 3 7 2 5" xfId="2003"/>
    <cellStyle name="Normal 3 7 2 5 2" xfId="5248"/>
    <cellStyle name="Normal 3 7 2 5 2 2" xfId="11780"/>
    <cellStyle name="Normal 3 7 2 5 2 2 2" xfId="31253"/>
    <cellStyle name="Normal 3 7 2 5 2 2 3" xfId="44233"/>
    <cellStyle name="Normal 3 7 2 5 2 2 4" xfId="60462"/>
    <cellStyle name="Normal 3 7 2 5 2 3" xfId="18273"/>
    <cellStyle name="Normal 3 7 2 5 2 4" xfId="24763"/>
    <cellStyle name="Normal 3 7 2 5 2 5" xfId="37743"/>
    <cellStyle name="Normal 3 7 2 5 2 6" xfId="53972"/>
    <cellStyle name="Normal 3 7 2 5 3" xfId="8535"/>
    <cellStyle name="Normal 3 7 2 5 3 2" xfId="28008"/>
    <cellStyle name="Normal 3 7 2 5 3 3" xfId="40988"/>
    <cellStyle name="Normal 3 7 2 5 3 4" xfId="57217"/>
    <cellStyle name="Normal 3 7 2 5 4" xfId="15028"/>
    <cellStyle name="Normal 3 7 2 5 4 2" xfId="50727"/>
    <cellStyle name="Normal 3 7 2 5 5" xfId="21518"/>
    <cellStyle name="Normal 3 7 2 5 6" xfId="34498"/>
    <cellStyle name="Normal 3 7 2 5 7" xfId="47481"/>
    <cellStyle name="Normal 3 7 2 6" xfId="3624"/>
    <cellStyle name="Normal 3 7 2 6 2" xfId="10156"/>
    <cellStyle name="Normal 3 7 2 6 2 2" xfId="29629"/>
    <cellStyle name="Normal 3 7 2 6 2 3" xfId="42609"/>
    <cellStyle name="Normal 3 7 2 6 2 4" xfId="58838"/>
    <cellStyle name="Normal 3 7 2 6 3" xfId="16649"/>
    <cellStyle name="Normal 3 7 2 6 4" xfId="23139"/>
    <cellStyle name="Normal 3 7 2 6 5" xfId="36119"/>
    <cellStyle name="Normal 3 7 2 6 6" xfId="52348"/>
    <cellStyle name="Normal 3 7 2 7" xfId="6911"/>
    <cellStyle name="Normal 3 7 2 7 2" xfId="26384"/>
    <cellStyle name="Normal 3 7 2 7 3" xfId="39364"/>
    <cellStyle name="Normal 3 7 2 7 4" xfId="55593"/>
    <cellStyle name="Normal 3 7 2 8" xfId="13404"/>
    <cellStyle name="Normal 3 7 2 8 2" xfId="49103"/>
    <cellStyle name="Normal 3 7 2 9" xfId="19894"/>
    <cellStyle name="Normal 3 7 3" xfId="706"/>
    <cellStyle name="Normal 3 7 3 10" xfId="46229"/>
    <cellStyle name="Normal 3 7 3 2" xfId="1645"/>
    <cellStyle name="Normal 3 7 3 2 2" xfId="3312"/>
    <cellStyle name="Normal 3 7 3 2 2 2" xfId="6557"/>
    <cellStyle name="Normal 3 7 3 2 2 2 2" xfId="13089"/>
    <cellStyle name="Normal 3 7 3 2 2 2 2 2" xfId="32562"/>
    <cellStyle name="Normal 3 7 3 2 2 2 2 3" xfId="45542"/>
    <cellStyle name="Normal 3 7 3 2 2 2 2 4" xfId="61771"/>
    <cellStyle name="Normal 3 7 3 2 2 2 3" xfId="19582"/>
    <cellStyle name="Normal 3 7 3 2 2 2 4" xfId="26072"/>
    <cellStyle name="Normal 3 7 3 2 2 2 5" xfId="39052"/>
    <cellStyle name="Normal 3 7 3 2 2 2 6" xfId="55281"/>
    <cellStyle name="Normal 3 7 3 2 2 3" xfId="9844"/>
    <cellStyle name="Normal 3 7 3 2 2 3 2" xfId="29317"/>
    <cellStyle name="Normal 3 7 3 2 2 3 3" xfId="42297"/>
    <cellStyle name="Normal 3 7 3 2 2 3 4" xfId="58526"/>
    <cellStyle name="Normal 3 7 3 2 2 4" xfId="16337"/>
    <cellStyle name="Normal 3 7 3 2 2 4 2" xfId="52036"/>
    <cellStyle name="Normal 3 7 3 2 2 5" xfId="22827"/>
    <cellStyle name="Normal 3 7 3 2 2 6" xfId="35807"/>
    <cellStyle name="Normal 3 7 3 2 2 7" xfId="48790"/>
    <cellStyle name="Normal 3 7 3 2 3" xfId="4934"/>
    <cellStyle name="Normal 3 7 3 2 3 2" xfId="11466"/>
    <cellStyle name="Normal 3 7 3 2 3 2 2" xfId="30939"/>
    <cellStyle name="Normal 3 7 3 2 3 2 3" xfId="43919"/>
    <cellStyle name="Normal 3 7 3 2 3 2 4" xfId="60148"/>
    <cellStyle name="Normal 3 7 3 2 3 3" xfId="17959"/>
    <cellStyle name="Normal 3 7 3 2 3 4" xfId="24449"/>
    <cellStyle name="Normal 3 7 3 2 3 5" xfId="37429"/>
    <cellStyle name="Normal 3 7 3 2 3 6" xfId="53658"/>
    <cellStyle name="Normal 3 7 3 2 4" xfId="8221"/>
    <cellStyle name="Normal 3 7 3 2 4 2" xfId="27694"/>
    <cellStyle name="Normal 3 7 3 2 4 3" xfId="40674"/>
    <cellStyle name="Normal 3 7 3 2 4 4" xfId="56903"/>
    <cellStyle name="Normal 3 7 3 2 5" xfId="14714"/>
    <cellStyle name="Normal 3 7 3 2 5 2" xfId="50413"/>
    <cellStyle name="Normal 3 7 3 2 6" xfId="21204"/>
    <cellStyle name="Normal 3 7 3 2 7" xfId="34184"/>
    <cellStyle name="Normal 3 7 3 2 8" xfId="47167"/>
    <cellStyle name="Normal 3 7 3 3" xfId="1182"/>
    <cellStyle name="Normal 3 7 3 3 2" xfId="2849"/>
    <cellStyle name="Normal 3 7 3 3 2 2" xfId="6094"/>
    <cellStyle name="Normal 3 7 3 3 2 2 2" xfId="12626"/>
    <cellStyle name="Normal 3 7 3 3 2 2 2 2" xfId="32099"/>
    <cellStyle name="Normal 3 7 3 3 2 2 2 3" xfId="45079"/>
    <cellStyle name="Normal 3 7 3 3 2 2 2 4" xfId="61308"/>
    <cellStyle name="Normal 3 7 3 3 2 2 3" xfId="19119"/>
    <cellStyle name="Normal 3 7 3 3 2 2 4" xfId="25609"/>
    <cellStyle name="Normal 3 7 3 3 2 2 5" xfId="38589"/>
    <cellStyle name="Normal 3 7 3 3 2 2 6" xfId="54818"/>
    <cellStyle name="Normal 3 7 3 3 2 3" xfId="9381"/>
    <cellStyle name="Normal 3 7 3 3 2 3 2" xfId="28854"/>
    <cellStyle name="Normal 3 7 3 3 2 3 3" xfId="41834"/>
    <cellStyle name="Normal 3 7 3 3 2 3 4" xfId="58063"/>
    <cellStyle name="Normal 3 7 3 3 2 4" xfId="15874"/>
    <cellStyle name="Normal 3 7 3 3 2 4 2" xfId="51573"/>
    <cellStyle name="Normal 3 7 3 3 2 5" xfId="22364"/>
    <cellStyle name="Normal 3 7 3 3 2 6" xfId="35344"/>
    <cellStyle name="Normal 3 7 3 3 2 7" xfId="48327"/>
    <cellStyle name="Normal 3 7 3 3 3" xfId="4471"/>
    <cellStyle name="Normal 3 7 3 3 3 2" xfId="11003"/>
    <cellStyle name="Normal 3 7 3 3 3 2 2" xfId="30476"/>
    <cellStyle name="Normal 3 7 3 3 3 2 3" xfId="43456"/>
    <cellStyle name="Normal 3 7 3 3 3 2 4" xfId="59685"/>
    <cellStyle name="Normal 3 7 3 3 3 3" xfId="17496"/>
    <cellStyle name="Normal 3 7 3 3 3 4" xfId="23986"/>
    <cellStyle name="Normal 3 7 3 3 3 5" xfId="36966"/>
    <cellStyle name="Normal 3 7 3 3 3 6" xfId="53195"/>
    <cellStyle name="Normal 3 7 3 3 4" xfId="7758"/>
    <cellStyle name="Normal 3 7 3 3 4 2" xfId="27231"/>
    <cellStyle name="Normal 3 7 3 3 4 3" xfId="40211"/>
    <cellStyle name="Normal 3 7 3 3 4 4" xfId="56440"/>
    <cellStyle name="Normal 3 7 3 3 5" xfId="14251"/>
    <cellStyle name="Normal 3 7 3 3 5 2" xfId="49950"/>
    <cellStyle name="Normal 3 7 3 3 6" xfId="20741"/>
    <cellStyle name="Normal 3 7 3 3 7" xfId="33721"/>
    <cellStyle name="Normal 3 7 3 3 8" xfId="46704"/>
    <cellStyle name="Normal 3 7 3 4" xfId="2374"/>
    <cellStyle name="Normal 3 7 3 4 2" xfId="5619"/>
    <cellStyle name="Normal 3 7 3 4 2 2" xfId="12151"/>
    <cellStyle name="Normal 3 7 3 4 2 2 2" xfId="31624"/>
    <cellStyle name="Normal 3 7 3 4 2 2 3" xfId="44604"/>
    <cellStyle name="Normal 3 7 3 4 2 2 4" xfId="60833"/>
    <cellStyle name="Normal 3 7 3 4 2 3" xfId="18644"/>
    <cellStyle name="Normal 3 7 3 4 2 4" xfId="25134"/>
    <cellStyle name="Normal 3 7 3 4 2 5" xfId="38114"/>
    <cellStyle name="Normal 3 7 3 4 2 6" xfId="54343"/>
    <cellStyle name="Normal 3 7 3 4 3" xfId="8906"/>
    <cellStyle name="Normal 3 7 3 4 3 2" xfId="28379"/>
    <cellStyle name="Normal 3 7 3 4 3 3" xfId="41359"/>
    <cellStyle name="Normal 3 7 3 4 3 4" xfId="57588"/>
    <cellStyle name="Normal 3 7 3 4 4" xfId="15399"/>
    <cellStyle name="Normal 3 7 3 4 4 2" xfId="51098"/>
    <cellStyle name="Normal 3 7 3 4 5" xfId="21889"/>
    <cellStyle name="Normal 3 7 3 4 6" xfId="34869"/>
    <cellStyle name="Normal 3 7 3 4 7" xfId="47852"/>
    <cellStyle name="Normal 3 7 3 5" xfId="3996"/>
    <cellStyle name="Normal 3 7 3 5 2" xfId="10528"/>
    <cellStyle name="Normal 3 7 3 5 2 2" xfId="30001"/>
    <cellStyle name="Normal 3 7 3 5 2 3" xfId="42981"/>
    <cellStyle name="Normal 3 7 3 5 2 4" xfId="59210"/>
    <cellStyle name="Normal 3 7 3 5 3" xfId="17021"/>
    <cellStyle name="Normal 3 7 3 5 4" xfId="23511"/>
    <cellStyle name="Normal 3 7 3 5 5" xfId="36491"/>
    <cellStyle name="Normal 3 7 3 5 6" xfId="52720"/>
    <cellStyle name="Normal 3 7 3 6" xfId="7283"/>
    <cellStyle name="Normal 3 7 3 6 2" xfId="26756"/>
    <cellStyle name="Normal 3 7 3 6 3" xfId="39736"/>
    <cellStyle name="Normal 3 7 3 6 4" xfId="55965"/>
    <cellStyle name="Normal 3 7 3 7" xfId="13776"/>
    <cellStyle name="Normal 3 7 3 7 2" xfId="49475"/>
    <cellStyle name="Normal 3 7 3 8" xfId="20266"/>
    <cellStyle name="Normal 3 7 3 9" xfId="33246"/>
    <cellStyle name="Normal 3 7 4" xfId="476"/>
    <cellStyle name="Normal 3 7 4 2" xfId="1425"/>
    <cellStyle name="Normal 3 7 4 2 2" xfId="3092"/>
    <cellStyle name="Normal 3 7 4 2 2 2" xfId="6337"/>
    <cellStyle name="Normal 3 7 4 2 2 2 2" xfId="12869"/>
    <cellStyle name="Normal 3 7 4 2 2 2 2 2" xfId="32342"/>
    <cellStyle name="Normal 3 7 4 2 2 2 2 3" xfId="45322"/>
    <cellStyle name="Normal 3 7 4 2 2 2 2 4" xfId="61551"/>
    <cellStyle name="Normal 3 7 4 2 2 2 3" xfId="19362"/>
    <cellStyle name="Normal 3 7 4 2 2 2 4" xfId="25852"/>
    <cellStyle name="Normal 3 7 4 2 2 2 5" xfId="38832"/>
    <cellStyle name="Normal 3 7 4 2 2 2 6" xfId="55061"/>
    <cellStyle name="Normal 3 7 4 2 2 3" xfId="9624"/>
    <cellStyle name="Normal 3 7 4 2 2 3 2" xfId="29097"/>
    <cellStyle name="Normal 3 7 4 2 2 3 3" xfId="42077"/>
    <cellStyle name="Normal 3 7 4 2 2 3 4" xfId="58306"/>
    <cellStyle name="Normal 3 7 4 2 2 4" xfId="16117"/>
    <cellStyle name="Normal 3 7 4 2 2 4 2" xfId="51816"/>
    <cellStyle name="Normal 3 7 4 2 2 5" xfId="22607"/>
    <cellStyle name="Normal 3 7 4 2 2 6" xfId="35587"/>
    <cellStyle name="Normal 3 7 4 2 2 7" xfId="48570"/>
    <cellStyle name="Normal 3 7 4 2 3" xfId="4714"/>
    <cellStyle name="Normal 3 7 4 2 3 2" xfId="11246"/>
    <cellStyle name="Normal 3 7 4 2 3 2 2" xfId="30719"/>
    <cellStyle name="Normal 3 7 4 2 3 2 3" xfId="43699"/>
    <cellStyle name="Normal 3 7 4 2 3 2 4" xfId="59928"/>
    <cellStyle name="Normal 3 7 4 2 3 3" xfId="17739"/>
    <cellStyle name="Normal 3 7 4 2 3 4" xfId="24229"/>
    <cellStyle name="Normal 3 7 4 2 3 5" xfId="37209"/>
    <cellStyle name="Normal 3 7 4 2 3 6" xfId="53438"/>
    <cellStyle name="Normal 3 7 4 2 4" xfId="8001"/>
    <cellStyle name="Normal 3 7 4 2 4 2" xfId="27474"/>
    <cellStyle name="Normal 3 7 4 2 4 3" xfId="40454"/>
    <cellStyle name="Normal 3 7 4 2 4 4" xfId="56683"/>
    <cellStyle name="Normal 3 7 4 2 5" xfId="14494"/>
    <cellStyle name="Normal 3 7 4 2 5 2" xfId="50193"/>
    <cellStyle name="Normal 3 7 4 2 6" xfId="20984"/>
    <cellStyle name="Normal 3 7 4 2 7" xfId="33964"/>
    <cellStyle name="Normal 3 7 4 2 8" xfId="46947"/>
    <cellStyle name="Normal 3 7 4 3" xfId="2144"/>
    <cellStyle name="Normal 3 7 4 3 2" xfId="5389"/>
    <cellStyle name="Normal 3 7 4 3 2 2" xfId="11921"/>
    <cellStyle name="Normal 3 7 4 3 2 2 2" xfId="31394"/>
    <cellStyle name="Normal 3 7 4 3 2 2 3" xfId="44374"/>
    <cellStyle name="Normal 3 7 4 3 2 2 4" xfId="60603"/>
    <cellStyle name="Normal 3 7 4 3 2 3" xfId="18414"/>
    <cellStyle name="Normal 3 7 4 3 2 4" xfId="24904"/>
    <cellStyle name="Normal 3 7 4 3 2 5" xfId="37884"/>
    <cellStyle name="Normal 3 7 4 3 2 6" xfId="54113"/>
    <cellStyle name="Normal 3 7 4 3 3" xfId="8676"/>
    <cellStyle name="Normal 3 7 4 3 3 2" xfId="28149"/>
    <cellStyle name="Normal 3 7 4 3 3 3" xfId="41129"/>
    <cellStyle name="Normal 3 7 4 3 3 4" xfId="57358"/>
    <cellStyle name="Normal 3 7 4 3 4" xfId="15169"/>
    <cellStyle name="Normal 3 7 4 3 4 2" xfId="50868"/>
    <cellStyle name="Normal 3 7 4 3 5" xfId="21659"/>
    <cellStyle name="Normal 3 7 4 3 6" xfId="34639"/>
    <cellStyle name="Normal 3 7 4 3 7" xfId="47622"/>
    <cellStyle name="Normal 3 7 4 4" xfId="3766"/>
    <cellStyle name="Normal 3 7 4 4 2" xfId="10298"/>
    <cellStyle name="Normal 3 7 4 4 2 2" xfId="29771"/>
    <cellStyle name="Normal 3 7 4 4 2 3" xfId="42751"/>
    <cellStyle name="Normal 3 7 4 4 2 4" xfId="58980"/>
    <cellStyle name="Normal 3 7 4 4 3" xfId="16791"/>
    <cellStyle name="Normal 3 7 4 4 4" xfId="23281"/>
    <cellStyle name="Normal 3 7 4 4 5" xfId="36261"/>
    <cellStyle name="Normal 3 7 4 4 6" xfId="52490"/>
    <cellStyle name="Normal 3 7 4 5" xfId="7053"/>
    <cellStyle name="Normal 3 7 4 5 2" xfId="26526"/>
    <cellStyle name="Normal 3 7 4 5 3" xfId="39506"/>
    <cellStyle name="Normal 3 7 4 5 4" xfId="55735"/>
    <cellStyle name="Normal 3 7 4 6" xfId="13546"/>
    <cellStyle name="Normal 3 7 4 6 2" xfId="49245"/>
    <cellStyle name="Normal 3 7 4 7" xfId="20036"/>
    <cellStyle name="Normal 3 7 4 8" xfId="33016"/>
    <cellStyle name="Normal 3 7 4 9" xfId="45999"/>
    <cellStyle name="Normal 3 7 5" xfId="962"/>
    <cellStyle name="Normal 3 7 5 2" xfId="2629"/>
    <cellStyle name="Normal 3 7 5 2 2" xfId="5874"/>
    <cellStyle name="Normal 3 7 5 2 2 2" xfId="12406"/>
    <cellStyle name="Normal 3 7 5 2 2 2 2" xfId="31879"/>
    <cellStyle name="Normal 3 7 5 2 2 2 3" xfId="44859"/>
    <cellStyle name="Normal 3 7 5 2 2 2 4" xfId="61088"/>
    <cellStyle name="Normal 3 7 5 2 2 3" xfId="18899"/>
    <cellStyle name="Normal 3 7 5 2 2 4" xfId="25389"/>
    <cellStyle name="Normal 3 7 5 2 2 5" xfId="38369"/>
    <cellStyle name="Normal 3 7 5 2 2 6" xfId="54598"/>
    <cellStyle name="Normal 3 7 5 2 3" xfId="9161"/>
    <cellStyle name="Normal 3 7 5 2 3 2" xfId="28634"/>
    <cellStyle name="Normal 3 7 5 2 3 3" xfId="41614"/>
    <cellStyle name="Normal 3 7 5 2 3 4" xfId="57843"/>
    <cellStyle name="Normal 3 7 5 2 4" xfId="15654"/>
    <cellStyle name="Normal 3 7 5 2 4 2" xfId="51353"/>
    <cellStyle name="Normal 3 7 5 2 5" xfId="22144"/>
    <cellStyle name="Normal 3 7 5 2 6" xfId="35124"/>
    <cellStyle name="Normal 3 7 5 2 7" xfId="48107"/>
    <cellStyle name="Normal 3 7 5 3" xfId="4251"/>
    <cellStyle name="Normal 3 7 5 3 2" xfId="10783"/>
    <cellStyle name="Normal 3 7 5 3 2 2" xfId="30256"/>
    <cellStyle name="Normal 3 7 5 3 2 3" xfId="43236"/>
    <cellStyle name="Normal 3 7 5 3 2 4" xfId="59465"/>
    <cellStyle name="Normal 3 7 5 3 3" xfId="17276"/>
    <cellStyle name="Normal 3 7 5 3 4" xfId="23766"/>
    <cellStyle name="Normal 3 7 5 3 5" xfId="36746"/>
    <cellStyle name="Normal 3 7 5 3 6" xfId="52975"/>
    <cellStyle name="Normal 3 7 5 4" xfId="7538"/>
    <cellStyle name="Normal 3 7 5 4 2" xfId="27011"/>
    <cellStyle name="Normal 3 7 5 4 3" xfId="39991"/>
    <cellStyle name="Normal 3 7 5 4 4" xfId="56220"/>
    <cellStyle name="Normal 3 7 5 5" xfId="14031"/>
    <cellStyle name="Normal 3 7 5 5 2" xfId="49730"/>
    <cellStyle name="Normal 3 7 5 6" xfId="20521"/>
    <cellStyle name="Normal 3 7 5 7" xfId="33501"/>
    <cellStyle name="Normal 3 7 5 8" xfId="46484"/>
    <cellStyle name="Normal 3 7 6" xfId="1915"/>
    <cellStyle name="Normal 3 7 6 2" xfId="5160"/>
    <cellStyle name="Normal 3 7 6 2 2" xfId="11692"/>
    <cellStyle name="Normal 3 7 6 2 2 2" xfId="31165"/>
    <cellStyle name="Normal 3 7 6 2 2 3" xfId="44145"/>
    <cellStyle name="Normal 3 7 6 2 2 4" xfId="60374"/>
    <cellStyle name="Normal 3 7 6 2 3" xfId="18185"/>
    <cellStyle name="Normal 3 7 6 2 4" xfId="24675"/>
    <cellStyle name="Normal 3 7 6 2 5" xfId="37655"/>
    <cellStyle name="Normal 3 7 6 2 6" xfId="53884"/>
    <cellStyle name="Normal 3 7 6 3" xfId="8447"/>
    <cellStyle name="Normal 3 7 6 3 2" xfId="27920"/>
    <cellStyle name="Normal 3 7 6 3 3" xfId="40900"/>
    <cellStyle name="Normal 3 7 6 3 4" xfId="57129"/>
    <cellStyle name="Normal 3 7 6 4" xfId="14940"/>
    <cellStyle name="Normal 3 7 6 4 2" xfId="50639"/>
    <cellStyle name="Normal 3 7 6 5" xfId="21430"/>
    <cellStyle name="Normal 3 7 6 6" xfId="34410"/>
    <cellStyle name="Normal 3 7 6 7" xfId="47393"/>
    <cellStyle name="Normal 3 7 7" xfId="3536"/>
    <cellStyle name="Normal 3 7 7 2" xfId="10068"/>
    <cellStyle name="Normal 3 7 7 2 2" xfId="29541"/>
    <cellStyle name="Normal 3 7 7 2 3" xfId="42521"/>
    <cellStyle name="Normal 3 7 7 2 4" xfId="58750"/>
    <cellStyle name="Normal 3 7 7 3" xfId="16561"/>
    <cellStyle name="Normal 3 7 7 4" xfId="23051"/>
    <cellStyle name="Normal 3 7 7 5" xfId="36031"/>
    <cellStyle name="Normal 3 7 7 6" xfId="52260"/>
    <cellStyle name="Normal 3 7 8" xfId="6823"/>
    <cellStyle name="Normal 3 7 8 2" xfId="26296"/>
    <cellStyle name="Normal 3 7 8 3" xfId="39276"/>
    <cellStyle name="Normal 3 7 8 4" xfId="55505"/>
    <cellStyle name="Normal 3 7 9" xfId="13316"/>
    <cellStyle name="Normal 3 7 9 2" xfId="49015"/>
    <cellStyle name="Normal 3 8" xfId="198"/>
    <cellStyle name="Normal 3 8 10" xfId="32742"/>
    <cellStyle name="Normal 3 8 11" xfId="45725"/>
    <cellStyle name="Normal 3 8 2" xfId="662"/>
    <cellStyle name="Normal 3 8 2 10" xfId="46185"/>
    <cellStyle name="Normal 3 8 2 2" xfId="1601"/>
    <cellStyle name="Normal 3 8 2 2 2" xfId="3268"/>
    <cellStyle name="Normal 3 8 2 2 2 2" xfId="6513"/>
    <cellStyle name="Normal 3 8 2 2 2 2 2" xfId="13045"/>
    <cellStyle name="Normal 3 8 2 2 2 2 2 2" xfId="32518"/>
    <cellStyle name="Normal 3 8 2 2 2 2 2 3" xfId="45498"/>
    <cellStyle name="Normal 3 8 2 2 2 2 2 4" xfId="61727"/>
    <cellStyle name="Normal 3 8 2 2 2 2 3" xfId="19538"/>
    <cellStyle name="Normal 3 8 2 2 2 2 4" xfId="26028"/>
    <cellStyle name="Normal 3 8 2 2 2 2 5" xfId="39008"/>
    <cellStyle name="Normal 3 8 2 2 2 2 6" xfId="55237"/>
    <cellStyle name="Normal 3 8 2 2 2 3" xfId="9800"/>
    <cellStyle name="Normal 3 8 2 2 2 3 2" xfId="29273"/>
    <cellStyle name="Normal 3 8 2 2 2 3 3" xfId="42253"/>
    <cellStyle name="Normal 3 8 2 2 2 3 4" xfId="58482"/>
    <cellStyle name="Normal 3 8 2 2 2 4" xfId="16293"/>
    <cellStyle name="Normal 3 8 2 2 2 4 2" xfId="51992"/>
    <cellStyle name="Normal 3 8 2 2 2 5" xfId="22783"/>
    <cellStyle name="Normal 3 8 2 2 2 6" xfId="35763"/>
    <cellStyle name="Normal 3 8 2 2 2 7" xfId="48746"/>
    <cellStyle name="Normal 3 8 2 2 3" xfId="4890"/>
    <cellStyle name="Normal 3 8 2 2 3 2" xfId="11422"/>
    <cellStyle name="Normal 3 8 2 2 3 2 2" xfId="30895"/>
    <cellStyle name="Normal 3 8 2 2 3 2 3" xfId="43875"/>
    <cellStyle name="Normal 3 8 2 2 3 2 4" xfId="60104"/>
    <cellStyle name="Normal 3 8 2 2 3 3" xfId="17915"/>
    <cellStyle name="Normal 3 8 2 2 3 4" xfId="24405"/>
    <cellStyle name="Normal 3 8 2 2 3 5" xfId="37385"/>
    <cellStyle name="Normal 3 8 2 2 3 6" xfId="53614"/>
    <cellStyle name="Normal 3 8 2 2 4" xfId="8177"/>
    <cellStyle name="Normal 3 8 2 2 4 2" xfId="27650"/>
    <cellStyle name="Normal 3 8 2 2 4 3" xfId="40630"/>
    <cellStyle name="Normal 3 8 2 2 4 4" xfId="56859"/>
    <cellStyle name="Normal 3 8 2 2 5" xfId="14670"/>
    <cellStyle name="Normal 3 8 2 2 5 2" xfId="50369"/>
    <cellStyle name="Normal 3 8 2 2 6" xfId="21160"/>
    <cellStyle name="Normal 3 8 2 2 7" xfId="34140"/>
    <cellStyle name="Normal 3 8 2 2 8" xfId="47123"/>
    <cellStyle name="Normal 3 8 2 3" xfId="1138"/>
    <cellStyle name="Normal 3 8 2 3 2" xfId="2805"/>
    <cellStyle name="Normal 3 8 2 3 2 2" xfId="6050"/>
    <cellStyle name="Normal 3 8 2 3 2 2 2" xfId="12582"/>
    <cellStyle name="Normal 3 8 2 3 2 2 2 2" xfId="32055"/>
    <cellStyle name="Normal 3 8 2 3 2 2 2 3" xfId="45035"/>
    <cellStyle name="Normal 3 8 2 3 2 2 2 4" xfId="61264"/>
    <cellStyle name="Normal 3 8 2 3 2 2 3" xfId="19075"/>
    <cellStyle name="Normal 3 8 2 3 2 2 4" xfId="25565"/>
    <cellStyle name="Normal 3 8 2 3 2 2 5" xfId="38545"/>
    <cellStyle name="Normal 3 8 2 3 2 2 6" xfId="54774"/>
    <cellStyle name="Normal 3 8 2 3 2 3" xfId="9337"/>
    <cellStyle name="Normal 3 8 2 3 2 3 2" xfId="28810"/>
    <cellStyle name="Normal 3 8 2 3 2 3 3" xfId="41790"/>
    <cellStyle name="Normal 3 8 2 3 2 3 4" xfId="58019"/>
    <cellStyle name="Normal 3 8 2 3 2 4" xfId="15830"/>
    <cellStyle name="Normal 3 8 2 3 2 4 2" xfId="51529"/>
    <cellStyle name="Normal 3 8 2 3 2 5" xfId="22320"/>
    <cellStyle name="Normal 3 8 2 3 2 6" xfId="35300"/>
    <cellStyle name="Normal 3 8 2 3 2 7" xfId="48283"/>
    <cellStyle name="Normal 3 8 2 3 3" xfId="4427"/>
    <cellStyle name="Normal 3 8 2 3 3 2" xfId="10959"/>
    <cellStyle name="Normal 3 8 2 3 3 2 2" xfId="30432"/>
    <cellStyle name="Normal 3 8 2 3 3 2 3" xfId="43412"/>
    <cellStyle name="Normal 3 8 2 3 3 2 4" xfId="59641"/>
    <cellStyle name="Normal 3 8 2 3 3 3" xfId="17452"/>
    <cellStyle name="Normal 3 8 2 3 3 4" xfId="23942"/>
    <cellStyle name="Normal 3 8 2 3 3 5" xfId="36922"/>
    <cellStyle name="Normal 3 8 2 3 3 6" xfId="53151"/>
    <cellStyle name="Normal 3 8 2 3 4" xfId="7714"/>
    <cellStyle name="Normal 3 8 2 3 4 2" xfId="27187"/>
    <cellStyle name="Normal 3 8 2 3 4 3" xfId="40167"/>
    <cellStyle name="Normal 3 8 2 3 4 4" xfId="56396"/>
    <cellStyle name="Normal 3 8 2 3 5" xfId="14207"/>
    <cellStyle name="Normal 3 8 2 3 5 2" xfId="49906"/>
    <cellStyle name="Normal 3 8 2 3 6" xfId="20697"/>
    <cellStyle name="Normal 3 8 2 3 7" xfId="33677"/>
    <cellStyle name="Normal 3 8 2 3 8" xfId="46660"/>
    <cellStyle name="Normal 3 8 2 4" xfId="2330"/>
    <cellStyle name="Normal 3 8 2 4 2" xfId="5575"/>
    <cellStyle name="Normal 3 8 2 4 2 2" xfId="12107"/>
    <cellStyle name="Normal 3 8 2 4 2 2 2" xfId="31580"/>
    <cellStyle name="Normal 3 8 2 4 2 2 3" xfId="44560"/>
    <cellStyle name="Normal 3 8 2 4 2 2 4" xfId="60789"/>
    <cellStyle name="Normal 3 8 2 4 2 3" xfId="18600"/>
    <cellStyle name="Normal 3 8 2 4 2 4" xfId="25090"/>
    <cellStyle name="Normal 3 8 2 4 2 5" xfId="38070"/>
    <cellStyle name="Normal 3 8 2 4 2 6" xfId="54299"/>
    <cellStyle name="Normal 3 8 2 4 3" xfId="8862"/>
    <cellStyle name="Normal 3 8 2 4 3 2" xfId="28335"/>
    <cellStyle name="Normal 3 8 2 4 3 3" xfId="41315"/>
    <cellStyle name="Normal 3 8 2 4 3 4" xfId="57544"/>
    <cellStyle name="Normal 3 8 2 4 4" xfId="15355"/>
    <cellStyle name="Normal 3 8 2 4 4 2" xfId="51054"/>
    <cellStyle name="Normal 3 8 2 4 5" xfId="21845"/>
    <cellStyle name="Normal 3 8 2 4 6" xfId="34825"/>
    <cellStyle name="Normal 3 8 2 4 7" xfId="47808"/>
    <cellStyle name="Normal 3 8 2 5" xfId="3952"/>
    <cellStyle name="Normal 3 8 2 5 2" xfId="10484"/>
    <cellStyle name="Normal 3 8 2 5 2 2" xfId="29957"/>
    <cellStyle name="Normal 3 8 2 5 2 3" xfId="42937"/>
    <cellStyle name="Normal 3 8 2 5 2 4" xfId="59166"/>
    <cellStyle name="Normal 3 8 2 5 3" xfId="16977"/>
    <cellStyle name="Normal 3 8 2 5 4" xfId="23467"/>
    <cellStyle name="Normal 3 8 2 5 5" xfId="36447"/>
    <cellStyle name="Normal 3 8 2 5 6" xfId="52676"/>
    <cellStyle name="Normal 3 8 2 6" xfId="7239"/>
    <cellStyle name="Normal 3 8 2 6 2" xfId="26712"/>
    <cellStyle name="Normal 3 8 2 6 3" xfId="39692"/>
    <cellStyle name="Normal 3 8 2 6 4" xfId="55921"/>
    <cellStyle name="Normal 3 8 2 7" xfId="13732"/>
    <cellStyle name="Normal 3 8 2 7 2" xfId="49431"/>
    <cellStyle name="Normal 3 8 2 8" xfId="20222"/>
    <cellStyle name="Normal 3 8 2 9" xfId="33202"/>
    <cellStyle name="Normal 3 8 3" xfId="432"/>
    <cellStyle name="Normal 3 8 3 2" xfId="1381"/>
    <cellStyle name="Normal 3 8 3 2 2" xfId="3048"/>
    <cellStyle name="Normal 3 8 3 2 2 2" xfId="6293"/>
    <cellStyle name="Normal 3 8 3 2 2 2 2" xfId="12825"/>
    <cellStyle name="Normal 3 8 3 2 2 2 2 2" xfId="32298"/>
    <cellStyle name="Normal 3 8 3 2 2 2 2 3" xfId="45278"/>
    <cellStyle name="Normal 3 8 3 2 2 2 2 4" xfId="61507"/>
    <cellStyle name="Normal 3 8 3 2 2 2 3" xfId="19318"/>
    <cellStyle name="Normal 3 8 3 2 2 2 4" xfId="25808"/>
    <cellStyle name="Normal 3 8 3 2 2 2 5" xfId="38788"/>
    <cellStyle name="Normal 3 8 3 2 2 2 6" xfId="55017"/>
    <cellStyle name="Normal 3 8 3 2 2 3" xfId="9580"/>
    <cellStyle name="Normal 3 8 3 2 2 3 2" xfId="29053"/>
    <cellStyle name="Normal 3 8 3 2 2 3 3" xfId="42033"/>
    <cellStyle name="Normal 3 8 3 2 2 3 4" xfId="58262"/>
    <cellStyle name="Normal 3 8 3 2 2 4" xfId="16073"/>
    <cellStyle name="Normal 3 8 3 2 2 4 2" xfId="51772"/>
    <cellStyle name="Normal 3 8 3 2 2 5" xfId="22563"/>
    <cellStyle name="Normal 3 8 3 2 2 6" xfId="35543"/>
    <cellStyle name="Normal 3 8 3 2 2 7" xfId="48526"/>
    <cellStyle name="Normal 3 8 3 2 3" xfId="4670"/>
    <cellStyle name="Normal 3 8 3 2 3 2" xfId="11202"/>
    <cellStyle name="Normal 3 8 3 2 3 2 2" xfId="30675"/>
    <cellStyle name="Normal 3 8 3 2 3 2 3" xfId="43655"/>
    <cellStyle name="Normal 3 8 3 2 3 2 4" xfId="59884"/>
    <cellStyle name="Normal 3 8 3 2 3 3" xfId="17695"/>
    <cellStyle name="Normal 3 8 3 2 3 4" xfId="24185"/>
    <cellStyle name="Normal 3 8 3 2 3 5" xfId="37165"/>
    <cellStyle name="Normal 3 8 3 2 3 6" xfId="53394"/>
    <cellStyle name="Normal 3 8 3 2 4" xfId="7957"/>
    <cellStyle name="Normal 3 8 3 2 4 2" xfId="27430"/>
    <cellStyle name="Normal 3 8 3 2 4 3" xfId="40410"/>
    <cellStyle name="Normal 3 8 3 2 4 4" xfId="56639"/>
    <cellStyle name="Normal 3 8 3 2 5" xfId="14450"/>
    <cellStyle name="Normal 3 8 3 2 5 2" xfId="50149"/>
    <cellStyle name="Normal 3 8 3 2 6" xfId="20940"/>
    <cellStyle name="Normal 3 8 3 2 7" xfId="33920"/>
    <cellStyle name="Normal 3 8 3 2 8" xfId="46903"/>
    <cellStyle name="Normal 3 8 3 3" xfId="2100"/>
    <cellStyle name="Normal 3 8 3 3 2" xfId="5345"/>
    <cellStyle name="Normal 3 8 3 3 2 2" xfId="11877"/>
    <cellStyle name="Normal 3 8 3 3 2 2 2" xfId="31350"/>
    <cellStyle name="Normal 3 8 3 3 2 2 3" xfId="44330"/>
    <cellStyle name="Normal 3 8 3 3 2 2 4" xfId="60559"/>
    <cellStyle name="Normal 3 8 3 3 2 3" xfId="18370"/>
    <cellStyle name="Normal 3 8 3 3 2 4" xfId="24860"/>
    <cellStyle name="Normal 3 8 3 3 2 5" xfId="37840"/>
    <cellStyle name="Normal 3 8 3 3 2 6" xfId="54069"/>
    <cellStyle name="Normal 3 8 3 3 3" xfId="8632"/>
    <cellStyle name="Normal 3 8 3 3 3 2" xfId="28105"/>
    <cellStyle name="Normal 3 8 3 3 3 3" xfId="41085"/>
    <cellStyle name="Normal 3 8 3 3 3 4" xfId="57314"/>
    <cellStyle name="Normal 3 8 3 3 4" xfId="15125"/>
    <cellStyle name="Normal 3 8 3 3 4 2" xfId="50824"/>
    <cellStyle name="Normal 3 8 3 3 5" xfId="21615"/>
    <cellStyle name="Normal 3 8 3 3 6" xfId="34595"/>
    <cellStyle name="Normal 3 8 3 3 7" xfId="47578"/>
    <cellStyle name="Normal 3 8 3 4" xfId="3722"/>
    <cellStyle name="Normal 3 8 3 4 2" xfId="10254"/>
    <cellStyle name="Normal 3 8 3 4 2 2" xfId="29727"/>
    <cellStyle name="Normal 3 8 3 4 2 3" xfId="42707"/>
    <cellStyle name="Normal 3 8 3 4 2 4" xfId="58936"/>
    <cellStyle name="Normal 3 8 3 4 3" xfId="16747"/>
    <cellStyle name="Normal 3 8 3 4 4" xfId="23237"/>
    <cellStyle name="Normal 3 8 3 4 5" xfId="36217"/>
    <cellStyle name="Normal 3 8 3 4 6" xfId="52446"/>
    <cellStyle name="Normal 3 8 3 5" xfId="7009"/>
    <cellStyle name="Normal 3 8 3 5 2" xfId="26482"/>
    <cellStyle name="Normal 3 8 3 5 3" xfId="39462"/>
    <cellStyle name="Normal 3 8 3 5 4" xfId="55691"/>
    <cellStyle name="Normal 3 8 3 6" xfId="13502"/>
    <cellStyle name="Normal 3 8 3 6 2" xfId="49201"/>
    <cellStyle name="Normal 3 8 3 7" xfId="19992"/>
    <cellStyle name="Normal 3 8 3 8" xfId="32972"/>
    <cellStyle name="Normal 3 8 3 9" xfId="45955"/>
    <cellStyle name="Normal 3 8 4" xfId="918"/>
    <cellStyle name="Normal 3 8 4 2" xfId="2585"/>
    <cellStyle name="Normal 3 8 4 2 2" xfId="5830"/>
    <cellStyle name="Normal 3 8 4 2 2 2" xfId="12362"/>
    <cellStyle name="Normal 3 8 4 2 2 2 2" xfId="31835"/>
    <cellStyle name="Normal 3 8 4 2 2 2 3" xfId="44815"/>
    <cellStyle name="Normal 3 8 4 2 2 2 4" xfId="61044"/>
    <cellStyle name="Normal 3 8 4 2 2 3" xfId="18855"/>
    <cellStyle name="Normal 3 8 4 2 2 4" xfId="25345"/>
    <cellStyle name="Normal 3 8 4 2 2 5" xfId="38325"/>
    <cellStyle name="Normal 3 8 4 2 2 6" xfId="54554"/>
    <cellStyle name="Normal 3 8 4 2 3" xfId="9117"/>
    <cellStyle name="Normal 3 8 4 2 3 2" xfId="28590"/>
    <cellStyle name="Normal 3 8 4 2 3 3" xfId="41570"/>
    <cellStyle name="Normal 3 8 4 2 3 4" xfId="57799"/>
    <cellStyle name="Normal 3 8 4 2 4" xfId="15610"/>
    <cellStyle name="Normal 3 8 4 2 4 2" xfId="51309"/>
    <cellStyle name="Normal 3 8 4 2 5" xfId="22100"/>
    <cellStyle name="Normal 3 8 4 2 6" xfId="35080"/>
    <cellStyle name="Normal 3 8 4 2 7" xfId="48063"/>
    <cellStyle name="Normal 3 8 4 3" xfId="4207"/>
    <cellStyle name="Normal 3 8 4 3 2" xfId="10739"/>
    <cellStyle name="Normal 3 8 4 3 2 2" xfId="30212"/>
    <cellStyle name="Normal 3 8 4 3 2 3" xfId="43192"/>
    <cellStyle name="Normal 3 8 4 3 2 4" xfId="59421"/>
    <cellStyle name="Normal 3 8 4 3 3" xfId="17232"/>
    <cellStyle name="Normal 3 8 4 3 4" xfId="23722"/>
    <cellStyle name="Normal 3 8 4 3 5" xfId="36702"/>
    <cellStyle name="Normal 3 8 4 3 6" xfId="52931"/>
    <cellStyle name="Normal 3 8 4 4" xfId="7494"/>
    <cellStyle name="Normal 3 8 4 4 2" xfId="26967"/>
    <cellStyle name="Normal 3 8 4 4 3" xfId="39947"/>
    <cellStyle name="Normal 3 8 4 4 4" xfId="56176"/>
    <cellStyle name="Normal 3 8 4 5" xfId="13987"/>
    <cellStyle name="Normal 3 8 4 5 2" xfId="49686"/>
    <cellStyle name="Normal 3 8 4 6" xfId="20477"/>
    <cellStyle name="Normal 3 8 4 7" xfId="33457"/>
    <cellStyle name="Normal 3 8 4 8" xfId="46440"/>
    <cellStyle name="Normal 3 8 5" xfId="1871"/>
    <cellStyle name="Normal 3 8 5 2" xfId="5116"/>
    <cellStyle name="Normal 3 8 5 2 2" xfId="11648"/>
    <cellStyle name="Normal 3 8 5 2 2 2" xfId="31121"/>
    <cellStyle name="Normal 3 8 5 2 2 3" xfId="44101"/>
    <cellStyle name="Normal 3 8 5 2 2 4" xfId="60330"/>
    <cellStyle name="Normal 3 8 5 2 3" xfId="18141"/>
    <cellStyle name="Normal 3 8 5 2 4" xfId="24631"/>
    <cellStyle name="Normal 3 8 5 2 5" xfId="37611"/>
    <cellStyle name="Normal 3 8 5 2 6" xfId="53840"/>
    <cellStyle name="Normal 3 8 5 3" xfId="8403"/>
    <cellStyle name="Normal 3 8 5 3 2" xfId="27876"/>
    <cellStyle name="Normal 3 8 5 3 3" xfId="40856"/>
    <cellStyle name="Normal 3 8 5 3 4" xfId="57085"/>
    <cellStyle name="Normal 3 8 5 4" xfId="14896"/>
    <cellStyle name="Normal 3 8 5 4 2" xfId="50595"/>
    <cellStyle name="Normal 3 8 5 5" xfId="21386"/>
    <cellStyle name="Normal 3 8 5 6" xfId="34366"/>
    <cellStyle name="Normal 3 8 5 7" xfId="47349"/>
    <cellStyle name="Normal 3 8 6" xfId="3492"/>
    <cellStyle name="Normal 3 8 6 2" xfId="10024"/>
    <cellStyle name="Normal 3 8 6 2 2" xfId="29497"/>
    <cellStyle name="Normal 3 8 6 2 3" xfId="42477"/>
    <cellStyle name="Normal 3 8 6 2 4" xfId="58706"/>
    <cellStyle name="Normal 3 8 6 3" xfId="16517"/>
    <cellStyle name="Normal 3 8 6 4" xfId="23007"/>
    <cellStyle name="Normal 3 8 6 5" xfId="35987"/>
    <cellStyle name="Normal 3 8 6 6" xfId="52216"/>
    <cellStyle name="Normal 3 8 7" xfId="6779"/>
    <cellStyle name="Normal 3 8 7 2" xfId="26252"/>
    <cellStyle name="Normal 3 8 7 3" xfId="39232"/>
    <cellStyle name="Normal 3 8 7 4" xfId="55461"/>
    <cellStyle name="Normal 3 8 8" xfId="13272"/>
    <cellStyle name="Normal 3 8 8 2" xfId="48971"/>
    <cellStyle name="Normal 3 8 9" xfId="19762"/>
    <cellStyle name="Normal 3 9" xfId="286"/>
    <cellStyle name="Normal 3 9 10" xfId="32830"/>
    <cellStyle name="Normal 3 9 11" xfId="45813"/>
    <cellStyle name="Normal 3 9 2" xfId="750"/>
    <cellStyle name="Normal 3 9 2 10" xfId="46273"/>
    <cellStyle name="Normal 3 9 2 2" xfId="1689"/>
    <cellStyle name="Normal 3 9 2 2 2" xfId="3356"/>
    <cellStyle name="Normal 3 9 2 2 2 2" xfId="6601"/>
    <cellStyle name="Normal 3 9 2 2 2 2 2" xfId="13133"/>
    <cellStyle name="Normal 3 9 2 2 2 2 2 2" xfId="32606"/>
    <cellStyle name="Normal 3 9 2 2 2 2 2 3" xfId="45586"/>
    <cellStyle name="Normal 3 9 2 2 2 2 2 4" xfId="61815"/>
    <cellStyle name="Normal 3 9 2 2 2 2 3" xfId="19626"/>
    <cellStyle name="Normal 3 9 2 2 2 2 4" xfId="26116"/>
    <cellStyle name="Normal 3 9 2 2 2 2 5" xfId="39096"/>
    <cellStyle name="Normal 3 9 2 2 2 2 6" xfId="55325"/>
    <cellStyle name="Normal 3 9 2 2 2 3" xfId="9888"/>
    <cellStyle name="Normal 3 9 2 2 2 3 2" xfId="29361"/>
    <cellStyle name="Normal 3 9 2 2 2 3 3" xfId="42341"/>
    <cellStyle name="Normal 3 9 2 2 2 3 4" xfId="58570"/>
    <cellStyle name="Normal 3 9 2 2 2 4" xfId="16381"/>
    <cellStyle name="Normal 3 9 2 2 2 4 2" xfId="52080"/>
    <cellStyle name="Normal 3 9 2 2 2 5" xfId="22871"/>
    <cellStyle name="Normal 3 9 2 2 2 6" xfId="35851"/>
    <cellStyle name="Normal 3 9 2 2 2 7" xfId="48834"/>
    <cellStyle name="Normal 3 9 2 2 3" xfId="4978"/>
    <cellStyle name="Normal 3 9 2 2 3 2" xfId="11510"/>
    <cellStyle name="Normal 3 9 2 2 3 2 2" xfId="30983"/>
    <cellStyle name="Normal 3 9 2 2 3 2 3" xfId="43963"/>
    <cellStyle name="Normal 3 9 2 2 3 2 4" xfId="60192"/>
    <cellStyle name="Normal 3 9 2 2 3 3" xfId="18003"/>
    <cellStyle name="Normal 3 9 2 2 3 4" xfId="24493"/>
    <cellStyle name="Normal 3 9 2 2 3 5" xfId="37473"/>
    <cellStyle name="Normal 3 9 2 2 3 6" xfId="53702"/>
    <cellStyle name="Normal 3 9 2 2 4" xfId="8265"/>
    <cellStyle name="Normal 3 9 2 2 4 2" xfId="27738"/>
    <cellStyle name="Normal 3 9 2 2 4 3" xfId="40718"/>
    <cellStyle name="Normal 3 9 2 2 4 4" xfId="56947"/>
    <cellStyle name="Normal 3 9 2 2 5" xfId="14758"/>
    <cellStyle name="Normal 3 9 2 2 5 2" xfId="50457"/>
    <cellStyle name="Normal 3 9 2 2 6" xfId="21248"/>
    <cellStyle name="Normal 3 9 2 2 7" xfId="34228"/>
    <cellStyle name="Normal 3 9 2 2 8" xfId="47211"/>
    <cellStyle name="Normal 3 9 2 3" xfId="1226"/>
    <cellStyle name="Normal 3 9 2 3 2" xfId="2893"/>
    <cellStyle name="Normal 3 9 2 3 2 2" xfId="6138"/>
    <cellStyle name="Normal 3 9 2 3 2 2 2" xfId="12670"/>
    <cellStyle name="Normal 3 9 2 3 2 2 2 2" xfId="32143"/>
    <cellStyle name="Normal 3 9 2 3 2 2 2 3" xfId="45123"/>
    <cellStyle name="Normal 3 9 2 3 2 2 2 4" xfId="61352"/>
    <cellStyle name="Normal 3 9 2 3 2 2 3" xfId="19163"/>
    <cellStyle name="Normal 3 9 2 3 2 2 4" xfId="25653"/>
    <cellStyle name="Normal 3 9 2 3 2 2 5" xfId="38633"/>
    <cellStyle name="Normal 3 9 2 3 2 2 6" xfId="54862"/>
    <cellStyle name="Normal 3 9 2 3 2 3" xfId="9425"/>
    <cellStyle name="Normal 3 9 2 3 2 3 2" xfId="28898"/>
    <cellStyle name="Normal 3 9 2 3 2 3 3" xfId="41878"/>
    <cellStyle name="Normal 3 9 2 3 2 3 4" xfId="58107"/>
    <cellStyle name="Normal 3 9 2 3 2 4" xfId="15918"/>
    <cellStyle name="Normal 3 9 2 3 2 4 2" xfId="51617"/>
    <cellStyle name="Normal 3 9 2 3 2 5" xfId="22408"/>
    <cellStyle name="Normal 3 9 2 3 2 6" xfId="35388"/>
    <cellStyle name="Normal 3 9 2 3 2 7" xfId="48371"/>
    <cellStyle name="Normal 3 9 2 3 3" xfId="4515"/>
    <cellStyle name="Normal 3 9 2 3 3 2" xfId="11047"/>
    <cellStyle name="Normal 3 9 2 3 3 2 2" xfId="30520"/>
    <cellStyle name="Normal 3 9 2 3 3 2 3" xfId="43500"/>
    <cellStyle name="Normal 3 9 2 3 3 2 4" xfId="59729"/>
    <cellStyle name="Normal 3 9 2 3 3 3" xfId="17540"/>
    <cellStyle name="Normal 3 9 2 3 3 4" xfId="24030"/>
    <cellStyle name="Normal 3 9 2 3 3 5" xfId="37010"/>
    <cellStyle name="Normal 3 9 2 3 3 6" xfId="53239"/>
    <cellStyle name="Normal 3 9 2 3 4" xfId="7802"/>
    <cellStyle name="Normal 3 9 2 3 4 2" xfId="27275"/>
    <cellStyle name="Normal 3 9 2 3 4 3" xfId="40255"/>
    <cellStyle name="Normal 3 9 2 3 4 4" xfId="56484"/>
    <cellStyle name="Normal 3 9 2 3 5" xfId="14295"/>
    <cellStyle name="Normal 3 9 2 3 5 2" xfId="49994"/>
    <cellStyle name="Normal 3 9 2 3 6" xfId="20785"/>
    <cellStyle name="Normal 3 9 2 3 7" xfId="33765"/>
    <cellStyle name="Normal 3 9 2 3 8" xfId="46748"/>
    <cellStyle name="Normal 3 9 2 4" xfId="2418"/>
    <cellStyle name="Normal 3 9 2 4 2" xfId="5663"/>
    <cellStyle name="Normal 3 9 2 4 2 2" xfId="12195"/>
    <cellStyle name="Normal 3 9 2 4 2 2 2" xfId="31668"/>
    <cellStyle name="Normal 3 9 2 4 2 2 3" xfId="44648"/>
    <cellStyle name="Normal 3 9 2 4 2 2 4" xfId="60877"/>
    <cellStyle name="Normal 3 9 2 4 2 3" xfId="18688"/>
    <cellStyle name="Normal 3 9 2 4 2 4" xfId="25178"/>
    <cellStyle name="Normal 3 9 2 4 2 5" xfId="38158"/>
    <cellStyle name="Normal 3 9 2 4 2 6" xfId="54387"/>
    <cellStyle name="Normal 3 9 2 4 3" xfId="8950"/>
    <cellStyle name="Normal 3 9 2 4 3 2" xfId="28423"/>
    <cellStyle name="Normal 3 9 2 4 3 3" xfId="41403"/>
    <cellStyle name="Normal 3 9 2 4 3 4" xfId="57632"/>
    <cellStyle name="Normal 3 9 2 4 4" xfId="15443"/>
    <cellStyle name="Normal 3 9 2 4 4 2" xfId="51142"/>
    <cellStyle name="Normal 3 9 2 4 5" xfId="21933"/>
    <cellStyle name="Normal 3 9 2 4 6" xfId="34913"/>
    <cellStyle name="Normal 3 9 2 4 7" xfId="47896"/>
    <cellStyle name="Normal 3 9 2 5" xfId="4040"/>
    <cellStyle name="Normal 3 9 2 5 2" xfId="10572"/>
    <cellStyle name="Normal 3 9 2 5 2 2" xfId="30045"/>
    <cellStyle name="Normal 3 9 2 5 2 3" xfId="43025"/>
    <cellStyle name="Normal 3 9 2 5 2 4" xfId="59254"/>
    <cellStyle name="Normal 3 9 2 5 3" xfId="17065"/>
    <cellStyle name="Normal 3 9 2 5 4" xfId="23555"/>
    <cellStyle name="Normal 3 9 2 5 5" xfId="36535"/>
    <cellStyle name="Normal 3 9 2 5 6" xfId="52764"/>
    <cellStyle name="Normal 3 9 2 6" xfId="7327"/>
    <cellStyle name="Normal 3 9 2 6 2" xfId="26800"/>
    <cellStyle name="Normal 3 9 2 6 3" xfId="39780"/>
    <cellStyle name="Normal 3 9 2 6 4" xfId="56009"/>
    <cellStyle name="Normal 3 9 2 7" xfId="13820"/>
    <cellStyle name="Normal 3 9 2 7 2" xfId="49519"/>
    <cellStyle name="Normal 3 9 2 8" xfId="20310"/>
    <cellStyle name="Normal 3 9 2 9" xfId="33290"/>
    <cellStyle name="Normal 3 9 3" xfId="520"/>
    <cellStyle name="Normal 3 9 3 2" xfId="1469"/>
    <cellStyle name="Normal 3 9 3 2 2" xfId="3136"/>
    <cellStyle name="Normal 3 9 3 2 2 2" xfId="6381"/>
    <cellStyle name="Normal 3 9 3 2 2 2 2" xfId="12913"/>
    <cellStyle name="Normal 3 9 3 2 2 2 2 2" xfId="32386"/>
    <cellStyle name="Normal 3 9 3 2 2 2 2 3" xfId="45366"/>
    <cellStyle name="Normal 3 9 3 2 2 2 2 4" xfId="61595"/>
    <cellStyle name="Normal 3 9 3 2 2 2 3" xfId="19406"/>
    <cellStyle name="Normal 3 9 3 2 2 2 4" xfId="25896"/>
    <cellStyle name="Normal 3 9 3 2 2 2 5" xfId="38876"/>
    <cellStyle name="Normal 3 9 3 2 2 2 6" xfId="55105"/>
    <cellStyle name="Normal 3 9 3 2 2 3" xfId="9668"/>
    <cellStyle name="Normal 3 9 3 2 2 3 2" xfId="29141"/>
    <cellStyle name="Normal 3 9 3 2 2 3 3" xfId="42121"/>
    <cellStyle name="Normal 3 9 3 2 2 3 4" xfId="58350"/>
    <cellStyle name="Normal 3 9 3 2 2 4" xfId="16161"/>
    <cellStyle name="Normal 3 9 3 2 2 4 2" xfId="51860"/>
    <cellStyle name="Normal 3 9 3 2 2 5" xfId="22651"/>
    <cellStyle name="Normal 3 9 3 2 2 6" xfId="35631"/>
    <cellStyle name="Normal 3 9 3 2 2 7" xfId="48614"/>
    <cellStyle name="Normal 3 9 3 2 3" xfId="4758"/>
    <cellStyle name="Normal 3 9 3 2 3 2" xfId="11290"/>
    <cellStyle name="Normal 3 9 3 2 3 2 2" xfId="30763"/>
    <cellStyle name="Normal 3 9 3 2 3 2 3" xfId="43743"/>
    <cellStyle name="Normal 3 9 3 2 3 2 4" xfId="59972"/>
    <cellStyle name="Normal 3 9 3 2 3 3" xfId="17783"/>
    <cellStyle name="Normal 3 9 3 2 3 4" xfId="24273"/>
    <cellStyle name="Normal 3 9 3 2 3 5" xfId="37253"/>
    <cellStyle name="Normal 3 9 3 2 3 6" xfId="53482"/>
    <cellStyle name="Normal 3 9 3 2 4" xfId="8045"/>
    <cellStyle name="Normal 3 9 3 2 4 2" xfId="27518"/>
    <cellStyle name="Normal 3 9 3 2 4 3" xfId="40498"/>
    <cellStyle name="Normal 3 9 3 2 4 4" xfId="56727"/>
    <cellStyle name="Normal 3 9 3 2 5" xfId="14538"/>
    <cellStyle name="Normal 3 9 3 2 5 2" xfId="50237"/>
    <cellStyle name="Normal 3 9 3 2 6" xfId="21028"/>
    <cellStyle name="Normal 3 9 3 2 7" xfId="34008"/>
    <cellStyle name="Normal 3 9 3 2 8" xfId="46991"/>
    <cellStyle name="Normal 3 9 3 3" xfId="2188"/>
    <cellStyle name="Normal 3 9 3 3 2" xfId="5433"/>
    <cellStyle name="Normal 3 9 3 3 2 2" xfId="11965"/>
    <cellStyle name="Normal 3 9 3 3 2 2 2" xfId="31438"/>
    <cellStyle name="Normal 3 9 3 3 2 2 3" xfId="44418"/>
    <cellStyle name="Normal 3 9 3 3 2 2 4" xfId="60647"/>
    <cellStyle name="Normal 3 9 3 3 2 3" xfId="18458"/>
    <cellStyle name="Normal 3 9 3 3 2 4" xfId="24948"/>
    <cellStyle name="Normal 3 9 3 3 2 5" xfId="37928"/>
    <cellStyle name="Normal 3 9 3 3 2 6" xfId="54157"/>
    <cellStyle name="Normal 3 9 3 3 3" xfId="8720"/>
    <cellStyle name="Normal 3 9 3 3 3 2" xfId="28193"/>
    <cellStyle name="Normal 3 9 3 3 3 3" xfId="41173"/>
    <cellStyle name="Normal 3 9 3 3 3 4" xfId="57402"/>
    <cellStyle name="Normal 3 9 3 3 4" xfId="15213"/>
    <cellStyle name="Normal 3 9 3 3 4 2" xfId="50912"/>
    <cellStyle name="Normal 3 9 3 3 5" xfId="21703"/>
    <cellStyle name="Normal 3 9 3 3 6" xfId="34683"/>
    <cellStyle name="Normal 3 9 3 3 7" xfId="47666"/>
    <cellStyle name="Normal 3 9 3 4" xfId="3810"/>
    <cellStyle name="Normal 3 9 3 4 2" xfId="10342"/>
    <cellStyle name="Normal 3 9 3 4 2 2" xfId="29815"/>
    <cellStyle name="Normal 3 9 3 4 2 3" xfId="42795"/>
    <cellStyle name="Normal 3 9 3 4 2 4" xfId="59024"/>
    <cellStyle name="Normal 3 9 3 4 3" xfId="16835"/>
    <cellStyle name="Normal 3 9 3 4 4" xfId="23325"/>
    <cellStyle name="Normal 3 9 3 4 5" xfId="36305"/>
    <cellStyle name="Normal 3 9 3 4 6" xfId="52534"/>
    <cellStyle name="Normal 3 9 3 5" xfId="7097"/>
    <cellStyle name="Normal 3 9 3 5 2" xfId="26570"/>
    <cellStyle name="Normal 3 9 3 5 3" xfId="39550"/>
    <cellStyle name="Normal 3 9 3 5 4" xfId="55779"/>
    <cellStyle name="Normal 3 9 3 6" xfId="13590"/>
    <cellStyle name="Normal 3 9 3 6 2" xfId="49289"/>
    <cellStyle name="Normal 3 9 3 7" xfId="20080"/>
    <cellStyle name="Normal 3 9 3 8" xfId="33060"/>
    <cellStyle name="Normal 3 9 3 9" xfId="46043"/>
    <cellStyle name="Normal 3 9 4" xfId="1006"/>
    <cellStyle name="Normal 3 9 4 2" xfId="2673"/>
    <cellStyle name="Normal 3 9 4 2 2" xfId="5918"/>
    <cellStyle name="Normal 3 9 4 2 2 2" xfId="12450"/>
    <cellStyle name="Normal 3 9 4 2 2 2 2" xfId="31923"/>
    <cellStyle name="Normal 3 9 4 2 2 2 3" xfId="44903"/>
    <cellStyle name="Normal 3 9 4 2 2 2 4" xfId="61132"/>
    <cellStyle name="Normal 3 9 4 2 2 3" xfId="18943"/>
    <cellStyle name="Normal 3 9 4 2 2 4" xfId="25433"/>
    <cellStyle name="Normal 3 9 4 2 2 5" xfId="38413"/>
    <cellStyle name="Normal 3 9 4 2 2 6" xfId="54642"/>
    <cellStyle name="Normal 3 9 4 2 3" xfId="9205"/>
    <cellStyle name="Normal 3 9 4 2 3 2" xfId="28678"/>
    <cellStyle name="Normal 3 9 4 2 3 3" xfId="41658"/>
    <cellStyle name="Normal 3 9 4 2 3 4" xfId="57887"/>
    <cellStyle name="Normal 3 9 4 2 4" xfId="15698"/>
    <cellStyle name="Normal 3 9 4 2 4 2" xfId="51397"/>
    <cellStyle name="Normal 3 9 4 2 5" xfId="22188"/>
    <cellStyle name="Normal 3 9 4 2 6" xfId="35168"/>
    <cellStyle name="Normal 3 9 4 2 7" xfId="48151"/>
    <cellStyle name="Normal 3 9 4 3" xfId="4295"/>
    <cellStyle name="Normal 3 9 4 3 2" xfId="10827"/>
    <cellStyle name="Normal 3 9 4 3 2 2" xfId="30300"/>
    <cellStyle name="Normal 3 9 4 3 2 3" xfId="43280"/>
    <cellStyle name="Normal 3 9 4 3 2 4" xfId="59509"/>
    <cellStyle name="Normal 3 9 4 3 3" xfId="17320"/>
    <cellStyle name="Normal 3 9 4 3 4" xfId="23810"/>
    <cellStyle name="Normal 3 9 4 3 5" xfId="36790"/>
    <cellStyle name="Normal 3 9 4 3 6" xfId="53019"/>
    <cellStyle name="Normal 3 9 4 4" xfId="7582"/>
    <cellStyle name="Normal 3 9 4 4 2" xfId="27055"/>
    <cellStyle name="Normal 3 9 4 4 3" xfId="40035"/>
    <cellStyle name="Normal 3 9 4 4 4" xfId="56264"/>
    <cellStyle name="Normal 3 9 4 5" xfId="14075"/>
    <cellStyle name="Normal 3 9 4 5 2" xfId="49774"/>
    <cellStyle name="Normal 3 9 4 6" xfId="20565"/>
    <cellStyle name="Normal 3 9 4 7" xfId="33545"/>
    <cellStyle name="Normal 3 9 4 8" xfId="46528"/>
    <cellStyle name="Normal 3 9 5" xfId="1959"/>
    <cellStyle name="Normal 3 9 5 2" xfId="5204"/>
    <cellStyle name="Normal 3 9 5 2 2" xfId="11736"/>
    <cellStyle name="Normal 3 9 5 2 2 2" xfId="31209"/>
    <cellStyle name="Normal 3 9 5 2 2 3" xfId="44189"/>
    <cellStyle name="Normal 3 9 5 2 2 4" xfId="60418"/>
    <cellStyle name="Normal 3 9 5 2 3" xfId="18229"/>
    <cellStyle name="Normal 3 9 5 2 4" xfId="24719"/>
    <cellStyle name="Normal 3 9 5 2 5" xfId="37699"/>
    <cellStyle name="Normal 3 9 5 2 6" xfId="53928"/>
    <cellStyle name="Normal 3 9 5 3" xfId="8491"/>
    <cellStyle name="Normal 3 9 5 3 2" xfId="27964"/>
    <cellStyle name="Normal 3 9 5 3 3" xfId="40944"/>
    <cellStyle name="Normal 3 9 5 3 4" xfId="57173"/>
    <cellStyle name="Normal 3 9 5 4" xfId="14984"/>
    <cellStyle name="Normal 3 9 5 4 2" xfId="50683"/>
    <cellStyle name="Normal 3 9 5 5" xfId="21474"/>
    <cellStyle name="Normal 3 9 5 6" xfId="34454"/>
    <cellStyle name="Normal 3 9 5 7" xfId="47437"/>
    <cellStyle name="Normal 3 9 6" xfId="3580"/>
    <cellStyle name="Normal 3 9 6 2" xfId="10112"/>
    <cellStyle name="Normal 3 9 6 2 2" xfId="29585"/>
    <cellStyle name="Normal 3 9 6 2 3" xfId="42565"/>
    <cellStyle name="Normal 3 9 6 2 4" xfId="58794"/>
    <cellStyle name="Normal 3 9 6 3" xfId="16605"/>
    <cellStyle name="Normal 3 9 6 4" xfId="23095"/>
    <cellStyle name="Normal 3 9 6 5" xfId="36075"/>
    <cellStyle name="Normal 3 9 6 6" xfId="52304"/>
    <cellStyle name="Normal 3 9 7" xfId="6867"/>
    <cellStyle name="Normal 3 9 7 2" xfId="26340"/>
    <cellStyle name="Normal 3 9 7 3" xfId="39320"/>
    <cellStyle name="Normal 3 9 7 4" xfId="55549"/>
    <cellStyle name="Normal 3 9 8" xfId="13360"/>
    <cellStyle name="Normal 3 9 8 2" xfId="49059"/>
    <cellStyle name="Normal 3 9 9" xfId="19850"/>
    <cellStyle name="Normal 30" xfId="33"/>
    <cellStyle name="Normal 31" xfId="36"/>
    <cellStyle name="Normal 32" xfId="6"/>
    <cellStyle name="Normal 33" xfId="28"/>
    <cellStyle name="Normal 34" xfId="40"/>
    <cellStyle name="Normal 35" xfId="31"/>
    <cellStyle name="Normal 36" xfId="25"/>
    <cellStyle name="Normal 38" xfId="20"/>
    <cellStyle name="Normal 39" xfId="13"/>
    <cellStyle name="Normal 4" xfId="125"/>
    <cellStyle name="Normal 4 10" xfId="1827"/>
    <cellStyle name="Normal 4 10 2" xfId="5073"/>
    <cellStyle name="Normal 4 10 2 2" xfId="11605"/>
    <cellStyle name="Normal 4 10 2 2 2" xfId="31078"/>
    <cellStyle name="Normal 4 10 2 2 3" xfId="44058"/>
    <cellStyle name="Normal 4 10 2 2 4" xfId="60287"/>
    <cellStyle name="Normal 4 10 2 3" xfId="18098"/>
    <cellStyle name="Normal 4 10 2 4" xfId="24588"/>
    <cellStyle name="Normal 4 10 2 5" xfId="37568"/>
    <cellStyle name="Normal 4 10 2 6" xfId="53797"/>
    <cellStyle name="Normal 4 10 3" xfId="8360"/>
    <cellStyle name="Normal 4 10 3 2" xfId="27833"/>
    <cellStyle name="Normal 4 10 3 3" xfId="40813"/>
    <cellStyle name="Normal 4 10 3 4" xfId="57042"/>
    <cellStyle name="Normal 4 10 4" xfId="14853"/>
    <cellStyle name="Normal 4 10 4 2" xfId="50552"/>
    <cellStyle name="Normal 4 10 5" xfId="21343"/>
    <cellStyle name="Normal 4 10 6" xfId="34323"/>
    <cellStyle name="Normal 4 10 7" xfId="47306"/>
    <cellStyle name="Normal 4 11" xfId="3449"/>
    <cellStyle name="Normal 4 11 2" xfId="9981"/>
    <cellStyle name="Normal 4 11 2 2" xfId="29454"/>
    <cellStyle name="Normal 4 11 2 3" xfId="42434"/>
    <cellStyle name="Normal 4 11 2 4" xfId="58663"/>
    <cellStyle name="Normal 4 11 3" xfId="16474"/>
    <cellStyle name="Normal 4 11 4" xfId="22964"/>
    <cellStyle name="Normal 4 11 5" xfId="35944"/>
    <cellStyle name="Normal 4 11 6" xfId="52173"/>
    <cellStyle name="Normal 4 12" xfId="6736"/>
    <cellStyle name="Normal 4 12 2" xfId="26209"/>
    <cellStyle name="Normal 4 12 3" xfId="39189"/>
    <cellStyle name="Normal 4 12 4" xfId="55418"/>
    <cellStyle name="Normal 4 13" xfId="13229"/>
    <cellStyle name="Normal 4 13 2" xfId="48928"/>
    <cellStyle name="Normal 4 14" xfId="19719"/>
    <cellStyle name="Normal 4 15" xfId="32699"/>
    <cellStyle name="Normal 4 16" xfId="45682"/>
    <cellStyle name="Normal 4 17" xfId="61958"/>
    <cellStyle name="Normal 4 2" xfId="176"/>
    <cellStyle name="Normal 4 2 10" xfId="6758"/>
    <cellStyle name="Normal 4 2 10 2" xfId="26231"/>
    <cellStyle name="Normal 4 2 10 3" xfId="39211"/>
    <cellStyle name="Normal 4 2 10 4" xfId="55440"/>
    <cellStyle name="Normal 4 2 11" xfId="13251"/>
    <cellStyle name="Normal 4 2 11 2" xfId="48950"/>
    <cellStyle name="Normal 4 2 12" xfId="19741"/>
    <cellStyle name="Normal 4 2 13" xfId="32721"/>
    <cellStyle name="Normal 4 2 14" xfId="45704"/>
    <cellStyle name="Normal 4 2 15" xfId="61962"/>
    <cellStyle name="Normal 4 2 2" xfId="265"/>
    <cellStyle name="Normal 4 2 2 10" xfId="19829"/>
    <cellStyle name="Normal 4 2 2 11" xfId="32809"/>
    <cellStyle name="Normal 4 2 2 12" xfId="45792"/>
    <cellStyle name="Normal 4 2 2 13" xfId="61986"/>
    <cellStyle name="Normal 4 2 2 2" xfId="353"/>
    <cellStyle name="Normal 4 2 2 2 10" xfId="32897"/>
    <cellStyle name="Normal 4 2 2 2 11" xfId="45880"/>
    <cellStyle name="Normal 4 2 2 2 2" xfId="817"/>
    <cellStyle name="Normal 4 2 2 2 2 10" xfId="46340"/>
    <cellStyle name="Normal 4 2 2 2 2 2" xfId="1756"/>
    <cellStyle name="Normal 4 2 2 2 2 2 2" xfId="3423"/>
    <cellStyle name="Normal 4 2 2 2 2 2 2 2" xfId="6668"/>
    <cellStyle name="Normal 4 2 2 2 2 2 2 2 2" xfId="13200"/>
    <cellStyle name="Normal 4 2 2 2 2 2 2 2 2 2" xfId="32673"/>
    <cellStyle name="Normal 4 2 2 2 2 2 2 2 2 3" xfId="45653"/>
    <cellStyle name="Normal 4 2 2 2 2 2 2 2 2 4" xfId="61882"/>
    <cellStyle name="Normal 4 2 2 2 2 2 2 2 3" xfId="19693"/>
    <cellStyle name="Normal 4 2 2 2 2 2 2 2 4" xfId="26183"/>
    <cellStyle name="Normal 4 2 2 2 2 2 2 2 5" xfId="39163"/>
    <cellStyle name="Normal 4 2 2 2 2 2 2 2 6" xfId="55392"/>
    <cellStyle name="Normal 4 2 2 2 2 2 2 3" xfId="9955"/>
    <cellStyle name="Normal 4 2 2 2 2 2 2 3 2" xfId="29428"/>
    <cellStyle name="Normal 4 2 2 2 2 2 2 3 3" xfId="42408"/>
    <cellStyle name="Normal 4 2 2 2 2 2 2 3 4" xfId="58637"/>
    <cellStyle name="Normal 4 2 2 2 2 2 2 4" xfId="16448"/>
    <cellStyle name="Normal 4 2 2 2 2 2 2 4 2" xfId="52147"/>
    <cellStyle name="Normal 4 2 2 2 2 2 2 5" xfId="22938"/>
    <cellStyle name="Normal 4 2 2 2 2 2 2 6" xfId="35918"/>
    <cellStyle name="Normal 4 2 2 2 2 2 2 7" xfId="48901"/>
    <cellStyle name="Normal 4 2 2 2 2 2 3" xfId="5045"/>
    <cellStyle name="Normal 4 2 2 2 2 2 3 2" xfId="11577"/>
    <cellStyle name="Normal 4 2 2 2 2 2 3 2 2" xfId="31050"/>
    <cellStyle name="Normal 4 2 2 2 2 2 3 2 3" xfId="44030"/>
    <cellStyle name="Normal 4 2 2 2 2 2 3 2 4" xfId="60259"/>
    <cellStyle name="Normal 4 2 2 2 2 2 3 3" xfId="18070"/>
    <cellStyle name="Normal 4 2 2 2 2 2 3 4" xfId="24560"/>
    <cellStyle name="Normal 4 2 2 2 2 2 3 5" xfId="37540"/>
    <cellStyle name="Normal 4 2 2 2 2 2 3 6" xfId="53769"/>
    <cellStyle name="Normal 4 2 2 2 2 2 4" xfId="8332"/>
    <cellStyle name="Normal 4 2 2 2 2 2 4 2" xfId="27805"/>
    <cellStyle name="Normal 4 2 2 2 2 2 4 3" xfId="40785"/>
    <cellStyle name="Normal 4 2 2 2 2 2 4 4" xfId="57014"/>
    <cellStyle name="Normal 4 2 2 2 2 2 5" xfId="14825"/>
    <cellStyle name="Normal 4 2 2 2 2 2 5 2" xfId="50524"/>
    <cellStyle name="Normal 4 2 2 2 2 2 6" xfId="21315"/>
    <cellStyle name="Normal 4 2 2 2 2 2 7" xfId="34295"/>
    <cellStyle name="Normal 4 2 2 2 2 2 8" xfId="47278"/>
    <cellStyle name="Normal 4 2 2 2 2 3" xfId="1293"/>
    <cellStyle name="Normal 4 2 2 2 2 3 2" xfId="2960"/>
    <cellStyle name="Normal 4 2 2 2 2 3 2 2" xfId="6205"/>
    <cellStyle name="Normal 4 2 2 2 2 3 2 2 2" xfId="12737"/>
    <cellStyle name="Normal 4 2 2 2 2 3 2 2 2 2" xfId="32210"/>
    <cellStyle name="Normal 4 2 2 2 2 3 2 2 2 3" xfId="45190"/>
    <cellStyle name="Normal 4 2 2 2 2 3 2 2 2 4" xfId="61419"/>
    <cellStyle name="Normal 4 2 2 2 2 3 2 2 3" xfId="19230"/>
    <cellStyle name="Normal 4 2 2 2 2 3 2 2 4" xfId="25720"/>
    <cellStyle name="Normal 4 2 2 2 2 3 2 2 5" xfId="38700"/>
    <cellStyle name="Normal 4 2 2 2 2 3 2 2 6" xfId="54929"/>
    <cellStyle name="Normal 4 2 2 2 2 3 2 3" xfId="9492"/>
    <cellStyle name="Normal 4 2 2 2 2 3 2 3 2" xfId="28965"/>
    <cellStyle name="Normal 4 2 2 2 2 3 2 3 3" xfId="41945"/>
    <cellStyle name="Normal 4 2 2 2 2 3 2 3 4" xfId="58174"/>
    <cellStyle name="Normal 4 2 2 2 2 3 2 4" xfId="15985"/>
    <cellStyle name="Normal 4 2 2 2 2 3 2 4 2" xfId="51684"/>
    <cellStyle name="Normal 4 2 2 2 2 3 2 5" xfId="22475"/>
    <cellStyle name="Normal 4 2 2 2 2 3 2 6" xfId="35455"/>
    <cellStyle name="Normal 4 2 2 2 2 3 2 7" xfId="48438"/>
    <cellStyle name="Normal 4 2 2 2 2 3 3" xfId="4582"/>
    <cellStyle name="Normal 4 2 2 2 2 3 3 2" xfId="11114"/>
    <cellStyle name="Normal 4 2 2 2 2 3 3 2 2" xfId="30587"/>
    <cellStyle name="Normal 4 2 2 2 2 3 3 2 3" xfId="43567"/>
    <cellStyle name="Normal 4 2 2 2 2 3 3 2 4" xfId="59796"/>
    <cellStyle name="Normal 4 2 2 2 2 3 3 3" xfId="17607"/>
    <cellStyle name="Normal 4 2 2 2 2 3 3 4" xfId="24097"/>
    <cellStyle name="Normal 4 2 2 2 2 3 3 5" xfId="37077"/>
    <cellStyle name="Normal 4 2 2 2 2 3 3 6" xfId="53306"/>
    <cellStyle name="Normal 4 2 2 2 2 3 4" xfId="7869"/>
    <cellStyle name="Normal 4 2 2 2 2 3 4 2" xfId="27342"/>
    <cellStyle name="Normal 4 2 2 2 2 3 4 3" xfId="40322"/>
    <cellStyle name="Normal 4 2 2 2 2 3 4 4" xfId="56551"/>
    <cellStyle name="Normal 4 2 2 2 2 3 5" xfId="14362"/>
    <cellStyle name="Normal 4 2 2 2 2 3 5 2" xfId="50061"/>
    <cellStyle name="Normal 4 2 2 2 2 3 6" xfId="20852"/>
    <cellStyle name="Normal 4 2 2 2 2 3 7" xfId="33832"/>
    <cellStyle name="Normal 4 2 2 2 2 3 8" xfId="46815"/>
    <cellStyle name="Normal 4 2 2 2 2 4" xfId="2485"/>
    <cellStyle name="Normal 4 2 2 2 2 4 2" xfId="5730"/>
    <cellStyle name="Normal 4 2 2 2 2 4 2 2" xfId="12262"/>
    <cellStyle name="Normal 4 2 2 2 2 4 2 2 2" xfId="31735"/>
    <cellStyle name="Normal 4 2 2 2 2 4 2 2 3" xfId="44715"/>
    <cellStyle name="Normal 4 2 2 2 2 4 2 2 4" xfId="60944"/>
    <cellStyle name="Normal 4 2 2 2 2 4 2 3" xfId="18755"/>
    <cellStyle name="Normal 4 2 2 2 2 4 2 4" xfId="25245"/>
    <cellStyle name="Normal 4 2 2 2 2 4 2 5" xfId="38225"/>
    <cellStyle name="Normal 4 2 2 2 2 4 2 6" xfId="54454"/>
    <cellStyle name="Normal 4 2 2 2 2 4 3" xfId="9017"/>
    <cellStyle name="Normal 4 2 2 2 2 4 3 2" xfId="28490"/>
    <cellStyle name="Normal 4 2 2 2 2 4 3 3" xfId="41470"/>
    <cellStyle name="Normal 4 2 2 2 2 4 3 4" xfId="57699"/>
    <cellStyle name="Normal 4 2 2 2 2 4 4" xfId="15510"/>
    <cellStyle name="Normal 4 2 2 2 2 4 4 2" xfId="51209"/>
    <cellStyle name="Normal 4 2 2 2 2 4 5" xfId="22000"/>
    <cellStyle name="Normal 4 2 2 2 2 4 6" xfId="34980"/>
    <cellStyle name="Normal 4 2 2 2 2 4 7" xfId="47963"/>
    <cellStyle name="Normal 4 2 2 2 2 5" xfId="4107"/>
    <cellStyle name="Normal 4 2 2 2 2 5 2" xfId="10639"/>
    <cellStyle name="Normal 4 2 2 2 2 5 2 2" xfId="30112"/>
    <cellStyle name="Normal 4 2 2 2 2 5 2 3" xfId="43092"/>
    <cellStyle name="Normal 4 2 2 2 2 5 2 4" xfId="59321"/>
    <cellStyle name="Normal 4 2 2 2 2 5 3" xfId="17132"/>
    <cellStyle name="Normal 4 2 2 2 2 5 4" xfId="23622"/>
    <cellStyle name="Normal 4 2 2 2 2 5 5" xfId="36602"/>
    <cellStyle name="Normal 4 2 2 2 2 5 6" xfId="52831"/>
    <cellStyle name="Normal 4 2 2 2 2 6" xfId="7394"/>
    <cellStyle name="Normal 4 2 2 2 2 6 2" xfId="26867"/>
    <cellStyle name="Normal 4 2 2 2 2 6 3" xfId="39847"/>
    <cellStyle name="Normal 4 2 2 2 2 6 4" xfId="56076"/>
    <cellStyle name="Normal 4 2 2 2 2 7" xfId="13887"/>
    <cellStyle name="Normal 4 2 2 2 2 7 2" xfId="49586"/>
    <cellStyle name="Normal 4 2 2 2 2 8" xfId="20377"/>
    <cellStyle name="Normal 4 2 2 2 2 9" xfId="33357"/>
    <cellStyle name="Normal 4 2 2 2 3" xfId="587"/>
    <cellStyle name="Normal 4 2 2 2 3 2" xfId="1536"/>
    <cellStyle name="Normal 4 2 2 2 3 2 2" xfId="3203"/>
    <cellStyle name="Normal 4 2 2 2 3 2 2 2" xfId="6448"/>
    <cellStyle name="Normal 4 2 2 2 3 2 2 2 2" xfId="12980"/>
    <cellStyle name="Normal 4 2 2 2 3 2 2 2 2 2" xfId="32453"/>
    <cellStyle name="Normal 4 2 2 2 3 2 2 2 2 3" xfId="45433"/>
    <cellStyle name="Normal 4 2 2 2 3 2 2 2 2 4" xfId="61662"/>
    <cellStyle name="Normal 4 2 2 2 3 2 2 2 3" xfId="19473"/>
    <cellStyle name="Normal 4 2 2 2 3 2 2 2 4" xfId="25963"/>
    <cellStyle name="Normal 4 2 2 2 3 2 2 2 5" xfId="38943"/>
    <cellStyle name="Normal 4 2 2 2 3 2 2 2 6" xfId="55172"/>
    <cellStyle name="Normal 4 2 2 2 3 2 2 3" xfId="9735"/>
    <cellStyle name="Normal 4 2 2 2 3 2 2 3 2" xfId="29208"/>
    <cellStyle name="Normal 4 2 2 2 3 2 2 3 3" xfId="42188"/>
    <cellStyle name="Normal 4 2 2 2 3 2 2 3 4" xfId="58417"/>
    <cellStyle name="Normal 4 2 2 2 3 2 2 4" xfId="16228"/>
    <cellStyle name="Normal 4 2 2 2 3 2 2 4 2" xfId="51927"/>
    <cellStyle name="Normal 4 2 2 2 3 2 2 5" xfId="22718"/>
    <cellStyle name="Normal 4 2 2 2 3 2 2 6" xfId="35698"/>
    <cellStyle name="Normal 4 2 2 2 3 2 2 7" xfId="48681"/>
    <cellStyle name="Normal 4 2 2 2 3 2 3" xfId="4825"/>
    <cellStyle name="Normal 4 2 2 2 3 2 3 2" xfId="11357"/>
    <cellStyle name="Normal 4 2 2 2 3 2 3 2 2" xfId="30830"/>
    <cellStyle name="Normal 4 2 2 2 3 2 3 2 3" xfId="43810"/>
    <cellStyle name="Normal 4 2 2 2 3 2 3 2 4" xfId="60039"/>
    <cellStyle name="Normal 4 2 2 2 3 2 3 3" xfId="17850"/>
    <cellStyle name="Normal 4 2 2 2 3 2 3 4" xfId="24340"/>
    <cellStyle name="Normal 4 2 2 2 3 2 3 5" xfId="37320"/>
    <cellStyle name="Normal 4 2 2 2 3 2 3 6" xfId="53549"/>
    <cellStyle name="Normal 4 2 2 2 3 2 4" xfId="8112"/>
    <cellStyle name="Normal 4 2 2 2 3 2 4 2" xfId="27585"/>
    <cellStyle name="Normal 4 2 2 2 3 2 4 3" xfId="40565"/>
    <cellStyle name="Normal 4 2 2 2 3 2 4 4" xfId="56794"/>
    <cellStyle name="Normal 4 2 2 2 3 2 5" xfId="14605"/>
    <cellStyle name="Normal 4 2 2 2 3 2 5 2" xfId="50304"/>
    <cellStyle name="Normal 4 2 2 2 3 2 6" xfId="21095"/>
    <cellStyle name="Normal 4 2 2 2 3 2 7" xfId="34075"/>
    <cellStyle name="Normal 4 2 2 2 3 2 8" xfId="47058"/>
    <cellStyle name="Normal 4 2 2 2 3 3" xfId="2255"/>
    <cellStyle name="Normal 4 2 2 2 3 3 2" xfId="5500"/>
    <cellStyle name="Normal 4 2 2 2 3 3 2 2" xfId="12032"/>
    <cellStyle name="Normal 4 2 2 2 3 3 2 2 2" xfId="31505"/>
    <cellStyle name="Normal 4 2 2 2 3 3 2 2 3" xfId="44485"/>
    <cellStyle name="Normal 4 2 2 2 3 3 2 2 4" xfId="60714"/>
    <cellStyle name="Normal 4 2 2 2 3 3 2 3" xfId="18525"/>
    <cellStyle name="Normal 4 2 2 2 3 3 2 4" xfId="25015"/>
    <cellStyle name="Normal 4 2 2 2 3 3 2 5" xfId="37995"/>
    <cellStyle name="Normal 4 2 2 2 3 3 2 6" xfId="54224"/>
    <cellStyle name="Normal 4 2 2 2 3 3 3" xfId="8787"/>
    <cellStyle name="Normal 4 2 2 2 3 3 3 2" xfId="28260"/>
    <cellStyle name="Normal 4 2 2 2 3 3 3 3" xfId="41240"/>
    <cellStyle name="Normal 4 2 2 2 3 3 3 4" xfId="57469"/>
    <cellStyle name="Normal 4 2 2 2 3 3 4" xfId="15280"/>
    <cellStyle name="Normal 4 2 2 2 3 3 4 2" xfId="50979"/>
    <cellStyle name="Normal 4 2 2 2 3 3 5" xfId="21770"/>
    <cellStyle name="Normal 4 2 2 2 3 3 6" xfId="34750"/>
    <cellStyle name="Normal 4 2 2 2 3 3 7" xfId="47733"/>
    <cellStyle name="Normal 4 2 2 2 3 4" xfId="3877"/>
    <cellStyle name="Normal 4 2 2 2 3 4 2" xfId="10409"/>
    <cellStyle name="Normal 4 2 2 2 3 4 2 2" xfId="29882"/>
    <cellStyle name="Normal 4 2 2 2 3 4 2 3" xfId="42862"/>
    <cellStyle name="Normal 4 2 2 2 3 4 2 4" xfId="59091"/>
    <cellStyle name="Normal 4 2 2 2 3 4 3" xfId="16902"/>
    <cellStyle name="Normal 4 2 2 2 3 4 4" xfId="23392"/>
    <cellStyle name="Normal 4 2 2 2 3 4 5" xfId="36372"/>
    <cellStyle name="Normal 4 2 2 2 3 4 6" xfId="52601"/>
    <cellStyle name="Normal 4 2 2 2 3 5" xfId="7164"/>
    <cellStyle name="Normal 4 2 2 2 3 5 2" xfId="26637"/>
    <cellStyle name="Normal 4 2 2 2 3 5 3" xfId="39617"/>
    <cellStyle name="Normal 4 2 2 2 3 5 4" xfId="55846"/>
    <cellStyle name="Normal 4 2 2 2 3 6" xfId="13657"/>
    <cellStyle name="Normal 4 2 2 2 3 6 2" xfId="49356"/>
    <cellStyle name="Normal 4 2 2 2 3 7" xfId="20147"/>
    <cellStyle name="Normal 4 2 2 2 3 8" xfId="33127"/>
    <cellStyle name="Normal 4 2 2 2 3 9" xfId="46110"/>
    <cellStyle name="Normal 4 2 2 2 4" xfId="1073"/>
    <cellStyle name="Normal 4 2 2 2 4 2" xfId="2740"/>
    <cellStyle name="Normal 4 2 2 2 4 2 2" xfId="5985"/>
    <cellStyle name="Normal 4 2 2 2 4 2 2 2" xfId="12517"/>
    <cellStyle name="Normal 4 2 2 2 4 2 2 2 2" xfId="31990"/>
    <cellStyle name="Normal 4 2 2 2 4 2 2 2 3" xfId="44970"/>
    <cellStyle name="Normal 4 2 2 2 4 2 2 2 4" xfId="61199"/>
    <cellStyle name="Normal 4 2 2 2 4 2 2 3" xfId="19010"/>
    <cellStyle name="Normal 4 2 2 2 4 2 2 4" xfId="25500"/>
    <cellStyle name="Normal 4 2 2 2 4 2 2 5" xfId="38480"/>
    <cellStyle name="Normal 4 2 2 2 4 2 2 6" xfId="54709"/>
    <cellStyle name="Normal 4 2 2 2 4 2 3" xfId="9272"/>
    <cellStyle name="Normal 4 2 2 2 4 2 3 2" xfId="28745"/>
    <cellStyle name="Normal 4 2 2 2 4 2 3 3" xfId="41725"/>
    <cellStyle name="Normal 4 2 2 2 4 2 3 4" xfId="57954"/>
    <cellStyle name="Normal 4 2 2 2 4 2 4" xfId="15765"/>
    <cellStyle name="Normal 4 2 2 2 4 2 4 2" xfId="51464"/>
    <cellStyle name="Normal 4 2 2 2 4 2 5" xfId="22255"/>
    <cellStyle name="Normal 4 2 2 2 4 2 6" xfId="35235"/>
    <cellStyle name="Normal 4 2 2 2 4 2 7" xfId="48218"/>
    <cellStyle name="Normal 4 2 2 2 4 3" xfId="4362"/>
    <cellStyle name="Normal 4 2 2 2 4 3 2" xfId="10894"/>
    <cellStyle name="Normal 4 2 2 2 4 3 2 2" xfId="30367"/>
    <cellStyle name="Normal 4 2 2 2 4 3 2 3" xfId="43347"/>
    <cellStyle name="Normal 4 2 2 2 4 3 2 4" xfId="59576"/>
    <cellStyle name="Normal 4 2 2 2 4 3 3" xfId="17387"/>
    <cellStyle name="Normal 4 2 2 2 4 3 4" xfId="23877"/>
    <cellStyle name="Normal 4 2 2 2 4 3 5" xfId="36857"/>
    <cellStyle name="Normal 4 2 2 2 4 3 6" xfId="53086"/>
    <cellStyle name="Normal 4 2 2 2 4 4" xfId="7649"/>
    <cellStyle name="Normal 4 2 2 2 4 4 2" xfId="27122"/>
    <cellStyle name="Normal 4 2 2 2 4 4 3" xfId="40102"/>
    <cellStyle name="Normal 4 2 2 2 4 4 4" xfId="56331"/>
    <cellStyle name="Normal 4 2 2 2 4 5" xfId="14142"/>
    <cellStyle name="Normal 4 2 2 2 4 5 2" xfId="49841"/>
    <cellStyle name="Normal 4 2 2 2 4 6" xfId="20632"/>
    <cellStyle name="Normal 4 2 2 2 4 7" xfId="33612"/>
    <cellStyle name="Normal 4 2 2 2 4 8" xfId="46595"/>
    <cellStyle name="Normal 4 2 2 2 5" xfId="2026"/>
    <cellStyle name="Normal 4 2 2 2 5 2" xfId="5271"/>
    <cellStyle name="Normal 4 2 2 2 5 2 2" xfId="11803"/>
    <cellStyle name="Normal 4 2 2 2 5 2 2 2" xfId="31276"/>
    <cellStyle name="Normal 4 2 2 2 5 2 2 3" xfId="44256"/>
    <cellStyle name="Normal 4 2 2 2 5 2 2 4" xfId="60485"/>
    <cellStyle name="Normal 4 2 2 2 5 2 3" xfId="18296"/>
    <cellStyle name="Normal 4 2 2 2 5 2 4" xfId="24786"/>
    <cellStyle name="Normal 4 2 2 2 5 2 5" xfId="37766"/>
    <cellStyle name="Normal 4 2 2 2 5 2 6" xfId="53995"/>
    <cellStyle name="Normal 4 2 2 2 5 3" xfId="8558"/>
    <cellStyle name="Normal 4 2 2 2 5 3 2" xfId="28031"/>
    <cellStyle name="Normal 4 2 2 2 5 3 3" xfId="41011"/>
    <cellStyle name="Normal 4 2 2 2 5 3 4" xfId="57240"/>
    <cellStyle name="Normal 4 2 2 2 5 4" xfId="15051"/>
    <cellStyle name="Normal 4 2 2 2 5 4 2" xfId="50750"/>
    <cellStyle name="Normal 4 2 2 2 5 5" xfId="21541"/>
    <cellStyle name="Normal 4 2 2 2 5 6" xfId="34521"/>
    <cellStyle name="Normal 4 2 2 2 5 7" xfId="47504"/>
    <cellStyle name="Normal 4 2 2 2 6" xfId="3647"/>
    <cellStyle name="Normal 4 2 2 2 6 2" xfId="10179"/>
    <cellStyle name="Normal 4 2 2 2 6 2 2" xfId="29652"/>
    <cellStyle name="Normal 4 2 2 2 6 2 3" xfId="42632"/>
    <cellStyle name="Normal 4 2 2 2 6 2 4" xfId="58861"/>
    <cellStyle name="Normal 4 2 2 2 6 3" xfId="16672"/>
    <cellStyle name="Normal 4 2 2 2 6 4" xfId="23162"/>
    <cellStyle name="Normal 4 2 2 2 6 5" xfId="36142"/>
    <cellStyle name="Normal 4 2 2 2 6 6" xfId="52371"/>
    <cellStyle name="Normal 4 2 2 2 7" xfId="6934"/>
    <cellStyle name="Normal 4 2 2 2 7 2" xfId="26407"/>
    <cellStyle name="Normal 4 2 2 2 7 3" xfId="39387"/>
    <cellStyle name="Normal 4 2 2 2 7 4" xfId="55616"/>
    <cellStyle name="Normal 4 2 2 2 8" xfId="13427"/>
    <cellStyle name="Normal 4 2 2 2 8 2" xfId="49126"/>
    <cellStyle name="Normal 4 2 2 2 9" xfId="19917"/>
    <cellStyle name="Normal 4 2 2 3" xfId="729"/>
    <cellStyle name="Normal 4 2 2 3 10" xfId="46252"/>
    <cellStyle name="Normal 4 2 2 3 2" xfId="1668"/>
    <cellStyle name="Normal 4 2 2 3 2 2" xfId="3335"/>
    <cellStyle name="Normal 4 2 2 3 2 2 2" xfId="6580"/>
    <cellStyle name="Normal 4 2 2 3 2 2 2 2" xfId="13112"/>
    <cellStyle name="Normal 4 2 2 3 2 2 2 2 2" xfId="32585"/>
    <cellStyle name="Normal 4 2 2 3 2 2 2 2 3" xfId="45565"/>
    <cellStyle name="Normal 4 2 2 3 2 2 2 2 4" xfId="61794"/>
    <cellStyle name="Normal 4 2 2 3 2 2 2 3" xfId="19605"/>
    <cellStyle name="Normal 4 2 2 3 2 2 2 4" xfId="26095"/>
    <cellStyle name="Normal 4 2 2 3 2 2 2 5" xfId="39075"/>
    <cellStyle name="Normal 4 2 2 3 2 2 2 6" xfId="55304"/>
    <cellStyle name="Normal 4 2 2 3 2 2 3" xfId="9867"/>
    <cellStyle name="Normal 4 2 2 3 2 2 3 2" xfId="29340"/>
    <cellStyle name="Normal 4 2 2 3 2 2 3 3" xfId="42320"/>
    <cellStyle name="Normal 4 2 2 3 2 2 3 4" xfId="58549"/>
    <cellStyle name="Normal 4 2 2 3 2 2 4" xfId="16360"/>
    <cellStyle name="Normal 4 2 2 3 2 2 4 2" xfId="52059"/>
    <cellStyle name="Normal 4 2 2 3 2 2 5" xfId="22850"/>
    <cellStyle name="Normal 4 2 2 3 2 2 6" xfId="35830"/>
    <cellStyle name="Normal 4 2 2 3 2 2 7" xfId="48813"/>
    <cellStyle name="Normal 4 2 2 3 2 3" xfId="4957"/>
    <cellStyle name="Normal 4 2 2 3 2 3 2" xfId="11489"/>
    <cellStyle name="Normal 4 2 2 3 2 3 2 2" xfId="30962"/>
    <cellStyle name="Normal 4 2 2 3 2 3 2 3" xfId="43942"/>
    <cellStyle name="Normal 4 2 2 3 2 3 2 4" xfId="60171"/>
    <cellStyle name="Normal 4 2 2 3 2 3 3" xfId="17982"/>
    <cellStyle name="Normal 4 2 2 3 2 3 4" xfId="24472"/>
    <cellStyle name="Normal 4 2 2 3 2 3 5" xfId="37452"/>
    <cellStyle name="Normal 4 2 2 3 2 3 6" xfId="53681"/>
    <cellStyle name="Normal 4 2 2 3 2 4" xfId="8244"/>
    <cellStyle name="Normal 4 2 2 3 2 4 2" xfId="27717"/>
    <cellStyle name="Normal 4 2 2 3 2 4 3" xfId="40697"/>
    <cellStyle name="Normal 4 2 2 3 2 4 4" xfId="56926"/>
    <cellStyle name="Normal 4 2 2 3 2 5" xfId="14737"/>
    <cellStyle name="Normal 4 2 2 3 2 5 2" xfId="50436"/>
    <cellStyle name="Normal 4 2 2 3 2 6" xfId="21227"/>
    <cellStyle name="Normal 4 2 2 3 2 7" xfId="34207"/>
    <cellStyle name="Normal 4 2 2 3 2 8" xfId="47190"/>
    <cellStyle name="Normal 4 2 2 3 3" xfId="1205"/>
    <cellStyle name="Normal 4 2 2 3 3 2" xfId="2872"/>
    <cellStyle name="Normal 4 2 2 3 3 2 2" xfId="6117"/>
    <cellStyle name="Normal 4 2 2 3 3 2 2 2" xfId="12649"/>
    <cellStyle name="Normal 4 2 2 3 3 2 2 2 2" xfId="32122"/>
    <cellStyle name="Normal 4 2 2 3 3 2 2 2 3" xfId="45102"/>
    <cellStyle name="Normal 4 2 2 3 3 2 2 2 4" xfId="61331"/>
    <cellStyle name="Normal 4 2 2 3 3 2 2 3" xfId="19142"/>
    <cellStyle name="Normal 4 2 2 3 3 2 2 4" xfId="25632"/>
    <cellStyle name="Normal 4 2 2 3 3 2 2 5" xfId="38612"/>
    <cellStyle name="Normal 4 2 2 3 3 2 2 6" xfId="54841"/>
    <cellStyle name="Normal 4 2 2 3 3 2 3" xfId="9404"/>
    <cellStyle name="Normal 4 2 2 3 3 2 3 2" xfId="28877"/>
    <cellStyle name="Normal 4 2 2 3 3 2 3 3" xfId="41857"/>
    <cellStyle name="Normal 4 2 2 3 3 2 3 4" xfId="58086"/>
    <cellStyle name="Normal 4 2 2 3 3 2 4" xfId="15897"/>
    <cellStyle name="Normal 4 2 2 3 3 2 4 2" xfId="51596"/>
    <cellStyle name="Normal 4 2 2 3 3 2 5" xfId="22387"/>
    <cellStyle name="Normal 4 2 2 3 3 2 6" xfId="35367"/>
    <cellStyle name="Normal 4 2 2 3 3 2 7" xfId="48350"/>
    <cellStyle name="Normal 4 2 2 3 3 3" xfId="4494"/>
    <cellStyle name="Normal 4 2 2 3 3 3 2" xfId="11026"/>
    <cellStyle name="Normal 4 2 2 3 3 3 2 2" xfId="30499"/>
    <cellStyle name="Normal 4 2 2 3 3 3 2 3" xfId="43479"/>
    <cellStyle name="Normal 4 2 2 3 3 3 2 4" xfId="59708"/>
    <cellStyle name="Normal 4 2 2 3 3 3 3" xfId="17519"/>
    <cellStyle name="Normal 4 2 2 3 3 3 4" xfId="24009"/>
    <cellStyle name="Normal 4 2 2 3 3 3 5" xfId="36989"/>
    <cellStyle name="Normal 4 2 2 3 3 3 6" xfId="53218"/>
    <cellStyle name="Normal 4 2 2 3 3 4" xfId="7781"/>
    <cellStyle name="Normal 4 2 2 3 3 4 2" xfId="27254"/>
    <cellStyle name="Normal 4 2 2 3 3 4 3" xfId="40234"/>
    <cellStyle name="Normal 4 2 2 3 3 4 4" xfId="56463"/>
    <cellStyle name="Normal 4 2 2 3 3 5" xfId="14274"/>
    <cellStyle name="Normal 4 2 2 3 3 5 2" xfId="49973"/>
    <cellStyle name="Normal 4 2 2 3 3 6" xfId="20764"/>
    <cellStyle name="Normal 4 2 2 3 3 7" xfId="33744"/>
    <cellStyle name="Normal 4 2 2 3 3 8" xfId="46727"/>
    <cellStyle name="Normal 4 2 2 3 4" xfId="2397"/>
    <cellStyle name="Normal 4 2 2 3 4 2" xfId="5642"/>
    <cellStyle name="Normal 4 2 2 3 4 2 2" xfId="12174"/>
    <cellStyle name="Normal 4 2 2 3 4 2 2 2" xfId="31647"/>
    <cellStyle name="Normal 4 2 2 3 4 2 2 3" xfId="44627"/>
    <cellStyle name="Normal 4 2 2 3 4 2 2 4" xfId="60856"/>
    <cellStyle name="Normal 4 2 2 3 4 2 3" xfId="18667"/>
    <cellStyle name="Normal 4 2 2 3 4 2 4" xfId="25157"/>
    <cellStyle name="Normal 4 2 2 3 4 2 5" xfId="38137"/>
    <cellStyle name="Normal 4 2 2 3 4 2 6" xfId="54366"/>
    <cellStyle name="Normal 4 2 2 3 4 3" xfId="8929"/>
    <cellStyle name="Normal 4 2 2 3 4 3 2" xfId="28402"/>
    <cellStyle name="Normal 4 2 2 3 4 3 3" xfId="41382"/>
    <cellStyle name="Normal 4 2 2 3 4 3 4" xfId="57611"/>
    <cellStyle name="Normal 4 2 2 3 4 4" xfId="15422"/>
    <cellStyle name="Normal 4 2 2 3 4 4 2" xfId="51121"/>
    <cellStyle name="Normal 4 2 2 3 4 5" xfId="21912"/>
    <cellStyle name="Normal 4 2 2 3 4 6" xfId="34892"/>
    <cellStyle name="Normal 4 2 2 3 4 7" xfId="47875"/>
    <cellStyle name="Normal 4 2 2 3 5" xfId="4019"/>
    <cellStyle name="Normal 4 2 2 3 5 2" xfId="10551"/>
    <cellStyle name="Normal 4 2 2 3 5 2 2" xfId="30024"/>
    <cellStyle name="Normal 4 2 2 3 5 2 3" xfId="43004"/>
    <cellStyle name="Normal 4 2 2 3 5 2 4" xfId="59233"/>
    <cellStyle name="Normal 4 2 2 3 5 3" xfId="17044"/>
    <cellStyle name="Normal 4 2 2 3 5 4" xfId="23534"/>
    <cellStyle name="Normal 4 2 2 3 5 5" xfId="36514"/>
    <cellStyle name="Normal 4 2 2 3 5 6" xfId="52743"/>
    <cellStyle name="Normal 4 2 2 3 6" xfId="7306"/>
    <cellStyle name="Normal 4 2 2 3 6 2" xfId="26779"/>
    <cellStyle name="Normal 4 2 2 3 6 3" xfId="39759"/>
    <cellStyle name="Normal 4 2 2 3 6 4" xfId="55988"/>
    <cellStyle name="Normal 4 2 2 3 7" xfId="13799"/>
    <cellStyle name="Normal 4 2 2 3 7 2" xfId="49498"/>
    <cellStyle name="Normal 4 2 2 3 8" xfId="20289"/>
    <cellStyle name="Normal 4 2 2 3 9" xfId="33269"/>
    <cellStyle name="Normal 4 2 2 4" xfId="499"/>
    <cellStyle name="Normal 4 2 2 4 2" xfId="1448"/>
    <cellStyle name="Normal 4 2 2 4 2 2" xfId="3115"/>
    <cellStyle name="Normal 4 2 2 4 2 2 2" xfId="6360"/>
    <cellStyle name="Normal 4 2 2 4 2 2 2 2" xfId="12892"/>
    <cellStyle name="Normal 4 2 2 4 2 2 2 2 2" xfId="32365"/>
    <cellStyle name="Normal 4 2 2 4 2 2 2 2 3" xfId="45345"/>
    <cellStyle name="Normal 4 2 2 4 2 2 2 2 4" xfId="61574"/>
    <cellStyle name="Normal 4 2 2 4 2 2 2 3" xfId="19385"/>
    <cellStyle name="Normal 4 2 2 4 2 2 2 4" xfId="25875"/>
    <cellStyle name="Normal 4 2 2 4 2 2 2 5" xfId="38855"/>
    <cellStyle name="Normal 4 2 2 4 2 2 2 6" xfId="55084"/>
    <cellStyle name="Normal 4 2 2 4 2 2 3" xfId="9647"/>
    <cellStyle name="Normal 4 2 2 4 2 2 3 2" xfId="29120"/>
    <cellStyle name="Normal 4 2 2 4 2 2 3 3" xfId="42100"/>
    <cellStyle name="Normal 4 2 2 4 2 2 3 4" xfId="58329"/>
    <cellStyle name="Normal 4 2 2 4 2 2 4" xfId="16140"/>
    <cellStyle name="Normal 4 2 2 4 2 2 4 2" xfId="51839"/>
    <cellStyle name="Normal 4 2 2 4 2 2 5" xfId="22630"/>
    <cellStyle name="Normal 4 2 2 4 2 2 6" xfId="35610"/>
    <cellStyle name="Normal 4 2 2 4 2 2 7" xfId="48593"/>
    <cellStyle name="Normal 4 2 2 4 2 3" xfId="4737"/>
    <cellStyle name="Normal 4 2 2 4 2 3 2" xfId="11269"/>
    <cellStyle name="Normal 4 2 2 4 2 3 2 2" xfId="30742"/>
    <cellStyle name="Normal 4 2 2 4 2 3 2 3" xfId="43722"/>
    <cellStyle name="Normal 4 2 2 4 2 3 2 4" xfId="59951"/>
    <cellStyle name="Normal 4 2 2 4 2 3 3" xfId="17762"/>
    <cellStyle name="Normal 4 2 2 4 2 3 4" xfId="24252"/>
    <cellStyle name="Normal 4 2 2 4 2 3 5" xfId="37232"/>
    <cellStyle name="Normal 4 2 2 4 2 3 6" xfId="53461"/>
    <cellStyle name="Normal 4 2 2 4 2 4" xfId="8024"/>
    <cellStyle name="Normal 4 2 2 4 2 4 2" xfId="27497"/>
    <cellStyle name="Normal 4 2 2 4 2 4 3" xfId="40477"/>
    <cellStyle name="Normal 4 2 2 4 2 4 4" xfId="56706"/>
    <cellStyle name="Normal 4 2 2 4 2 5" xfId="14517"/>
    <cellStyle name="Normal 4 2 2 4 2 5 2" xfId="50216"/>
    <cellStyle name="Normal 4 2 2 4 2 6" xfId="21007"/>
    <cellStyle name="Normal 4 2 2 4 2 7" xfId="33987"/>
    <cellStyle name="Normal 4 2 2 4 2 8" xfId="46970"/>
    <cellStyle name="Normal 4 2 2 4 3" xfId="2167"/>
    <cellStyle name="Normal 4 2 2 4 3 2" xfId="5412"/>
    <cellStyle name="Normal 4 2 2 4 3 2 2" xfId="11944"/>
    <cellStyle name="Normal 4 2 2 4 3 2 2 2" xfId="31417"/>
    <cellStyle name="Normal 4 2 2 4 3 2 2 3" xfId="44397"/>
    <cellStyle name="Normal 4 2 2 4 3 2 2 4" xfId="60626"/>
    <cellStyle name="Normal 4 2 2 4 3 2 3" xfId="18437"/>
    <cellStyle name="Normal 4 2 2 4 3 2 4" xfId="24927"/>
    <cellStyle name="Normal 4 2 2 4 3 2 5" xfId="37907"/>
    <cellStyle name="Normal 4 2 2 4 3 2 6" xfId="54136"/>
    <cellStyle name="Normal 4 2 2 4 3 3" xfId="8699"/>
    <cellStyle name="Normal 4 2 2 4 3 3 2" xfId="28172"/>
    <cellStyle name="Normal 4 2 2 4 3 3 3" xfId="41152"/>
    <cellStyle name="Normal 4 2 2 4 3 3 4" xfId="57381"/>
    <cellStyle name="Normal 4 2 2 4 3 4" xfId="15192"/>
    <cellStyle name="Normal 4 2 2 4 3 4 2" xfId="50891"/>
    <cellStyle name="Normal 4 2 2 4 3 5" xfId="21682"/>
    <cellStyle name="Normal 4 2 2 4 3 6" xfId="34662"/>
    <cellStyle name="Normal 4 2 2 4 3 7" xfId="47645"/>
    <cellStyle name="Normal 4 2 2 4 4" xfId="3789"/>
    <cellStyle name="Normal 4 2 2 4 4 2" xfId="10321"/>
    <cellStyle name="Normal 4 2 2 4 4 2 2" xfId="29794"/>
    <cellStyle name="Normal 4 2 2 4 4 2 3" xfId="42774"/>
    <cellStyle name="Normal 4 2 2 4 4 2 4" xfId="59003"/>
    <cellStyle name="Normal 4 2 2 4 4 3" xfId="16814"/>
    <cellStyle name="Normal 4 2 2 4 4 4" xfId="23304"/>
    <cellStyle name="Normal 4 2 2 4 4 5" xfId="36284"/>
    <cellStyle name="Normal 4 2 2 4 4 6" xfId="52513"/>
    <cellStyle name="Normal 4 2 2 4 5" xfId="7076"/>
    <cellStyle name="Normal 4 2 2 4 5 2" xfId="26549"/>
    <cellStyle name="Normal 4 2 2 4 5 3" xfId="39529"/>
    <cellStyle name="Normal 4 2 2 4 5 4" xfId="55758"/>
    <cellStyle name="Normal 4 2 2 4 6" xfId="13569"/>
    <cellStyle name="Normal 4 2 2 4 6 2" xfId="49268"/>
    <cellStyle name="Normal 4 2 2 4 7" xfId="20059"/>
    <cellStyle name="Normal 4 2 2 4 8" xfId="33039"/>
    <cellStyle name="Normal 4 2 2 4 9" xfId="46022"/>
    <cellStyle name="Normal 4 2 2 5" xfId="985"/>
    <cellStyle name="Normal 4 2 2 5 2" xfId="2652"/>
    <cellStyle name="Normal 4 2 2 5 2 2" xfId="5897"/>
    <cellStyle name="Normal 4 2 2 5 2 2 2" xfId="12429"/>
    <cellStyle name="Normal 4 2 2 5 2 2 2 2" xfId="31902"/>
    <cellStyle name="Normal 4 2 2 5 2 2 2 3" xfId="44882"/>
    <cellStyle name="Normal 4 2 2 5 2 2 2 4" xfId="61111"/>
    <cellStyle name="Normal 4 2 2 5 2 2 3" xfId="18922"/>
    <cellStyle name="Normal 4 2 2 5 2 2 4" xfId="25412"/>
    <cellStyle name="Normal 4 2 2 5 2 2 5" xfId="38392"/>
    <cellStyle name="Normal 4 2 2 5 2 2 6" xfId="54621"/>
    <cellStyle name="Normal 4 2 2 5 2 3" xfId="9184"/>
    <cellStyle name="Normal 4 2 2 5 2 3 2" xfId="28657"/>
    <cellStyle name="Normal 4 2 2 5 2 3 3" xfId="41637"/>
    <cellStyle name="Normal 4 2 2 5 2 3 4" xfId="57866"/>
    <cellStyle name="Normal 4 2 2 5 2 4" xfId="15677"/>
    <cellStyle name="Normal 4 2 2 5 2 4 2" xfId="51376"/>
    <cellStyle name="Normal 4 2 2 5 2 5" xfId="22167"/>
    <cellStyle name="Normal 4 2 2 5 2 6" xfId="35147"/>
    <cellStyle name="Normal 4 2 2 5 2 7" xfId="48130"/>
    <cellStyle name="Normal 4 2 2 5 3" xfId="4274"/>
    <cellStyle name="Normal 4 2 2 5 3 2" xfId="10806"/>
    <cellStyle name="Normal 4 2 2 5 3 2 2" xfId="30279"/>
    <cellStyle name="Normal 4 2 2 5 3 2 3" xfId="43259"/>
    <cellStyle name="Normal 4 2 2 5 3 2 4" xfId="59488"/>
    <cellStyle name="Normal 4 2 2 5 3 3" xfId="17299"/>
    <cellStyle name="Normal 4 2 2 5 3 4" xfId="23789"/>
    <cellStyle name="Normal 4 2 2 5 3 5" xfId="36769"/>
    <cellStyle name="Normal 4 2 2 5 3 6" xfId="52998"/>
    <cellStyle name="Normal 4 2 2 5 4" xfId="7561"/>
    <cellStyle name="Normal 4 2 2 5 4 2" xfId="27034"/>
    <cellStyle name="Normal 4 2 2 5 4 3" xfId="40014"/>
    <cellStyle name="Normal 4 2 2 5 4 4" xfId="56243"/>
    <cellStyle name="Normal 4 2 2 5 5" xfId="14054"/>
    <cellStyle name="Normal 4 2 2 5 5 2" xfId="49753"/>
    <cellStyle name="Normal 4 2 2 5 6" xfId="20544"/>
    <cellStyle name="Normal 4 2 2 5 7" xfId="33524"/>
    <cellStyle name="Normal 4 2 2 5 8" xfId="46507"/>
    <cellStyle name="Normal 4 2 2 6" xfId="1938"/>
    <cellStyle name="Normal 4 2 2 6 2" xfId="5183"/>
    <cellStyle name="Normal 4 2 2 6 2 2" xfId="11715"/>
    <cellStyle name="Normal 4 2 2 6 2 2 2" xfId="31188"/>
    <cellStyle name="Normal 4 2 2 6 2 2 3" xfId="44168"/>
    <cellStyle name="Normal 4 2 2 6 2 2 4" xfId="60397"/>
    <cellStyle name="Normal 4 2 2 6 2 3" xfId="18208"/>
    <cellStyle name="Normal 4 2 2 6 2 4" xfId="24698"/>
    <cellStyle name="Normal 4 2 2 6 2 5" xfId="37678"/>
    <cellStyle name="Normal 4 2 2 6 2 6" xfId="53907"/>
    <cellStyle name="Normal 4 2 2 6 3" xfId="8470"/>
    <cellStyle name="Normal 4 2 2 6 3 2" xfId="27943"/>
    <cellStyle name="Normal 4 2 2 6 3 3" xfId="40923"/>
    <cellStyle name="Normal 4 2 2 6 3 4" xfId="57152"/>
    <cellStyle name="Normal 4 2 2 6 4" xfId="14963"/>
    <cellStyle name="Normal 4 2 2 6 4 2" xfId="50662"/>
    <cellStyle name="Normal 4 2 2 6 5" xfId="21453"/>
    <cellStyle name="Normal 4 2 2 6 6" xfId="34433"/>
    <cellStyle name="Normal 4 2 2 6 7" xfId="47416"/>
    <cellStyle name="Normal 4 2 2 7" xfId="3559"/>
    <cellStyle name="Normal 4 2 2 7 2" xfId="10091"/>
    <cellStyle name="Normal 4 2 2 7 2 2" xfId="29564"/>
    <cellStyle name="Normal 4 2 2 7 2 3" xfId="42544"/>
    <cellStyle name="Normal 4 2 2 7 2 4" xfId="58773"/>
    <cellStyle name="Normal 4 2 2 7 3" xfId="16584"/>
    <cellStyle name="Normal 4 2 2 7 4" xfId="23074"/>
    <cellStyle name="Normal 4 2 2 7 5" xfId="36054"/>
    <cellStyle name="Normal 4 2 2 7 6" xfId="52283"/>
    <cellStyle name="Normal 4 2 2 8" xfId="6846"/>
    <cellStyle name="Normal 4 2 2 8 2" xfId="26319"/>
    <cellStyle name="Normal 4 2 2 8 3" xfId="39299"/>
    <cellStyle name="Normal 4 2 2 8 4" xfId="55528"/>
    <cellStyle name="Normal 4 2 2 9" xfId="13339"/>
    <cellStyle name="Normal 4 2 2 9 2" xfId="49038"/>
    <cellStyle name="Normal 4 2 3" xfId="221"/>
    <cellStyle name="Normal 4 2 3 10" xfId="32765"/>
    <cellStyle name="Normal 4 2 3 11" xfId="45748"/>
    <cellStyle name="Normal 4 2 3 12" xfId="62005"/>
    <cellStyle name="Normal 4 2 3 2" xfId="685"/>
    <cellStyle name="Normal 4 2 3 2 10" xfId="46208"/>
    <cellStyle name="Normal 4 2 3 2 2" xfId="1624"/>
    <cellStyle name="Normal 4 2 3 2 2 2" xfId="3291"/>
    <cellStyle name="Normal 4 2 3 2 2 2 2" xfId="6536"/>
    <cellStyle name="Normal 4 2 3 2 2 2 2 2" xfId="13068"/>
    <cellStyle name="Normal 4 2 3 2 2 2 2 2 2" xfId="32541"/>
    <cellStyle name="Normal 4 2 3 2 2 2 2 2 3" xfId="45521"/>
    <cellStyle name="Normal 4 2 3 2 2 2 2 2 4" xfId="61750"/>
    <cellStyle name="Normal 4 2 3 2 2 2 2 3" xfId="19561"/>
    <cellStyle name="Normal 4 2 3 2 2 2 2 4" xfId="26051"/>
    <cellStyle name="Normal 4 2 3 2 2 2 2 5" xfId="39031"/>
    <cellStyle name="Normal 4 2 3 2 2 2 2 6" xfId="55260"/>
    <cellStyle name="Normal 4 2 3 2 2 2 3" xfId="9823"/>
    <cellStyle name="Normal 4 2 3 2 2 2 3 2" xfId="29296"/>
    <cellStyle name="Normal 4 2 3 2 2 2 3 3" xfId="42276"/>
    <cellStyle name="Normal 4 2 3 2 2 2 3 4" xfId="58505"/>
    <cellStyle name="Normal 4 2 3 2 2 2 4" xfId="16316"/>
    <cellStyle name="Normal 4 2 3 2 2 2 4 2" xfId="52015"/>
    <cellStyle name="Normal 4 2 3 2 2 2 5" xfId="22806"/>
    <cellStyle name="Normal 4 2 3 2 2 2 6" xfId="35786"/>
    <cellStyle name="Normal 4 2 3 2 2 2 7" xfId="48769"/>
    <cellStyle name="Normal 4 2 3 2 2 3" xfId="4913"/>
    <cellStyle name="Normal 4 2 3 2 2 3 2" xfId="11445"/>
    <cellStyle name="Normal 4 2 3 2 2 3 2 2" xfId="30918"/>
    <cellStyle name="Normal 4 2 3 2 2 3 2 3" xfId="43898"/>
    <cellStyle name="Normal 4 2 3 2 2 3 2 4" xfId="60127"/>
    <cellStyle name="Normal 4 2 3 2 2 3 3" xfId="17938"/>
    <cellStyle name="Normal 4 2 3 2 2 3 4" xfId="24428"/>
    <cellStyle name="Normal 4 2 3 2 2 3 5" xfId="37408"/>
    <cellStyle name="Normal 4 2 3 2 2 3 6" xfId="53637"/>
    <cellStyle name="Normal 4 2 3 2 2 4" xfId="8200"/>
    <cellStyle name="Normal 4 2 3 2 2 4 2" xfId="27673"/>
    <cellStyle name="Normal 4 2 3 2 2 4 3" xfId="40653"/>
    <cellStyle name="Normal 4 2 3 2 2 4 4" xfId="56882"/>
    <cellStyle name="Normal 4 2 3 2 2 5" xfId="14693"/>
    <cellStyle name="Normal 4 2 3 2 2 5 2" xfId="50392"/>
    <cellStyle name="Normal 4 2 3 2 2 6" xfId="21183"/>
    <cellStyle name="Normal 4 2 3 2 2 7" xfId="34163"/>
    <cellStyle name="Normal 4 2 3 2 2 8" xfId="47146"/>
    <cellStyle name="Normal 4 2 3 2 3" xfId="1161"/>
    <cellStyle name="Normal 4 2 3 2 3 2" xfId="2828"/>
    <cellStyle name="Normal 4 2 3 2 3 2 2" xfId="6073"/>
    <cellStyle name="Normal 4 2 3 2 3 2 2 2" xfId="12605"/>
    <cellStyle name="Normal 4 2 3 2 3 2 2 2 2" xfId="32078"/>
    <cellStyle name="Normal 4 2 3 2 3 2 2 2 3" xfId="45058"/>
    <cellStyle name="Normal 4 2 3 2 3 2 2 2 4" xfId="61287"/>
    <cellStyle name="Normal 4 2 3 2 3 2 2 3" xfId="19098"/>
    <cellStyle name="Normal 4 2 3 2 3 2 2 4" xfId="25588"/>
    <cellStyle name="Normal 4 2 3 2 3 2 2 5" xfId="38568"/>
    <cellStyle name="Normal 4 2 3 2 3 2 2 6" xfId="54797"/>
    <cellStyle name="Normal 4 2 3 2 3 2 3" xfId="9360"/>
    <cellStyle name="Normal 4 2 3 2 3 2 3 2" xfId="28833"/>
    <cellStyle name="Normal 4 2 3 2 3 2 3 3" xfId="41813"/>
    <cellStyle name="Normal 4 2 3 2 3 2 3 4" xfId="58042"/>
    <cellStyle name="Normal 4 2 3 2 3 2 4" xfId="15853"/>
    <cellStyle name="Normal 4 2 3 2 3 2 4 2" xfId="51552"/>
    <cellStyle name="Normal 4 2 3 2 3 2 5" xfId="22343"/>
    <cellStyle name="Normal 4 2 3 2 3 2 6" xfId="35323"/>
    <cellStyle name="Normal 4 2 3 2 3 2 7" xfId="48306"/>
    <cellStyle name="Normal 4 2 3 2 3 3" xfId="4450"/>
    <cellStyle name="Normal 4 2 3 2 3 3 2" xfId="10982"/>
    <cellStyle name="Normal 4 2 3 2 3 3 2 2" xfId="30455"/>
    <cellStyle name="Normal 4 2 3 2 3 3 2 3" xfId="43435"/>
    <cellStyle name="Normal 4 2 3 2 3 3 2 4" xfId="59664"/>
    <cellStyle name="Normal 4 2 3 2 3 3 3" xfId="17475"/>
    <cellStyle name="Normal 4 2 3 2 3 3 4" xfId="23965"/>
    <cellStyle name="Normal 4 2 3 2 3 3 5" xfId="36945"/>
    <cellStyle name="Normal 4 2 3 2 3 3 6" xfId="53174"/>
    <cellStyle name="Normal 4 2 3 2 3 4" xfId="7737"/>
    <cellStyle name="Normal 4 2 3 2 3 4 2" xfId="27210"/>
    <cellStyle name="Normal 4 2 3 2 3 4 3" xfId="40190"/>
    <cellStyle name="Normal 4 2 3 2 3 4 4" xfId="56419"/>
    <cellStyle name="Normal 4 2 3 2 3 5" xfId="14230"/>
    <cellStyle name="Normal 4 2 3 2 3 5 2" xfId="49929"/>
    <cellStyle name="Normal 4 2 3 2 3 6" xfId="20720"/>
    <cellStyle name="Normal 4 2 3 2 3 7" xfId="33700"/>
    <cellStyle name="Normal 4 2 3 2 3 8" xfId="46683"/>
    <cellStyle name="Normal 4 2 3 2 4" xfId="2353"/>
    <cellStyle name="Normal 4 2 3 2 4 2" xfId="5598"/>
    <cellStyle name="Normal 4 2 3 2 4 2 2" xfId="12130"/>
    <cellStyle name="Normal 4 2 3 2 4 2 2 2" xfId="31603"/>
    <cellStyle name="Normal 4 2 3 2 4 2 2 3" xfId="44583"/>
    <cellStyle name="Normal 4 2 3 2 4 2 2 4" xfId="60812"/>
    <cellStyle name="Normal 4 2 3 2 4 2 3" xfId="18623"/>
    <cellStyle name="Normal 4 2 3 2 4 2 4" xfId="25113"/>
    <cellStyle name="Normal 4 2 3 2 4 2 5" xfId="38093"/>
    <cellStyle name="Normal 4 2 3 2 4 2 6" xfId="54322"/>
    <cellStyle name="Normal 4 2 3 2 4 3" xfId="8885"/>
    <cellStyle name="Normal 4 2 3 2 4 3 2" xfId="28358"/>
    <cellStyle name="Normal 4 2 3 2 4 3 3" xfId="41338"/>
    <cellStyle name="Normal 4 2 3 2 4 3 4" xfId="57567"/>
    <cellStyle name="Normal 4 2 3 2 4 4" xfId="15378"/>
    <cellStyle name="Normal 4 2 3 2 4 4 2" xfId="51077"/>
    <cellStyle name="Normal 4 2 3 2 4 5" xfId="21868"/>
    <cellStyle name="Normal 4 2 3 2 4 6" xfId="34848"/>
    <cellStyle name="Normal 4 2 3 2 4 7" xfId="47831"/>
    <cellStyle name="Normal 4 2 3 2 5" xfId="3975"/>
    <cellStyle name="Normal 4 2 3 2 5 2" xfId="10507"/>
    <cellStyle name="Normal 4 2 3 2 5 2 2" xfId="29980"/>
    <cellStyle name="Normal 4 2 3 2 5 2 3" xfId="42960"/>
    <cellStyle name="Normal 4 2 3 2 5 2 4" xfId="59189"/>
    <cellStyle name="Normal 4 2 3 2 5 3" xfId="17000"/>
    <cellStyle name="Normal 4 2 3 2 5 4" xfId="23490"/>
    <cellStyle name="Normal 4 2 3 2 5 5" xfId="36470"/>
    <cellStyle name="Normal 4 2 3 2 5 6" xfId="52699"/>
    <cellStyle name="Normal 4 2 3 2 6" xfId="7262"/>
    <cellStyle name="Normal 4 2 3 2 6 2" xfId="26735"/>
    <cellStyle name="Normal 4 2 3 2 6 3" xfId="39715"/>
    <cellStyle name="Normal 4 2 3 2 6 4" xfId="55944"/>
    <cellStyle name="Normal 4 2 3 2 7" xfId="13755"/>
    <cellStyle name="Normal 4 2 3 2 7 2" xfId="49454"/>
    <cellStyle name="Normal 4 2 3 2 8" xfId="20245"/>
    <cellStyle name="Normal 4 2 3 2 9" xfId="33225"/>
    <cellStyle name="Normal 4 2 3 3" xfId="455"/>
    <cellStyle name="Normal 4 2 3 3 2" xfId="1404"/>
    <cellStyle name="Normal 4 2 3 3 2 2" xfId="3071"/>
    <cellStyle name="Normal 4 2 3 3 2 2 2" xfId="6316"/>
    <cellStyle name="Normal 4 2 3 3 2 2 2 2" xfId="12848"/>
    <cellStyle name="Normal 4 2 3 3 2 2 2 2 2" xfId="32321"/>
    <cellStyle name="Normal 4 2 3 3 2 2 2 2 3" xfId="45301"/>
    <cellStyle name="Normal 4 2 3 3 2 2 2 2 4" xfId="61530"/>
    <cellStyle name="Normal 4 2 3 3 2 2 2 3" xfId="19341"/>
    <cellStyle name="Normal 4 2 3 3 2 2 2 4" xfId="25831"/>
    <cellStyle name="Normal 4 2 3 3 2 2 2 5" xfId="38811"/>
    <cellStyle name="Normal 4 2 3 3 2 2 2 6" xfId="55040"/>
    <cellStyle name="Normal 4 2 3 3 2 2 3" xfId="9603"/>
    <cellStyle name="Normal 4 2 3 3 2 2 3 2" xfId="29076"/>
    <cellStyle name="Normal 4 2 3 3 2 2 3 3" xfId="42056"/>
    <cellStyle name="Normal 4 2 3 3 2 2 3 4" xfId="58285"/>
    <cellStyle name="Normal 4 2 3 3 2 2 4" xfId="16096"/>
    <cellStyle name="Normal 4 2 3 3 2 2 4 2" xfId="51795"/>
    <cellStyle name="Normal 4 2 3 3 2 2 5" xfId="22586"/>
    <cellStyle name="Normal 4 2 3 3 2 2 6" xfId="35566"/>
    <cellStyle name="Normal 4 2 3 3 2 2 7" xfId="48549"/>
    <cellStyle name="Normal 4 2 3 3 2 3" xfId="4693"/>
    <cellStyle name="Normal 4 2 3 3 2 3 2" xfId="11225"/>
    <cellStyle name="Normal 4 2 3 3 2 3 2 2" xfId="30698"/>
    <cellStyle name="Normal 4 2 3 3 2 3 2 3" xfId="43678"/>
    <cellStyle name="Normal 4 2 3 3 2 3 2 4" xfId="59907"/>
    <cellStyle name="Normal 4 2 3 3 2 3 3" xfId="17718"/>
    <cellStyle name="Normal 4 2 3 3 2 3 4" xfId="24208"/>
    <cellStyle name="Normal 4 2 3 3 2 3 5" xfId="37188"/>
    <cellStyle name="Normal 4 2 3 3 2 3 6" xfId="53417"/>
    <cellStyle name="Normal 4 2 3 3 2 4" xfId="7980"/>
    <cellStyle name="Normal 4 2 3 3 2 4 2" xfId="27453"/>
    <cellStyle name="Normal 4 2 3 3 2 4 3" xfId="40433"/>
    <cellStyle name="Normal 4 2 3 3 2 4 4" xfId="56662"/>
    <cellStyle name="Normal 4 2 3 3 2 5" xfId="14473"/>
    <cellStyle name="Normal 4 2 3 3 2 5 2" xfId="50172"/>
    <cellStyle name="Normal 4 2 3 3 2 6" xfId="20963"/>
    <cellStyle name="Normal 4 2 3 3 2 7" xfId="33943"/>
    <cellStyle name="Normal 4 2 3 3 2 8" xfId="46926"/>
    <cellStyle name="Normal 4 2 3 3 3" xfId="2123"/>
    <cellStyle name="Normal 4 2 3 3 3 2" xfId="5368"/>
    <cellStyle name="Normal 4 2 3 3 3 2 2" xfId="11900"/>
    <cellStyle name="Normal 4 2 3 3 3 2 2 2" xfId="31373"/>
    <cellStyle name="Normal 4 2 3 3 3 2 2 3" xfId="44353"/>
    <cellStyle name="Normal 4 2 3 3 3 2 2 4" xfId="60582"/>
    <cellStyle name="Normal 4 2 3 3 3 2 3" xfId="18393"/>
    <cellStyle name="Normal 4 2 3 3 3 2 4" xfId="24883"/>
    <cellStyle name="Normal 4 2 3 3 3 2 5" xfId="37863"/>
    <cellStyle name="Normal 4 2 3 3 3 2 6" xfId="54092"/>
    <cellStyle name="Normal 4 2 3 3 3 3" xfId="8655"/>
    <cellStyle name="Normal 4 2 3 3 3 3 2" xfId="28128"/>
    <cellStyle name="Normal 4 2 3 3 3 3 3" xfId="41108"/>
    <cellStyle name="Normal 4 2 3 3 3 3 4" xfId="57337"/>
    <cellStyle name="Normal 4 2 3 3 3 4" xfId="15148"/>
    <cellStyle name="Normal 4 2 3 3 3 4 2" xfId="50847"/>
    <cellStyle name="Normal 4 2 3 3 3 5" xfId="21638"/>
    <cellStyle name="Normal 4 2 3 3 3 6" xfId="34618"/>
    <cellStyle name="Normal 4 2 3 3 3 7" xfId="47601"/>
    <cellStyle name="Normal 4 2 3 3 4" xfId="3745"/>
    <cellStyle name="Normal 4 2 3 3 4 2" xfId="10277"/>
    <cellStyle name="Normal 4 2 3 3 4 2 2" xfId="29750"/>
    <cellStyle name="Normal 4 2 3 3 4 2 3" xfId="42730"/>
    <cellStyle name="Normal 4 2 3 3 4 2 4" xfId="58959"/>
    <cellStyle name="Normal 4 2 3 3 4 3" xfId="16770"/>
    <cellStyle name="Normal 4 2 3 3 4 4" xfId="23260"/>
    <cellStyle name="Normal 4 2 3 3 4 5" xfId="36240"/>
    <cellStyle name="Normal 4 2 3 3 4 6" xfId="52469"/>
    <cellStyle name="Normal 4 2 3 3 5" xfId="7032"/>
    <cellStyle name="Normal 4 2 3 3 5 2" xfId="26505"/>
    <cellStyle name="Normal 4 2 3 3 5 3" xfId="39485"/>
    <cellStyle name="Normal 4 2 3 3 5 4" xfId="55714"/>
    <cellStyle name="Normal 4 2 3 3 6" xfId="13525"/>
    <cellStyle name="Normal 4 2 3 3 6 2" xfId="49224"/>
    <cellStyle name="Normal 4 2 3 3 7" xfId="20015"/>
    <cellStyle name="Normal 4 2 3 3 8" xfId="32995"/>
    <cellStyle name="Normal 4 2 3 3 9" xfId="45978"/>
    <cellStyle name="Normal 4 2 3 4" xfId="941"/>
    <cellStyle name="Normal 4 2 3 4 2" xfId="2608"/>
    <cellStyle name="Normal 4 2 3 4 2 2" xfId="5853"/>
    <cellStyle name="Normal 4 2 3 4 2 2 2" xfId="12385"/>
    <cellStyle name="Normal 4 2 3 4 2 2 2 2" xfId="31858"/>
    <cellStyle name="Normal 4 2 3 4 2 2 2 3" xfId="44838"/>
    <cellStyle name="Normal 4 2 3 4 2 2 2 4" xfId="61067"/>
    <cellStyle name="Normal 4 2 3 4 2 2 3" xfId="18878"/>
    <cellStyle name="Normal 4 2 3 4 2 2 4" xfId="25368"/>
    <cellStyle name="Normal 4 2 3 4 2 2 5" xfId="38348"/>
    <cellStyle name="Normal 4 2 3 4 2 2 6" xfId="54577"/>
    <cellStyle name="Normal 4 2 3 4 2 3" xfId="9140"/>
    <cellStyle name="Normal 4 2 3 4 2 3 2" xfId="28613"/>
    <cellStyle name="Normal 4 2 3 4 2 3 3" xfId="41593"/>
    <cellStyle name="Normal 4 2 3 4 2 3 4" xfId="57822"/>
    <cellStyle name="Normal 4 2 3 4 2 4" xfId="15633"/>
    <cellStyle name="Normal 4 2 3 4 2 4 2" xfId="51332"/>
    <cellStyle name="Normal 4 2 3 4 2 5" xfId="22123"/>
    <cellStyle name="Normal 4 2 3 4 2 6" xfId="35103"/>
    <cellStyle name="Normal 4 2 3 4 2 7" xfId="48086"/>
    <cellStyle name="Normal 4 2 3 4 3" xfId="4230"/>
    <cellStyle name="Normal 4 2 3 4 3 2" xfId="10762"/>
    <cellStyle name="Normal 4 2 3 4 3 2 2" xfId="30235"/>
    <cellStyle name="Normal 4 2 3 4 3 2 3" xfId="43215"/>
    <cellStyle name="Normal 4 2 3 4 3 2 4" xfId="59444"/>
    <cellStyle name="Normal 4 2 3 4 3 3" xfId="17255"/>
    <cellStyle name="Normal 4 2 3 4 3 4" xfId="23745"/>
    <cellStyle name="Normal 4 2 3 4 3 5" xfId="36725"/>
    <cellStyle name="Normal 4 2 3 4 3 6" xfId="52954"/>
    <cellStyle name="Normal 4 2 3 4 4" xfId="7517"/>
    <cellStyle name="Normal 4 2 3 4 4 2" xfId="26990"/>
    <cellStyle name="Normal 4 2 3 4 4 3" xfId="39970"/>
    <cellStyle name="Normal 4 2 3 4 4 4" xfId="56199"/>
    <cellStyle name="Normal 4 2 3 4 5" xfId="14010"/>
    <cellStyle name="Normal 4 2 3 4 5 2" xfId="49709"/>
    <cellStyle name="Normal 4 2 3 4 6" xfId="20500"/>
    <cellStyle name="Normal 4 2 3 4 7" xfId="33480"/>
    <cellStyle name="Normal 4 2 3 4 8" xfId="46463"/>
    <cellStyle name="Normal 4 2 3 5" xfId="1894"/>
    <cellStyle name="Normal 4 2 3 5 2" xfId="5139"/>
    <cellStyle name="Normal 4 2 3 5 2 2" xfId="11671"/>
    <cellStyle name="Normal 4 2 3 5 2 2 2" xfId="31144"/>
    <cellStyle name="Normal 4 2 3 5 2 2 3" xfId="44124"/>
    <cellStyle name="Normal 4 2 3 5 2 2 4" xfId="60353"/>
    <cellStyle name="Normal 4 2 3 5 2 3" xfId="18164"/>
    <cellStyle name="Normal 4 2 3 5 2 4" xfId="24654"/>
    <cellStyle name="Normal 4 2 3 5 2 5" xfId="37634"/>
    <cellStyle name="Normal 4 2 3 5 2 6" xfId="53863"/>
    <cellStyle name="Normal 4 2 3 5 3" xfId="8426"/>
    <cellStyle name="Normal 4 2 3 5 3 2" xfId="27899"/>
    <cellStyle name="Normal 4 2 3 5 3 3" xfId="40879"/>
    <cellStyle name="Normal 4 2 3 5 3 4" xfId="57108"/>
    <cellStyle name="Normal 4 2 3 5 4" xfId="14919"/>
    <cellStyle name="Normal 4 2 3 5 4 2" xfId="50618"/>
    <cellStyle name="Normal 4 2 3 5 5" xfId="21409"/>
    <cellStyle name="Normal 4 2 3 5 6" xfId="34389"/>
    <cellStyle name="Normal 4 2 3 5 7" xfId="47372"/>
    <cellStyle name="Normal 4 2 3 6" xfId="3515"/>
    <cellStyle name="Normal 4 2 3 6 2" xfId="10047"/>
    <cellStyle name="Normal 4 2 3 6 2 2" xfId="29520"/>
    <cellStyle name="Normal 4 2 3 6 2 3" xfId="42500"/>
    <cellStyle name="Normal 4 2 3 6 2 4" xfId="58729"/>
    <cellStyle name="Normal 4 2 3 6 3" xfId="16540"/>
    <cellStyle name="Normal 4 2 3 6 4" xfId="23030"/>
    <cellStyle name="Normal 4 2 3 6 5" xfId="36010"/>
    <cellStyle name="Normal 4 2 3 6 6" xfId="52239"/>
    <cellStyle name="Normal 4 2 3 7" xfId="6802"/>
    <cellStyle name="Normal 4 2 3 7 2" xfId="26275"/>
    <cellStyle name="Normal 4 2 3 7 3" xfId="39255"/>
    <cellStyle name="Normal 4 2 3 7 4" xfId="55484"/>
    <cellStyle name="Normal 4 2 3 8" xfId="13295"/>
    <cellStyle name="Normal 4 2 3 8 2" xfId="48994"/>
    <cellStyle name="Normal 4 2 3 9" xfId="19785"/>
    <cellStyle name="Normal 4 2 4" xfId="309"/>
    <cellStyle name="Normal 4 2 4 10" xfId="32853"/>
    <cellStyle name="Normal 4 2 4 11" xfId="45836"/>
    <cellStyle name="Normal 4 2 4 2" xfId="773"/>
    <cellStyle name="Normal 4 2 4 2 10" xfId="46296"/>
    <cellStyle name="Normal 4 2 4 2 2" xfId="1712"/>
    <cellStyle name="Normal 4 2 4 2 2 2" xfId="3379"/>
    <cellStyle name="Normal 4 2 4 2 2 2 2" xfId="6624"/>
    <cellStyle name="Normal 4 2 4 2 2 2 2 2" xfId="13156"/>
    <cellStyle name="Normal 4 2 4 2 2 2 2 2 2" xfId="32629"/>
    <cellStyle name="Normal 4 2 4 2 2 2 2 2 3" xfId="45609"/>
    <cellStyle name="Normal 4 2 4 2 2 2 2 2 4" xfId="61838"/>
    <cellStyle name="Normal 4 2 4 2 2 2 2 3" xfId="19649"/>
    <cellStyle name="Normal 4 2 4 2 2 2 2 4" xfId="26139"/>
    <cellStyle name="Normal 4 2 4 2 2 2 2 5" xfId="39119"/>
    <cellStyle name="Normal 4 2 4 2 2 2 2 6" xfId="55348"/>
    <cellStyle name="Normal 4 2 4 2 2 2 3" xfId="9911"/>
    <cellStyle name="Normal 4 2 4 2 2 2 3 2" xfId="29384"/>
    <cellStyle name="Normal 4 2 4 2 2 2 3 3" xfId="42364"/>
    <cellStyle name="Normal 4 2 4 2 2 2 3 4" xfId="58593"/>
    <cellStyle name="Normal 4 2 4 2 2 2 4" xfId="16404"/>
    <cellStyle name="Normal 4 2 4 2 2 2 4 2" xfId="52103"/>
    <cellStyle name="Normal 4 2 4 2 2 2 5" xfId="22894"/>
    <cellStyle name="Normal 4 2 4 2 2 2 6" xfId="35874"/>
    <cellStyle name="Normal 4 2 4 2 2 2 7" xfId="48857"/>
    <cellStyle name="Normal 4 2 4 2 2 3" xfId="5001"/>
    <cellStyle name="Normal 4 2 4 2 2 3 2" xfId="11533"/>
    <cellStyle name="Normal 4 2 4 2 2 3 2 2" xfId="31006"/>
    <cellStyle name="Normal 4 2 4 2 2 3 2 3" xfId="43986"/>
    <cellStyle name="Normal 4 2 4 2 2 3 2 4" xfId="60215"/>
    <cellStyle name="Normal 4 2 4 2 2 3 3" xfId="18026"/>
    <cellStyle name="Normal 4 2 4 2 2 3 4" xfId="24516"/>
    <cellStyle name="Normal 4 2 4 2 2 3 5" xfId="37496"/>
    <cellStyle name="Normal 4 2 4 2 2 3 6" xfId="53725"/>
    <cellStyle name="Normal 4 2 4 2 2 4" xfId="8288"/>
    <cellStyle name="Normal 4 2 4 2 2 4 2" xfId="27761"/>
    <cellStyle name="Normal 4 2 4 2 2 4 3" xfId="40741"/>
    <cellStyle name="Normal 4 2 4 2 2 4 4" xfId="56970"/>
    <cellStyle name="Normal 4 2 4 2 2 5" xfId="14781"/>
    <cellStyle name="Normal 4 2 4 2 2 5 2" xfId="50480"/>
    <cellStyle name="Normal 4 2 4 2 2 6" xfId="21271"/>
    <cellStyle name="Normal 4 2 4 2 2 7" xfId="34251"/>
    <cellStyle name="Normal 4 2 4 2 2 8" xfId="47234"/>
    <cellStyle name="Normal 4 2 4 2 3" xfId="1249"/>
    <cellStyle name="Normal 4 2 4 2 3 2" xfId="2916"/>
    <cellStyle name="Normal 4 2 4 2 3 2 2" xfId="6161"/>
    <cellStyle name="Normal 4 2 4 2 3 2 2 2" xfId="12693"/>
    <cellStyle name="Normal 4 2 4 2 3 2 2 2 2" xfId="32166"/>
    <cellStyle name="Normal 4 2 4 2 3 2 2 2 3" xfId="45146"/>
    <cellStyle name="Normal 4 2 4 2 3 2 2 2 4" xfId="61375"/>
    <cellStyle name="Normal 4 2 4 2 3 2 2 3" xfId="19186"/>
    <cellStyle name="Normal 4 2 4 2 3 2 2 4" xfId="25676"/>
    <cellStyle name="Normal 4 2 4 2 3 2 2 5" xfId="38656"/>
    <cellStyle name="Normal 4 2 4 2 3 2 2 6" xfId="54885"/>
    <cellStyle name="Normal 4 2 4 2 3 2 3" xfId="9448"/>
    <cellStyle name="Normal 4 2 4 2 3 2 3 2" xfId="28921"/>
    <cellStyle name="Normal 4 2 4 2 3 2 3 3" xfId="41901"/>
    <cellStyle name="Normal 4 2 4 2 3 2 3 4" xfId="58130"/>
    <cellStyle name="Normal 4 2 4 2 3 2 4" xfId="15941"/>
    <cellStyle name="Normal 4 2 4 2 3 2 4 2" xfId="51640"/>
    <cellStyle name="Normal 4 2 4 2 3 2 5" xfId="22431"/>
    <cellStyle name="Normal 4 2 4 2 3 2 6" xfId="35411"/>
    <cellStyle name="Normal 4 2 4 2 3 2 7" xfId="48394"/>
    <cellStyle name="Normal 4 2 4 2 3 3" xfId="4538"/>
    <cellStyle name="Normal 4 2 4 2 3 3 2" xfId="11070"/>
    <cellStyle name="Normal 4 2 4 2 3 3 2 2" xfId="30543"/>
    <cellStyle name="Normal 4 2 4 2 3 3 2 3" xfId="43523"/>
    <cellStyle name="Normal 4 2 4 2 3 3 2 4" xfId="59752"/>
    <cellStyle name="Normal 4 2 4 2 3 3 3" xfId="17563"/>
    <cellStyle name="Normal 4 2 4 2 3 3 4" xfId="24053"/>
    <cellStyle name="Normal 4 2 4 2 3 3 5" xfId="37033"/>
    <cellStyle name="Normal 4 2 4 2 3 3 6" xfId="53262"/>
    <cellStyle name="Normal 4 2 4 2 3 4" xfId="7825"/>
    <cellStyle name="Normal 4 2 4 2 3 4 2" xfId="27298"/>
    <cellStyle name="Normal 4 2 4 2 3 4 3" xfId="40278"/>
    <cellStyle name="Normal 4 2 4 2 3 4 4" xfId="56507"/>
    <cellStyle name="Normal 4 2 4 2 3 5" xfId="14318"/>
    <cellStyle name="Normal 4 2 4 2 3 5 2" xfId="50017"/>
    <cellStyle name="Normal 4 2 4 2 3 6" xfId="20808"/>
    <cellStyle name="Normal 4 2 4 2 3 7" xfId="33788"/>
    <cellStyle name="Normal 4 2 4 2 3 8" xfId="46771"/>
    <cellStyle name="Normal 4 2 4 2 4" xfId="2441"/>
    <cellStyle name="Normal 4 2 4 2 4 2" xfId="5686"/>
    <cellStyle name="Normal 4 2 4 2 4 2 2" xfId="12218"/>
    <cellStyle name="Normal 4 2 4 2 4 2 2 2" xfId="31691"/>
    <cellStyle name="Normal 4 2 4 2 4 2 2 3" xfId="44671"/>
    <cellStyle name="Normal 4 2 4 2 4 2 2 4" xfId="60900"/>
    <cellStyle name="Normal 4 2 4 2 4 2 3" xfId="18711"/>
    <cellStyle name="Normal 4 2 4 2 4 2 4" xfId="25201"/>
    <cellStyle name="Normal 4 2 4 2 4 2 5" xfId="38181"/>
    <cellStyle name="Normal 4 2 4 2 4 2 6" xfId="54410"/>
    <cellStyle name="Normal 4 2 4 2 4 3" xfId="8973"/>
    <cellStyle name="Normal 4 2 4 2 4 3 2" xfId="28446"/>
    <cellStyle name="Normal 4 2 4 2 4 3 3" xfId="41426"/>
    <cellStyle name="Normal 4 2 4 2 4 3 4" xfId="57655"/>
    <cellStyle name="Normal 4 2 4 2 4 4" xfId="15466"/>
    <cellStyle name="Normal 4 2 4 2 4 4 2" xfId="51165"/>
    <cellStyle name="Normal 4 2 4 2 4 5" xfId="21956"/>
    <cellStyle name="Normal 4 2 4 2 4 6" xfId="34936"/>
    <cellStyle name="Normal 4 2 4 2 4 7" xfId="47919"/>
    <cellStyle name="Normal 4 2 4 2 5" xfId="4063"/>
    <cellStyle name="Normal 4 2 4 2 5 2" xfId="10595"/>
    <cellStyle name="Normal 4 2 4 2 5 2 2" xfId="30068"/>
    <cellStyle name="Normal 4 2 4 2 5 2 3" xfId="43048"/>
    <cellStyle name="Normal 4 2 4 2 5 2 4" xfId="59277"/>
    <cellStyle name="Normal 4 2 4 2 5 3" xfId="17088"/>
    <cellStyle name="Normal 4 2 4 2 5 4" xfId="23578"/>
    <cellStyle name="Normal 4 2 4 2 5 5" xfId="36558"/>
    <cellStyle name="Normal 4 2 4 2 5 6" xfId="52787"/>
    <cellStyle name="Normal 4 2 4 2 6" xfId="7350"/>
    <cellStyle name="Normal 4 2 4 2 6 2" xfId="26823"/>
    <cellStyle name="Normal 4 2 4 2 6 3" xfId="39803"/>
    <cellStyle name="Normal 4 2 4 2 6 4" xfId="56032"/>
    <cellStyle name="Normal 4 2 4 2 7" xfId="13843"/>
    <cellStyle name="Normal 4 2 4 2 7 2" xfId="49542"/>
    <cellStyle name="Normal 4 2 4 2 8" xfId="20333"/>
    <cellStyle name="Normal 4 2 4 2 9" xfId="33313"/>
    <cellStyle name="Normal 4 2 4 3" xfId="543"/>
    <cellStyle name="Normal 4 2 4 3 2" xfId="1492"/>
    <cellStyle name="Normal 4 2 4 3 2 2" xfId="3159"/>
    <cellStyle name="Normal 4 2 4 3 2 2 2" xfId="6404"/>
    <cellStyle name="Normal 4 2 4 3 2 2 2 2" xfId="12936"/>
    <cellStyle name="Normal 4 2 4 3 2 2 2 2 2" xfId="32409"/>
    <cellStyle name="Normal 4 2 4 3 2 2 2 2 3" xfId="45389"/>
    <cellStyle name="Normal 4 2 4 3 2 2 2 2 4" xfId="61618"/>
    <cellStyle name="Normal 4 2 4 3 2 2 2 3" xfId="19429"/>
    <cellStyle name="Normal 4 2 4 3 2 2 2 4" xfId="25919"/>
    <cellStyle name="Normal 4 2 4 3 2 2 2 5" xfId="38899"/>
    <cellStyle name="Normal 4 2 4 3 2 2 2 6" xfId="55128"/>
    <cellStyle name="Normal 4 2 4 3 2 2 3" xfId="9691"/>
    <cellStyle name="Normal 4 2 4 3 2 2 3 2" xfId="29164"/>
    <cellStyle name="Normal 4 2 4 3 2 2 3 3" xfId="42144"/>
    <cellStyle name="Normal 4 2 4 3 2 2 3 4" xfId="58373"/>
    <cellStyle name="Normal 4 2 4 3 2 2 4" xfId="16184"/>
    <cellStyle name="Normal 4 2 4 3 2 2 4 2" xfId="51883"/>
    <cellStyle name="Normal 4 2 4 3 2 2 5" xfId="22674"/>
    <cellStyle name="Normal 4 2 4 3 2 2 6" xfId="35654"/>
    <cellStyle name="Normal 4 2 4 3 2 2 7" xfId="48637"/>
    <cellStyle name="Normal 4 2 4 3 2 3" xfId="4781"/>
    <cellStyle name="Normal 4 2 4 3 2 3 2" xfId="11313"/>
    <cellStyle name="Normal 4 2 4 3 2 3 2 2" xfId="30786"/>
    <cellStyle name="Normal 4 2 4 3 2 3 2 3" xfId="43766"/>
    <cellStyle name="Normal 4 2 4 3 2 3 2 4" xfId="59995"/>
    <cellStyle name="Normal 4 2 4 3 2 3 3" xfId="17806"/>
    <cellStyle name="Normal 4 2 4 3 2 3 4" xfId="24296"/>
    <cellStyle name="Normal 4 2 4 3 2 3 5" xfId="37276"/>
    <cellStyle name="Normal 4 2 4 3 2 3 6" xfId="53505"/>
    <cellStyle name="Normal 4 2 4 3 2 4" xfId="8068"/>
    <cellStyle name="Normal 4 2 4 3 2 4 2" xfId="27541"/>
    <cellStyle name="Normal 4 2 4 3 2 4 3" xfId="40521"/>
    <cellStyle name="Normal 4 2 4 3 2 4 4" xfId="56750"/>
    <cellStyle name="Normal 4 2 4 3 2 5" xfId="14561"/>
    <cellStyle name="Normal 4 2 4 3 2 5 2" xfId="50260"/>
    <cellStyle name="Normal 4 2 4 3 2 6" xfId="21051"/>
    <cellStyle name="Normal 4 2 4 3 2 7" xfId="34031"/>
    <cellStyle name="Normal 4 2 4 3 2 8" xfId="47014"/>
    <cellStyle name="Normal 4 2 4 3 3" xfId="2211"/>
    <cellStyle name="Normal 4 2 4 3 3 2" xfId="5456"/>
    <cellStyle name="Normal 4 2 4 3 3 2 2" xfId="11988"/>
    <cellStyle name="Normal 4 2 4 3 3 2 2 2" xfId="31461"/>
    <cellStyle name="Normal 4 2 4 3 3 2 2 3" xfId="44441"/>
    <cellStyle name="Normal 4 2 4 3 3 2 2 4" xfId="60670"/>
    <cellStyle name="Normal 4 2 4 3 3 2 3" xfId="18481"/>
    <cellStyle name="Normal 4 2 4 3 3 2 4" xfId="24971"/>
    <cellStyle name="Normal 4 2 4 3 3 2 5" xfId="37951"/>
    <cellStyle name="Normal 4 2 4 3 3 2 6" xfId="54180"/>
    <cellStyle name="Normal 4 2 4 3 3 3" xfId="8743"/>
    <cellStyle name="Normal 4 2 4 3 3 3 2" xfId="28216"/>
    <cellStyle name="Normal 4 2 4 3 3 3 3" xfId="41196"/>
    <cellStyle name="Normal 4 2 4 3 3 3 4" xfId="57425"/>
    <cellStyle name="Normal 4 2 4 3 3 4" xfId="15236"/>
    <cellStyle name="Normal 4 2 4 3 3 4 2" xfId="50935"/>
    <cellStyle name="Normal 4 2 4 3 3 5" xfId="21726"/>
    <cellStyle name="Normal 4 2 4 3 3 6" xfId="34706"/>
    <cellStyle name="Normal 4 2 4 3 3 7" xfId="47689"/>
    <cellStyle name="Normal 4 2 4 3 4" xfId="3833"/>
    <cellStyle name="Normal 4 2 4 3 4 2" xfId="10365"/>
    <cellStyle name="Normal 4 2 4 3 4 2 2" xfId="29838"/>
    <cellStyle name="Normal 4 2 4 3 4 2 3" xfId="42818"/>
    <cellStyle name="Normal 4 2 4 3 4 2 4" xfId="59047"/>
    <cellStyle name="Normal 4 2 4 3 4 3" xfId="16858"/>
    <cellStyle name="Normal 4 2 4 3 4 4" xfId="23348"/>
    <cellStyle name="Normal 4 2 4 3 4 5" xfId="36328"/>
    <cellStyle name="Normal 4 2 4 3 4 6" xfId="52557"/>
    <cellStyle name="Normal 4 2 4 3 5" xfId="7120"/>
    <cellStyle name="Normal 4 2 4 3 5 2" xfId="26593"/>
    <cellStyle name="Normal 4 2 4 3 5 3" xfId="39573"/>
    <cellStyle name="Normal 4 2 4 3 5 4" xfId="55802"/>
    <cellStyle name="Normal 4 2 4 3 6" xfId="13613"/>
    <cellStyle name="Normal 4 2 4 3 6 2" xfId="49312"/>
    <cellStyle name="Normal 4 2 4 3 7" xfId="20103"/>
    <cellStyle name="Normal 4 2 4 3 8" xfId="33083"/>
    <cellStyle name="Normal 4 2 4 3 9" xfId="46066"/>
    <cellStyle name="Normal 4 2 4 4" xfId="1029"/>
    <cellStyle name="Normal 4 2 4 4 2" xfId="2696"/>
    <cellStyle name="Normal 4 2 4 4 2 2" xfId="5941"/>
    <cellStyle name="Normal 4 2 4 4 2 2 2" xfId="12473"/>
    <cellStyle name="Normal 4 2 4 4 2 2 2 2" xfId="31946"/>
    <cellStyle name="Normal 4 2 4 4 2 2 2 3" xfId="44926"/>
    <cellStyle name="Normal 4 2 4 4 2 2 2 4" xfId="61155"/>
    <cellStyle name="Normal 4 2 4 4 2 2 3" xfId="18966"/>
    <cellStyle name="Normal 4 2 4 4 2 2 4" xfId="25456"/>
    <cellStyle name="Normal 4 2 4 4 2 2 5" xfId="38436"/>
    <cellStyle name="Normal 4 2 4 4 2 2 6" xfId="54665"/>
    <cellStyle name="Normal 4 2 4 4 2 3" xfId="9228"/>
    <cellStyle name="Normal 4 2 4 4 2 3 2" xfId="28701"/>
    <cellStyle name="Normal 4 2 4 4 2 3 3" xfId="41681"/>
    <cellStyle name="Normal 4 2 4 4 2 3 4" xfId="57910"/>
    <cellStyle name="Normal 4 2 4 4 2 4" xfId="15721"/>
    <cellStyle name="Normal 4 2 4 4 2 4 2" xfId="51420"/>
    <cellStyle name="Normal 4 2 4 4 2 5" xfId="22211"/>
    <cellStyle name="Normal 4 2 4 4 2 6" xfId="35191"/>
    <cellStyle name="Normal 4 2 4 4 2 7" xfId="48174"/>
    <cellStyle name="Normal 4 2 4 4 3" xfId="4318"/>
    <cellStyle name="Normal 4 2 4 4 3 2" xfId="10850"/>
    <cellStyle name="Normal 4 2 4 4 3 2 2" xfId="30323"/>
    <cellStyle name="Normal 4 2 4 4 3 2 3" xfId="43303"/>
    <cellStyle name="Normal 4 2 4 4 3 2 4" xfId="59532"/>
    <cellStyle name="Normal 4 2 4 4 3 3" xfId="17343"/>
    <cellStyle name="Normal 4 2 4 4 3 4" xfId="23833"/>
    <cellStyle name="Normal 4 2 4 4 3 5" xfId="36813"/>
    <cellStyle name="Normal 4 2 4 4 3 6" xfId="53042"/>
    <cellStyle name="Normal 4 2 4 4 4" xfId="7605"/>
    <cellStyle name="Normal 4 2 4 4 4 2" xfId="27078"/>
    <cellStyle name="Normal 4 2 4 4 4 3" xfId="40058"/>
    <cellStyle name="Normal 4 2 4 4 4 4" xfId="56287"/>
    <cellStyle name="Normal 4 2 4 4 5" xfId="14098"/>
    <cellStyle name="Normal 4 2 4 4 5 2" xfId="49797"/>
    <cellStyle name="Normal 4 2 4 4 6" xfId="20588"/>
    <cellStyle name="Normal 4 2 4 4 7" xfId="33568"/>
    <cellStyle name="Normal 4 2 4 4 8" xfId="46551"/>
    <cellStyle name="Normal 4 2 4 5" xfId="1982"/>
    <cellStyle name="Normal 4 2 4 5 2" xfId="5227"/>
    <cellStyle name="Normal 4 2 4 5 2 2" xfId="11759"/>
    <cellStyle name="Normal 4 2 4 5 2 2 2" xfId="31232"/>
    <cellStyle name="Normal 4 2 4 5 2 2 3" xfId="44212"/>
    <cellStyle name="Normal 4 2 4 5 2 2 4" xfId="60441"/>
    <cellStyle name="Normal 4 2 4 5 2 3" xfId="18252"/>
    <cellStyle name="Normal 4 2 4 5 2 4" xfId="24742"/>
    <cellStyle name="Normal 4 2 4 5 2 5" xfId="37722"/>
    <cellStyle name="Normal 4 2 4 5 2 6" xfId="53951"/>
    <cellStyle name="Normal 4 2 4 5 3" xfId="8514"/>
    <cellStyle name="Normal 4 2 4 5 3 2" xfId="27987"/>
    <cellStyle name="Normal 4 2 4 5 3 3" xfId="40967"/>
    <cellStyle name="Normal 4 2 4 5 3 4" xfId="57196"/>
    <cellStyle name="Normal 4 2 4 5 4" xfId="15007"/>
    <cellStyle name="Normal 4 2 4 5 4 2" xfId="50706"/>
    <cellStyle name="Normal 4 2 4 5 5" xfId="21497"/>
    <cellStyle name="Normal 4 2 4 5 6" xfId="34477"/>
    <cellStyle name="Normal 4 2 4 5 7" xfId="47460"/>
    <cellStyle name="Normal 4 2 4 6" xfId="3603"/>
    <cellStyle name="Normal 4 2 4 6 2" xfId="10135"/>
    <cellStyle name="Normal 4 2 4 6 2 2" xfId="29608"/>
    <cellStyle name="Normal 4 2 4 6 2 3" xfId="42588"/>
    <cellStyle name="Normal 4 2 4 6 2 4" xfId="58817"/>
    <cellStyle name="Normal 4 2 4 6 3" xfId="16628"/>
    <cellStyle name="Normal 4 2 4 6 4" xfId="23118"/>
    <cellStyle name="Normal 4 2 4 6 5" xfId="36098"/>
    <cellStyle name="Normal 4 2 4 6 6" xfId="52327"/>
    <cellStyle name="Normal 4 2 4 7" xfId="6890"/>
    <cellStyle name="Normal 4 2 4 7 2" xfId="26363"/>
    <cellStyle name="Normal 4 2 4 7 3" xfId="39343"/>
    <cellStyle name="Normal 4 2 4 7 4" xfId="55572"/>
    <cellStyle name="Normal 4 2 4 8" xfId="13383"/>
    <cellStyle name="Normal 4 2 4 8 2" xfId="49082"/>
    <cellStyle name="Normal 4 2 4 9" xfId="19873"/>
    <cellStyle name="Normal 4 2 5" xfId="641"/>
    <cellStyle name="Normal 4 2 5 10" xfId="46164"/>
    <cellStyle name="Normal 4 2 5 2" xfId="1580"/>
    <cellStyle name="Normal 4 2 5 2 2" xfId="3247"/>
    <cellStyle name="Normal 4 2 5 2 2 2" xfId="6492"/>
    <cellStyle name="Normal 4 2 5 2 2 2 2" xfId="13024"/>
    <cellStyle name="Normal 4 2 5 2 2 2 2 2" xfId="32497"/>
    <cellStyle name="Normal 4 2 5 2 2 2 2 3" xfId="45477"/>
    <cellStyle name="Normal 4 2 5 2 2 2 2 4" xfId="61706"/>
    <cellStyle name="Normal 4 2 5 2 2 2 3" xfId="19517"/>
    <cellStyle name="Normal 4 2 5 2 2 2 4" xfId="26007"/>
    <cellStyle name="Normal 4 2 5 2 2 2 5" xfId="38987"/>
    <cellStyle name="Normal 4 2 5 2 2 2 6" xfId="55216"/>
    <cellStyle name="Normal 4 2 5 2 2 3" xfId="9779"/>
    <cellStyle name="Normal 4 2 5 2 2 3 2" xfId="29252"/>
    <cellStyle name="Normal 4 2 5 2 2 3 3" xfId="42232"/>
    <cellStyle name="Normal 4 2 5 2 2 3 4" xfId="58461"/>
    <cellStyle name="Normal 4 2 5 2 2 4" xfId="16272"/>
    <cellStyle name="Normal 4 2 5 2 2 4 2" xfId="51971"/>
    <cellStyle name="Normal 4 2 5 2 2 5" xfId="22762"/>
    <cellStyle name="Normal 4 2 5 2 2 6" xfId="35742"/>
    <cellStyle name="Normal 4 2 5 2 2 7" xfId="48725"/>
    <cellStyle name="Normal 4 2 5 2 3" xfId="4869"/>
    <cellStyle name="Normal 4 2 5 2 3 2" xfId="11401"/>
    <cellStyle name="Normal 4 2 5 2 3 2 2" xfId="30874"/>
    <cellStyle name="Normal 4 2 5 2 3 2 3" xfId="43854"/>
    <cellStyle name="Normal 4 2 5 2 3 2 4" xfId="60083"/>
    <cellStyle name="Normal 4 2 5 2 3 3" xfId="17894"/>
    <cellStyle name="Normal 4 2 5 2 3 4" xfId="24384"/>
    <cellStyle name="Normal 4 2 5 2 3 5" xfId="37364"/>
    <cellStyle name="Normal 4 2 5 2 3 6" xfId="53593"/>
    <cellStyle name="Normal 4 2 5 2 4" xfId="8156"/>
    <cellStyle name="Normal 4 2 5 2 4 2" xfId="27629"/>
    <cellStyle name="Normal 4 2 5 2 4 3" xfId="40609"/>
    <cellStyle name="Normal 4 2 5 2 4 4" xfId="56838"/>
    <cellStyle name="Normal 4 2 5 2 5" xfId="14649"/>
    <cellStyle name="Normal 4 2 5 2 5 2" xfId="50348"/>
    <cellStyle name="Normal 4 2 5 2 6" xfId="21139"/>
    <cellStyle name="Normal 4 2 5 2 7" xfId="34119"/>
    <cellStyle name="Normal 4 2 5 2 8" xfId="47102"/>
    <cellStyle name="Normal 4 2 5 3" xfId="1117"/>
    <cellStyle name="Normal 4 2 5 3 2" xfId="2784"/>
    <cellStyle name="Normal 4 2 5 3 2 2" xfId="6029"/>
    <cellStyle name="Normal 4 2 5 3 2 2 2" xfId="12561"/>
    <cellStyle name="Normal 4 2 5 3 2 2 2 2" xfId="32034"/>
    <cellStyle name="Normal 4 2 5 3 2 2 2 3" xfId="45014"/>
    <cellStyle name="Normal 4 2 5 3 2 2 2 4" xfId="61243"/>
    <cellStyle name="Normal 4 2 5 3 2 2 3" xfId="19054"/>
    <cellStyle name="Normal 4 2 5 3 2 2 4" xfId="25544"/>
    <cellStyle name="Normal 4 2 5 3 2 2 5" xfId="38524"/>
    <cellStyle name="Normal 4 2 5 3 2 2 6" xfId="54753"/>
    <cellStyle name="Normal 4 2 5 3 2 3" xfId="9316"/>
    <cellStyle name="Normal 4 2 5 3 2 3 2" xfId="28789"/>
    <cellStyle name="Normal 4 2 5 3 2 3 3" xfId="41769"/>
    <cellStyle name="Normal 4 2 5 3 2 3 4" xfId="57998"/>
    <cellStyle name="Normal 4 2 5 3 2 4" xfId="15809"/>
    <cellStyle name="Normal 4 2 5 3 2 4 2" xfId="51508"/>
    <cellStyle name="Normal 4 2 5 3 2 5" xfId="22299"/>
    <cellStyle name="Normal 4 2 5 3 2 6" xfId="35279"/>
    <cellStyle name="Normal 4 2 5 3 2 7" xfId="48262"/>
    <cellStyle name="Normal 4 2 5 3 3" xfId="4406"/>
    <cellStyle name="Normal 4 2 5 3 3 2" xfId="10938"/>
    <cellStyle name="Normal 4 2 5 3 3 2 2" xfId="30411"/>
    <cellStyle name="Normal 4 2 5 3 3 2 3" xfId="43391"/>
    <cellStyle name="Normal 4 2 5 3 3 2 4" xfId="59620"/>
    <cellStyle name="Normal 4 2 5 3 3 3" xfId="17431"/>
    <cellStyle name="Normal 4 2 5 3 3 4" xfId="23921"/>
    <cellStyle name="Normal 4 2 5 3 3 5" xfId="36901"/>
    <cellStyle name="Normal 4 2 5 3 3 6" xfId="53130"/>
    <cellStyle name="Normal 4 2 5 3 4" xfId="7693"/>
    <cellStyle name="Normal 4 2 5 3 4 2" xfId="27166"/>
    <cellStyle name="Normal 4 2 5 3 4 3" xfId="40146"/>
    <cellStyle name="Normal 4 2 5 3 4 4" xfId="56375"/>
    <cellStyle name="Normal 4 2 5 3 5" xfId="14186"/>
    <cellStyle name="Normal 4 2 5 3 5 2" xfId="49885"/>
    <cellStyle name="Normal 4 2 5 3 6" xfId="20676"/>
    <cellStyle name="Normal 4 2 5 3 7" xfId="33656"/>
    <cellStyle name="Normal 4 2 5 3 8" xfId="46639"/>
    <cellStyle name="Normal 4 2 5 4" xfId="2309"/>
    <cellStyle name="Normal 4 2 5 4 2" xfId="5554"/>
    <cellStyle name="Normal 4 2 5 4 2 2" xfId="12086"/>
    <cellStyle name="Normal 4 2 5 4 2 2 2" xfId="31559"/>
    <cellStyle name="Normal 4 2 5 4 2 2 3" xfId="44539"/>
    <cellStyle name="Normal 4 2 5 4 2 2 4" xfId="60768"/>
    <cellStyle name="Normal 4 2 5 4 2 3" xfId="18579"/>
    <cellStyle name="Normal 4 2 5 4 2 4" xfId="25069"/>
    <cellStyle name="Normal 4 2 5 4 2 5" xfId="38049"/>
    <cellStyle name="Normal 4 2 5 4 2 6" xfId="54278"/>
    <cellStyle name="Normal 4 2 5 4 3" xfId="8841"/>
    <cellStyle name="Normal 4 2 5 4 3 2" xfId="28314"/>
    <cellStyle name="Normal 4 2 5 4 3 3" xfId="41294"/>
    <cellStyle name="Normal 4 2 5 4 3 4" xfId="57523"/>
    <cellStyle name="Normal 4 2 5 4 4" xfId="15334"/>
    <cellStyle name="Normal 4 2 5 4 4 2" xfId="51033"/>
    <cellStyle name="Normal 4 2 5 4 5" xfId="21824"/>
    <cellStyle name="Normal 4 2 5 4 6" xfId="34804"/>
    <cellStyle name="Normal 4 2 5 4 7" xfId="47787"/>
    <cellStyle name="Normal 4 2 5 5" xfId="3931"/>
    <cellStyle name="Normal 4 2 5 5 2" xfId="10463"/>
    <cellStyle name="Normal 4 2 5 5 2 2" xfId="29936"/>
    <cellStyle name="Normal 4 2 5 5 2 3" xfId="42916"/>
    <cellStyle name="Normal 4 2 5 5 2 4" xfId="59145"/>
    <cellStyle name="Normal 4 2 5 5 3" xfId="16956"/>
    <cellStyle name="Normal 4 2 5 5 4" xfId="23446"/>
    <cellStyle name="Normal 4 2 5 5 5" xfId="36426"/>
    <cellStyle name="Normal 4 2 5 5 6" xfId="52655"/>
    <cellStyle name="Normal 4 2 5 6" xfId="7218"/>
    <cellStyle name="Normal 4 2 5 6 2" xfId="26691"/>
    <cellStyle name="Normal 4 2 5 6 3" xfId="39671"/>
    <cellStyle name="Normal 4 2 5 6 4" xfId="55900"/>
    <cellStyle name="Normal 4 2 5 7" xfId="13711"/>
    <cellStyle name="Normal 4 2 5 7 2" xfId="49410"/>
    <cellStyle name="Normal 4 2 5 8" xfId="20201"/>
    <cellStyle name="Normal 4 2 5 9" xfId="33181"/>
    <cellStyle name="Normal 4 2 6" xfId="411"/>
    <cellStyle name="Normal 4 2 6 2" xfId="1360"/>
    <cellStyle name="Normal 4 2 6 2 2" xfId="3027"/>
    <cellStyle name="Normal 4 2 6 2 2 2" xfId="6272"/>
    <cellStyle name="Normal 4 2 6 2 2 2 2" xfId="12804"/>
    <cellStyle name="Normal 4 2 6 2 2 2 2 2" xfId="32277"/>
    <cellStyle name="Normal 4 2 6 2 2 2 2 3" xfId="45257"/>
    <cellStyle name="Normal 4 2 6 2 2 2 2 4" xfId="61486"/>
    <cellStyle name="Normal 4 2 6 2 2 2 3" xfId="19297"/>
    <cellStyle name="Normal 4 2 6 2 2 2 4" xfId="25787"/>
    <cellStyle name="Normal 4 2 6 2 2 2 5" xfId="38767"/>
    <cellStyle name="Normal 4 2 6 2 2 2 6" xfId="54996"/>
    <cellStyle name="Normal 4 2 6 2 2 3" xfId="9559"/>
    <cellStyle name="Normal 4 2 6 2 2 3 2" xfId="29032"/>
    <cellStyle name="Normal 4 2 6 2 2 3 3" xfId="42012"/>
    <cellStyle name="Normal 4 2 6 2 2 3 4" xfId="58241"/>
    <cellStyle name="Normal 4 2 6 2 2 4" xfId="16052"/>
    <cellStyle name="Normal 4 2 6 2 2 4 2" xfId="51751"/>
    <cellStyle name="Normal 4 2 6 2 2 5" xfId="22542"/>
    <cellStyle name="Normal 4 2 6 2 2 6" xfId="35522"/>
    <cellStyle name="Normal 4 2 6 2 2 7" xfId="48505"/>
    <cellStyle name="Normal 4 2 6 2 3" xfId="4649"/>
    <cellStyle name="Normal 4 2 6 2 3 2" xfId="11181"/>
    <cellStyle name="Normal 4 2 6 2 3 2 2" xfId="30654"/>
    <cellStyle name="Normal 4 2 6 2 3 2 3" xfId="43634"/>
    <cellStyle name="Normal 4 2 6 2 3 2 4" xfId="59863"/>
    <cellStyle name="Normal 4 2 6 2 3 3" xfId="17674"/>
    <cellStyle name="Normal 4 2 6 2 3 4" xfId="24164"/>
    <cellStyle name="Normal 4 2 6 2 3 5" xfId="37144"/>
    <cellStyle name="Normal 4 2 6 2 3 6" xfId="53373"/>
    <cellStyle name="Normal 4 2 6 2 4" xfId="7936"/>
    <cellStyle name="Normal 4 2 6 2 4 2" xfId="27409"/>
    <cellStyle name="Normal 4 2 6 2 4 3" xfId="40389"/>
    <cellStyle name="Normal 4 2 6 2 4 4" xfId="56618"/>
    <cellStyle name="Normal 4 2 6 2 5" xfId="14429"/>
    <cellStyle name="Normal 4 2 6 2 5 2" xfId="50128"/>
    <cellStyle name="Normal 4 2 6 2 6" xfId="20919"/>
    <cellStyle name="Normal 4 2 6 2 7" xfId="33899"/>
    <cellStyle name="Normal 4 2 6 2 8" xfId="46882"/>
    <cellStyle name="Normal 4 2 6 3" xfId="2079"/>
    <cellStyle name="Normal 4 2 6 3 2" xfId="5324"/>
    <cellStyle name="Normal 4 2 6 3 2 2" xfId="11856"/>
    <cellStyle name="Normal 4 2 6 3 2 2 2" xfId="31329"/>
    <cellStyle name="Normal 4 2 6 3 2 2 3" xfId="44309"/>
    <cellStyle name="Normal 4 2 6 3 2 2 4" xfId="60538"/>
    <cellStyle name="Normal 4 2 6 3 2 3" xfId="18349"/>
    <cellStyle name="Normal 4 2 6 3 2 4" xfId="24839"/>
    <cellStyle name="Normal 4 2 6 3 2 5" xfId="37819"/>
    <cellStyle name="Normal 4 2 6 3 2 6" xfId="54048"/>
    <cellStyle name="Normal 4 2 6 3 3" xfId="8611"/>
    <cellStyle name="Normal 4 2 6 3 3 2" xfId="28084"/>
    <cellStyle name="Normal 4 2 6 3 3 3" xfId="41064"/>
    <cellStyle name="Normal 4 2 6 3 3 4" xfId="57293"/>
    <cellStyle name="Normal 4 2 6 3 4" xfId="15104"/>
    <cellStyle name="Normal 4 2 6 3 4 2" xfId="50803"/>
    <cellStyle name="Normal 4 2 6 3 5" xfId="21594"/>
    <cellStyle name="Normal 4 2 6 3 6" xfId="34574"/>
    <cellStyle name="Normal 4 2 6 3 7" xfId="47557"/>
    <cellStyle name="Normal 4 2 6 4" xfId="3701"/>
    <cellStyle name="Normal 4 2 6 4 2" xfId="10233"/>
    <cellStyle name="Normal 4 2 6 4 2 2" xfId="29706"/>
    <cellStyle name="Normal 4 2 6 4 2 3" xfId="42686"/>
    <cellStyle name="Normal 4 2 6 4 2 4" xfId="58915"/>
    <cellStyle name="Normal 4 2 6 4 3" xfId="16726"/>
    <cellStyle name="Normal 4 2 6 4 4" xfId="23216"/>
    <cellStyle name="Normal 4 2 6 4 5" xfId="36196"/>
    <cellStyle name="Normal 4 2 6 4 6" xfId="52425"/>
    <cellStyle name="Normal 4 2 6 5" xfId="6988"/>
    <cellStyle name="Normal 4 2 6 5 2" xfId="26461"/>
    <cellStyle name="Normal 4 2 6 5 3" xfId="39441"/>
    <cellStyle name="Normal 4 2 6 5 4" xfId="55670"/>
    <cellStyle name="Normal 4 2 6 6" xfId="13481"/>
    <cellStyle name="Normal 4 2 6 6 2" xfId="49180"/>
    <cellStyle name="Normal 4 2 6 7" xfId="19971"/>
    <cellStyle name="Normal 4 2 6 8" xfId="32951"/>
    <cellStyle name="Normal 4 2 6 9" xfId="45934"/>
    <cellStyle name="Normal 4 2 7" xfId="897"/>
    <cellStyle name="Normal 4 2 7 2" xfId="2564"/>
    <cellStyle name="Normal 4 2 7 2 2" xfId="5809"/>
    <cellStyle name="Normal 4 2 7 2 2 2" xfId="12341"/>
    <cellStyle name="Normal 4 2 7 2 2 2 2" xfId="31814"/>
    <cellStyle name="Normal 4 2 7 2 2 2 3" xfId="44794"/>
    <cellStyle name="Normal 4 2 7 2 2 2 4" xfId="61023"/>
    <cellStyle name="Normal 4 2 7 2 2 3" xfId="18834"/>
    <cellStyle name="Normal 4 2 7 2 2 4" xfId="25324"/>
    <cellStyle name="Normal 4 2 7 2 2 5" xfId="38304"/>
    <cellStyle name="Normal 4 2 7 2 2 6" xfId="54533"/>
    <cellStyle name="Normal 4 2 7 2 3" xfId="9096"/>
    <cellStyle name="Normal 4 2 7 2 3 2" xfId="28569"/>
    <cellStyle name="Normal 4 2 7 2 3 3" xfId="41549"/>
    <cellStyle name="Normal 4 2 7 2 3 4" xfId="57778"/>
    <cellStyle name="Normal 4 2 7 2 4" xfId="15589"/>
    <cellStyle name="Normal 4 2 7 2 4 2" xfId="51288"/>
    <cellStyle name="Normal 4 2 7 2 5" xfId="22079"/>
    <cellStyle name="Normal 4 2 7 2 6" xfId="35059"/>
    <cellStyle name="Normal 4 2 7 2 7" xfId="48042"/>
    <cellStyle name="Normal 4 2 7 3" xfId="4186"/>
    <cellStyle name="Normal 4 2 7 3 2" xfId="10718"/>
    <cellStyle name="Normal 4 2 7 3 2 2" xfId="30191"/>
    <cellStyle name="Normal 4 2 7 3 2 3" xfId="43171"/>
    <cellStyle name="Normal 4 2 7 3 2 4" xfId="59400"/>
    <cellStyle name="Normal 4 2 7 3 3" xfId="17211"/>
    <cellStyle name="Normal 4 2 7 3 4" xfId="23701"/>
    <cellStyle name="Normal 4 2 7 3 5" xfId="36681"/>
    <cellStyle name="Normal 4 2 7 3 6" xfId="52910"/>
    <cellStyle name="Normal 4 2 7 4" xfId="7473"/>
    <cellStyle name="Normal 4 2 7 4 2" xfId="26946"/>
    <cellStyle name="Normal 4 2 7 4 3" xfId="39926"/>
    <cellStyle name="Normal 4 2 7 4 4" xfId="56155"/>
    <cellStyle name="Normal 4 2 7 5" xfId="13966"/>
    <cellStyle name="Normal 4 2 7 5 2" xfId="49665"/>
    <cellStyle name="Normal 4 2 7 6" xfId="20456"/>
    <cellStyle name="Normal 4 2 7 7" xfId="33436"/>
    <cellStyle name="Normal 4 2 7 8" xfId="46419"/>
    <cellStyle name="Normal 4 2 8" xfId="1850"/>
    <cellStyle name="Normal 4 2 8 2" xfId="5095"/>
    <cellStyle name="Normal 4 2 8 2 2" xfId="11627"/>
    <cellStyle name="Normal 4 2 8 2 2 2" xfId="31100"/>
    <cellStyle name="Normal 4 2 8 2 2 3" xfId="44080"/>
    <cellStyle name="Normal 4 2 8 2 2 4" xfId="60309"/>
    <cellStyle name="Normal 4 2 8 2 3" xfId="18120"/>
    <cellStyle name="Normal 4 2 8 2 4" xfId="24610"/>
    <cellStyle name="Normal 4 2 8 2 5" xfId="37590"/>
    <cellStyle name="Normal 4 2 8 2 6" xfId="53819"/>
    <cellStyle name="Normal 4 2 8 3" xfId="8382"/>
    <cellStyle name="Normal 4 2 8 3 2" xfId="27855"/>
    <cellStyle name="Normal 4 2 8 3 3" xfId="40835"/>
    <cellStyle name="Normal 4 2 8 3 4" xfId="57064"/>
    <cellStyle name="Normal 4 2 8 4" xfId="14875"/>
    <cellStyle name="Normal 4 2 8 4 2" xfId="50574"/>
    <cellStyle name="Normal 4 2 8 5" xfId="21365"/>
    <cellStyle name="Normal 4 2 8 6" xfId="34345"/>
    <cellStyle name="Normal 4 2 8 7" xfId="47328"/>
    <cellStyle name="Normal 4 2 9" xfId="3471"/>
    <cellStyle name="Normal 4 2 9 2" xfId="10003"/>
    <cellStyle name="Normal 4 2 9 2 2" xfId="29476"/>
    <cellStyle name="Normal 4 2 9 2 3" xfId="42456"/>
    <cellStyle name="Normal 4 2 9 2 4" xfId="58685"/>
    <cellStyle name="Normal 4 2 9 3" xfId="16496"/>
    <cellStyle name="Normal 4 2 9 4" xfId="22986"/>
    <cellStyle name="Normal 4 2 9 5" xfId="35966"/>
    <cellStyle name="Normal 4 2 9 6" xfId="52195"/>
    <cellStyle name="Normal 4 3" xfId="243"/>
    <cellStyle name="Normal 4 3 10" xfId="19807"/>
    <cellStyle name="Normal 4 3 11" xfId="32787"/>
    <cellStyle name="Normal 4 3 12" xfId="45770"/>
    <cellStyle name="Normal 4 3 13" xfId="61971"/>
    <cellStyle name="Normal 4 3 2" xfId="331"/>
    <cellStyle name="Normal 4 3 2 10" xfId="32875"/>
    <cellStyle name="Normal 4 3 2 11" xfId="45858"/>
    <cellStyle name="Normal 4 3 2 12" xfId="61979"/>
    <cellStyle name="Normal 4 3 2 2" xfId="795"/>
    <cellStyle name="Normal 4 3 2 2 10" xfId="46318"/>
    <cellStyle name="Normal 4 3 2 2 11" xfId="61996"/>
    <cellStyle name="Normal 4 3 2 2 2" xfId="1734"/>
    <cellStyle name="Normal 4 3 2 2 2 2" xfId="3401"/>
    <cellStyle name="Normal 4 3 2 2 2 2 2" xfId="6646"/>
    <cellStyle name="Normal 4 3 2 2 2 2 2 2" xfId="13178"/>
    <cellStyle name="Normal 4 3 2 2 2 2 2 2 2" xfId="32651"/>
    <cellStyle name="Normal 4 3 2 2 2 2 2 2 3" xfId="45631"/>
    <cellStyle name="Normal 4 3 2 2 2 2 2 2 4" xfId="61860"/>
    <cellStyle name="Normal 4 3 2 2 2 2 2 3" xfId="19671"/>
    <cellStyle name="Normal 4 3 2 2 2 2 2 4" xfId="26161"/>
    <cellStyle name="Normal 4 3 2 2 2 2 2 5" xfId="39141"/>
    <cellStyle name="Normal 4 3 2 2 2 2 2 6" xfId="55370"/>
    <cellStyle name="Normal 4 3 2 2 2 2 3" xfId="9933"/>
    <cellStyle name="Normal 4 3 2 2 2 2 3 2" xfId="29406"/>
    <cellStyle name="Normal 4 3 2 2 2 2 3 3" xfId="42386"/>
    <cellStyle name="Normal 4 3 2 2 2 2 3 4" xfId="58615"/>
    <cellStyle name="Normal 4 3 2 2 2 2 4" xfId="16426"/>
    <cellStyle name="Normal 4 3 2 2 2 2 4 2" xfId="52125"/>
    <cellStyle name="Normal 4 3 2 2 2 2 5" xfId="22916"/>
    <cellStyle name="Normal 4 3 2 2 2 2 6" xfId="35896"/>
    <cellStyle name="Normal 4 3 2 2 2 2 7" xfId="48879"/>
    <cellStyle name="Normal 4 3 2 2 2 3" xfId="5023"/>
    <cellStyle name="Normal 4 3 2 2 2 3 2" xfId="11555"/>
    <cellStyle name="Normal 4 3 2 2 2 3 2 2" xfId="31028"/>
    <cellStyle name="Normal 4 3 2 2 2 3 2 3" xfId="44008"/>
    <cellStyle name="Normal 4 3 2 2 2 3 2 4" xfId="60237"/>
    <cellStyle name="Normal 4 3 2 2 2 3 3" xfId="18048"/>
    <cellStyle name="Normal 4 3 2 2 2 3 4" xfId="24538"/>
    <cellStyle name="Normal 4 3 2 2 2 3 5" xfId="37518"/>
    <cellStyle name="Normal 4 3 2 2 2 3 6" xfId="53747"/>
    <cellStyle name="Normal 4 3 2 2 2 4" xfId="8310"/>
    <cellStyle name="Normal 4 3 2 2 2 4 2" xfId="27783"/>
    <cellStyle name="Normal 4 3 2 2 2 4 3" xfId="40763"/>
    <cellStyle name="Normal 4 3 2 2 2 4 4" xfId="56992"/>
    <cellStyle name="Normal 4 3 2 2 2 5" xfId="14803"/>
    <cellStyle name="Normal 4 3 2 2 2 5 2" xfId="50502"/>
    <cellStyle name="Normal 4 3 2 2 2 6" xfId="21293"/>
    <cellStyle name="Normal 4 3 2 2 2 7" xfId="34273"/>
    <cellStyle name="Normal 4 3 2 2 2 8" xfId="47256"/>
    <cellStyle name="Normal 4 3 2 2 3" xfId="1271"/>
    <cellStyle name="Normal 4 3 2 2 3 2" xfId="2938"/>
    <cellStyle name="Normal 4 3 2 2 3 2 2" xfId="6183"/>
    <cellStyle name="Normal 4 3 2 2 3 2 2 2" xfId="12715"/>
    <cellStyle name="Normal 4 3 2 2 3 2 2 2 2" xfId="32188"/>
    <cellStyle name="Normal 4 3 2 2 3 2 2 2 3" xfId="45168"/>
    <cellStyle name="Normal 4 3 2 2 3 2 2 2 4" xfId="61397"/>
    <cellStyle name="Normal 4 3 2 2 3 2 2 3" xfId="19208"/>
    <cellStyle name="Normal 4 3 2 2 3 2 2 4" xfId="25698"/>
    <cellStyle name="Normal 4 3 2 2 3 2 2 5" xfId="38678"/>
    <cellStyle name="Normal 4 3 2 2 3 2 2 6" xfId="54907"/>
    <cellStyle name="Normal 4 3 2 2 3 2 3" xfId="9470"/>
    <cellStyle name="Normal 4 3 2 2 3 2 3 2" xfId="28943"/>
    <cellStyle name="Normal 4 3 2 2 3 2 3 3" xfId="41923"/>
    <cellStyle name="Normal 4 3 2 2 3 2 3 4" xfId="58152"/>
    <cellStyle name="Normal 4 3 2 2 3 2 4" xfId="15963"/>
    <cellStyle name="Normal 4 3 2 2 3 2 4 2" xfId="51662"/>
    <cellStyle name="Normal 4 3 2 2 3 2 5" xfId="22453"/>
    <cellStyle name="Normal 4 3 2 2 3 2 6" xfId="35433"/>
    <cellStyle name="Normal 4 3 2 2 3 2 7" xfId="48416"/>
    <cellStyle name="Normal 4 3 2 2 3 3" xfId="4560"/>
    <cellStyle name="Normal 4 3 2 2 3 3 2" xfId="11092"/>
    <cellStyle name="Normal 4 3 2 2 3 3 2 2" xfId="30565"/>
    <cellStyle name="Normal 4 3 2 2 3 3 2 3" xfId="43545"/>
    <cellStyle name="Normal 4 3 2 2 3 3 2 4" xfId="59774"/>
    <cellStyle name="Normal 4 3 2 2 3 3 3" xfId="17585"/>
    <cellStyle name="Normal 4 3 2 2 3 3 4" xfId="24075"/>
    <cellStyle name="Normal 4 3 2 2 3 3 5" xfId="37055"/>
    <cellStyle name="Normal 4 3 2 2 3 3 6" xfId="53284"/>
    <cellStyle name="Normal 4 3 2 2 3 4" xfId="7847"/>
    <cellStyle name="Normal 4 3 2 2 3 4 2" xfId="27320"/>
    <cellStyle name="Normal 4 3 2 2 3 4 3" xfId="40300"/>
    <cellStyle name="Normal 4 3 2 2 3 4 4" xfId="56529"/>
    <cellStyle name="Normal 4 3 2 2 3 5" xfId="14340"/>
    <cellStyle name="Normal 4 3 2 2 3 5 2" xfId="50039"/>
    <cellStyle name="Normal 4 3 2 2 3 6" xfId="20830"/>
    <cellStyle name="Normal 4 3 2 2 3 7" xfId="33810"/>
    <cellStyle name="Normal 4 3 2 2 3 8" xfId="46793"/>
    <cellStyle name="Normal 4 3 2 2 4" xfId="2463"/>
    <cellStyle name="Normal 4 3 2 2 4 2" xfId="5708"/>
    <cellStyle name="Normal 4 3 2 2 4 2 2" xfId="12240"/>
    <cellStyle name="Normal 4 3 2 2 4 2 2 2" xfId="31713"/>
    <cellStyle name="Normal 4 3 2 2 4 2 2 3" xfId="44693"/>
    <cellStyle name="Normal 4 3 2 2 4 2 2 4" xfId="60922"/>
    <cellStyle name="Normal 4 3 2 2 4 2 3" xfId="18733"/>
    <cellStyle name="Normal 4 3 2 2 4 2 4" xfId="25223"/>
    <cellStyle name="Normal 4 3 2 2 4 2 5" xfId="38203"/>
    <cellStyle name="Normal 4 3 2 2 4 2 6" xfId="54432"/>
    <cellStyle name="Normal 4 3 2 2 4 3" xfId="8995"/>
    <cellStyle name="Normal 4 3 2 2 4 3 2" xfId="28468"/>
    <cellStyle name="Normal 4 3 2 2 4 3 3" xfId="41448"/>
    <cellStyle name="Normal 4 3 2 2 4 3 4" xfId="57677"/>
    <cellStyle name="Normal 4 3 2 2 4 4" xfId="15488"/>
    <cellStyle name="Normal 4 3 2 2 4 4 2" xfId="51187"/>
    <cellStyle name="Normal 4 3 2 2 4 5" xfId="21978"/>
    <cellStyle name="Normal 4 3 2 2 4 6" xfId="34958"/>
    <cellStyle name="Normal 4 3 2 2 4 7" xfId="47941"/>
    <cellStyle name="Normal 4 3 2 2 5" xfId="4085"/>
    <cellStyle name="Normal 4 3 2 2 5 2" xfId="10617"/>
    <cellStyle name="Normal 4 3 2 2 5 2 2" xfId="30090"/>
    <cellStyle name="Normal 4 3 2 2 5 2 3" xfId="43070"/>
    <cellStyle name="Normal 4 3 2 2 5 2 4" xfId="59299"/>
    <cellStyle name="Normal 4 3 2 2 5 3" xfId="17110"/>
    <cellStyle name="Normal 4 3 2 2 5 4" xfId="23600"/>
    <cellStyle name="Normal 4 3 2 2 5 5" xfId="36580"/>
    <cellStyle name="Normal 4 3 2 2 5 6" xfId="52809"/>
    <cellStyle name="Normal 4 3 2 2 6" xfId="7372"/>
    <cellStyle name="Normal 4 3 2 2 6 2" xfId="26845"/>
    <cellStyle name="Normal 4 3 2 2 6 3" xfId="39825"/>
    <cellStyle name="Normal 4 3 2 2 6 4" xfId="56054"/>
    <cellStyle name="Normal 4 3 2 2 7" xfId="13865"/>
    <cellStyle name="Normal 4 3 2 2 7 2" xfId="49564"/>
    <cellStyle name="Normal 4 3 2 2 8" xfId="20355"/>
    <cellStyle name="Normal 4 3 2 2 9" xfId="33335"/>
    <cellStyle name="Normal 4 3 2 3" xfId="565"/>
    <cellStyle name="Normal 4 3 2 3 10" xfId="62015"/>
    <cellStyle name="Normal 4 3 2 3 2" xfId="1514"/>
    <cellStyle name="Normal 4 3 2 3 2 2" xfId="3181"/>
    <cellStyle name="Normal 4 3 2 3 2 2 2" xfId="6426"/>
    <cellStyle name="Normal 4 3 2 3 2 2 2 2" xfId="12958"/>
    <cellStyle name="Normal 4 3 2 3 2 2 2 2 2" xfId="32431"/>
    <cellStyle name="Normal 4 3 2 3 2 2 2 2 3" xfId="45411"/>
    <cellStyle name="Normal 4 3 2 3 2 2 2 2 4" xfId="61640"/>
    <cellStyle name="Normal 4 3 2 3 2 2 2 3" xfId="19451"/>
    <cellStyle name="Normal 4 3 2 3 2 2 2 4" xfId="25941"/>
    <cellStyle name="Normal 4 3 2 3 2 2 2 5" xfId="38921"/>
    <cellStyle name="Normal 4 3 2 3 2 2 2 6" xfId="55150"/>
    <cellStyle name="Normal 4 3 2 3 2 2 3" xfId="9713"/>
    <cellStyle name="Normal 4 3 2 3 2 2 3 2" xfId="29186"/>
    <cellStyle name="Normal 4 3 2 3 2 2 3 3" xfId="42166"/>
    <cellStyle name="Normal 4 3 2 3 2 2 3 4" xfId="58395"/>
    <cellStyle name="Normal 4 3 2 3 2 2 4" xfId="16206"/>
    <cellStyle name="Normal 4 3 2 3 2 2 4 2" xfId="51905"/>
    <cellStyle name="Normal 4 3 2 3 2 2 5" xfId="22696"/>
    <cellStyle name="Normal 4 3 2 3 2 2 6" xfId="35676"/>
    <cellStyle name="Normal 4 3 2 3 2 2 7" xfId="48659"/>
    <cellStyle name="Normal 4 3 2 3 2 3" xfId="4803"/>
    <cellStyle name="Normal 4 3 2 3 2 3 2" xfId="11335"/>
    <cellStyle name="Normal 4 3 2 3 2 3 2 2" xfId="30808"/>
    <cellStyle name="Normal 4 3 2 3 2 3 2 3" xfId="43788"/>
    <cellStyle name="Normal 4 3 2 3 2 3 2 4" xfId="60017"/>
    <cellStyle name="Normal 4 3 2 3 2 3 3" xfId="17828"/>
    <cellStyle name="Normal 4 3 2 3 2 3 4" xfId="24318"/>
    <cellStyle name="Normal 4 3 2 3 2 3 5" xfId="37298"/>
    <cellStyle name="Normal 4 3 2 3 2 3 6" xfId="53527"/>
    <cellStyle name="Normal 4 3 2 3 2 4" xfId="8090"/>
    <cellStyle name="Normal 4 3 2 3 2 4 2" xfId="27563"/>
    <cellStyle name="Normal 4 3 2 3 2 4 3" xfId="40543"/>
    <cellStyle name="Normal 4 3 2 3 2 4 4" xfId="56772"/>
    <cellStyle name="Normal 4 3 2 3 2 5" xfId="14583"/>
    <cellStyle name="Normal 4 3 2 3 2 5 2" xfId="50282"/>
    <cellStyle name="Normal 4 3 2 3 2 6" xfId="21073"/>
    <cellStyle name="Normal 4 3 2 3 2 7" xfId="34053"/>
    <cellStyle name="Normal 4 3 2 3 2 8" xfId="47036"/>
    <cellStyle name="Normal 4 3 2 3 3" xfId="2233"/>
    <cellStyle name="Normal 4 3 2 3 3 2" xfId="5478"/>
    <cellStyle name="Normal 4 3 2 3 3 2 2" xfId="12010"/>
    <cellStyle name="Normal 4 3 2 3 3 2 2 2" xfId="31483"/>
    <cellStyle name="Normal 4 3 2 3 3 2 2 3" xfId="44463"/>
    <cellStyle name="Normal 4 3 2 3 3 2 2 4" xfId="60692"/>
    <cellStyle name="Normal 4 3 2 3 3 2 3" xfId="18503"/>
    <cellStyle name="Normal 4 3 2 3 3 2 4" xfId="24993"/>
    <cellStyle name="Normal 4 3 2 3 3 2 5" xfId="37973"/>
    <cellStyle name="Normal 4 3 2 3 3 2 6" xfId="54202"/>
    <cellStyle name="Normal 4 3 2 3 3 3" xfId="8765"/>
    <cellStyle name="Normal 4 3 2 3 3 3 2" xfId="28238"/>
    <cellStyle name="Normal 4 3 2 3 3 3 3" xfId="41218"/>
    <cellStyle name="Normal 4 3 2 3 3 3 4" xfId="57447"/>
    <cellStyle name="Normal 4 3 2 3 3 4" xfId="15258"/>
    <cellStyle name="Normal 4 3 2 3 3 4 2" xfId="50957"/>
    <cellStyle name="Normal 4 3 2 3 3 5" xfId="21748"/>
    <cellStyle name="Normal 4 3 2 3 3 6" xfId="34728"/>
    <cellStyle name="Normal 4 3 2 3 3 7" xfId="47711"/>
    <cellStyle name="Normal 4 3 2 3 4" xfId="3855"/>
    <cellStyle name="Normal 4 3 2 3 4 2" xfId="10387"/>
    <cellStyle name="Normal 4 3 2 3 4 2 2" xfId="29860"/>
    <cellStyle name="Normal 4 3 2 3 4 2 3" xfId="42840"/>
    <cellStyle name="Normal 4 3 2 3 4 2 4" xfId="59069"/>
    <cellStyle name="Normal 4 3 2 3 4 3" xfId="16880"/>
    <cellStyle name="Normal 4 3 2 3 4 4" xfId="23370"/>
    <cellStyle name="Normal 4 3 2 3 4 5" xfId="36350"/>
    <cellStyle name="Normal 4 3 2 3 4 6" xfId="52579"/>
    <cellStyle name="Normal 4 3 2 3 5" xfId="7142"/>
    <cellStyle name="Normal 4 3 2 3 5 2" xfId="26615"/>
    <cellStyle name="Normal 4 3 2 3 5 3" xfId="39595"/>
    <cellStyle name="Normal 4 3 2 3 5 4" xfId="55824"/>
    <cellStyle name="Normal 4 3 2 3 6" xfId="13635"/>
    <cellStyle name="Normal 4 3 2 3 6 2" xfId="49334"/>
    <cellStyle name="Normal 4 3 2 3 7" xfId="20125"/>
    <cellStyle name="Normal 4 3 2 3 8" xfId="33105"/>
    <cellStyle name="Normal 4 3 2 3 9" xfId="46088"/>
    <cellStyle name="Normal 4 3 2 4" xfId="1051"/>
    <cellStyle name="Normal 4 3 2 4 2" xfId="2718"/>
    <cellStyle name="Normal 4 3 2 4 2 2" xfId="5963"/>
    <cellStyle name="Normal 4 3 2 4 2 2 2" xfId="12495"/>
    <cellStyle name="Normal 4 3 2 4 2 2 2 2" xfId="31968"/>
    <cellStyle name="Normal 4 3 2 4 2 2 2 3" xfId="44948"/>
    <cellStyle name="Normal 4 3 2 4 2 2 2 4" xfId="61177"/>
    <cellStyle name="Normal 4 3 2 4 2 2 3" xfId="18988"/>
    <cellStyle name="Normal 4 3 2 4 2 2 4" xfId="25478"/>
    <cellStyle name="Normal 4 3 2 4 2 2 5" xfId="38458"/>
    <cellStyle name="Normal 4 3 2 4 2 2 6" xfId="54687"/>
    <cellStyle name="Normal 4 3 2 4 2 3" xfId="9250"/>
    <cellStyle name="Normal 4 3 2 4 2 3 2" xfId="28723"/>
    <cellStyle name="Normal 4 3 2 4 2 3 3" xfId="41703"/>
    <cellStyle name="Normal 4 3 2 4 2 3 4" xfId="57932"/>
    <cellStyle name="Normal 4 3 2 4 2 4" xfId="15743"/>
    <cellStyle name="Normal 4 3 2 4 2 4 2" xfId="51442"/>
    <cellStyle name="Normal 4 3 2 4 2 5" xfId="22233"/>
    <cellStyle name="Normal 4 3 2 4 2 6" xfId="35213"/>
    <cellStyle name="Normal 4 3 2 4 2 7" xfId="48196"/>
    <cellStyle name="Normal 4 3 2 4 3" xfId="4340"/>
    <cellStyle name="Normal 4 3 2 4 3 2" xfId="10872"/>
    <cellStyle name="Normal 4 3 2 4 3 2 2" xfId="30345"/>
    <cellStyle name="Normal 4 3 2 4 3 2 3" xfId="43325"/>
    <cellStyle name="Normal 4 3 2 4 3 2 4" xfId="59554"/>
    <cellStyle name="Normal 4 3 2 4 3 3" xfId="17365"/>
    <cellStyle name="Normal 4 3 2 4 3 4" xfId="23855"/>
    <cellStyle name="Normal 4 3 2 4 3 5" xfId="36835"/>
    <cellStyle name="Normal 4 3 2 4 3 6" xfId="53064"/>
    <cellStyle name="Normal 4 3 2 4 4" xfId="7627"/>
    <cellStyle name="Normal 4 3 2 4 4 2" xfId="27100"/>
    <cellStyle name="Normal 4 3 2 4 4 3" xfId="40080"/>
    <cellStyle name="Normal 4 3 2 4 4 4" xfId="56309"/>
    <cellStyle name="Normal 4 3 2 4 5" xfId="14120"/>
    <cellStyle name="Normal 4 3 2 4 5 2" xfId="49819"/>
    <cellStyle name="Normal 4 3 2 4 6" xfId="20610"/>
    <cellStyle name="Normal 4 3 2 4 7" xfId="33590"/>
    <cellStyle name="Normal 4 3 2 4 8" xfId="46573"/>
    <cellStyle name="Normal 4 3 2 5" xfId="2004"/>
    <cellStyle name="Normal 4 3 2 5 2" xfId="5249"/>
    <cellStyle name="Normal 4 3 2 5 2 2" xfId="11781"/>
    <cellStyle name="Normal 4 3 2 5 2 2 2" xfId="31254"/>
    <cellStyle name="Normal 4 3 2 5 2 2 3" xfId="44234"/>
    <cellStyle name="Normal 4 3 2 5 2 2 4" xfId="60463"/>
    <cellStyle name="Normal 4 3 2 5 2 3" xfId="18274"/>
    <cellStyle name="Normal 4 3 2 5 2 4" xfId="24764"/>
    <cellStyle name="Normal 4 3 2 5 2 5" xfId="37744"/>
    <cellStyle name="Normal 4 3 2 5 2 6" xfId="53973"/>
    <cellStyle name="Normal 4 3 2 5 3" xfId="8536"/>
    <cellStyle name="Normal 4 3 2 5 3 2" xfId="28009"/>
    <cellStyle name="Normal 4 3 2 5 3 3" xfId="40989"/>
    <cellStyle name="Normal 4 3 2 5 3 4" xfId="57218"/>
    <cellStyle name="Normal 4 3 2 5 4" xfId="15029"/>
    <cellStyle name="Normal 4 3 2 5 4 2" xfId="50728"/>
    <cellStyle name="Normal 4 3 2 5 5" xfId="21519"/>
    <cellStyle name="Normal 4 3 2 5 6" xfId="34499"/>
    <cellStyle name="Normal 4 3 2 5 7" xfId="47482"/>
    <cellStyle name="Normal 4 3 2 6" xfId="3625"/>
    <cellStyle name="Normal 4 3 2 6 2" xfId="10157"/>
    <cellStyle name="Normal 4 3 2 6 2 2" xfId="29630"/>
    <cellStyle name="Normal 4 3 2 6 2 3" xfId="42610"/>
    <cellStyle name="Normal 4 3 2 6 2 4" xfId="58839"/>
    <cellStyle name="Normal 4 3 2 6 3" xfId="16650"/>
    <cellStyle name="Normal 4 3 2 6 4" xfId="23140"/>
    <cellStyle name="Normal 4 3 2 6 5" xfId="36120"/>
    <cellStyle name="Normal 4 3 2 6 6" xfId="52349"/>
    <cellStyle name="Normal 4 3 2 7" xfId="6912"/>
    <cellStyle name="Normal 4 3 2 7 2" xfId="26385"/>
    <cellStyle name="Normal 4 3 2 7 3" xfId="39365"/>
    <cellStyle name="Normal 4 3 2 7 4" xfId="55594"/>
    <cellStyle name="Normal 4 3 2 8" xfId="13405"/>
    <cellStyle name="Normal 4 3 2 8 2" xfId="49104"/>
    <cellStyle name="Normal 4 3 2 9" xfId="19895"/>
    <cellStyle name="Normal 4 3 3" xfId="707"/>
    <cellStyle name="Normal 4 3 3 10" xfId="46230"/>
    <cellStyle name="Normal 4 3 3 2" xfId="1646"/>
    <cellStyle name="Normal 4 3 3 2 2" xfId="3313"/>
    <cellStyle name="Normal 4 3 3 2 2 2" xfId="6558"/>
    <cellStyle name="Normal 4 3 3 2 2 2 2" xfId="13090"/>
    <cellStyle name="Normal 4 3 3 2 2 2 2 2" xfId="32563"/>
    <cellStyle name="Normal 4 3 3 2 2 2 2 3" xfId="45543"/>
    <cellStyle name="Normal 4 3 3 2 2 2 2 4" xfId="61772"/>
    <cellStyle name="Normal 4 3 3 2 2 2 3" xfId="19583"/>
    <cellStyle name="Normal 4 3 3 2 2 2 4" xfId="26073"/>
    <cellStyle name="Normal 4 3 3 2 2 2 5" xfId="39053"/>
    <cellStyle name="Normal 4 3 3 2 2 2 6" xfId="55282"/>
    <cellStyle name="Normal 4 3 3 2 2 3" xfId="9845"/>
    <cellStyle name="Normal 4 3 3 2 2 3 2" xfId="29318"/>
    <cellStyle name="Normal 4 3 3 2 2 3 3" xfId="42298"/>
    <cellStyle name="Normal 4 3 3 2 2 3 4" xfId="58527"/>
    <cellStyle name="Normal 4 3 3 2 2 4" xfId="16338"/>
    <cellStyle name="Normal 4 3 3 2 2 4 2" xfId="52037"/>
    <cellStyle name="Normal 4 3 3 2 2 5" xfId="22828"/>
    <cellStyle name="Normal 4 3 3 2 2 6" xfId="35808"/>
    <cellStyle name="Normal 4 3 3 2 2 7" xfId="48791"/>
    <cellStyle name="Normal 4 3 3 2 3" xfId="4935"/>
    <cellStyle name="Normal 4 3 3 2 3 2" xfId="11467"/>
    <cellStyle name="Normal 4 3 3 2 3 2 2" xfId="30940"/>
    <cellStyle name="Normal 4 3 3 2 3 2 3" xfId="43920"/>
    <cellStyle name="Normal 4 3 3 2 3 2 4" xfId="60149"/>
    <cellStyle name="Normal 4 3 3 2 3 3" xfId="17960"/>
    <cellStyle name="Normal 4 3 3 2 3 4" xfId="24450"/>
    <cellStyle name="Normal 4 3 3 2 3 5" xfId="37430"/>
    <cellStyle name="Normal 4 3 3 2 3 6" xfId="53659"/>
    <cellStyle name="Normal 4 3 3 2 4" xfId="8222"/>
    <cellStyle name="Normal 4 3 3 2 4 2" xfId="27695"/>
    <cellStyle name="Normal 4 3 3 2 4 3" xfId="40675"/>
    <cellStyle name="Normal 4 3 3 2 4 4" xfId="56904"/>
    <cellStyle name="Normal 4 3 3 2 5" xfId="14715"/>
    <cellStyle name="Normal 4 3 3 2 5 2" xfId="50414"/>
    <cellStyle name="Normal 4 3 3 2 6" xfId="21205"/>
    <cellStyle name="Normal 4 3 3 2 7" xfId="34185"/>
    <cellStyle name="Normal 4 3 3 2 8" xfId="47168"/>
    <cellStyle name="Normal 4 3 3 3" xfId="1183"/>
    <cellStyle name="Normal 4 3 3 3 2" xfId="2850"/>
    <cellStyle name="Normal 4 3 3 3 2 2" xfId="6095"/>
    <cellStyle name="Normal 4 3 3 3 2 2 2" xfId="12627"/>
    <cellStyle name="Normal 4 3 3 3 2 2 2 2" xfId="32100"/>
    <cellStyle name="Normal 4 3 3 3 2 2 2 3" xfId="45080"/>
    <cellStyle name="Normal 4 3 3 3 2 2 2 4" xfId="61309"/>
    <cellStyle name="Normal 4 3 3 3 2 2 3" xfId="19120"/>
    <cellStyle name="Normal 4 3 3 3 2 2 4" xfId="25610"/>
    <cellStyle name="Normal 4 3 3 3 2 2 5" xfId="38590"/>
    <cellStyle name="Normal 4 3 3 3 2 2 6" xfId="54819"/>
    <cellStyle name="Normal 4 3 3 3 2 3" xfId="9382"/>
    <cellStyle name="Normal 4 3 3 3 2 3 2" xfId="28855"/>
    <cellStyle name="Normal 4 3 3 3 2 3 3" xfId="41835"/>
    <cellStyle name="Normal 4 3 3 3 2 3 4" xfId="58064"/>
    <cellStyle name="Normal 4 3 3 3 2 4" xfId="15875"/>
    <cellStyle name="Normal 4 3 3 3 2 4 2" xfId="51574"/>
    <cellStyle name="Normal 4 3 3 3 2 5" xfId="22365"/>
    <cellStyle name="Normal 4 3 3 3 2 6" xfId="35345"/>
    <cellStyle name="Normal 4 3 3 3 2 7" xfId="48328"/>
    <cellStyle name="Normal 4 3 3 3 3" xfId="4472"/>
    <cellStyle name="Normal 4 3 3 3 3 2" xfId="11004"/>
    <cellStyle name="Normal 4 3 3 3 3 2 2" xfId="30477"/>
    <cellStyle name="Normal 4 3 3 3 3 2 3" xfId="43457"/>
    <cellStyle name="Normal 4 3 3 3 3 2 4" xfId="59686"/>
    <cellStyle name="Normal 4 3 3 3 3 3" xfId="17497"/>
    <cellStyle name="Normal 4 3 3 3 3 4" xfId="23987"/>
    <cellStyle name="Normal 4 3 3 3 3 5" xfId="36967"/>
    <cellStyle name="Normal 4 3 3 3 3 6" xfId="53196"/>
    <cellStyle name="Normal 4 3 3 3 4" xfId="7759"/>
    <cellStyle name="Normal 4 3 3 3 4 2" xfId="27232"/>
    <cellStyle name="Normal 4 3 3 3 4 3" xfId="40212"/>
    <cellStyle name="Normal 4 3 3 3 4 4" xfId="56441"/>
    <cellStyle name="Normal 4 3 3 3 5" xfId="14252"/>
    <cellStyle name="Normal 4 3 3 3 5 2" xfId="49951"/>
    <cellStyle name="Normal 4 3 3 3 6" xfId="20742"/>
    <cellStyle name="Normal 4 3 3 3 7" xfId="33722"/>
    <cellStyle name="Normal 4 3 3 3 8" xfId="46705"/>
    <cellStyle name="Normal 4 3 3 4" xfId="2375"/>
    <cellStyle name="Normal 4 3 3 4 2" xfId="5620"/>
    <cellStyle name="Normal 4 3 3 4 2 2" xfId="12152"/>
    <cellStyle name="Normal 4 3 3 4 2 2 2" xfId="31625"/>
    <cellStyle name="Normal 4 3 3 4 2 2 3" xfId="44605"/>
    <cellStyle name="Normal 4 3 3 4 2 2 4" xfId="60834"/>
    <cellStyle name="Normal 4 3 3 4 2 3" xfId="18645"/>
    <cellStyle name="Normal 4 3 3 4 2 4" xfId="25135"/>
    <cellStyle name="Normal 4 3 3 4 2 5" xfId="38115"/>
    <cellStyle name="Normal 4 3 3 4 2 6" xfId="54344"/>
    <cellStyle name="Normal 4 3 3 4 3" xfId="8907"/>
    <cellStyle name="Normal 4 3 3 4 3 2" xfId="28380"/>
    <cellStyle name="Normal 4 3 3 4 3 3" xfId="41360"/>
    <cellStyle name="Normal 4 3 3 4 3 4" xfId="57589"/>
    <cellStyle name="Normal 4 3 3 4 4" xfId="15400"/>
    <cellStyle name="Normal 4 3 3 4 4 2" xfId="51099"/>
    <cellStyle name="Normal 4 3 3 4 5" xfId="21890"/>
    <cellStyle name="Normal 4 3 3 4 6" xfId="34870"/>
    <cellStyle name="Normal 4 3 3 4 7" xfId="47853"/>
    <cellStyle name="Normal 4 3 3 5" xfId="3997"/>
    <cellStyle name="Normal 4 3 3 5 2" xfId="10529"/>
    <cellStyle name="Normal 4 3 3 5 2 2" xfId="30002"/>
    <cellStyle name="Normal 4 3 3 5 2 3" xfId="42982"/>
    <cellStyle name="Normal 4 3 3 5 2 4" xfId="59211"/>
    <cellStyle name="Normal 4 3 3 5 3" xfId="17022"/>
    <cellStyle name="Normal 4 3 3 5 4" xfId="23512"/>
    <cellStyle name="Normal 4 3 3 5 5" xfId="36492"/>
    <cellStyle name="Normal 4 3 3 5 6" xfId="52721"/>
    <cellStyle name="Normal 4 3 3 6" xfId="7284"/>
    <cellStyle name="Normal 4 3 3 6 2" xfId="26757"/>
    <cellStyle name="Normal 4 3 3 6 3" xfId="39737"/>
    <cellStyle name="Normal 4 3 3 6 4" xfId="55966"/>
    <cellStyle name="Normal 4 3 3 7" xfId="13777"/>
    <cellStyle name="Normal 4 3 3 7 2" xfId="49476"/>
    <cellStyle name="Normal 4 3 3 8" xfId="20267"/>
    <cellStyle name="Normal 4 3 3 9" xfId="33247"/>
    <cellStyle name="Normal 4 3 4" xfId="477"/>
    <cellStyle name="Normal 4 3 4 2" xfId="1426"/>
    <cellStyle name="Normal 4 3 4 2 2" xfId="3093"/>
    <cellStyle name="Normal 4 3 4 2 2 2" xfId="6338"/>
    <cellStyle name="Normal 4 3 4 2 2 2 2" xfId="12870"/>
    <cellStyle name="Normal 4 3 4 2 2 2 2 2" xfId="32343"/>
    <cellStyle name="Normal 4 3 4 2 2 2 2 3" xfId="45323"/>
    <cellStyle name="Normal 4 3 4 2 2 2 2 4" xfId="61552"/>
    <cellStyle name="Normal 4 3 4 2 2 2 3" xfId="19363"/>
    <cellStyle name="Normal 4 3 4 2 2 2 4" xfId="25853"/>
    <cellStyle name="Normal 4 3 4 2 2 2 5" xfId="38833"/>
    <cellStyle name="Normal 4 3 4 2 2 2 6" xfId="55062"/>
    <cellStyle name="Normal 4 3 4 2 2 3" xfId="9625"/>
    <cellStyle name="Normal 4 3 4 2 2 3 2" xfId="29098"/>
    <cellStyle name="Normal 4 3 4 2 2 3 3" xfId="42078"/>
    <cellStyle name="Normal 4 3 4 2 2 3 4" xfId="58307"/>
    <cellStyle name="Normal 4 3 4 2 2 4" xfId="16118"/>
    <cellStyle name="Normal 4 3 4 2 2 4 2" xfId="51817"/>
    <cellStyle name="Normal 4 3 4 2 2 5" xfId="22608"/>
    <cellStyle name="Normal 4 3 4 2 2 6" xfId="35588"/>
    <cellStyle name="Normal 4 3 4 2 2 7" xfId="48571"/>
    <cellStyle name="Normal 4 3 4 2 3" xfId="4715"/>
    <cellStyle name="Normal 4 3 4 2 3 2" xfId="11247"/>
    <cellStyle name="Normal 4 3 4 2 3 2 2" xfId="30720"/>
    <cellStyle name="Normal 4 3 4 2 3 2 3" xfId="43700"/>
    <cellStyle name="Normal 4 3 4 2 3 2 4" xfId="59929"/>
    <cellStyle name="Normal 4 3 4 2 3 3" xfId="17740"/>
    <cellStyle name="Normal 4 3 4 2 3 4" xfId="24230"/>
    <cellStyle name="Normal 4 3 4 2 3 5" xfId="37210"/>
    <cellStyle name="Normal 4 3 4 2 3 6" xfId="53439"/>
    <cellStyle name="Normal 4 3 4 2 4" xfId="8002"/>
    <cellStyle name="Normal 4 3 4 2 4 2" xfId="27475"/>
    <cellStyle name="Normal 4 3 4 2 4 3" xfId="40455"/>
    <cellStyle name="Normal 4 3 4 2 4 4" xfId="56684"/>
    <cellStyle name="Normal 4 3 4 2 5" xfId="14495"/>
    <cellStyle name="Normal 4 3 4 2 5 2" xfId="50194"/>
    <cellStyle name="Normal 4 3 4 2 6" xfId="20985"/>
    <cellStyle name="Normal 4 3 4 2 7" xfId="33965"/>
    <cellStyle name="Normal 4 3 4 2 8" xfId="46948"/>
    <cellStyle name="Normal 4 3 4 3" xfId="2145"/>
    <cellStyle name="Normal 4 3 4 3 2" xfId="5390"/>
    <cellStyle name="Normal 4 3 4 3 2 2" xfId="11922"/>
    <cellStyle name="Normal 4 3 4 3 2 2 2" xfId="31395"/>
    <cellStyle name="Normal 4 3 4 3 2 2 3" xfId="44375"/>
    <cellStyle name="Normal 4 3 4 3 2 2 4" xfId="60604"/>
    <cellStyle name="Normal 4 3 4 3 2 3" xfId="18415"/>
    <cellStyle name="Normal 4 3 4 3 2 4" xfId="24905"/>
    <cellStyle name="Normal 4 3 4 3 2 5" xfId="37885"/>
    <cellStyle name="Normal 4 3 4 3 2 6" xfId="54114"/>
    <cellStyle name="Normal 4 3 4 3 3" xfId="8677"/>
    <cellStyle name="Normal 4 3 4 3 3 2" xfId="28150"/>
    <cellStyle name="Normal 4 3 4 3 3 3" xfId="41130"/>
    <cellStyle name="Normal 4 3 4 3 3 4" xfId="57359"/>
    <cellStyle name="Normal 4 3 4 3 4" xfId="15170"/>
    <cellStyle name="Normal 4 3 4 3 4 2" xfId="50869"/>
    <cellStyle name="Normal 4 3 4 3 5" xfId="21660"/>
    <cellStyle name="Normal 4 3 4 3 6" xfId="34640"/>
    <cellStyle name="Normal 4 3 4 3 7" xfId="47623"/>
    <cellStyle name="Normal 4 3 4 4" xfId="3767"/>
    <cellStyle name="Normal 4 3 4 4 2" xfId="10299"/>
    <cellStyle name="Normal 4 3 4 4 2 2" xfId="29772"/>
    <cellStyle name="Normal 4 3 4 4 2 3" xfId="42752"/>
    <cellStyle name="Normal 4 3 4 4 2 4" xfId="58981"/>
    <cellStyle name="Normal 4 3 4 4 3" xfId="16792"/>
    <cellStyle name="Normal 4 3 4 4 4" xfId="23282"/>
    <cellStyle name="Normal 4 3 4 4 5" xfId="36262"/>
    <cellStyle name="Normal 4 3 4 4 6" xfId="52491"/>
    <cellStyle name="Normal 4 3 4 5" xfId="7054"/>
    <cellStyle name="Normal 4 3 4 5 2" xfId="26527"/>
    <cellStyle name="Normal 4 3 4 5 3" xfId="39507"/>
    <cellStyle name="Normal 4 3 4 5 4" xfId="55736"/>
    <cellStyle name="Normal 4 3 4 6" xfId="13547"/>
    <cellStyle name="Normal 4 3 4 6 2" xfId="49246"/>
    <cellStyle name="Normal 4 3 4 7" xfId="20037"/>
    <cellStyle name="Normal 4 3 4 8" xfId="33017"/>
    <cellStyle name="Normal 4 3 4 9" xfId="46000"/>
    <cellStyle name="Normal 4 3 5" xfId="963"/>
    <cellStyle name="Normal 4 3 5 2" xfId="2630"/>
    <cellStyle name="Normal 4 3 5 2 2" xfId="5875"/>
    <cellStyle name="Normal 4 3 5 2 2 2" xfId="12407"/>
    <cellStyle name="Normal 4 3 5 2 2 2 2" xfId="31880"/>
    <cellStyle name="Normal 4 3 5 2 2 2 3" xfId="44860"/>
    <cellStyle name="Normal 4 3 5 2 2 2 4" xfId="61089"/>
    <cellStyle name="Normal 4 3 5 2 2 3" xfId="18900"/>
    <cellStyle name="Normal 4 3 5 2 2 4" xfId="25390"/>
    <cellStyle name="Normal 4 3 5 2 2 5" xfId="38370"/>
    <cellStyle name="Normal 4 3 5 2 2 6" xfId="54599"/>
    <cellStyle name="Normal 4 3 5 2 3" xfId="9162"/>
    <cellStyle name="Normal 4 3 5 2 3 2" xfId="28635"/>
    <cellStyle name="Normal 4 3 5 2 3 3" xfId="41615"/>
    <cellStyle name="Normal 4 3 5 2 3 4" xfId="57844"/>
    <cellStyle name="Normal 4 3 5 2 4" xfId="15655"/>
    <cellStyle name="Normal 4 3 5 2 4 2" xfId="51354"/>
    <cellStyle name="Normal 4 3 5 2 5" xfId="22145"/>
    <cellStyle name="Normal 4 3 5 2 6" xfId="35125"/>
    <cellStyle name="Normal 4 3 5 2 7" xfId="48108"/>
    <cellStyle name="Normal 4 3 5 3" xfId="4252"/>
    <cellStyle name="Normal 4 3 5 3 2" xfId="10784"/>
    <cellStyle name="Normal 4 3 5 3 2 2" xfId="30257"/>
    <cellStyle name="Normal 4 3 5 3 2 3" xfId="43237"/>
    <cellStyle name="Normal 4 3 5 3 2 4" xfId="59466"/>
    <cellStyle name="Normal 4 3 5 3 3" xfId="17277"/>
    <cellStyle name="Normal 4 3 5 3 4" xfId="23767"/>
    <cellStyle name="Normal 4 3 5 3 5" xfId="36747"/>
    <cellStyle name="Normal 4 3 5 3 6" xfId="52976"/>
    <cellStyle name="Normal 4 3 5 4" xfId="7539"/>
    <cellStyle name="Normal 4 3 5 4 2" xfId="27012"/>
    <cellStyle name="Normal 4 3 5 4 3" xfId="39992"/>
    <cellStyle name="Normal 4 3 5 4 4" xfId="56221"/>
    <cellStyle name="Normal 4 3 5 5" xfId="14032"/>
    <cellStyle name="Normal 4 3 5 5 2" xfId="49731"/>
    <cellStyle name="Normal 4 3 5 6" xfId="20522"/>
    <cellStyle name="Normal 4 3 5 7" xfId="33502"/>
    <cellStyle name="Normal 4 3 5 8" xfId="46485"/>
    <cellStyle name="Normal 4 3 6" xfId="1916"/>
    <cellStyle name="Normal 4 3 6 2" xfId="5161"/>
    <cellStyle name="Normal 4 3 6 2 2" xfId="11693"/>
    <cellStyle name="Normal 4 3 6 2 2 2" xfId="31166"/>
    <cellStyle name="Normal 4 3 6 2 2 3" xfId="44146"/>
    <cellStyle name="Normal 4 3 6 2 2 4" xfId="60375"/>
    <cellStyle name="Normal 4 3 6 2 3" xfId="18186"/>
    <cellStyle name="Normal 4 3 6 2 4" xfId="24676"/>
    <cellStyle name="Normal 4 3 6 2 5" xfId="37656"/>
    <cellStyle name="Normal 4 3 6 2 6" xfId="53885"/>
    <cellStyle name="Normal 4 3 6 3" xfId="8448"/>
    <cellStyle name="Normal 4 3 6 3 2" xfId="27921"/>
    <cellStyle name="Normal 4 3 6 3 3" xfId="40901"/>
    <cellStyle name="Normal 4 3 6 3 4" xfId="57130"/>
    <cellStyle name="Normal 4 3 6 4" xfId="14941"/>
    <cellStyle name="Normal 4 3 6 4 2" xfId="50640"/>
    <cellStyle name="Normal 4 3 6 5" xfId="21431"/>
    <cellStyle name="Normal 4 3 6 6" xfId="34411"/>
    <cellStyle name="Normal 4 3 6 7" xfId="47394"/>
    <cellStyle name="Normal 4 3 7" xfId="3537"/>
    <cellStyle name="Normal 4 3 7 2" xfId="10069"/>
    <cellStyle name="Normal 4 3 7 2 2" xfId="29542"/>
    <cellStyle name="Normal 4 3 7 2 3" xfId="42522"/>
    <cellStyle name="Normal 4 3 7 2 4" xfId="58751"/>
    <cellStyle name="Normal 4 3 7 3" xfId="16562"/>
    <cellStyle name="Normal 4 3 7 4" xfId="23052"/>
    <cellStyle name="Normal 4 3 7 5" xfId="36032"/>
    <cellStyle name="Normal 4 3 7 6" xfId="52261"/>
    <cellStyle name="Normal 4 3 8" xfId="6824"/>
    <cellStyle name="Normal 4 3 8 2" xfId="26297"/>
    <cellStyle name="Normal 4 3 8 3" xfId="39277"/>
    <cellStyle name="Normal 4 3 8 4" xfId="55506"/>
    <cellStyle name="Normal 4 3 9" xfId="13317"/>
    <cellStyle name="Normal 4 3 9 2" xfId="49016"/>
    <cellStyle name="Normal 4 4" xfId="199"/>
    <cellStyle name="Normal 4 4 10" xfId="32743"/>
    <cellStyle name="Normal 4 4 11" xfId="45726"/>
    <cellStyle name="Normal 4 4 12" xfId="62070"/>
    <cellStyle name="Normal 4 4 2" xfId="663"/>
    <cellStyle name="Normal 4 4 2 10" xfId="46186"/>
    <cellStyle name="Normal 4 4 2 2" xfId="1602"/>
    <cellStyle name="Normal 4 4 2 2 2" xfId="3269"/>
    <cellStyle name="Normal 4 4 2 2 2 2" xfId="6514"/>
    <cellStyle name="Normal 4 4 2 2 2 2 2" xfId="13046"/>
    <cellStyle name="Normal 4 4 2 2 2 2 2 2" xfId="32519"/>
    <cellStyle name="Normal 4 4 2 2 2 2 2 3" xfId="45499"/>
    <cellStyle name="Normal 4 4 2 2 2 2 2 4" xfId="61728"/>
    <cellStyle name="Normal 4 4 2 2 2 2 3" xfId="19539"/>
    <cellStyle name="Normal 4 4 2 2 2 2 4" xfId="26029"/>
    <cellStyle name="Normal 4 4 2 2 2 2 5" xfId="39009"/>
    <cellStyle name="Normal 4 4 2 2 2 2 6" xfId="55238"/>
    <cellStyle name="Normal 4 4 2 2 2 3" xfId="9801"/>
    <cellStyle name="Normal 4 4 2 2 2 3 2" xfId="29274"/>
    <cellStyle name="Normal 4 4 2 2 2 3 3" xfId="42254"/>
    <cellStyle name="Normal 4 4 2 2 2 3 4" xfId="58483"/>
    <cellStyle name="Normal 4 4 2 2 2 4" xfId="16294"/>
    <cellStyle name="Normal 4 4 2 2 2 4 2" xfId="51993"/>
    <cellStyle name="Normal 4 4 2 2 2 5" xfId="22784"/>
    <cellStyle name="Normal 4 4 2 2 2 6" xfId="35764"/>
    <cellStyle name="Normal 4 4 2 2 2 7" xfId="48747"/>
    <cellStyle name="Normal 4 4 2 2 3" xfId="4891"/>
    <cellStyle name="Normal 4 4 2 2 3 2" xfId="11423"/>
    <cellStyle name="Normal 4 4 2 2 3 2 2" xfId="30896"/>
    <cellStyle name="Normal 4 4 2 2 3 2 3" xfId="43876"/>
    <cellStyle name="Normal 4 4 2 2 3 2 4" xfId="60105"/>
    <cellStyle name="Normal 4 4 2 2 3 3" xfId="17916"/>
    <cellStyle name="Normal 4 4 2 2 3 4" xfId="24406"/>
    <cellStyle name="Normal 4 4 2 2 3 5" xfId="37386"/>
    <cellStyle name="Normal 4 4 2 2 3 6" xfId="53615"/>
    <cellStyle name="Normal 4 4 2 2 4" xfId="8178"/>
    <cellStyle name="Normal 4 4 2 2 4 2" xfId="27651"/>
    <cellStyle name="Normal 4 4 2 2 4 3" xfId="40631"/>
    <cellStyle name="Normal 4 4 2 2 4 4" xfId="56860"/>
    <cellStyle name="Normal 4 4 2 2 5" xfId="14671"/>
    <cellStyle name="Normal 4 4 2 2 5 2" xfId="50370"/>
    <cellStyle name="Normal 4 4 2 2 6" xfId="21161"/>
    <cellStyle name="Normal 4 4 2 2 7" xfId="34141"/>
    <cellStyle name="Normal 4 4 2 2 8" xfId="47124"/>
    <cellStyle name="Normal 4 4 2 3" xfId="1139"/>
    <cellStyle name="Normal 4 4 2 3 2" xfId="2806"/>
    <cellStyle name="Normal 4 4 2 3 2 2" xfId="6051"/>
    <cellStyle name="Normal 4 4 2 3 2 2 2" xfId="12583"/>
    <cellStyle name="Normal 4 4 2 3 2 2 2 2" xfId="32056"/>
    <cellStyle name="Normal 4 4 2 3 2 2 2 3" xfId="45036"/>
    <cellStyle name="Normal 4 4 2 3 2 2 2 4" xfId="61265"/>
    <cellStyle name="Normal 4 4 2 3 2 2 3" xfId="19076"/>
    <cellStyle name="Normal 4 4 2 3 2 2 4" xfId="25566"/>
    <cellStyle name="Normal 4 4 2 3 2 2 5" xfId="38546"/>
    <cellStyle name="Normal 4 4 2 3 2 2 6" xfId="54775"/>
    <cellStyle name="Normal 4 4 2 3 2 3" xfId="9338"/>
    <cellStyle name="Normal 4 4 2 3 2 3 2" xfId="28811"/>
    <cellStyle name="Normal 4 4 2 3 2 3 3" xfId="41791"/>
    <cellStyle name="Normal 4 4 2 3 2 3 4" xfId="58020"/>
    <cellStyle name="Normal 4 4 2 3 2 4" xfId="15831"/>
    <cellStyle name="Normal 4 4 2 3 2 4 2" xfId="51530"/>
    <cellStyle name="Normal 4 4 2 3 2 5" xfId="22321"/>
    <cellStyle name="Normal 4 4 2 3 2 6" xfId="35301"/>
    <cellStyle name="Normal 4 4 2 3 2 7" xfId="48284"/>
    <cellStyle name="Normal 4 4 2 3 3" xfId="4428"/>
    <cellStyle name="Normal 4 4 2 3 3 2" xfId="10960"/>
    <cellStyle name="Normal 4 4 2 3 3 2 2" xfId="30433"/>
    <cellStyle name="Normal 4 4 2 3 3 2 3" xfId="43413"/>
    <cellStyle name="Normal 4 4 2 3 3 2 4" xfId="59642"/>
    <cellStyle name="Normal 4 4 2 3 3 3" xfId="17453"/>
    <cellStyle name="Normal 4 4 2 3 3 4" xfId="23943"/>
    <cellStyle name="Normal 4 4 2 3 3 5" xfId="36923"/>
    <cellStyle name="Normal 4 4 2 3 3 6" xfId="53152"/>
    <cellStyle name="Normal 4 4 2 3 4" xfId="7715"/>
    <cellStyle name="Normal 4 4 2 3 4 2" xfId="27188"/>
    <cellStyle name="Normal 4 4 2 3 4 3" xfId="40168"/>
    <cellStyle name="Normal 4 4 2 3 4 4" xfId="56397"/>
    <cellStyle name="Normal 4 4 2 3 5" xfId="14208"/>
    <cellStyle name="Normal 4 4 2 3 5 2" xfId="49907"/>
    <cellStyle name="Normal 4 4 2 3 6" xfId="20698"/>
    <cellStyle name="Normal 4 4 2 3 7" xfId="33678"/>
    <cellStyle name="Normal 4 4 2 3 8" xfId="46661"/>
    <cellStyle name="Normal 4 4 2 4" xfId="2331"/>
    <cellStyle name="Normal 4 4 2 4 2" xfId="5576"/>
    <cellStyle name="Normal 4 4 2 4 2 2" xfId="12108"/>
    <cellStyle name="Normal 4 4 2 4 2 2 2" xfId="31581"/>
    <cellStyle name="Normal 4 4 2 4 2 2 3" xfId="44561"/>
    <cellStyle name="Normal 4 4 2 4 2 2 4" xfId="60790"/>
    <cellStyle name="Normal 4 4 2 4 2 3" xfId="18601"/>
    <cellStyle name="Normal 4 4 2 4 2 4" xfId="25091"/>
    <cellStyle name="Normal 4 4 2 4 2 5" xfId="38071"/>
    <cellStyle name="Normal 4 4 2 4 2 6" xfId="54300"/>
    <cellStyle name="Normal 4 4 2 4 3" xfId="8863"/>
    <cellStyle name="Normal 4 4 2 4 3 2" xfId="28336"/>
    <cellStyle name="Normal 4 4 2 4 3 3" xfId="41316"/>
    <cellStyle name="Normal 4 4 2 4 3 4" xfId="57545"/>
    <cellStyle name="Normal 4 4 2 4 4" xfId="15356"/>
    <cellStyle name="Normal 4 4 2 4 4 2" xfId="51055"/>
    <cellStyle name="Normal 4 4 2 4 5" xfId="21846"/>
    <cellStyle name="Normal 4 4 2 4 6" xfId="34826"/>
    <cellStyle name="Normal 4 4 2 4 7" xfId="47809"/>
    <cellStyle name="Normal 4 4 2 5" xfId="3953"/>
    <cellStyle name="Normal 4 4 2 5 2" xfId="10485"/>
    <cellStyle name="Normal 4 4 2 5 2 2" xfId="29958"/>
    <cellStyle name="Normal 4 4 2 5 2 3" xfId="42938"/>
    <cellStyle name="Normal 4 4 2 5 2 4" xfId="59167"/>
    <cellStyle name="Normal 4 4 2 5 3" xfId="16978"/>
    <cellStyle name="Normal 4 4 2 5 4" xfId="23468"/>
    <cellStyle name="Normal 4 4 2 5 5" xfId="36448"/>
    <cellStyle name="Normal 4 4 2 5 6" xfId="52677"/>
    <cellStyle name="Normal 4 4 2 6" xfId="7240"/>
    <cellStyle name="Normal 4 4 2 6 2" xfId="26713"/>
    <cellStyle name="Normal 4 4 2 6 3" xfId="39693"/>
    <cellStyle name="Normal 4 4 2 6 4" xfId="55922"/>
    <cellStyle name="Normal 4 4 2 7" xfId="13733"/>
    <cellStyle name="Normal 4 4 2 7 2" xfId="49432"/>
    <cellStyle name="Normal 4 4 2 8" xfId="20223"/>
    <cellStyle name="Normal 4 4 2 9" xfId="33203"/>
    <cellStyle name="Normal 4 4 3" xfId="433"/>
    <cellStyle name="Normal 4 4 3 2" xfId="1382"/>
    <cellStyle name="Normal 4 4 3 2 2" xfId="3049"/>
    <cellStyle name="Normal 4 4 3 2 2 2" xfId="6294"/>
    <cellStyle name="Normal 4 4 3 2 2 2 2" xfId="12826"/>
    <cellStyle name="Normal 4 4 3 2 2 2 2 2" xfId="32299"/>
    <cellStyle name="Normal 4 4 3 2 2 2 2 3" xfId="45279"/>
    <cellStyle name="Normal 4 4 3 2 2 2 2 4" xfId="61508"/>
    <cellStyle name="Normal 4 4 3 2 2 2 3" xfId="19319"/>
    <cellStyle name="Normal 4 4 3 2 2 2 4" xfId="25809"/>
    <cellStyle name="Normal 4 4 3 2 2 2 5" xfId="38789"/>
    <cellStyle name="Normal 4 4 3 2 2 2 6" xfId="55018"/>
    <cellStyle name="Normal 4 4 3 2 2 3" xfId="9581"/>
    <cellStyle name="Normal 4 4 3 2 2 3 2" xfId="29054"/>
    <cellStyle name="Normal 4 4 3 2 2 3 3" xfId="42034"/>
    <cellStyle name="Normal 4 4 3 2 2 3 4" xfId="58263"/>
    <cellStyle name="Normal 4 4 3 2 2 4" xfId="16074"/>
    <cellStyle name="Normal 4 4 3 2 2 4 2" xfId="51773"/>
    <cellStyle name="Normal 4 4 3 2 2 5" xfId="22564"/>
    <cellStyle name="Normal 4 4 3 2 2 6" xfId="35544"/>
    <cellStyle name="Normal 4 4 3 2 2 7" xfId="48527"/>
    <cellStyle name="Normal 4 4 3 2 3" xfId="4671"/>
    <cellStyle name="Normal 4 4 3 2 3 2" xfId="11203"/>
    <cellStyle name="Normal 4 4 3 2 3 2 2" xfId="30676"/>
    <cellStyle name="Normal 4 4 3 2 3 2 3" xfId="43656"/>
    <cellStyle name="Normal 4 4 3 2 3 2 4" xfId="59885"/>
    <cellStyle name="Normal 4 4 3 2 3 3" xfId="17696"/>
    <cellStyle name="Normal 4 4 3 2 3 4" xfId="24186"/>
    <cellStyle name="Normal 4 4 3 2 3 5" xfId="37166"/>
    <cellStyle name="Normal 4 4 3 2 3 6" xfId="53395"/>
    <cellStyle name="Normal 4 4 3 2 4" xfId="7958"/>
    <cellStyle name="Normal 4 4 3 2 4 2" xfId="27431"/>
    <cellStyle name="Normal 4 4 3 2 4 3" xfId="40411"/>
    <cellStyle name="Normal 4 4 3 2 4 4" xfId="56640"/>
    <cellStyle name="Normal 4 4 3 2 5" xfId="14451"/>
    <cellStyle name="Normal 4 4 3 2 5 2" xfId="50150"/>
    <cellStyle name="Normal 4 4 3 2 6" xfId="20941"/>
    <cellStyle name="Normal 4 4 3 2 7" xfId="33921"/>
    <cellStyle name="Normal 4 4 3 2 8" xfId="46904"/>
    <cellStyle name="Normal 4 4 3 3" xfId="2101"/>
    <cellStyle name="Normal 4 4 3 3 2" xfId="5346"/>
    <cellStyle name="Normal 4 4 3 3 2 2" xfId="11878"/>
    <cellStyle name="Normal 4 4 3 3 2 2 2" xfId="31351"/>
    <cellStyle name="Normal 4 4 3 3 2 2 3" xfId="44331"/>
    <cellStyle name="Normal 4 4 3 3 2 2 4" xfId="60560"/>
    <cellStyle name="Normal 4 4 3 3 2 3" xfId="18371"/>
    <cellStyle name="Normal 4 4 3 3 2 4" xfId="24861"/>
    <cellStyle name="Normal 4 4 3 3 2 5" xfId="37841"/>
    <cellStyle name="Normal 4 4 3 3 2 6" xfId="54070"/>
    <cellStyle name="Normal 4 4 3 3 3" xfId="8633"/>
    <cellStyle name="Normal 4 4 3 3 3 2" xfId="28106"/>
    <cellStyle name="Normal 4 4 3 3 3 3" xfId="41086"/>
    <cellStyle name="Normal 4 4 3 3 3 4" xfId="57315"/>
    <cellStyle name="Normal 4 4 3 3 4" xfId="15126"/>
    <cellStyle name="Normal 4 4 3 3 4 2" xfId="50825"/>
    <cellStyle name="Normal 4 4 3 3 5" xfId="21616"/>
    <cellStyle name="Normal 4 4 3 3 6" xfId="34596"/>
    <cellStyle name="Normal 4 4 3 3 7" xfId="47579"/>
    <cellStyle name="Normal 4 4 3 4" xfId="3723"/>
    <cellStyle name="Normal 4 4 3 4 2" xfId="10255"/>
    <cellStyle name="Normal 4 4 3 4 2 2" xfId="29728"/>
    <cellStyle name="Normal 4 4 3 4 2 3" xfId="42708"/>
    <cellStyle name="Normal 4 4 3 4 2 4" xfId="58937"/>
    <cellStyle name="Normal 4 4 3 4 3" xfId="16748"/>
    <cellStyle name="Normal 4 4 3 4 4" xfId="23238"/>
    <cellStyle name="Normal 4 4 3 4 5" xfId="36218"/>
    <cellStyle name="Normal 4 4 3 4 6" xfId="52447"/>
    <cellStyle name="Normal 4 4 3 5" xfId="7010"/>
    <cellStyle name="Normal 4 4 3 5 2" xfId="26483"/>
    <cellStyle name="Normal 4 4 3 5 3" xfId="39463"/>
    <cellStyle name="Normal 4 4 3 5 4" xfId="55692"/>
    <cellStyle name="Normal 4 4 3 6" xfId="13503"/>
    <cellStyle name="Normal 4 4 3 6 2" xfId="49202"/>
    <cellStyle name="Normal 4 4 3 7" xfId="19993"/>
    <cellStyle name="Normal 4 4 3 8" xfId="32973"/>
    <cellStyle name="Normal 4 4 3 9" xfId="45956"/>
    <cellStyle name="Normal 4 4 4" xfId="919"/>
    <cellStyle name="Normal 4 4 4 2" xfId="2586"/>
    <cellStyle name="Normal 4 4 4 2 2" xfId="5831"/>
    <cellStyle name="Normal 4 4 4 2 2 2" xfId="12363"/>
    <cellStyle name="Normal 4 4 4 2 2 2 2" xfId="31836"/>
    <cellStyle name="Normal 4 4 4 2 2 2 3" xfId="44816"/>
    <cellStyle name="Normal 4 4 4 2 2 2 4" xfId="61045"/>
    <cellStyle name="Normal 4 4 4 2 2 3" xfId="18856"/>
    <cellStyle name="Normal 4 4 4 2 2 4" xfId="25346"/>
    <cellStyle name="Normal 4 4 4 2 2 5" xfId="38326"/>
    <cellStyle name="Normal 4 4 4 2 2 6" xfId="54555"/>
    <cellStyle name="Normal 4 4 4 2 3" xfId="9118"/>
    <cellStyle name="Normal 4 4 4 2 3 2" xfId="28591"/>
    <cellStyle name="Normal 4 4 4 2 3 3" xfId="41571"/>
    <cellStyle name="Normal 4 4 4 2 3 4" xfId="57800"/>
    <cellStyle name="Normal 4 4 4 2 4" xfId="15611"/>
    <cellStyle name="Normal 4 4 4 2 4 2" xfId="51310"/>
    <cellStyle name="Normal 4 4 4 2 5" xfId="22101"/>
    <cellStyle name="Normal 4 4 4 2 6" xfId="35081"/>
    <cellStyle name="Normal 4 4 4 2 7" xfId="48064"/>
    <cellStyle name="Normal 4 4 4 3" xfId="4208"/>
    <cellStyle name="Normal 4 4 4 3 2" xfId="10740"/>
    <cellStyle name="Normal 4 4 4 3 2 2" xfId="30213"/>
    <cellStyle name="Normal 4 4 4 3 2 3" xfId="43193"/>
    <cellStyle name="Normal 4 4 4 3 2 4" xfId="59422"/>
    <cellStyle name="Normal 4 4 4 3 3" xfId="17233"/>
    <cellStyle name="Normal 4 4 4 3 4" xfId="23723"/>
    <cellStyle name="Normal 4 4 4 3 5" xfId="36703"/>
    <cellStyle name="Normal 4 4 4 3 6" xfId="52932"/>
    <cellStyle name="Normal 4 4 4 4" xfId="7495"/>
    <cellStyle name="Normal 4 4 4 4 2" xfId="26968"/>
    <cellStyle name="Normal 4 4 4 4 3" xfId="39948"/>
    <cellStyle name="Normal 4 4 4 4 4" xfId="56177"/>
    <cellStyle name="Normal 4 4 4 5" xfId="13988"/>
    <cellStyle name="Normal 4 4 4 5 2" xfId="49687"/>
    <cellStyle name="Normal 4 4 4 6" xfId="20478"/>
    <cellStyle name="Normal 4 4 4 7" xfId="33458"/>
    <cellStyle name="Normal 4 4 4 8" xfId="46441"/>
    <cellStyle name="Normal 4 4 5" xfId="1872"/>
    <cellStyle name="Normal 4 4 5 2" xfId="5117"/>
    <cellStyle name="Normal 4 4 5 2 2" xfId="11649"/>
    <cellStyle name="Normal 4 4 5 2 2 2" xfId="31122"/>
    <cellStyle name="Normal 4 4 5 2 2 3" xfId="44102"/>
    <cellStyle name="Normal 4 4 5 2 2 4" xfId="60331"/>
    <cellStyle name="Normal 4 4 5 2 3" xfId="18142"/>
    <cellStyle name="Normal 4 4 5 2 4" xfId="24632"/>
    <cellStyle name="Normal 4 4 5 2 5" xfId="37612"/>
    <cellStyle name="Normal 4 4 5 2 6" xfId="53841"/>
    <cellStyle name="Normal 4 4 5 3" xfId="8404"/>
    <cellStyle name="Normal 4 4 5 3 2" xfId="27877"/>
    <cellStyle name="Normal 4 4 5 3 3" xfId="40857"/>
    <cellStyle name="Normal 4 4 5 3 4" xfId="57086"/>
    <cellStyle name="Normal 4 4 5 4" xfId="14897"/>
    <cellStyle name="Normal 4 4 5 4 2" xfId="50596"/>
    <cellStyle name="Normal 4 4 5 5" xfId="21387"/>
    <cellStyle name="Normal 4 4 5 6" xfId="34367"/>
    <cellStyle name="Normal 4 4 5 7" xfId="47350"/>
    <cellStyle name="Normal 4 4 6" xfId="3493"/>
    <cellStyle name="Normal 4 4 6 2" xfId="10025"/>
    <cellStyle name="Normal 4 4 6 2 2" xfId="29498"/>
    <cellStyle name="Normal 4 4 6 2 3" xfId="42478"/>
    <cellStyle name="Normal 4 4 6 2 4" xfId="58707"/>
    <cellStyle name="Normal 4 4 6 3" xfId="16518"/>
    <cellStyle name="Normal 4 4 6 4" xfId="23008"/>
    <cellStyle name="Normal 4 4 6 5" xfId="35988"/>
    <cellStyle name="Normal 4 4 6 6" xfId="52217"/>
    <cellStyle name="Normal 4 4 7" xfId="6780"/>
    <cellStyle name="Normal 4 4 7 2" xfId="26253"/>
    <cellStyle name="Normal 4 4 7 3" xfId="39233"/>
    <cellStyle name="Normal 4 4 7 4" xfId="55462"/>
    <cellStyle name="Normal 4 4 8" xfId="13273"/>
    <cellStyle name="Normal 4 4 8 2" xfId="48972"/>
    <cellStyle name="Normal 4 4 9" xfId="19763"/>
    <cellStyle name="Normal 4 5" xfId="287"/>
    <cellStyle name="Normal 4 5 10" xfId="32831"/>
    <cellStyle name="Normal 4 5 11" xfId="45814"/>
    <cellStyle name="Normal 4 5 2" xfId="751"/>
    <cellStyle name="Normal 4 5 2 10" xfId="46274"/>
    <cellStyle name="Normal 4 5 2 2" xfId="1690"/>
    <cellStyle name="Normal 4 5 2 2 2" xfId="3357"/>
    <cellStyle name="Normal 4 5 2 2 2 2" xfId="6602"/>
    <cellStyle name="Normal 4 5 2 2 2 2 2" xfId="13134"/>
    <cellStyle name="Normal 4 5 2 2 2 2 2 2" xfId="32607"/>
    <cellStyle name="Normal 4 5 2 2 2 2 2 3" xfId="45587"/>
    <cellStyle name="Normal 4 5 2 2 2 2 2 4" xfId="61816"/>
    <cellStyle name="Normal 4 5 2 2 2 2 3" xfId="19627"/>
    <cellStyle name="Normal 4 5 2 2 2 2 4" xfId="26117"/>
    <cellStyle name="Normal 4 5 2 2 2 2 5" xfId="39097"/>
    <cellStyle name="Normal 4 5 2 2 2 2 6" xfId="55326"/>
    <cellStyle name="Normal 4 5 2 2 2 3" xfId="9889"/>
    <cellStyle name="Normal 4 5 2 2 2 3 2" xfId="29362"/>
    <cellStyle name="Normal 4 5 2 2 2 3 3" xfId="42342"/>
    <cellStyle name="Normal 4 5 2 2 2 3 4" xfId="58571"/>
    <cellStyle name="Normal 4 5 2 2 2 4" xfId="16382"/>
    <cellStyle name="Normal 4 5 2 2 2 4 2" xfId="52081"/>
    <cellStyle name="Normal 4 5 2 2 2 5" xfId="22872"/>
    <cellStyle name="Normal 4 5 2 2 2 6" xfId="35852"/>
    <cellStyle name="Normal 4 5 2 2 2 7" xfId="48835"/>
    <cellStyle name="Normal 4 5 2 2 3" xfId="4979"/>
    <cellStyle name="Normal 4 5 2 2 3 2" xfId="11511"/>
    <cellStyle name="Normal 4 5 2 2 3 2 2" xfId="30984"/>
    <cellStyle name="Normal 4 5 2 2 3 2 3" xfId="43964"/>
    <cellStyle name="Normal 4 5 2 2 3 2 4" xfId="60193"/>
    <cellStyle name="Normal 4 5 2 2 3 3" xfId="18004"/>
    <cellStyle name="Normal 4 5 2 2 3 4" xfId="24494"/>
    <cellStyle name="Normal 4 5 2 2 3 5" xfId="37474"/>
    <cellStyle name="Normal 4 5 2 2 3 6" xfId="53703"/>
    <cellStyle name="Normal 4 5 2 2 4" xfId="8266"/>
    <cellStyle name="Normal 4 5 2 2 4 2" xfId="27739"/>
    <cellStyle name="Normal 4 5 2 2 4 3" xfId="40719"/>
    <cellStyle name="Normal 4 5 2 2 4 4" xfId="56948"/>
    <cellStyle name="Normal 4 5 2 2 5" xfId="14759"/>
    <cellStyle name="Normal 4 5 2 2 5 2" xfId="50458"/>
    <cellStyle name="Normal 4 5 2 2 6" xfId="21249"/>
    <cellStyle name="Normal 4 5 2 2 7" xfId="34229"/>
    <cellStyle name="Normal 4 5 2 2 8" xfId="47212"/>
    <cellStyle name="Normal 4 5 2 3" xfId="1227"/>
    <cellStyle name="Normal 4 5 2 3 2" xfId="2894"/>
    <cellStyle name="Normal 4 5 2 3 2 2" xfId="6139"/>
    <cellStyle name="Normal 4 5 2 3 2 2 2" xfId="12671"/>
    <cellStyle name="Normal 4 5 2 3 2 2 2 2" xfId="32144"/>
    <cellStyle name="Normal 4 5 2 3 2 2 2 3" xfId="45124"/>
    <cellStyle name="Normal 4 5 2 3 2 2 2 4" xfId="61353"/>
    <cellStyle name="Normal 4 5 2 3 2 2 3" xfId="19164"/>
    <cellStyle name="Normal 4 5 2 3 2 2 4" xfId="25654"/>
    <cellStyle name="Normal 4 5 2 3 2 2 5" xfId="38634"/>
    <cellStyle name="Normal 4 5 2 3 2 2 6" xfId="54863"/>
    <cellStyle name="Normal 4 5 2 3 2 3" xfId="9426"/>
    <cellStyle name="Normal 4 5 2 3 2 3 2" xfId="28899"/>
    <cellStyle name="Normal 4 5 2 3 2 3 3" xfId="41879"/>
    <cellStyle name="Normal 4 5 2 3 2 3 4" xfId="58108"/>
    <cellStyle name="Normal 4 5 2 3 2 4" xfId="15919"/>
    <cellStyle name="Normal 4 5 2 3 2 4 2" xfId="51618"/>
    <cellStyle name="Normal 4 5 2 3 2 5" xfId="22409"/>
    <cellStyle name="Normal 4 5 2 3 2 6" xfId="35389"/>
    <cellStyle name="Normal 4 5 2 3 2 7" xfId="48372"/>
    <cellStyle name="Normal 4 5 2 3 3" xfId="4516"/>
    <cellStyle name="Normal 4 5 2 3 3 2" xfId="11048"/>
    <cellStyle name="Normal 4 5 2 3 3 2 2" xfId="30521"/>
    <cellStyle name="Normal 4 5 2 3 3 2 3" xfId="43501"/>
    <cellStyle name="Normal 4 5 2 3 3 2 4" xfId="59730"/>
    <cellStyle name="Normal 4 5 2 3 3 3" xfId="17541"/>
    <cellStyle name="Normal 4 5 2 3 3 4" xfId="24031"/>
    <cellStyle name="Normal 4 5 2 3 3 5" xfId="37011"/>
    <cellStyle name="Normal 4 5 2 3 3 6" xfId="53240"/>
    <cellStyle name="Normal 4 5 2 3 4" xfId="7803"/>
    <cellStyle name="Normal 4 5 2 3 4 2" xfId="27276"/>
    <cellStyle name="Normal 4 5 2 3 4 3" xfId="40256"/>
    <cellStyle name="Normal 4 5 2 3 4 4" xfId="56485"/>
    <cellStyle name="Normal 4 5 2 3 5" xfId="14296"/>
    <cellStyle name="Normal 4 5 2 3 5 2" xfId="49995"/>
    <cellStyle name="Normal 4 5 2 3 6" xfId="20786"/>
    <cellStyle name="Normal 4 5 2 3 7" xfId="33766"/>
    <cellStyle name="Normal 4 5 2 3 8" xfId="46749"/>
    <cellStyle name="Normal 4 5 2 4" xfId="2419"/>
    <cellStyle name="Normal 4 5 2 4 2" xfId="5664"/>
    <cellStyle name="Normal 4 5 2 4 2 2" xfId="12196"/>
    <cellStyle name="Normal 4 5 2 4 2 2 2" xfId="31669"/>
    <cellStyle name="Normal 4 5 2 4 2 2 3" xfId="44649"/>
    <cellStyle name="Normal 4 5 2 4 2 2 4" xfId="60878"/>
    <cellStyle name="Normal 4 5 2 4 2 3" xfId="18689"/>
    <cellStyle name="Normal 4 5 2 4 2 4" xfId="25179"/>
    <cellStyle name="Normal 4 5 2 4 2 5" xfId="38159"/>
    <cellStyle name="Normal 4 5 2 4 2 6" xfId="54388"/>
    <cellStyle name="Normal 4 5 2 4 3" xfId="8951"/>
    <cellStyle name="Normal 4 5 2 4 3 2" xfId="28424"/>
    <cellStyle name="Normal 4 5 2 4 3 3" xfId="41404"/>
    <cellStyle name="Normal 4 5 2 4 3 4" xfId="57633"/>
    <cellStyle name="Normal 4 5 2 4 4" xfId="15444"/>
    <cellStyle name="Normal 4 5 2 4 4 2" xfId="51143"/>
    <cellStyle name="Normal 4 5 2 4 5" xfId="21934"/>
    <cellStyle name="Normal 4 5 2 4 6" xfId="34914"/>
    <cellStyle name="Normal 4 5 2 4 7" xfId="47897"/>
    <cellStyle name="Normal 4 5 2 5" xfId="4041"/>
    <cellStyle name="Normal 4 5 2 5 2" xfId="10573"/>
    <cellStyle name="Normal 4 5 2 5 2 2" xfId="30046"/>
    <cellStyle name="Normal 4 5 2 5 2 3" xfId="43026"/>
    <cellStyle name="Normal 4 5 2 5 2 4" xfId="59255"/>
    <cellStyle name="Normal 4 5 2 5 3" xfId="17066"/>
    <cellStyle name="Normal 4 5 2 5 4" xfId="23556"/>
    <cellStyle name="Normal 4 5 2 5 5" xfId="36536"/>
    <cellStyle name="Normal 4 5 2 5 6" xfId="52765"/>
    <cellStyle name="Normal 4 5 2 6" xfId="7328"/>
    <cellStyle name="Normal 4 5 2 6 2" xfId="26801"/>
    <cellStyle name="Normal 4 5 2 6 3" xfId="39781"/>
    <cellStyle name="Normal 4 5 2 6 4" xfId="56010"/>
    <cellStyle name="Normal 4 5 2 7" xfId="13821"/>
    <cellStyle name="Normal 4 5 2 7 2" xfId="49520"/>
    <cellStyle name="Normal 4 5 2 8" xfId="20311"/>
    <cellStyle name="Normal 4 5 2 9" xfId="33291"/>
    <cellStyle name="Normal 4 5 3" xfId="521"/>
    <cellStyle name="Normal 4 5 3 2" xfId="1470"/>
    <cellStyle name="Normal 4 5 3 2 2" xfId="3137"/>
    <cellStyle name="Normal 4 5 3 2 2 2" xfId="6382"/>
    <cellStyle name="Normal 4 5 3 2 2 2 2" xfId="12914"/>
    <cellStyle name="Normal 4 5 3 2 2 2 2 2" xfId="32387"/>
    <cellStyle name="Normal 4 5 3 2 2 2 2 3" xfId="45367"/>
    <cellStyle name="Normal 4 5 3 2 2 2 2 4" xfId="61596"/>
    <cellStyle name="Normal 4 5 3 2 2 2 3" xfId="19407"/>
    <cellStyle name="Normal 4 5 3 2 2 2 4" xfId="25897"/>
    <cellStyle name="Normal 4 5 3 2 2 2 5" xfId="38877"/>
    <cellStyle name="Normal 4 5 3 2 2 2 6" xfId="55106"/>
    <cellStyle name="Normal 4 5 3 2 2 3" xfId="9669"/>
    <cellStyle name="Normal 4 5 3 2 2 3 2" xfId="29142"/>
    <cellStyle name="Normal 4 5 3 2 2 3 3" xfId="42122"/>
    <cellStyle name="Normal 4 5 3 2 2 3 4" xfId="58351"/>
    <cellStyle name="Normal 4 5 3 2 2 4" xfId="16162"/>
    <cellStyle name="Normal 4 5 3 2 2 4 2" xfId="51861"/>
    <cellStyle name="Normal 4 5 3 2 2 5" xfId="22652"/>
    <cellStyle name="Normal 4 5 3 2 2 6" xfId="35632"/>
    <cellStyle name="Normal 4 5 3 2 2 7" xfId="48615"/>
    <cellStyle name="Normal 4 5 3 2 3" xfId="4759"/>
    <cellStyle name="Normal 4 5 3 2 3 2" xfId="11291"/>
    <cellStyle name="Normal 4 5 3 2 3 2 2" xfId="30764"/>
    <cellStyle name="Normal 4 5 3 2 3 2 3" xfId="43744"/>
    <cellStyle name="Normal 4 5 3 2 3 2 4" xfId="59973"/>
    <cellStyle name="Normal 4 5 3 2 3 3" xfId="17784"/>
    <cellStyle name="Normal 4 5 3 2 3 4" xfId="24274"/>
    <cellStyle name="Normal 4 5 3 2 3 5" xfId="37254"/>
    <cellStyle name="Normal 4 5 3 2 3 6" xfId="53483"/>
    <cellStyle name="Normal 4 5 3 2 4" xfId="8046"/>
    <cellStyle name="Normal 4 5 3 2 4 2" xfId="27519"/>
    <cellStyle name="Normal 4 5 3 2 4 3" xfId="40499"/>
    <cellStyle name="Normal 4 5 3 2 4 4" xfId="56728"/>
    <cellStyle name="Normal 4 5 3 2 5" xfId="14539"/>
    <cellStyle name="Normal 4 5 3 2 5 2" xfId="50238"/>
    <cellStyle name="Normal 4 5 3 2 6" xfId="21029"/>
    <cellStyle name="Normal 4 5 3 2 7" xfId="34009"/>
    <cellStyle name="Normal 4 5 3 2 8" xfId="46992"/>
    <cellStyle name="Normal 4 5 3 3" xfId="2189"/>
    <cellStyle name="Normal 4 5 3 3 2" xfId="5434"/>
    <cellStyle name="Normal 4 5 3 3 2 2" xfId="11966"/>
    <cellStyle name="Normal 4 5 3 3 2 2 2" xfId="31439"/>
    <cellStyle name="Normal 4 5 3 3 2 2 3" xfId="44419"/>
    <cellStyle name="Normal 4 5 3 3 2 2 4" xfId="60648"/>
    <cellStyle name="Normal 4 5 3 3 2 3" xfId="18459"/>
    <cellStyle name="Normal 4 5 3 3 2 4" xfId="24949"/>
    <cellStyle name="Normal 4 5 3 3 2 5" xfId="37929"/>
    <cellStyle name="Normal 4 5 3 3 2 6" xfId="54158"/>
    <cellStyle name="Normal 4 5 3 3 3" xfId="8721"/>
    <cellStyle name="Normal 4 5 3 3 3 2" xfId="28194"/>
    <cellStyle name="Normal 4 5 3 3 3 3" xfId="41174"/>
    <cellStyle name="Normal 4 5 3 3 3 4" xfId="57403"/>
    <cellStyle name="Normal 4 5 3 3 4" xfId="15214"/>
    <cellStyle name="Normal 4 5 3 3 4 2" xfId="50913"/>
    <cellStyle name="Normal 4 5 3 3 5" xfId="21704"/>
    <cellStyle name="Normal 4 5 3 3 6" xfId="34684"/>
    <cellStyle name="Normal 4 5 3 3 7" xfId="47667"/>
    <cellStyle name="Normal 4 5 3 4" xfId="3811"/>
    <cellStyle name="Normal 4 5 3 4 2" xfId="10343"/>
    <cellStyle name="Normal 4 5 3 4 2 2" xfId="29816"/>
    <cellStyle name="Normal 4 5 3 4 2 3" xfId="42796"/>
    <cellStyle name="Normal 4 5 3 4 2 4" xfId="59025"/>
    <cellStyle name="Normal 4 5 3 4 3" xfId="16836"/>
    <cellStyle name="Normal 4 5 3 4 4" xfId="23326"/>
    <cellStyle name="Normal 4 5 3 4 5" xfId="36306"/>
    <cellStyle name="Normal 4 5 3 4 6" xfId="52535"/>
    <cellStyle name="Normal 4 5 3 5" xfId="7098"/>
    <cellStyle name="Normal 4 5 3 5 2" xfId="26571"/>
    <cellStyle name="Normal 4 5 3 5 3" xfId="39551"/>
    <cellStyle name="Normal 4 5 3 5 4" xfId="55780"/>
    <cellStyle name="Normal 4 5 3 6" xfId="13591"/>
    <cellStyle name="Normal 4 5 3 6 2" xfId="49290"/>
    <cellStyle name="Normal 4 5 3 7" xfId="20081"/>
    <cellStyle name="Normal 4 5 3 8" xfId="33061"/>
    <cellStyle name="Normal 4 5 3 9" xfId="46044"/>
    <cellStyle name="Normal 4 5 4" xfId="1007"/>
    <cellStyle name="Normal 4 5 4 2" xfId="2674"/>
    <cellStyle name="Normal 4 5 4 2 2" xfId="5919"/>
    <cellStyle name="Normal 4 5 4 2 2 2" xfId="12451"/>
    <cellStyle name="Normal 4 5 4 2 2 2 2" xfId="31924"/>
    <cellStyle name="Normal 4 5 4 2 2 2 3" xfId="44904"/>
    <cellStyle name="Normal 4 5 4 2 2 2 4" xfId="61133"/>
    <cellStyle name="Normal 4 5 4 2 2 3" xfId="18944"/>
    <cellStyle name="Normal 4 5 4 2 2 4" xfId="25434"/>
    <cellStyle name="Normal 4 5 4 2 2 5" xfId="38414"/>
    <cellStyle name="Normal 4 5 4 2 2 6" xfId="54643"/>
    <cellStyle name="Normal 4 5 4 2 3" xfId="9206"/>
    <cellStyle name="Normal 4 5 4 2 3 2" xfId="28679"/>
    <cellStyle name="Normal 4 5 4 2 3 3" xfId="41659"/>
    <cellStyle name="Normal 4 5 4 2 3 4" xfId="57888"/>
    <cellStyle name="Normal 4 5 4 2 4" xfId="15699"/>
    <cellStyle name="Normal 4 5 4 2 4 2" xfId="51398"/>
    <cellStyle name="Normal 4 5 4 2 5" xfId="22189"/>
    <cellStyle name="Normal 4 5 4 2 6" xfId="35169"/>
    <cellStyle name="Normal 4 5 4 2 7" xfId="48152"/>
    <cellStyle name="Normal 4 5 4 3" xfId="4296"/>
    <cellStyle name="Normal 4 5 4 3 2" xfId="10828"/>
    <cellStyle name="Normal 4 5 4 3 2 2" xfId="30301"/>
    <cellStyle name="Normal 4 5 4 3 2 3" xfId="43281"/>
    <cellStyle name="Normal 4 5 4 3 2 4" xfId="59510"/>
    <cellStyle name="Normal 4 5 4 3 3" xfId="17321"/>
    <cellStyle name="Normal 4 5 4 3 4" xfId="23811"/>
    <cellStyle name="Normal 4 5 4 3 5" xfId="36791"/>
    <cellStyle name="Normal 4 5 4 3 6" xfId="53020"/>
    <cellStyle name="Normal 4 5 4 4" xfId="7583"/>
    <cellStyle name="Normal 4 5 4 4 2" xfId="27056"/>
    <cellStyle name="Normal 4 5 4 4 3" xfId="40036"/>
    <cellStyle name="Normal 4 5 4 4 4" xfId="56265"/>
    <cellStyle name="Normal 4 5 4 5" xfId="14076"/>
    <cellStyle name="Normal 4 5 4 5 2" xfId="49775"/>
    <cellStyle name="Normal 4 5 4 6" xfId="20566"/>
    <cellStyle name="Normal 4 5 4 7" xfId="33546"/>
    <cellStyle name="Normal 4 5 4 8" xfId="46529"/>
    <cellStyle name="Normal 4 5 5" xfId="1960"/>
    <cellStyle name="Normal 4 5 5 2" xfId="5205"/>
    <cellStyle name="Normal 4 5 5 2 2" xfId="11737"/>
    <cellStyle name="Normal 4 5 5 2 2 2" xfId="31210"/>
    <cellStyle name="Normal 4 5 5 2 2 3" xfId="44190"/>
    <cellStyle name="Normal 4 5 5 2 2 4" xfId="60419"/>
    <cellStyle name="Normal 4 5 5 2 3" xfId="18230"/>
    <cellStyle name="Normal 4 5 5 2 4" xfId="24720"/>
    <cellStyle name="Normal 4 5 5 2 5" xfId="37700"/>
    <cellStyle name="Normal 4 5 5 2 6" xfId="53929"/>
    <cellStyle name="Normal 4 5 5 3" xfId="8492"/>
    <cellStyle name="Normal 4 5 5 3 2" xfId="27965"/>
    <cellStyle name="Normal 4 5 5 3 3" xfId="40945"/>
    <cellStyle name="Normal 4 5 5 3 4" xfId="57174"/>
    <cellStyle name="Normal 4 5 5 4" xfId="14985"/>
    <cellStyle name="Normal 4 5 5 4 2" xfId="50684"/>
    <cellStyle name="Normal 4 5 5 5" xfId="21475"/>
    <cellStyle name="Normal 4 5 5 6" xfId="34455"/>
    <cellStyle name="Normal 4 5 5 7" xfId="47438"/>
    <cellStyle name="Normal 4 5 6" xfId="3581"/>
    <cellStyle name="Normal 4 5 6 2" xfId="10113"/>
    <cellStyle name="Normal 4 5 6 2 2" xfId="29586"/>
    <cellStyle name="Normal 4 5 6 2 3" xfId="42566"/>
    <cellStyle name="Normal 4 5 6 2 4" xfId="58795"/>
    <cellStyle name="Normal 4 5 6 3" xfId="16606"/>
    <cellStyle name="Normal 4 5 6 4" xfId="23096"/>
    <cellStyle name="Normal 4 5 6 5" xfId="36076"/>
    <cellStyle name="Normal 4 5 6 6" xfId="52305"/>
    <cellStyle name="Normal 4 5 7" xfId="6868"/>
    <cellStyle name="Normal 4 5 7 2" xfId="26341"/>
    <cellStyle name="Normal 4 5 7 3" xfId="39321"/>
    <cellStyle name="Normal 4 5 7 4" xfId="55550"/>
    <cellStyle name="Normal 4 5 8" xfId="13361"/>
    <cellStyle name="Normal 4 5 8 2" xfId="49060"/>
    <cellStyle name="Normal 4 5 9" xfId="19851"/>
    <cellStyle name="Normal 4 6" xfId="619"/>
    <cellStyle name="Normal 4 6 10" xfId="46142"/>
    <cellStyle name="Normal 4 6 2" xfId="1338"/>
    <cellStyle name="Normal 4 6 2 2" xfId="3005"/>
    <cellStyle name="Normal 4 6 2 2 2" xfId="6250"/>
    <cellStyle name="Normal 4 6 2 2 2 2" xfId="12782"/>
    <cellStyle name="Normal 4 6 2 2 2 2 2" xfId="32255"/>
    <cellStyle name="Normal 4 6 2 2 2 2 3" xfId="45235"/>
    <cellStyle name="Normal 4 6 2 2 2 2 4" xfId="61464"/>
    <cellStyle name="Normal 4 6 2 2 2 3" xfId="19275"/>
    <cellStyle name="Normal 4 6 2 2 2 4" xfId="25765"/>
    <cellStyle name="Normal 4 6 2 2 2 5" xfId="38745"/>
    <cellStyle name="Normal 4 6 2 2 2 6" xfId="54974"/>
    <cellStyle name="Normal 4 6 2 2 3" xfId="9537"/>
    <cellStyle name="Normal 4 6 2 2 3 2" xfId="29010"/>
    <cellStyle name="Normal 4 6 2 2 3 3" xfId="41990"/>
    <cellStyle name="Normal 4 6 2 2 3 4" xfId="58219"/>
    <cellStyle name="Normal 4 6 2 2 4" xfId="16030"/>
    <cellStyle name="Normal 4 6 2 2 4 2" xfId="51729"/>
    <cellStyle name="Normal 4 6 2 2 5" xfId="22520"/>
    <cellStyle name="Normal 4 6 2 2 6" xfId="35500"/>
    <cellStyle name="Normal 4 6 2 2 7" xfId="48483"/>
    <cellStyle name="Normal 4 6 2 3" xfId="4627"/>
    <cellStyle name="Normal 4 6 2 3 2" xfId="11159"/>
    <cellStyle name="Normal 4 6 2 3 2 2" xfId="30632"/>
    <cellStyle name="Normal 4 6 2 3 2 3" xfId="43612"/>
    <cellStyle name="Normal 4 6 2 3 2 4" xfId="59841"/>
    <cellStyle name="Normal 4 6 2 3 3" xfId="17652"/>
    <cellStyle name="Normal 4 6 2 3 4" xfId="24142"/>
    <cellStyle name="Normal 4 6 2 3 5" xfId="37122"/>
    <cellStyle name="Normal 4 6 2 3 6" xfId="53351"/>
    <cellStyle name="Normal 4 6 2 4" xfId="7914"/>
    <cellStyle name="Normal 4 6 2 4 2" xfId="27387"/>
    <cellStyle name="Normal 4 6 2 4 3" xfId="40367"/>
    <cellStyle name="Normal 4 6 2 4 4" xfId="56596"/>
    <cellStyle name="Normal 4 6 2 5" xfId="14407"/>
    <cellStyle name="Normal 4 6 2 5 2" xfId="50106"/>
    <cellStyle name="Normal 4 6 2 6" xfId="20897"/>
    <cellStyle name="Normal 4 6 2 7" xfId="33877"/>
    <cellStyle name="Normal 4 6 2 8" xfId="46860"/>
    <cellStyle name="Normal 4 6 3" xfId="874"/>
    <cellStyle name="Normal 4 6 3 2" xfId="2542"/>
    <cellStyle name="Normal 4 6 3 2 2" xfId="5787"/>
    <cellStyle name="Normal 4 6 3 2 2 2" xfId="12319"/>
    <cellStyle name="Normal 4 6 3 2 2 2 2" xfId="31792"/>
    <cellStyle name="Normal 4 6 3 2 2 2 3" xfId="44772"/>
    <cellStyle name="Normal 4 6 3 2 2 2 4" xfId="61001"/>
    <cellStyle name="Normal 4 6 3 2 2 3" xfId="18812"/>
    <cellStyle name="Normal 4 6 3 2 2 4" xfId="25302"/>
    <cellStyle name="Normal 4 6 3 2 2 5" xfId="38282"/>
    <cellStyle name="Normal 4 6 3 2 2 6" xfId="54511"/>
    <cellStyle name="Normal 4 6 3 2 3" xfId="9074"/>
    <cellStyle name="Normal 4 6 3 2 3 2" xfId="28547"/>
    <cellStyle name="Normal 4 6 3 2 3 3" xfId="41527"/>
    <cellStyle name="Normal 4 6 3 2 3 4" xfId="57756"/>
    <cellStyle name="Normal 4 6 3 2 4" xfId="15567"/>
    <cellStyle name="Normal 4 6 3 2 4 2" xfId="51266"/>
    <cellStyle name="Normal 4 6 3 2 5" xfId="22057"/>
    <cellStyle name="Normal 4 6 3 2 6" xfId="35037"/>
    <cellStyle name="Normal 4 6 3 2 7" xfId="48020"/>
    <cellStyle name="Normal 4 6 3 3" xfId="4164"/>
    <cellStyle name="Normal 4 6 3 3 2" xfId="10696"/>
    <cellStyle name="Normal 4 6 3 3 2 2" xfId="30169"/>
    <cellStyle name="Normal 4 6 3 3 2 3" xfId="43149"/>
    <cellStyle name="Normal 4 6 3 3 2 4" xfId="59378"/>
    <cellStyle name="Normal 4 6 3 3 3" xfId="17189"/>
    <cellStyle name="Normal 4 6 3 3 4" xfId="23679"/>
    <cellStyle name="Normal 4 6 3 3 5" xfId="36659"/>
    <cellStyle name="Normal 4 6 3 3 6" xfId="52888"/>
    <cellStyle name="Normal 4 6 3 4" xfId="7451"/>
    <cellStyle name="Normal 4 6 3 4 2" xfId="26924"/>
    <cellStyle name="Normal 4 6 3 4 3" xfId="39904"/>
    <cellStyle name="Normal 4 6 3 4 4" xfId="56133"/>
    <cellStyle name="Normal 4 6 3 5" xfId="13944"/>
    <cellStyle name="Normal 4 6 3 5 2" xfId="49643"/>
    <cellStyle name="Normal 4 6 3 6" xfId="20434"/>
    <cellStyle name="Normal 4 6 3 7" xfId="33414"/>
    <cellStyle name="Normal 4 6 3 8" xfId="46397"/>
    <cellStyle name="Normal 4 6 4" xfId="2287"/>
    <cellStyle name="Normal 4 6 4 2" xfId="5532"/>
    <cellStyle name="Normal 4 6 4 2 2" xfId="12064"/>
    <cellStyle name="Normal 4 6 4 2 2 2" xfId="31537"/>
    <cellStyle name="Normal 4 6 4 2 2 3" xfId="44517"/>
    <cellStyle name="Normal 4 6 4 2 2 4" xfId="60746"/>
    <cellStyle name="Normal 4 6 4 2 3" xfId="18557"/>
    <cellStyle name="Normal 4 6 4 2 4" xfId="25047"/>
    <cellStyle name="Normal 4 6 4 2 5" xfId="38027"/>
    <cellStyle name="Normal 4 6 4 2 6" xfId="54256"/>
    <cellStyle name="Normal 4 6 4 3" xfId="8819"/>
    <cellStyle name="Normal 4 6 4 3 2" xfId="28292"/>
    <cellStyle name="Normal 4 6 4 3 3" xfId="41272"/>
    <cellStyle name="Normal 4 6 4 3 4" xfId="57501"/>
    <cellStyle name="Normal 4 6 4 4" xfId="15312"/>
    <cellStyle name="Normal 4 6 4 4 2" xfId="51011"/>
    <cellStyle name="Normal 4 6 4 5" xfId="21802"/>
    <cellStyle name="Normal 4 6 4 6" xfId="34782"/>
    <cellStyle name="Normal 4 6 4 7" xfId="47765"/>
    <cellStyle name="Normal 4 6 5" xfId="3909"/>
    <cellStyle name="Normal 4 6 5 2" xfId="10441"/>
    <cellStyle name="Normal 4 6 5 2 2" xfId="29914"/>
    <cellStyle name="Normal 4 6 5 2 3" xfId="42894"/>
    <cellStyle name="Normal 4 6 5 2 4" xfId="59123"/>
    <cellStyle name="Normal 4 6 5 3" xfId="16934"/>
    <cellStyle name="Normal 4 6 5 4" xfId="23424"/>
    <cellStyle name="Normal 4 6 5 5" xfId="36404"/>
    <cellStyle name="Normal 4 6 5 6" xfId="52633"/>
    <cellStyle name="Normal 4 6 6" xfId="7196"/>
    <cellStyle name="Normal 4 6 6 2" xfId="26669"/>
    <cellStyle name="Normal 4 6 6 3" xfId="39649"/>
    <cellStyle name="Normal 4 6 6 4" xfId="55878"/>
    <cellStyle name="Normal 4 6 7" xfId="13689"/>
    <cellStyle name="Normal 4 6 7 2" xfId="49388"/>
    <cellStyle name="Normal 4 6 8" xfId="20179"/>
    <cellStyle name="Normal 4 6 9" xfId="33159"/>
    <cellStyle name="Normal 4 7" xfId="389"/>
    <cellStyle name="Normal 4 7 10" xfId="45912"/>
    <cellStyle name="Normal 4 7 2" xfId="1558"/>
    <cellStyle name="Normal 4 7 2 2" xfId="3225"/>
    <cellStyle name="Normal 4 7 2 2 2" xfId="6470"/>
    <cellStyle name="Normal 4 7 2 2 2 2" xfId="13002"/>
    <cellStyle name="Normal 4 7 2 2 2 2 2" xfId="32475"/>
    <cellStyle name="Normal 4 7 2 2 2 2 3" xfId="45455"/>
    <cellStyle name="Normal 4 7 2 2 2 2 4" xfId="61684"/>
    <cellStyle name="Normal 4 7 2 2 2 3" xfId="19495"/>
    <cellStyle name="Normal 4 7 2 2 2 4" xfId="25985"/>
    <cellStyle name="Normal 4 7 2 2 2 5" xfId="38965"/>
    <cellStyle name="Normal 4 7 2 2 2 6" xfId="55194"/>
    <cellStyle name="Normal 4 7 2 2 3" xfId="9757"/>
    <cellStyle name="Normal 4 7 2 2 3 2" xfId="29230"/>
    <cellStyle name="Normal 4 7 2 2 3 3" xfId="42210"/>
    <cellStyle name="Normal 4 7 2 2 3 4" xfId="58439"/>
    <cellStyle name="Normal 4 7 2 2 4" xfId="16250"/>
    <cellStyle name="Normal 4 7 2 2 4 2" xfId="51949"/>
    <cellStyle name="Normal 4 7 2 2 5" xfId="22740"/>
    <cellStyle name="Normal 4 7 2 2 6" xfId="35720"/>
    <cellStyle name="Normal 4 7 2 2 7" xfId="48703"/>
    <cellStyle name="Normal 4 7 2 3" xfId="4847"/>
    <cellStyle name="Normal 4 7 2 3 2" xfId="11379"/>
    <cellStyle name="Normal 4 7 2 3 2 2" xfId="30852"/>
    <cellStyle name="Normal 4 7 2 3 2 3" xfId="43832"/>
    <cellStyle name="Normal 4 7 2 3 2 4" xfId="60061"/>
    <cellStyle name="Normal 4 7 2 3 3" xfId="17872"/>
    <cellStyle name="Normal 4 7 2 3 4" xfId="24362"/>
    <cellStyle name="Normal 4 7 2 3 5" xfId="37342"/>
    <cellStyle name="Normal 4 7 2 3 6" xfId="53571"/>
    <cellStyle name="Normal 4 7 2 4" xfId="8134"/>
    <cellStyle name="Normal 4 7 2 4 2" xfId="27607"/>
    <cellStyle name="Normal 4 7 2 4 3" xfId="40587"/>
    <cellStyle name="Normal 4 7 2 4 4" xfId="56816"/>
    <cellStyle name="Normal 4 7 2 5" xfId="14627"/>
    <cellStyle name="Normal 4 7 2 5 2" xfId="50326"/>
    <cellStyle name="Normal 4 7 2 6" xfId="21117"/>
    <cellStyle name="Normal 4 7 2 7" xfId="34097"/>
    <cellStyle name="Normal 4 7 2 8" xfId="47080"/>
    <cellStyle name="Normal 4 7 3" xfId="1095"/>
    <cellStyle name="Normal 4 7 3 2" xfId="2762"/>
    <cellStyle name="Normal 4 7 3 2 2" xfId="6007"/>
    <cellStyle name="Normal 4 7 3 2 2 2" xfId="12539"/>
    <cellStyle name="Normal 4 7 3 2 2 2 2" xfId="32012"/>
    <cellStyle name="Normal 4 7 3 2 2 2 3" xfId="44992"/>
    <cellStyle name="Normal 4 7 3 2 2 2 4" xfId="61221"/>
    <cellStyle name="Normal 4 7 3 2 2 3" xfId="19032"/>
    <cellStyle name="Normal 4 7 3 2 2 4" xfId="25522"/>
    <cellStyle name="Normal 4 7 3 2 2 5" xfId="38502"/>
    <cellStyle name="Normal 4 7 3 2 2 6" xfId="54731"/>
    <cellStyle name="Normal 4 7 3 2 3" xfId="9294"/>
    <cellStyle name="Normal 4 7 3 2 3 2" xfId="28767"/>
    <cellStyle name="Normal 4 7 3 2 3 3" xfId="41747"/>
    <cellStyle name="Normal 4 7 3 2 3 4" xfId="57976"/>
    <cellStyle name="Normal 4 7 3 2 4" xfId="15787"/>
    <cellStyle name="Normal 4 7 3 2 4 2" xfId="51486"/>
    <cellStyle name="Normal 4 7 3 2 5" xfId="22277"/>
    <cellStyle name="Normal 4 7 3 2 6" xfId="35257"/>
    <cellStyle name="Normal 4 7 3 2 7" xfId="48240"/>
    <cellStyle name="Normal 4 7 3 3" xfId="4384"/>
    <cellStyle name="Normal 4 7 3 3 2" xfId="10916"/>
    <cellStyle name="Normal 4 7 3 3 2 2" xfId="30389"/>
    <cellStyle name="Normal 4 7 3 3 2 3" xfId="43369"/>
    <cellStyle name="Normal 4 7 3 3 2 4" xfId="59598"/>
    <cellStyle name="Normal 4 7 3 3 3" xfId="17409"/>
    <cellStyle name="Normal 4 7 3 3 4" xfId="23899"/>
    <cellStyle name="Normal 4 7 3 3 5" xfId="36879"/>
    <cellStyle name="Normal 4 7 3 3 6" xfId="53108"/>
    <cellStyle name="Normal 4 7 3 4" xfId="7671"/>
    <cellStyle name="Normal 4 7 3 4 2" xfId="27144"/>
    <cellStyle name="Normal 4 7 3 4 3" xfId="40124"/>
    <cellStyle name="Normal 4 7 3 4 4" xfId="56353"/>
    <cellStyle name="Normal 4 7 3 5" xfId="14164"/>
    <cellStyle name="Normal 4 7 3 5 2" xfId="49863"/>
    <cellStyle name="Normal 4 7 3 6" xfId="20654"/>
    <cellStyle name="Normal 4 7 3 7" xfId="33634"/>
    <cellStyle name="Normal 4 7 3 8" xfId="46617"/>
    <cellStyle name="Normal 4 7 4" xfId="2057"/>
    <cellStyle name="Normal 4 7 4 2" xfId="5302"/>
    <cellStyle name="Normal 4 7 4 2 2" xfId="11834"/>
    <cellStyle name="Normal 4 7 4 2 2 2" xfId="31307"/>
    <cellStyle name="Normal 4 7 4 2 2 3" xfId="44287"/>
    <cellStyle name="Normal 4 7 4 2 2 4" xfId="60516"/>
    <cellStyle name="Normal 4 7 4 2 3" xfId="18327"/>
    <cellStyle name="Normal 4 7 4 2 4" xfId="24817"/>
    <cellStyle name="Normal 4 7 4 2 5" xfId="37797"/>
    <cellStyle name="Normal 4 7 4 2 6" xfId="54026"/>
    <cellStyle name="Normal 4 7 4 3" xfId="8589"/>
    <cellStyle name="Normal 4 7 4 3 2" xfId="28062"/>
    <cellStyle name="Normal 4 7 4 3 3" xfId="41042"/>
    <cellStyle name="Normal 4 7 4 3 4" xfId="57271"/>
    <cellStyle name="Normal 4 7 4 4" xfId="15082"/>
    <cellStyle name="Normal 4 7 4 4 2" xfId="50781"/>
    <cellStyle name="Normal 4 7 4 5" xfId="21572"/>
    <cellStyle name="Normal 4 7 4 6" xfId="34552"/>
    <cellStyle name="Normal 4 7 4 7" xfId="47535"/>
    <cellStyle name="Normal 4 7 5" xfId="3679"/>
    <cellStyle name="Normal 4 7 5 2" xfId="10211"/>
    <cellStyle name="Normal 4 7 5 2 2" xfId="29684"/>
    <cellStyle name="Normal 4 7 5 2 3" xfId="42664"/>
    <cellStyle name="Normal 4 7 5 2 4" xfId="58893"/>
    <cellStyle name="Normal 4 7 5 3" xfId="16704"/>
    <cellStyle name="Normal 4 7 5 4" xfId="23194"/>
    <cellStyle name="Normal 4 7 5 5" xfId="36174"/>
    <cellStyle name="Normal 4 7 5 6" xfId="52403"/>
    <cellStyle name="Normal 4 7 6" xfId="6966"/>
    <cellStyle name="Normal 4 7 6 2" xfId="26439"/>
    <cellStyle name="Normal 4 7 6 3" xfId="39419"/>
    <cellStyle name="Normal 4 7 6 4" xfId="55648"/>
    <cellStyle name="Normal 4 7 7" xfId="13459"/>
    <cellStyle name="Normal 4 7 7 2" xfId="49158"/>
    <cellStyle name="Normal 4 7 8" xfId="19949"/>
    <cellStyle name="Normal 4 7 9" xfId="32929"/>
    <cellStyle name="Normal 4 8" xfId="1315"/>
    <cellStyle name="Normal 4 8 2" xfId="2982"/>
    <cellStyle name="Normal 4 8 2 2" xfId="6227"/>
    <cellStyle name="Normal 4 8 2 2 2" xfId="12759"/>
    <cellStyle name="Normal 4 8 2 2 2 2" xfId="32232"/>
    <cellStyle name="Normal 4 8 2 2 2 3" xfId="45212"/>
    <cellStyle name="Normal 4 8 2 2 2 4" xfId="61441"/>
    <cellStyle name="Normal 4 8 2 2 3" xfId="19252"/>
    <cellStyle name="Normal 4 8 2 2 4" xfId="25742"/>
    <cellStyle name="Normal 4 8 2 2 5" xfId="38722"/>
    <cellStyle name="Normal 4 8 2 2 6" xfId="54951"/>
    <cellStyle name="Normal 4 8 2 3" xfId="9514"/>
    <cellStyle name="Normal 4 8 2 3 2" xfId="28987"/>
    <cellStyle name="Normal 4 8 2 3 3" xfId="41967"/>
    <cellStyle name="Normal 4 8 2 3 4" xfId="58196"/>
    <cellStyle name="Normal 4 8 2 4" xfId="16007"/>
    <cellStyle name="Normal 4 8 2 4 2" xfId="51706"/>
    <cellStyle name="Normal 4 8 2 5" xfId="22497"/>
    <cellStyle name="Normal 4 8 2 6" xfId="35477"/>
    <cellStyle name="Normal 4 8 2 7" xfId="48460"/>
    <cellStyle name="Normal 4 8 3" xfId="4604"/>
    <cellStyle name="Normal 4 8 3 2" xfId="11136"/>
    <cellStyle name="Normal 4 8 3 2 2" xfId="30609"/>
    <cellStyle name="Normal 4 8 3 2 3" xfId="43589"/>
    <cellStyle name="Normal 4 8 3 2 4" xfId="59818"/>
    <cellStyle name="Normal 4 8 3 3" xfId="17629"/>
    <cellStyle name="Normal 4 8 3 4" xfId="24119"/>
    <cellStyle name="Normal 4 8 3 5" xfId="37099"/>
    <cellStyle name="Normal 4 8 3 6" xfId="53328"/>
    <cellStyle name="Normal 4 8 4" xfId="7891"/>
    <cellStyle name="Normal 4 8 4 2" xfId="27364"/>
    <cellStyle name="Normal 4 8 4 3" xfId="40344"/>
    <cellStyle name="Normal 4 8 4 4" xfId="56573"/>
    <cellStyle name="Normal 4 8 5" xfId="14384"/>
    <cellStyle name="Normal 4 8 5 2" xfId="50083"/>
    <cellStyle name="Normal 4 8 6" xfId="20874"/>
    <cellStyle name="Normal 4 8 7" xfId="33854"/>
    <cellStyle name="Normal 4 8 8" xfId="46837"/>
    <cellStyle name="Normal 4 9" xfId="851"/>
    <cellStyle name="Normal 4 9 2" xfId="2519"/>
    <cellStyle name="Normal 4 9 2 2" xfId="5764"/>
    <cellStyle name="Normal 4 9 2 2 2" xfId="12296"/>
    <cellStyle name="Normal 4 9 2 2 2 2" xfId="31769"/>
    <cellStyle name="Normal 4 9 2 2 2 3" xfId="44749"/>
    <cellStyle name="Normal 4 9 2 2 2 4" xfId="60978"/>
    <cellStyle name="Normal 4 9 2 2 3" xfId="18789"/>
    <cellStyle name="Normal 4 9 2 2 4" xfId="25279"/>
    <cellStyle name="Normal 4 9 2 2 5" xfId="38259"/>
    <cellStyle name="Normal 4 9 2 2 6" xfId="54488"/>
    <cellStyle name="Normal 4 9 2 3" xfId="9051"/>
    <cellStyle name="Normal 4 9 2 3 2" xfId="28524"/>
    <cellStyle name="Normal 4 9 2 3 3" xfId="41504"/>
    <cellStyle name="Normal 4 9 2 3 4" xfId="57733"/>
    <cellStyle name="Normal 4 9 2 4" xfId="15544"/>
    <cellStyle name="Normal 4 9 2 4 2" xfId="51243"/>
    <cellStyle name="Normal 4 9 2 5" xfId="22034"/>
    <cellStyle name="Normal 4 9 2 6" xfId="35014"/>
    <cellStyle name="Normal 4 9 2 7" xfId="47997"/>
    <cellStyle name="Normal 4 9 3" xfId="4141"/>
    <cellStyle name="Normal 4 9 3 2" xfId="10673"/>
    <cellStyle name="Normal 4 9 3 2 2" xfId="30146"/>
    <cellStyle name="Normal 4 9 3 2 3" xfId="43126"/>
    <cellStyle name="Normal 4 9 3 2 4" xfId="59355"/>
    <cellStyle name="Normal 4 9 3 3" xfId="17166"/>
    <cellStyle name="Normal 4 9 3 4" xfId="23656"/>
    <cellStyle name="Normal 4 9 3 5" xfId="36636"/>
    <cellStyle name="Normal 4 9 3 6" xfId="52865"/>
    <cellStyle name="Normal 4 9 4" xfId="7428"/>
    <cellStyle name="Normal 4 9 4 2" xfId="26901"/>
    <cellStyle name="Normal 4 9 4 3" xfId="39881"/>
    <cellStyle name="Normal 4 9 4 4" xfId="56110"/>
    <cellStyle name="Normal 4 9 5" xfId="13921"/>
    <cellStyle name="Normal 4 9 5 2" xfId="49620"/>
    <cellStyle name="Normal 4 9 6" xfId="20411"/>
    <cellStyle name="Normal 4 9 7" xfId="33391"/>
    <cellStyle name="Normal 4 9 8" xfId="46374"/>
    <cellStyle name="Normal 40" xfId="17"/>
    <cellStyle name="Normal 41" xfId="18"/>
    <cellStyle name="Normal 42" xfId="23"/>
    <cellStyle name="Normal 5" xfId="127"/>
    <cellStyle name="Normal 5 10" xfId="1829"/>
    <cellStyle name="Normal 5 10 2" xfId="5075"/>
    <cellStyle name="Normal 5 10 2 2" xfId="11607"/>
    <cellStyle name="Normal 5 10 2 2 2" xfId="31080"/>
    <cellStyle name="Normal 5 10 2 2 3" xfId="44060"/>
    <cellStyle name="Normal 5 10 2 2 4" xfId="60289"/>
    <cellStyle name="Normal 5 10 2 3" xfId="18100"/>
    <cellStyle name="Normal 5 10 2 4" xfId="24590"/>
    <cellStyle name="Normal 5 10 2 5" xfId="37570"/>
    <cellStyle name="Normal 5 10 2 6" xfId="53799"/>
    <cellStyle name="Normal 5 10 3" xfId="8362"/>
    <cellStyle name="Normal 5 10 3 2" xfId="27835"/>
    <cellStyle name="Normal 5 10 3 3" xfId="40815"/>
    <cellStyle name="Normal 5 10 3 4" xfId="57044"/>
    <cellStyle name="Normal 5 10 4" xfId="14855"/>
    <cellStyle name="Normal 5 10 4 2" xfId="50554"/>
    <cellStyle name="Normal 5 10 5" xfId="21345"/>
    <cellStyle name="Normal 5 10 6" xfId="34325"/>
    <cellStyle name="Normal 5 10 7" xfId="47308"/>
    <cellStyle name="Normal 5 11" xfId="3451"/>
    <cellStyle name="Normal 5 11 2" xfId="9983"/>
    <cellStyle name="Normal 5 11 2 2" xfId="29456"/>
    <cellStyle name="Normal 5 11 2 3" xfId="42436"/>
    <cellStyle name="Normal 5 11 2 4" xfId="58665"/>
    <cellStyle name="Normal 5 11 3" xfId="16476"/>
    <cellStyle name="Normal 5 11 4" xfId="22966"/>
    <cellStyle name="Normal 5 11 5" xfId="35946"/>
    <cellStyle name="Normal 5 11 6" xfId="52175"/>
    <cellStyle name="Normal 5 12" xfId="6738"/>
    <cellStyle name="Normal 5 12 2" xfId="26211"/>
    <cellStyle name="Normal 5 12 3" xfId="39191"/>
    <cellStyle name="Normal 5 12 4" xfId="55420"/>
    <cellStyle name="Normal 5 13" xfId="13231"/>
    <cellStyle name="Normal 5 13 2" xfId="48930"/>
    <cellStyle name="Normal 5 14" xfId="19721"/>
    <cellStyle name="Normal 5 15" xfId="32701"/>
    <cellStyle name="Normal 5 16" xfId="45684"/>
    <cellStyle name="Normal 5 17" xfId="61957"/>
    <cellStyle name="Normal 5 2" xfId="178"/>
    <cellStyle name="Normal 5 2 10" xfId="6760"/>
    <cellStyle name="Normal 5 2 10 2" xfId="26233"/>
    <cellStyle name="Normal 5 2 10 3" xfId="39213"/>
    <cellStyle name="Normal 5 2 10 4" xfId="55442"/>
    <cellStyle name="Normal 5 2 11" xfId="13253"/>
    <cellStyle name="Normal 5 2 11 2" xfId="48952"/>
    <cellStyle name="Normal 5 2 12" xfId="19743"/>
    <cellStyle name="Normal 5 2 13" xfId="32723"/>
    <cellStyle name="Normal 5 2 14" xfId="45706"/>
    <cellStyle name="Normal 5 2 15" xfId="61959"/>
    <cellStyle name="Normal 5 2 2" xfId="267"/>
    <cellStyle name="Normal 5 2 2 10" xfId="19831"/>
    <cellStyle name="Normal 5 2 2 11" xfId="32811"/>
    <cellStyle name="Normal 5 2 2 12" xfId="45794"/>
    <cellStyle name="Normal 5 2 2 13" xfId="61983"/>
    <cellStyle name="Normal 5 2 2 2" xfId="355"/>
    <cellStyle name="Normal 5 2 2 2 10" xfId="32899"/>
    <cellStyle name="Normal 5 2 2 2 11" xfId="45882"/>
    <cellStyle name="Normal 5 2 2 2 2" xfId="819"/>
    <cellStyle name="Normal 5 2 2 2 2 10" xfId="46342"/>
    <cellStyle name="Normal 5 2 2 2 2 2" xfId="1758"/>
    <cellStyle name="Normal 5 2 2 2 2 2 2" xfId="3425"/>
    <cellStyle name="Normal 5 2 2 2 2 2 2 2" xfId="6670"/>
    <cellStyle name="Normal 5 2 2 2 2 2 2 2 2" xfId="13202"/>
    <cellStyle name="Normal 5 2 2 2 2 2 2 2 2 2" xfId="32675"/>
    <cellStyle name="Normal 5 2 2 2 2 2 2 2 2 3" xfId="45655"/>
    <cellStyle name="Normal 5 2 2 2 2 2 2 2 2 4" xfId="61884"/>
    <cellStyle name="Normal 5 2 2 2 2 2 2 2 3" xfId="19695"/>
    <cellStyle name="Normal 5 2 2 2 2 2 2 2 4" xfId="26185"/>
    <cellStyle name="Normal 5 2 2 2 2 2 2 2 5" xfId="39165"/>
    <cellStyle name="Normal 5 2 2 2 2 2 2 2 6" xfId="55394"/>
    <cellStyle name="Normal 5 2 2 2 2 2 2 3" xfId="9957"/>
    <cellStyle name="Normal 5 2 2 2 2 2 2 3 2" xfId="29430"/>
    <cellStyle name="Normal 5 2 2 2 2 2 2 3 3" xfId="42410"/>
    <cellStyle name="Normal 5 2 2 2 2 2 2 3 4" xfId="58639"/>
    <cellStyle name="Normal 5 2 2 2 2 2 2 4" xfId="16450"/>
    <cellStyle name="Normal 5 2 2 2 2 2 2 4 2" xfId="52149"/>
    <cellStyle name="Normal 5 2 2 2 2 2 2 5" xfId="22940"/>
    <cellStyle name="Normal 5 2 2 2 2 2 2 6" xfId="35920"/>
    <cellStyle name="Normal 5 2 2 2 2 2 2 7" xfId="48903"/>
    <cellStyle name="Normal 5 2 2 2 2 2 3" xfId="5047"/>
    <cellStyle name="Normal 5 2 2 2 2 2 3 2" xfId="11579"/>
    <cellStyle name="Normal 5 2 2 2 2 2 3 2 2" xfId="31052"/>
    <cellStyle name="Normal 5 2 2 2 2 2 3 2 3" xfId="44032"/>
    <cellStyle name="Normal 5 2 2 2 2 2 3 2 4" xfId="60261"/>
    <cellStyle name="Normal 5 2 2 2 2 2 3 3" xfId="18072"/>
    <cellStyle name="Normal 5 2 2 2 2 2 3 4" xfId="24562"/>
    <cellStyle name="Normal 5 2 2 2 2 2 3 5" xfId="37542"/>
    <cellStyle name="Normal 5 2 2 2 2 2 3 6" xfId="53771"/>
    <cellStyle name="Normal 5 2 2 2 2 2 4" xfId="8334"/>
    <cellStyle name="Normal 5 2 2 2 2 2 4 2" xfId="27807"/>
    <cellStyle name="Normal 5 2 2 2 2 2 4 3" xfId="40787"/>
    <cellStyle name="Normal 5 2 2 2 2 2 4 4" xfId="57016"/>
    <cellStyle name="Normal 5 2 2 2 2 2 5" xfId="14827"/>
    <cellStyle name="Normal 5 2 2 2 2 2 5 2" xfId="50526"/>
    <cellStyle name="Normal 5 2 2 2 2 2 6" xfId="21317"/>
    <cellStyle name="Normal 5 2 2 2 2 2 7" xfId="34297"/>
    <cellStyle name="Normal 5 2 2 2 2 2 8" xfId="47280"/>
    <cellStyle name="Normal 5 2 2 2 2 3" xfId="1295"/>
    <cellStyle name="Normal 5 2 2 2 2 3 2" xfId="2962"/>
    <cellStyle name="Normal 5 2 2 2 2 3 2 2" xfId="6207"/>
    <cellStyle name="Normal 5 2 2 2 2 3 2 2 2" xfId="12739"/>
    <cellStyle name="Normal 5 2 2 2 2 3 2 2 2 2" xfId="32212"/>
    <cellStyle name="Normal 5 2 2 2 2 3 2 2 2 3" xfId="45192"/>
    <cellStyle name="Normal 5 2 2 2 2 3 2 2 2 4" xfId="61421"/>
    <cellStyle name="Normal 5 2 2 2 2 3 2 2 3" xfId="19232"/>
    <cellStyle name="Normal 5 2 2 2 2 3 2 2 4" xfId="25722"/>
    <cellStyle name="Normal 5 2 2 2 2 3 2 2 5" xfId="38702"/>
    <cellStyle name="Normal 5 2 2 2 2 3 2 2 6" xfId="54931"/>
    <cellStyle name="Normal 5 2 2 2 2 3 2 3" xfId="9494"/>
    <cellStyle name="Normal 5 2 2 2 2 3 2 3 2" xfId="28967"/>
    <cellStyle name="Normal 5 2 2 2 2 3 2 3 3" xfId="41947"/>
    <cellStyle name="Normal 5 2 2 2 2 3 2 3 4" xfId="58176"/>
    <cellStyle name="Normal 5 2 2 2 2 3 2 4" xfId="15987"/>
    <cellStyle name="Normal 5 2 2 2 2 3 2 4 2" xfId="51686"/>
    <cellStyle name="Normal 5 2 2 2 2 3 2 5" xfId="22477"/>
    <cellStyle name="Normal 5 2 2 2 2 3 2 6" xfId="35457"/>
    <cellStyle name="Normal 5 2 2 2 2 3 2 7" xfId="48440"/>
    <cellStyle name="Normal 5 2 2 2 2 3 3" xfId="4584"/>
    <cellStyle name="Normal 5 2 2 2 2 3 3 2" xfId="11116"/>
    <cellStyle name="Normal 5 2 2 2 2 3 3 2 2" xfId="30589"/>
    <cellStyle name="Normal 5 2 2 2 2 3 3 2 3" xfId="43569"/>
    <cellStyle name="Normal 5 2 2 2 2 3 3 2 4" xfId="59798"/>
    <cellStyle name="Normal 5 2 2 2 2 3 3 3" xfId="17609"/>
    <cellStyle name="Normal 5 2 2 2 2 3 3 4" xfId="24099"/>
    <cellStyle name="Normal 5 2 2 2 2 3 3 5" xfId="37079"/>
    <cellStyle name="Normal 5 2 2 2 2 3 3 6" xfId="53308"/>
    <cellStyle name="Normal 5 2 2 2 2 3 4" xfId="7871"/>
    <cellStyle name="Normal 5 2 2 2 2 3 4 2" xfId="27344"/>
    <cellStyle name="Normal 5 2 2 2 2 3 4 3" xfId="40324"/>
    <cellStyle name="Normal 5 2 2 2 2 3 4 4" xfId="56553"/>
    <cellStyle name="Normal 5 2 2 2 2 3 5" xfId="14364"/>
    <cellStyle name="Normal 5 2 2 2 2 3 5 2" xfId="50063"/>
    <cellStyle name="Normal 5 2 2 2 2 3 6" xfId="20854"/>
    <cellStyle name="Normal 5 2 2 2 2 3 7" xfId="33834"/>
    <cellStyle name="Normal 5 2 2 2 2 3 8" xfId="46817"/>
    <cellStyle name="Normal 5 2 2 2 2 4" xfId="2487"/>
    <cellStyle name="Normal 5 2 2 2 2 4 2" xfId="5732"/>
    <cellStyle name="Normal 5 2 2 2 2 4 2 2" xfId="12264"/>
    <cellStyle name="Normal 5 2 2 2 2 4 2 2 2" xfId="31737"/>
    <cellStyle name="Normal 5 2 2 2 2 4 2 2 3" xfId="44717"/>
    <cellStyle name="Normal 5 2 2 2 2 4 2 2 4" xfId="60946"/>
    <cellStyle name="Normal 5 2 2 2 2 4 2 3" xfId="18757"/>
    <cellStyle name="Normal 5 2 2 2 2 4 2 4" xfId="25247"/>
    <cellStyle name="Normal 5 2 2 2 2 4 2 5" xfId="38227"/>
    <cellStyle name="Normal 5 2 2 2 2 4 2 6" xfId="54456"/>
    <cellStyle name="Normal 5 2 2 2 2 4 3" xfId="9019"/>
    <cellStyle name="Normal 5 2 2 2 2 4 3 2" xfId="28492"/>
    <cellStyle name="Normal 5 2 2 2 2 4 3 3" xfId="41472"/>
    <cellStyle name="Normal 5 2 2 2 2 4 3 4" xfId="57701"/>
    <cellStyle name="Normal 5 2 2 2 2 4 4" xfId="15512"/>
    <cellStyle name="Normal 5 2 2 2 2 4 4 2" xfId="51211"/>
    <cellStyle name="Normal 5 2 2 2 2 4 5" xfId="22002"/>
    <cellStyle name="Normal 5 2 2 2 2 4 6" xfId="34982"/>
    <cellStyle name="Normal 5 2 2 2 2 4 7" xfId="47965"/>
    <cellStyle name="Normal 5 2 2 2 2 5" xfId="4109"/>
    <cellStyle name="Normal 5 2 2 2 2 5 2" xfId="10641"/>
    <cellStyle name="Normal 5 2 2 2 2 5 2 2" xfId="30114"/>
    <cellStyle name="Normal 5 2 2 2 2 5 2 3" xfId="43094"/>
    <cellStyle name="Normal 5 2 2 2 2 5 2 4" xfId="59323"/>
    <cellStyle name="Normal 5 2 2 2 2 5 3" xfId="17134"/>
    <cellStyle name="Normal 5 2 2 2 2 5 4" xfId="23624"/>
    <cellStyle name="Normal 5 2 2 2 2 5 5" xfId="36604"/>
    <cellStyle name="Normal 5 2 2 2 2 5 6" xfId="52833"/>
    <cellStyle name="Normal 5 2 2 2 2 6" xfId="7396"/>
    <cellStyle name="Normal 5 2 2 2 2 6 2" xfId="26869"/>
    <cellStyle name="Normal 5 2 2 2 2 6 3" xfId="39849"/>
    <cellStyle name="Normal 5 2 2 2 2 6 4" xfId="56078"/>
    <cellStyle name="Normal 5 2 2 2 2 7" xfId="13889"/>
    <cellStyle name="Normal 5 2 2 2 2 7 2" xfId="49588"/>
    <cellStyle name="Normal 5 2 2 2 2 8" xfId="20379"/>
    <cellStyle name="Normal 5 2 2 2 2 9" xfId="33359"/>
    <cellStyle name="Normal 5 2 2 2 3" xfId="589"/>
    <cellStyle name="Normal 5 2 2 2 3 2" xfId="1538"/>
    <cellStyle name="Normal 5 2 2 2 3 2 2" xfId="3205"/>
    <cellStyle name="Normal 5 2 2 2 3 2 2 2" xfId="6450"/>
    <cellStyle name="Normal 5 2 2 2 3 2 2 2 2" xfId="12982"/>
    <cellStyle name="Normal 5 2 2 2 3 2 2 2 2 2" xfId="32455"/>
    <cellStyle name="Normal 5 2 2 2 3 2 2 2 2 3" xfId="45435"/>
    <cellStyle name="Normal 5 2 2 2 3 2 2 2 2 4" xfId="61664"/>
    <cellStyle name="Normal 5 2 2 2 3 2 2 2 3" xfId="19475"/>
    <cellStyle name="Normal 5 2 2 2 3 2 2 2 4" xfId="25965"/>
    <cellStyle name="Normal 5 2 2 2 3 2 2 2 5" xfId="38945"/>
    <cellStyle name="Normal 5 2 2 2 3 2 2 2 6" xfId="55174"/>
    <cellStyle name="Normal 5 2 2 2 3 2 2 3" xfId="9737"/>
    <cellStyle name="Normal 5 2 2 2 3 2 2 3 2" xfId="29210"/>
    <cellStyle name="Normal 5 2 2 2 3 2 2 3 3" xfId="42190"/>
    <cellStyle name="Normal 5 2 2 2 3 2 2 3 4" xfId="58419"/>
    <cellStyle name="Normal 5 2 2 2 3 2 2 4" xfId="16230"/>
    <cellStyle name="Normal 5 2 2 2 3 2 2 4 2" xfId="51929"/>
    <cellStyle name="Normal 5 2 2 2 3 2 2 5" xfId="22720"/>
    <cellStyle name="Normal 5 2 2 2 3 2 2 6" xfId="35700"/>
    <cellStyle name="Normal 5 2 2 2 3 2 2 7" xfId="48683"/>
    <cellStyle name="Normal 5 2 2 2 3 2 3" xfId="4827"/>
    <cellStyle name="Normal 5 2 2 2 3 2 3 2" xfId="11359"/>
    <cellStyle name="Normal 5 2 2 2 3 2 3 2 2" xfId="30832"/>
    <cellStyle name="Normal 5 2 2 2 3 2 3 2 3" xfId="43812"/>
    <cellStyle name="Normal 5 2 2 2 3 2 3 2 4" xfId="60041"/>
    <cellStyle name="Normal 5 2 2 2 3 2 3 3" xfId="17852"/>
    <cellStyle name="Normal 5 2 2 2 3 2 3 4" xfId="24342"/>
    <cellStyle name="Normal 5 2 2 2 3 2 3 5" xfId="37322"/>
    <cellStyle name="Normal 5 2 2 2 3 2 3 6" xfId="53551"/>
    <cellStyle name="Normal 5 2 2 2 3 2 4" xfId="8114"/>
    <cellStyle name="Normal 5 2 2 2 3 2 4 2" xfId="27587"/>
    <cellStyle name="Normal 5 2 2 2 3 2 4 3" xfId="40567"/>
    <cellStyle name="Normal 5 2 2 2 3 2 4 4" xfId="56796"/>
    <cellStyle name="Normal 5 2 2 2 3 2 5" xfId="14607"/>
    <cellStyle name="Normal 5 2 2 2 3 2 5 2" xfId="50306"/>
    <cellStyle name="Normal 5 2 2 2 3 2 6" xfId="21097"/>
    <cellStyle name="Normal 5 2 2 2 3 2 7" xfId="34077"/>
    <cellStyle name="Normal 5 2 2 2 3 2 8" xfId="47060"/>
    <cellStyle name="Normal 5 2 2 2 3 3" xfId="2257"/>
    <cellStyle name="Normal 5 2 2 2 3 3 2" xfId="5502"/>
    <cellStyle name="Normal 5 2 2 2 3 3 2 2" xfId="12034"/>
    <cellStyle name="Normal 5 2 2 2 3 3 2 2 2" xfId="31507"/>
    <cellStyle name="Normal 5 2 2 2 3 3 2 2 3" xfId="44487"/>
    <cellStyle name="Normal 5 2 2 2 3 3 2 2 4" xfId="60716"/>
    <cellStyle name="Normal 5 2 2 2 3 3 2 3" xfId="18527"/>
    <cellStyle name="Normal 5 2 2 2 3 3 2 4" xfId="25017"/>
    <cellStyle name="Normal 5 2 2 2 3 3 2 5" xfId="37997"/>
    <cellStyle name="Normal 5 2 2 2 3 3 2 6" xfId="54226"/>
    <cellStyle name="Normal 5 2 2 2 3 3 3" xfId="8789"/>
    <cellStyle name="Normal 5 2 2 2 3 3 3 2" xfId="28262"/>
    <cellStyle name="Normal 5 2 2 2 3 3 3 3" xfId="41242"/>
    <cellStyle name="Normal 5 2 2 2 3 3 3 4" xfId="57471"/>
    <cellStyle name="Normal 5 2 2 2 3 3 4" xfId="15282"/>
    <cellStyle name="Normal 5 2 2 2 3 3 4 2" xfId="50981"/>
    <cellStyle name="Normal 5 2 2 2 3 3 5" xfId="21772"/>
    <cellStyle name="Normal 5 2 2 2 3 3 6" xfId="34752"/>
    <cellStyle name="Normal 5 2 2 2 3 3 7" xfId="47735"/>
    <cellStyle name="Normal 5 2 2 2 3 4" xfId="3879"/>
    <cellStyle name="Normal 5 2 2 2 3 4 2" xfId="10411"/>
    <cellStyle name="Normal 5 2 2 2 3 4 2 2" xfId="29884"/>
    <cellStyle name="Normal 5 2 2 2 3 4 2 3" xfId="42864"/>
    <cellStyle name="Normal 5 2 2 2 3 4 2 4" xfId="59093"/>
    <cellStyle name="Normal 5 2 2 2 3 4 3" xfId="16904"/>
    <cellStyle name="Normal 5 2 2 2 3 4 4" xfId="23394"/>
    <cellStyle name="Normal 5 2 2 2 3 4 5" xfId="36374"/>
    <cellStyle name="Normal 5 2 2 2 3 4 6" xfId="52603"/>
    <cellStyle name="Normal 5 2 2 2 3 5" xfId="7166"/>
    <cellStyle name="Normal 5 2 2 2 3 5 2" xfId="26639"/>
    <cellStyle name="Normal 5 2 2 2 3 5 3" xfId="39619"/>
    <cellStyle name="Normal 5 2 2 2 3 5 4" xfId="55848"/>
    <cellStyle name="Normal 5 2 2 2 3 6" xfId="13659"/>
    <cellStyle name="Normal 5 2 2 2 3 6 2" xfId="49358"/>
    <cellStyle name="Normal 5 2 2 2 3 7" xfId="20149"/>
    <cellStyle name="Normal 5 2 2 2 3 8" xfId="33129"/>
    <cellStyle name="Normal 5 2 2 2 3 9" xfId="46112"/>
    <cellStyle name="Normal 5 2 2 2 4" xfId="1075"/>
    <cellStyle name="Normal 5 2 2 2 4 2" xfId="2742"/>
    <cellStyle name="Normal 5 2 2 2 4 2 2" xfId="5987"/>
    <cellStyle name="Normal 5 2 2 2 4 2 2 2" xfId="12519"/>
    <cellStyle name="Normal 5 2 2 2 4 2 2 2 2" xfId="31992"/>
    <cellStyle name="Normal 5 2 2 2 4 2 2 2 3" xfId="44972"/>
    <cellStyle name="Normal 5 2 2 2 4 2 2 2 4" xfId="61201"/>
    <cellStyle name="Normal 5 2 2 2 4 2 2 3" xfId="19012"/>
    <cellStyle name="Normal 5 2 2 2 4 2 2 4" xfId="25502"/>
    <cellStyle name="Normal 5 2 2 2 4 2 2 5" xfId="38482"/>
    <cellStyle name="Normal 5 2 2 2 4 2 2 6" xfId="54711"/>
    <cellStyle name="Normal 5 2 2 2 4 2 3" xfId="9274"/>
    <cellStyle name="Normal 5 2 2 2 4 2 3 2" xfId="28747"/>
    <cellStyle name="Normal 5 2 2 2 4 2 3 3" xfId="41727"/>
    <cellStyle name="Normal 5 2 2 2 4 2 3 4" xfId="57956"/>
    <cellStyle name="Normal 5 2 2 2 4 2 4" xfId="15767"/>
    <cellStyle name="Normal 5 2 2 2 4 2 4 2" xfId="51466"/>
    <cellStyle name="Normal 5 2 2 2 4 2 5" xfId="22257"/>
    <cellStyle name="Normal 5 2 2 2 4 2 6" xfId="35237"/>
    <cellStyle name="Normal 5 2 2 2 4 2 7" xfId="48220"/>
    <cellStyle name="Normal 5 2 2 2 4 3" xfId="4364"/>
    <cellStyle name="Normal 5 2 2 2 4 3 2" xfId="10896"/>
    <cellStyle name="Normal 5 2 2 2 4 3 2 2" xfId="30369"/>
    <cellStyle name="Normal 5 2 2 2 4 3 2 3" xfId="43349"/>
    <cellStyle name="Normal 5 2 2 2 4 3 2 4" xfId="59578"/>
    <cellStyle name="Normal 5 2 2 2 4 3 3" xfId="17389"/>
    <cellStyle name="Normal 5 2 2 2 4 3 4" xfId="23879"/>
    <cellStyle name="Normal 5 2 2 2 4 3 5" xfId="36859"/>
    <cellStyle name="Normal 5 2 2 2 4 3 6" xfId="53088"/>
    <cellStyle name="Normal 5 2 2 2 4 4" xfId="7651"/>
    <cellStyle name="Normal 5 2 2 2 4 4 2" xfId="27124"/>
    <cellStyle name="Normal 5 2 2 2 4 4 3" xfId="40104"/>
    <cellStyle name="Normal 5 2 2 2 4 4 4" xfId="56333"/>
    <cellStyle name="Normal 5 2 2 2 4 5" xfId="14144"/>
    <cellStyle name="Normal 5 2 2 2 4 5 2" xfId="49843"/>
    <cellStyle name="Normal 5 2 2 2 4 6" xfId="20634"/>
    <cellStyle name="Normal 5 2 2 2 4 7" xfId="33614"/>
    <cellStyle name="Normal 5 2 2 2 4 8" xfId="46597"/>
    <cellStyle name="Normal 5 2 2 2 5" xfId="2028"/>
    <cellStyle name="Normal 5 2 2 2 5 2" xfId="5273"/>
    <cellStyle name="Normal 5 2 2 2 5 2 2" xfId="11805"/>
    <cellStyle name="Normal 5 2 2 2 5 2 2 2" xfId="31278"/>
    <cellStyle name="Normal 5 2 2 2 5 2 2 3" xfId="44258"/>
    <cellStyle name="Normal 5 2 2 2 5 2 2 4" xfId="60487"/>
    <cellStyle name="Normal 5 2 2 2 5 2 3" xfId="18298"/>
    <cellStyle name="Normal 5 2 2 2 5 2 4" xfId="24788"/>
    <cellStyle name="Normal 5 2 2 2 5 2 5" xfId="37768"/>
    <cellStyle name="Normal 5 2 2 2 5 2 6" xfId="53997"/>
    <cellStyle name="Normal 5 2 2 2 5 3" xfId="8560"/>
    <cellStyle name="Normal 5 2 2 2 5 3 2" xfId="28033"/>
    <cellStyle name="Normal 5 2 2 2 5 3 3" xfId="41013"/>
    <cellStyle name="Normal 5 2 2 2 5 3 4" xfId="57242"/>
    <cellStyle name="Normal 5 2 2 2 5 4" xfId="15053"/>
    <cellStyle name="Normal 5 2 2 2 5 4 2" xfId="50752"/>
    <cellStyle name="Normal 5 2 2 2 5 5" xfId="21543"/>
    <cellStyle name="Normal 5 2 2 2 5 6" xfId="34523"/>
    <cellStyle name="Normal 5 2 2 2 5 7" xfId="47506"/>
    <cellStyle name="Normal 5 2 2 2 6" xfId="3649"/>
    <cellStyle name="Normal 5 2 2 2 6 2" xfId="10181"/>
    <cellStyle name="Normal 5 2 2 2 6 2 2" xfId="29654"/>
    <cellStyle name="Normal 5 2 2 2 6 2 3" xfId="42634"/>
    <cellStyle name="Normal 5 2 2 2 6 2 4" xfId="58863"/>
    <cellStyle name="Normal 5 2 2 2 6 3" xfId="16674"/>
    <cellStyle name="Normal 5 2 2 2 6 4" xfId="23164"/>
    <cellStyle name="Normal 5 2 2 2 6 5" xfId="36144"/>
    <cellStyle name="Normal 5 2 2 2 6 6" xfId="52373"/>
    <cellStyle name="Normal 5 2 2 2 7" xfId="6936"/>
    <cellStyle name="Normal 5 2 2 2 7 2" xfId="26409"/>
    <cellStyle name="Normal 5 2 2 2 7 3" xfId="39389"/>
    <cellStyle name="Normal 5 2 2 2 7 4" xfId="55618"/>
    <cellStyle name="Normal 5 2 2 2 8" xfId="13429"/>
    <cellStyle name="Normal 5 2 2 2 8 2" xfId="49128"/>
    <cellStyle name="Normal 5 2 2 2 9" xfId="19919"/>
    <cellStyle name="Normal 5 2 2 3" xfId="731"/>
    <cellStyle name="Normal 5 2 2 3 10" xfId="46254"/>
    <cellStyle name="Normal 5 2 2 3 2" xfId="1670"/>
    <cellStyle name="Normal 5 2 2 3 2 2" xfId="3337"/>
    <cellStyle name="Normal 5 2 2 3 2 2 2" xfId="6582"/>
    <cellStyle name="Normal 5 2 2 3 2 2 2 2" xfId="13114"/>
    <cellStyle name="Normal 5 2 2 3 2 2 2 2 2" xfId="32587"/>
    <cellStyle name="Normal 5 2 2 3 2 2 2 2 3" xfId="45567"/>
    <cellStyle name="Normal 5 2 2 3 2 2 2 2 4" xfId="61796"/>
    <cellStyle name="Normal 5 2 2 3 2 2 2 3" xfId="19607"/>
    <cellStyle name="Normal 5 2 2 3 2 2 2 4" xfId="26097"/>
    <cellStyle name="Normal 5 2 2 3 2 2 2 5" xfId="39077"/>
    <cellStyle name="Normal 5 2 2 3 2 2 2 6" xfId="55306"/>
    <cellStyle name="Normal 5 2 2 3 2 2 3" xfId="9869"/>
    <cellStyle name="Normal 5 2 2 3 2 2 3 2" xfId="29342"/>
    <cellStyle name="Normal 5 2 2 3 2 2 3 3" xfId="42322"/>
    <cellStyle name="Normal 5 2 2 3 2 2 3 4" xfId="58551"/>
    <cellStyle name="Normal 5 2 2 3 2 2 4" xfId="16362"/>
    <cellStyle name="Normal 5 2 2 3 2 2 4 2" xfId="52061"/>
    <cellStyle name="Normal 5 2 2 3 2 2 5" xfId="22852"/>
    <cellStyle name="Normal 5 2 2 3 2 2 6" xfId="35832"/>
    <cellStyle name="Normal 5 2 2 3 2 2 7" xfId="48815"/>
    <cellStyle name="Normal 5 2 2 3 2 3" xfId="4959"/>
    <cellStyle name="Normal 5 2 2 3 2 3 2" xfId="11491"/>
    <cellStyle name="Normal 5 2 2 3 2 3 2 2" xfId="30964"/>
    <cellStyle name="Normal 5 2 2 3 2 3 2 3" xfId="43944"/>
    <cellStyle name="Normal 5 2 2 3 2 3 2 4" xfId="60173"/>
    <cellStyle name="Normal 5 2 2 3 2 3 3" xfId="17984"/>
    <cellStyle name="Normal 5 2 2 3 2 3 4" xfId="24474"/>
    <cellStyle name="Normal 5 2 2 3 2 3 5" xfId="37454"/>
    <cellStyle name="Normal 5 2 2 3 2 3 6" xfId="53683"/>
    <cellStyle name="Normal 5 2 2 3 2 4" xfId="8246"/>
    <cellStyle name="Normal 5 2 2 3 2 4 2" xfId="27719"/>
    <cellStyle name="Normal 5 2 2 3 2 4 3" xfId="40699"/>
    <cellStyle name="Normal 5 2 2 3 2 4 4" xfId="56928"/>
    <cellStyle name="Normal 5 2 2 3 2 5" xfId="14739"/>
    <cellStyle name="Normal 5 2 2 3 2 5 2" xfId="50438"/>
    <cellStyle name="Normal 5 2 2 3 2 6" xfId="21229"/>
    <cellStyle name="Normal 5 2 2 3 2 7" xfId="34209"/>
    <cellStyle name="Normal 5 2 2 3 2 8" xfId="47192"/>
    <cellStyle name="Normal 5 2 2 3 3" xfId="1207"/>
    <cellStyle name="Normal 5 2 2 3 3 2" xfId="2874"/>
    <cellStyle name="Normal 5 2 2 3 3 2 2" xfId="6119"/>
    <cellStyle name="Normal 5 2 2 3 3 2 2 2" xfId="12651"/>
    <cellStyle name="Normal 5 2 2 3 3 2 2 2 2" xfId="32124"/>
    <cellStyle name="Normal 5 2 2 3 3 2 2 2 3" xfId="45104"/>
    <cellStyle name="Normal 5 2 2 3 3 2 2 2 4" xfId="61333"/>
    <cellStyle name="Normal 5 2 2 3 3 2 2 3" xfId="19144"/>
    <cellStyle name="Normal 5 2 2 3 3 2 2 4" xfId="25634"/>
    <cellStyle name="Normal 5 2 2 3 3 2 2 5" xfId="38614"/>
    <cellStyle name="Normal 5 2 2 3 3 2 2 6" xfId="54843"/>
    <cellStyle name="Normal 5 2 2 3 3 2 3" xfId="9406"/>
    <cellStyle name="Normal 5 2 2 3 3 2 3 2" xfId="28879"/>
    <cellStyle name="Normal 5 2 2 3 3 2 3 3" xfId="41859"/>
    <cellStyle name="Normal 5 2 2 3 3 2 3 4" xfId="58088"/>
    <cellStyle name="Normal 5 2 2 3 3 2 4" xfId="15899"/>
    <cellStyle name="Normal 5 2 2 3 3 2 4 2" xfId="51598"/>
    <cellStyle name="Normal 5 2 2 3 3 2 5" xfId="22389"/>
    <cellStyle name="Normal 5 2 2 3 3 2 6" xfId="35369"/>
    <cellStyle name="Normal 5 2 2 3 3 2 7" xfId="48352"/>
    <cellStyle name="Normal 5 2 2 3 3 3" xfId="4496"/>
    <cellStyle name="Normal 5 2 2 3 3 3 2" xfId="11028"/>
    <cellStyle name="Normal 5 2 2 3 3 3 2 2" xfId="30501"/>
    <cellStyle name="Normal 5 2 2 3 3 3 2 3" xfId="43481"/>
    <cellStyle name="Normal 5 2 2 3 3 3 2 4" xfId="59710"/>
    <cellStyle name="Normal 5 2 2 3 3 3 3" xfId="17521"/>
    <cellStyle name="Normal 5 2 2 3 3 3 4" xfId="24011"/>
    <cellStyle name="Normal 5 2 2 3 3 3 5" xfId="36991"/>
    <cellStyle name="Normal 5 2 2 3 3 3 6" xfId="53220"/>
    <cellStyle name="Normal 5 2 2 3 3 4" xfId="7783"/>
    <cellStyle name="Normal 5 2 2 3 3 4 2" xfId="27256"/>
    <cellStyle name="Normal 5 2 2 3 3 4 3" xfId="40236"/>
    <cellStyle name="Normal 5 2 2 3 3 4 4" xfId="56465"/>
    <cellStyle name="Normal 5 2 2 3 3 5" xfId="14276"/>
    <cellStyle name="Normal 5 2 2 3 3 5 2" xfId="49975"/>
    <cellStyle name="Normal 5 2 2 3 3 6" xfId="20766"/>
    <cellStyle name="Normal 5 2 2 3 3 7" xfId="33746"/>
    <cellStyle name="Normal 5 2 2 3 3 8" xfId="46729"/>
    <cellStyle name="Normal 5 2 2 3 4" xfId="2399"/>
    <cellStyle name="Normal 5 2 2 3 4 2" xfId="5644"/>
    <cellStyle name="Normal 5 2 2 3 4 2 2" xfId="12176"/>
    <cellStyle name="Normal 5 2 2 3 4 2 2 2" xfId="31649"/>
    <cellStyle name="Normal 5 2 2 3 4 2 2 3" xfId="44629"/>
    <cellStyle name="Normal 5 2 2 3 4 2 2 4" xfId="60858"/>
    <cellStyle name="Normal 5 2 2 3 4 2 3" xfId="18669"/>
    <cellStyle name="Normal 5 2 2 3 4 2 4" xfId="25159"/>
    <cellStyle name="Normal 5 2 2 3 4 2 5" xfId="38139"/>
    <cellStyle name="Normal 5 2 2 3 4 2 6" xfId="54368"/>
    <cellStyle name="Normal 5 2 2 3 4 3" xfId="8931"/>
    <cellStyle name="Normal 5 2 2 3 4 3 2" xfId="28404"/>
    <cellStyle name="Normal 5 2 2 3 4 3 3" xfId="41384"/>
    <cellStyle name="Normal 5 2 2 3 4 3 4" xfId="57613"/>
    <cellStyle name="Normal 5 2 2 3 4 4" xfId="15424"/>
    <cellStyle name="Normal 5 2 2 3 4 4 2" xfId="51123"/>
    <cellStyle name="Normal 5 2 2 3 4 5" xfId="21914"/>
    <cellStyle name="Normal 5 2 2 3 4 6" xfId="34894"/>
    <cellStyle name="Normal 5 2 2 3 4 7" xfId="47877"/>
    <cellStyle name="Normal 5 2 2 3 5" xfId="4021"/>
    <cellStyle name="Normal 5 2 2 3 5 2" xfId="10553"/>
    <cellStyle name="Normal 5 2 2 3 5 2 2" xfId="30026"/>
    <cellStyle name="Normal 5 2 2 3 5 2 3" xfId="43006"/>
    <cellStyle name="Normal 5 2 2 3 5 2 4" xfId="59235"/>
    <cellStyle name="Normal 5 2 2 3 5 3" xfId="17046"/>
    <cellStyle name="Normal 5 2 2 3 5 4" xfId="23536"/>
    <cellStyle name="Normal 5 2 2 3 5 5" xfId="36516"/>
    <cellStyle name="Normal 5 2 2 3 5 6" xfId="52745"/>
    <cellStyle name="Normal 5 2 2 3 6" xfId="7308"/>
    <cellStyle name="Normal 5 2 2 3 6 2" xfId="26781"/>
    <cellStyle name="Normal 5 2 2 3 6 3" xfId="39761"/>
    <cellStyle name="Normal 5 2 2 3 6 4" xfId="55990"/>
    <cellStyle name="Normal 5 2 2 3 7" xfId="13801"/>
    <cellStyle name="Normal 5 2 2 3 7 2" xfId="49500"/>
    <cellStyle name="Normal 5 2 2 3 8" xfId="20291"/>
    <cellStyle name="Normal 5 2 2 3 9" xfId="33271"/>
    <cellStyle name="Normal 5 2 2 4" xfId="501"/>
    <cellStyle name="Normal 5 2 2 4 2" xfId="1450"/>
    <cellStyle name="Normal 5 2 2 4 2 2" xfId="3117"/>
    <cellStyle name="Normal 5 2 2 4 2 2 2" xfId="6362"/>
    <cellStyle name="Normal 5 2 2 4 2 2 2 2" xfId="12894"/>
    <cellStyle name="Normal 5 2 2 4 2 2 2 2 2" xfId="32367"/>
    <cellStyle name="Normal 5 2 2 4 2 2 2 2 3" xfId="45347"/>
    <cellStyle name="Normal 5 2 2 4 2 2 2 2 4" xfId="61576"/>
    <cellStyle name="Normal 5 2 2 4 2 2 2 3" xfId="19387"/>
    <cellStyle name="Normal 5 2 2 4 2 2 2 4" xfId="25877"/>
    <cellStyle name="Normal 5 2 2 4 2 2 2 5" xfId="38857"/>
    <cellStyle name="Normal 5 2 2 4 2 2 2 6" xfId="55086"/>
    <cellStyle name="Normal 5 2 2 4 2 2 3" xfId="9649"/>
    <cellStyle name="Normal 5 2 2 4 2 2 3 2" xfId="29122"/>
    <cellStyle name="Normal 5 2 2 4 2 2 3 3" xfId="42102"/>
    <cellStyle name="Normal 5 2 2 4 2 2 3 4" xfId="58331"/>
    <cellStyle name="Normal 5 2 2 4 2 2 4" xfId="16142"/>
    <cellStyle name="Normal 5 2 2 4 2 2 4 2" xfId="51841"/>
    <cellStyle name="Normal 5 2 2 4 2 2 5" xfId="22632"/>
    <cellStyle name="Normal 5 2 2 4 2 2 6" xfId="35612"/>
    <cellStyle name="Normal 5 2 2 4 2 2 7" xfId="48595"/>
    <cellStyle name="Normal 5 2 2 4 2 3" xfId="4739"/>
    <cellStyle name="Normal 5 2 2 4 2 3 2" xfId="11271"/>
    <cellStyle name="Normal 5 2 2 4 2 3 2 2" xfId="30744"/>
    <cellStyle name="Normal 5 2 2 4 2 3 2 3" xfId="43724"/>
    <cellStyle name="Normal 5 2 2 4 2 3 2 4" xfId="59953"/>
    <cellStyle name="Normal 5 2 2 4 2 3 3" xfId="17764"/>
    <cellStyle name="Normal 5 2 2 4 2 3 4" xfId="24254"/>
    <cellStyle name="Normal 5 2 2 4 2 3 5" xfId="37234"/>
    <cellStyle name="Normal 5 2 2 4 2 3 6" xfId="53463"/>
    <cellStyle name="Normal 5 2 2 4 2 4" xfId="8026"/>
    <cellStyle name="Normal 5 2 2 4 2 4 2" xfId="27499"/>
    <cellStyle name="Normal 5 2 2 4 2 4 3" xfId="40479"/>
    <cellStyle name="Normal 5 2 2 4 2 4 4" xfId="56708"/>
    <cellStyle name="Normal 5 2 2 4 2 5" xfId="14519"/>
    <cellStyle name="Normal 5 2 2 4 2 5 2" xfId="50218"/>
    <cellStyle name="Normal 5 2 2 4 2 6" xfId="21009"/>
    <cellStyle name="Normal 5 2 2 4 2 7" xfId="33989"/>
    <cellStyle name="Normal 5 2 2 4 2 8" xfId="46972"/>
    <cellStyle name="Normal 5 2 2 4 3" xfId="2169"/>
    <cellStyle name="Normal 5 2 2 4 3 2" xfId="5414"/>
    <cellStyle name="Normal 5 2 2 4 3 2 2" xfId="11946"/>
    <cellStyle name="Normal 5 2 2 4 3 2 2 2" xfId="31419"/>
    <cellStyle name="Normal 5 2 2 4 3 2 2 3" xfId="44399"/>
    <cellStyle name="Normal 5 2 2 4 3 2 2 4" xfId="60628"/>
    <cellStyle name="Normal 5 2 2 4 3 2 3" xfId="18439"/>
    <cellStyle name="Normal 5 2 2 4 3 2 4" xfId="24929"/>
    <cellStyle name="Normal 5 2 2 4 3 2 5" xfId="37909"/>
    <cellStyle name="Normal 5 2 2 4 3 2 6" xfId="54138"/>
    <cellStyle name="Normal 5 2 2 4 3 3" xfId="8701"/>
    <cellStyle name="Normal 5 2 2 4 3 3 2" xfId="28174"/>
    <cellStyle name="Normal 5 2 2 4 3 3 3" xfId="41154"/>
    <cellStyle name="Normal 5 2 2 4 3 3 4" xfId="57383"/>
    <cellStyle name="Normal 5 2 2 4 3 4" xfId="15194"/>
    <cellStyle name="Normal 5 2 2 4 3 4 2" xfId="50893"/>
    <cellStyle name="Normal 5 2 2 4 3 5" xfId="21684"/>
    <cellStyle name="Normal 5 2 2 4 3 6" xfId="34664"/>
    <cellStyle name="Normal 5 2 2 4 3 7" xfId="47647"/>
    <cellStyle name="Normal 5 2 2 4 4" xfId="3791"/>
    <cellStyle name="Normal 5 2 2 4 4 2" xfId="10323"/>
    <cellStyle name="Normal 5 2 2 4 4 2 2" xfId="29796"/>
    <cellStyle name="Normal 5 2 2 4 4 2 3" xfId="42776"/>
    <cellStyle name="Normal 5 2 2 4 4 2 4" xfId="59005"/>
    <cellStyle name="Normal 5 2 2 4 4 3" xfId="16816"/>
    <cellStyle name="Normal 5 2 2 4 4 4" xfId="23306"/>
    <cellStyle name="Normal 5 2 2 4 4 5" xfId="36286"/>
    <cellStyle name="Normal 5 2 2 4 4 6" xfId="52515"/>
    <cellStyle name="Normal 5 2 2 4 5" xfId="7078"/>
    <cellStyle name="Normal 5 2 2 4 5 2" xfId="26551"/>
    <cellStyle name="Normal 5 2 2 4 5 3" xfId="39531"/>
    <cellStyle name="Normal 5 2 2 4 5 4" xfId="55760"/>
    <cellStyle name="Normal 5 2 2 4 6" xfId="13571"/>
    <cellStyle name="Normal 5 2 2 4 6 2" xfId="49270"/>
    <cellStyle name="Normal 5 2 2 4 7" xfId="20061"/>
    <cellStyle name="Normal 5 2 2 4 8" xfId="33041"/>
    <cellStyle name="Normal 5 2 2 4 9" xfId="46024"/>
    <cellStyle name="Normal 5 2 2 5" xfId="987"/>
    <cellStyle name="Normal 5 2 2 5 2" xfId="2654"/>
    <cellStyle name="Normal 5 2 2 5 2 2" xfId="5899"/>
    <cellStyle name="Normal 5 2 2 5 2 2 2" xfId="12431"/>
    <cellStyle name="Normal 5 2 2 5 2 2 2 2" xfId="31904"/>
    <cellStyle name="Normal 5 2 2 5 2 2 2 3" xfId="44884"/>
    <cellStyle name="Normal 5 2 2 5 2 2 2 4" xfId="61113"/>
    <cellStyle name="Normal 5 2 2 5 2 2 3" xfId="18924"/>
    <cellStyle name="Normal 5 2 2 5 2 2 4" xfId="25414"/>
    <cellStyle name="Normal 5 2 2 5 2 2 5" xfId="38394"/>
    <cellStyle name="Normal 5 2 2 5 2 2 6" xfId="54623"/>
    <cellStyle name="Normal 5 2 2 5 2 3" xfId="9186"/>
    <cellStyle name="Normal 5 2 2 5 2 3 2" xfId="28659"/>
    <cellStyle name="Normal 5 2 2 5 2 3 3" xfId="41639"/>
    <cellStyle name="Normal 5 2 2 5 2 3 4" xfId="57868"/>
    <cellStyle name="Normal 5 2 2 5 2 4" xfId="15679"/>
    <cellStyle name="Normal 5 2 2 5 2 4 2" xfId="51378"/>
    <cellStyle name="Normal 5 2 2 5 2 5" xfId="22169"/>
    <cellStyle name="Normal 5 2 2 5 2 6" xfId="35149"/>
    <cellStyle name="Normal 5 2 2 5 2 7" xfId="48132"/>
    <cellStyle name="Normal 5 2 2 5 3" xfId="4276"/>
    <cellStyle name="Normal 5 2 2 5 3 2" xfId="10808"/>
    <cellStyle name="Normal 5 2 2 5 3 2 2" xfId="30281"/>
    <cellStyle name="Normal 5 2 2 5 3 2 3" xfId="43261"/>
    <cellStyle name="Normal 5 2 2 5 3 2 4" xfId="59490"/>
    <cellStyle name="Normal 5 2 2 5 3 3" xfId="17301"/>
    <cellStyle name="Normal 5 2 2 5 3 4" xfId="23791"/>
    <cellStyle name="Normal 5 2 2 5 3 5" xfId="36771"/>
    <cellStyle name="Normal 5 2 2 5 3 6" xfId="53000"/>
    <cellStyle name="Normal 5 2 2 5 4" xfId="7563"/>
    <cellStyle name="Normal 5 2 2 5 4 2" xfId="27036"/>
    <cellStyle name="Normal 5 2 2 5 4 3" xfId="40016"/>
    <cellStyle name="Normal 5 2 2 5 4 4" xfId="56245"/>
    <cellStyle name="Normal 5 2 2 5 5" xfId="14056"/>
    <cellStyle name="Normal 5 2 2 5 5 2" xfId="49755"/>
    <cellStyle name="Normal 5 2 2 5 6" xfId="20546"/>
    <cellStyle name="Normal 5 2 2 5 7" xfId="33526"/>
    <cellStyle name="Normal 5 2 2 5 8" xfId="46509"/>
    <cellStyle name="Normal 5 2 2 6" xfId="1940"/>
    <cellStyle name="Normal 5 2 2 6 2" xfId="5185"/>
    <cellStyle name="Normal 5 2 2 6 2 2" xfId="11717"/>
    <cellStyle name="Normal 5 2 2 6 2 2 2" xfId="31190"/>
    <cellStyle name="Normal 5 2 2 6 2 2 3" xfId="44170"/>
    <cellStyle name="Normal 5 2 2 6 2 2 4" xfId="60399"/>
    <cellStyle name="Normal 5 2 2 6 2 3" xfId="18210"/>
    <cellStyle name="Normal 5 2 2 6 2 4" xfId="24700"/>
    <cellStyle name="Normal 5 2 2 6 2 5" xfId="37680"/>
    <cellStyle name="Normal 5 2 2 6 2 6" xfId="53909"/>
    <cellStyle name="Normal 5 2 2 6 3" xfId="8472"/>
    <cellStyle name="Normal 5 2 2 6 3 2" xfId="27945"/>
    <cellStyle name="Normal 5 2 2 6 3 3" xfId="40925"/>
    <cellStyle name="Normal 5 2 2 6 3 4" xfId="57154"/>
    <cellStyle name="Normal 5 2 2 6 4" xfId="14965"/>
    <cellStyle name="Normal 5 2 2 6 4 2" xfId="50664"/>
    <cellStyle name="Normal 5 2 2 6 5" xfId="21455"/>
    <cellStyle name="Normal 5 2 2 6 6" xfId="34435"/>
    <cellStyle name="Normal 5 2 2 6 7" xfId="47418"/>
    <cellStyle name="Normal 5 2 2 7" xfId="3561"/>
    <cellStyle name="Normal 5 2 2 7 2" xfId="10093"/>
    <cellStyle name="Normal 5 2 2 7 2 2" xfId="29566"/>
    <cellStyle name="Normal 5 2 2 7 2 3" xfId="42546"/>
    <cellStyle name="Normal 5 2 2 7 2 4" xfId="58775"/>
    <cellStyle name="Normal 5 2 2 7 3" xfId="16586"/>
    <cellStyle name="Normal 5 2 2 7 4" xfId="23076"/>
    <cellStyle name="Normal 5 2 2 7 5" xfId="36056"/>
    <cellStyle name="Normal 5 2 2 7 6" xfId="52285"/>
    <cellStyle name="Normal 5 2 2 8" xfId="6848"/>
    <cellStyle name="Normal 5 2 2 8 2" xfId="26321"/>
    <cellStyle name="Normal 5 2 2 8 3" xfId="39301"/>
    <cellStyle name="Normal 5 2 2 8 4" xfId="55530"/>
    <cellStyle name="Normal 5 2 2 9" xfId="13341"/>
    <cellStyle name="Normal 5 2 2 9 2" xfId="49040"/>
    <cellStyle name="Normal 5 2 3" xfId="223"/>
    <cellStyle name="Normal 5 2 3 10" xfId="32767"/>
    <cellStyle name="Normal 5 2 3 11" xfId="45750"/>
    <cellStyle name="Normal 5 2 3 12" xfId="62002"/>
    <cellStyle name="Normal 5 2 3 2" xfId="687"/>
    <cellStyle name="Normal 5 2 3 2 10" xfId="46210"/>
    <cellStyle name="Normal 5 2 3 2 2" xfId="1626"/>
    <cellStyle name="Normal 5 2 3 2 2 2" xfId="3293"/>
    <cellStyle name="Normal 5 2 3 2 2 2 2" xfId="6538"/>
    <cellStyle name="Normal 5 2 3 2 2 2 2 2" xfId="13070"/>
    <cellStyle name="Normal 5 2 3 2 2 2 2 2 2" xfId="32543"/>
    <cellStyle name="Normal 5 2 3 2 2 2 2 2 3" xfId="45523"/>
    <cellStyle name="Normal 5 2 3 2 2 2 2 2 4" xfId="61752"/>
    <cellStyle name="Normal 5 2 3 2 2 2 2 3" xfId="19563"/>
    <cellStyle name="Normal 5 2 3 2 2 2 2 4" xfId="26053"/>
    <cellStyle name="Normal 5 2 3 2 2 2 2 5" xfId="39033"/>
    <cellStyle name="Normal 5 2 3 2 2 2 2 6" xfId="55262"/>
    <cellStyle name="Normal 5 2 3 2 2 2 3" xfId="9825"/>
    <cellStyle name="Normal 5 2 3 2 2 2 3 2" xfId="29298"/>
    <cellStyle name="Normal 5 2 3 2 2 2 3 3" xfId="42278"/>
    <cellStyle name="Normal 5 2 3 2 2 2 3 4" xfId="58507"/>
    <cellStyle name="Normal 5 2 3 2 2 2 4" xfId="16318"/>
    <cellStyle name="Normal 5 2 3 2 2 2 4 2" xfId="52017"/>
    <cellStyle name="Normal 5 2 3 2 2 2 5" xfId="22808"/>
    <cellStyle name="Normal 5 2 3 2 2 2 6" xfId="35788"/>
    <cellStyle name="Normal 5 2 3 2 2 2 7" xfId="48771"/>
    <cellStyle name="Normal 5 2 3 2 2 3" xfId="4915"/>
    <cellStyle name="Normal 5 2 3 2 2 3 2" xfId="11447"/>
    <cellStyle name="Normal 5 2 3 2 2 3 2 2" xfId="30920"/>
    <cellStyle name="Normal 5 2 3 2 2 3 2 3" xfId="43900"/>
    <cellStyle name="Normal 5 2 3 2 2 3 2 4" xfId="60129"/>
    <cellStyle name="Normal 5 2 3 2 2 3 3" xfId="17940"/>
    <cellStyle name="Normal 5 2 3 2 2 3 4" xfId="24430"/>
    <cellStyle name="Normal 5 2 3 2 2 3 5" xfId="37410"/>
    <cellStyle name="Normal 5 2 3 2 2 3 6" xfId="53639"/>
    <cellStyle name="Normal 5 2 3 2 2 4" xfId="8202"/>
    <cellStyle name="Normal 5 2 3 2 2 4 2" xfId="27675"/>
    <cellStyle name="Normal 5 2 3 2 2 4 3" xfId="40655"/>
    <cellStyle name="Normal 5 2 3 2 2 4 4" xfId="56884"/>
    <cellStyle name="Normal 5 2 3 2 2 5" xfId="14695"/>
    <cellStyle name="Normal 5 2 3 2 2 5 2" xfId="50394"/>
    <cellStyle name="Normal 5 2 3 2 2 6" xfId="21185"/>
    <cellStyle name="Normal 5 2 3 2 2 7" xfId="34165"/>
    <cellStyle name="Normal 5 2 3 2 2 8" xfId="47148"/>
    <cellStyle name="Normal 5 2 3 2 3" xfId="1163"/>
    <cellStyle name="Normal 5 2 3 2 3 2" xfId="2830"/>
    <cellStyle name="Normal 5 2 3 2 3 2 2" xfId="6075"/>
    <cellStyle name="Normal 5 2 3 2 3 2 2 2" xfId="12607"/>
    <cellStyle name="Normal 5 2 3 2 3 2 2 2 2" xfId="32080"/>
    <cellStyle name="Normal 5 2 3 2 3 2 2 2 3" xfId="45060"/>
    <cellStyle name="Normal 5 2 3 2 3 2 2 2 4" xfId="61289"/>
    <cellStyle name="Normal 5 2 3 2 3 2 2 3" xfId="19100"/>
    <cellStyle name="Normal 5 2 3 2 3 2 2 4" xfId="25590"/>
    <cellStyle name="Normal 5 2 3 2 3 2 2 5" xfId="38570"/>
    <cellStyle name="Normal 5 2 3 2 3 2 2 6" xfId="54799"/>
    <cellStyle name="Normal 5 2 3 2 3 2 3" xfId="9362"/>
    <cellStyle name="Normal 5 2 3 2 3 2 3 2" xfId="28835"/>
    <cellStyle name="Normal 5 2 3 2 3 2 3 3" xfId="41815"/>
    <cellStyle name="Normal 5 2 3 2 3 2 3 4" xfId="58044"/>
    <cellStyle name="Normal 5 2 3 2 3 2 4" xfId="15855"/>
    <cellStyle name="Normal 5 2 3 2 3 2 4 2" xfId="51554"/>
    <cellStyle name="Normal 5 2 3 2 3 2 5" xfId="22345"/>
    <cellStyle name="Normal 5 2 3 2 3 2 6" xfId="35325"/>
    <cellStyle name="Normal 5 2 3 2 3 2 7" xfId="48308"/>
    <cellStyle name="Normal 5 2 3 2 3 3" xfId="4452"/>
    <cellStyle name="Normal 5 2 3 2 3 3 2" xfId="10984"/>
    <cellStyle name="Normal 5 2 3 2 3 3 2 2" xfId="30457"/>
    <cellStyle name="Normal 5 2 3 2 3 3 2 3" xfId="43437"/>
    <cellStyle name="Normal 5 2 3 2 3 3 2 4" xfId="59666"/>
    <cellStyle name="Normal 5 2 3 2 3 3 3" xfId="17477"/>
    <cellStyle name="Normal 5 2 3 2 3 3 4" xfId="23967"/>
    <cellStyle name="Normal 5 2 3 2 3 3 5" xfId="36947"/>
    <cellStyle name="Normal 5 2 3 2 3 3 6" xfId="53176"/>
    <cellStyle name="Normal 5 2 3 2 3 4" xfId="7739"/>
    <cellStyle name="Normal 5 2 3 2 3 4 2" xfId="27212"/>
    <cellStyle name="Normal 5 2 3 2 3 4 3" xfId="40192"/>
    <cellStyle name="Normal 5 2 3 2 3 4 4" xfId="56421"/>
    <cellStyle name="Normal 5 2 3 2 3 5" xfId="14232"/>
    <cellStyle name="Normal 5 2 3 2 3 5 2" xfId="49931"/>
    <cellStyle name="Normal 5 2 3 2 3 6" xfId="20722"/>
    <cellStyle name="Normal 5 2 3 2 3 7" xfId="33702"/>
    <cellStyle name="Normal 5 2 3 2 3 8" xfId="46685"/>
    <cellStyle name="Normal 5 2 3 2 4" xfId="2355"/>
    <cellStyle name="Normal 5 2 3 2 4 2" xfId="5600"/>
    <cellStyle name="Normal 5 2 3 2 4 2 2" xfId="12132"/>
    <cellStyle name="Normal 5 2 3 2 4 2 2 2" xfId="31605"/>
    <cellStyle name="Normal 5 2 3 2 4 2 2 3" xfId="44585"/>
    <cellStyle name="Normal 5 2 3 2 4 2 2 4" xfId="60814"/>
    <cellStyle name="Normal 5 2 3 2 4 2 3" xfId="18625"/>
    <cellStyle name="Normal 5 2 3 2 4 2 4" xfId="25115"/>
    <cellStyle name="Normal 5 2 3 2 4 2 5" xfId="38095"/>
    <cellStyle name="Normal 5 2 3 2 4 2 6" xfId="54324"/>
    <cellStyle name="Normal 5 2 3 2 4 3" xfId="8887"/>
    <cellStyle name="Normal 5 2 3 2 4 3 2" xfId="28360"/>
    <cellStyle name="Normal 5 2 3 2 4 3 3" xfId="41340"/>
    <cellStyle name="Normal 5 2 3 2 4 3 4" xfId="57569"/>
    <cellStyle name="Normal 5 2 3 2 4 4" xfId="15380"/>
    <cellStyle name="Normal 5 2 3 2 4 4 2" xfId="51079"/>
    <cellStyle name="Normal 5 2 3 2 4 5" xfId="21870"/>
    <cellStyle name="Normal 5 2 3 2 4 6" xfId="34850"/>
    <cellStyle name="Normal 5 2 3 2 4 7" xfId="47833"/>
    <cellStyle name="Normal 5 2 3 2 5" xfId="3977"/>
    <cellStyle name="Normal 5 2 3 2 5 2" xfId="10509"/>
    <cellStyle name="Normal 5 2 3 2 5 2 2" xfId="29982"/>
    <cellStyle name="Normal 5 2 3 2 5 2 3" xfId="42962"/>
    <cellStyle name="Normal 5 2 3 2 5 2 4" xfId="59191"/>
    <cellStyle name="Normal 5 2 3 2 5 3" xfId="17002"/>
    <cellStyle name="Normal 5 2 3 2 5 4" xfId="23492"/>
    <cellStyle name="Normal 5 2 3 2 5 5" xfId="36472"/>
    <cellStyle name="Normal 5 2 3 2 5 6" xfId="52701"/>
    <cellStyle name="Normal 5 2 3 2 6" xfId="7264"/>
    <cellStyle name="Normal 5 2 3 2 6 2" xfId="26737"/>
    <cellStyle name="Normal 5 2 3 2 6 3" xfId="39717"/>
    <cellStyle name="Normal 5 2 3 2 6 4" xfId="55946"/>
    <cellStyle name="Normal 5 2 3 2 7" xfId="13757"/>
    <cellStyle name="Normal 5 2 3 2 7 2" xfId="49456"/>
    <cellStyle name="Normal 5 2 3 2 8" xfId="20247"/>
    <cellStyle name="Normal 5 2 3 2 9" xfId="33227"/>
    <cellStyle name="Normal 5 2 3 3" xfId="457"/>
    <cellStyle name="Normal 5 2 3 3 2" xfId="1406"/>
    <cellStyle name="Normal 5 2 3 3 2 2" xfId="3073"/>
    <cellStyle name="Normal 5 2 3 3 2 2 2" xfId="6318"/>
    <cellStyle name="Normal 5 2 3 3 2 2 2 2" xfId="12850"/>
    <cellStyle name="Normal 5 2 3 3 2 2 2 2 2" xfId="32323"/>
    <cellStyle name="Normal 5 2 3 3 2 2 2 2 3" xfId="45303"/>
    <cellStyle name="Normal 5 2 3 3 2 2 2 2 4" xfId="61532"/>
    <cellStyle name="Normal 5 2 3 3 2 2 2 3" xfId="19343"/>
    <cellStyle name="Normal 5 2 3 3 2 2 2 4" xfId="25833"/>
    <cellStyle name="Normal 5 2 3 3 2 2 2 5" xfId="38813"/>
    <cellStyle name="Normal 5 2 3 3 2 2 2 6" xfId="55042"/>
    <cellStyle name="Normal 5 2 3 3 2 2 3" xfId="9605"/>
    <cellStyle name="Normal 5 2 3 3 2 2 3 2" xfId="29078"/>
    <cellStyle name="Normal 5 2 3 3 2 2 3 3" xfId="42058"/>
    <cellStyle name="Normal 5 2 3 3 2 2 3 4" xfId="58287"/>
    <cellStyle name="Normal 5 2 3 3 2 2 4" xfId="16098"/>
    <cellStyle name="Normal 5 2 3 3 2 2 4 2" xfId="51797"/>
    <cellStyle name="Normal 5 2 3 3 2 2 5" xfId="22588"/>
    <cellStyle name="Normal 5 2 3 3 2 2 6" xfId="35568"/>
    <cellStyle name="Normal 5 2 3 3 2 2 7" xfId="48551"/>
    <cellStyle name="Normal 5 2 3 3 2 3" xfId="4695"/>
    <cellStyle name="Normal 5 2 3 3 2 3 2" xfId="11227"/>
    <cellStyle name="Normal 5 2 3 3 2 3 2 2" xfId="30700"/>
    <cellStyle name="Normal 5 2 3 3 2 3 2 3" xfId="43680"/>
    <cellStyle name="Normal 5 2 3 3 2 3 2 4" xfId="59909"/>
    <cellStyle name="Normal 5 2 3 3 2 3 3" xfId="17720"/>
    <cellStyle name="Normal 5 2 3 3 2 3 4" xfId="24210"/>
    <cellStyle name="Normal 5 2 3 3 2 3 5" xfId="37190"/>
    <cellStyle name="Normal 5 2 3 3 2 3 6" xfId="53419"/>
    <cellStyle name="Normal 5 2 3 3 2 4" xfId="7982"/>
    <cellStyle name="Normal 5 2 3 3 2 4 2" xfId="27455"/>
    <cellStyle name="Normal 5 2 3 3 2 4 3" xfId="40435"/>
    <cellStyle name="Normal 5 2 3 3 2 4 4" xfId="56664"/>
    <cellStyle name="Normal 5 2 3 3 2 5" xfId="14475"/>
    <cellStyle name="Normal 5 2 3 3 2 5 2" xfId="50174"/>
    <cellStyle name="Normal 5 2 3 3 2 6" xfId="20965"/>
    <cellStyle name="Normal 5 2 3 3 2 7" xfId="33945"/>
    <cellStyle name="Normal 5 2 3 3 2 8" xfId="46928"/>
    <cellStyle name="Normal 5 2 3 3 3" xfId="2125"/>
    <cellStyle name="Normal 5 2 3 3 3 2" xfId="5370"/>
    <cellStyle name="Normal 5 2 3 3 3 2 2" xfId="11902"/>
    <cellStyle name="Normal 5 2 3 3 3 2 2 2" xfId="31375"/>
    <cellStyle name="Normal 5 2 3 3 3 2 2 3" xfId="44355"/>
    <cellStyle name="Normal 5 2 3 3 3 2 2 4" xfId="60584"/>
    <cellStyle name="Normal 5 2 3 3 3 2 3" xfId="18395"/>
    <cellStyle name="Normal 5 2 3 3 3 2 4" xfId="24885"/>
    <cellStyle name="Normal 5 2 3 3 3 2 5" xfId="37865"/>
    <cellStyle name="Normal 5 2 3 3 3 2 6" xfId="54094"/>
    <cellStyle name="Normal 5 2 3 3 3 3" xfId="8657"/>
    <cellStyle name="Normal 5 2 3 3 3 3 2" xfId="28130"/>
    <cellStyle name="Normal 5 2 3 3 3 3 3" xfId="41110"/>
    <cellStyle name="Normal 5 2 3 3 3 3 4" xfId="57339"/>
    <cellStyle name="Normal 5 2 3 3 3 4" xfId="15150"/>
    <cellStyle name="Normal 5 2 3 3 3 4 2" xfId="50849"/>
    <cellStyle name="Normal 5 2 3 3 3 5" xfId="21640"/>
    <cellStyle name="Normal 5 2 3 3 3 6" xfId="34620"/>
    <cellStyle name="Normal 5 2 3 3 3 7" xfId="47603"/>
    <cellStyle name="Normal 5 2 3 3 4" xfId="3747"/>
    <cellStyle name="Normal 5 2 3 3 4 2" xfId="10279"/>
    <cellStyle name="Normal 5 2 3 3 4 2 2" xfId="29752"/>
    <cellStyle name="Normal 5 2 3 3 4 2 3" xfId="42732"/>
    <cellStyle name="Normal 5 2 3 3 4 2 4" xfId="58961"/>
    <cellStyle name="Normal 5 2 3 3 4 3" xfId="16772"/>
    <cellStyle name="Normal 5 2 3 3 4 4" xfId="23262"/>
    <cellStyle name="Normal 5 2 3 3 4 5" xfId="36242"/>
    <cellStyle name="Normal 5 2 3 3 4 6" xfId="52471"/>
    <cellStyle name="Normal 5 2 3 3 5" xfId="7034"/>
    <cellStyle name="Normal 5 2 3 3 5 2" xfId="26507"/>
    <cellStyle name="Normal 5 2 3 3 5 3" xfId="39487"/>
    <cellStyle name="Normal 5 2 3 3 5 4" xfId="55716"/>
    <cellStyle name="Normal 5 2 3 3 6" xfId="13527"/>
    <cellStyle name="Normal 5 2 3 3 6 2" xfId="49226"/>
    <cellStyle name="Normal 5 2 3 3 7" xfId="20017"/>
    <cellStyle name="Normal 5 2 3 3 8" xfId="32997"/>
    <cellStyle name="Normal 5 2 3 3 9" xfId="45980"/>
    <cellStyle name="Normal 5 2 3 4" xfId="943"/>
    <cellStyle name="Normal 5 2 3 4 2" xfId="2610"/>
    <cellStyle name="Normal 5 2 3 4 2 2" xfId="5855"/>
    <cellStyle name="Normal 5 2 3 4 2 2 2" xfId="12387"/>
    <cellStyle name="Normal 5 2 3 4 2 2 2 2" xfId="31860"/>
    <cellStyle name="Normal 5 2 3 4 2 2 2 3" xfId="44840"/>
    <cellStyle name="Normal 5 2 3 4 2 2 2 4" xfId="61069"/>
    <cellStyle name="Normal 5 2 3 4 2 2 3" xfId="18880"/>
    <cellStyle name="Normal 5 2 3 4 2 2 4" xfId="25370"/>
    <cellStyle name="Normal 5 2 3 4 2 2 5" xfId="38350"/>
    <cellStyle name="Normal 5 2 3 4 2 2 6" xfId="54579"/>
    <cellStyle name="Normal 5 2 3 4 2 3" xfId="9142"/>
    <cellStyle name="Normal 5 2 3 4 2 3 2" xfId="28615"/>
    <cellStyle name="Normal 5 2 3 4 2 3 3" xfId="41595"/>
    <cellStyle name="Normal 5 2 3 4 2 3 4" xfId="57824"/>
    <cellStyle name="Normal 5 2 3 4 2 4" xfId="15635"/>
    <cellStyle name="Normal 5 2 3 4 2 4 2" xfId="51334"/>
    <cellStyle name="Normal 5 2 3 4 2 5" xfId="22125"/>
    <cellStyle name="Normal 5 2 3 4 2 6" xfId="35105"/>
    <cellStyle name="Normal 5 2 3 4 2 7" xfId="48088"/>
    <cellStyle name="Normal 5 2 3 4 3" xfId="4232"/>
    <cellStyle name="Normal 5 2 3 4 3 2" xfId="10764"/>
    <cellStyle name="Normal 5 2 3 4 3 2 2" xfId="30237"/>
    <cellStyle name="Normal 5 2 3 4 3 2 3" xfId="43217"/>
    <cellStyle name="Normal 5 2 3 4 3 2 4" xfId="59446"/>
    <cellStyle name="Normal 5 2 3 4 3 3" xfId="17257"/>
    <cellStyle name="Normal 5 2 3 4 3 4" xfId="23747"/>
    <cellStyle name="Normal 5 2 3 4 3 5" xfId="36727"/>
    <cellStyle name="Normal 5 2 3 4 3 6" xfId="52956"/>
    <cellStyle name="Normal 5 2 3 4 4" xfId="7519"/>
    <cellStyle name="Normal 5 2 3 4 4 2" xfId="26992"/>
    <cellStyle name="Normal 5 2 3 4 4 3" xfId="39972"/>
    <cellStyle name="Normal 5 2 3 4 4 4" xfId="56201"/>
    <cellStyle name="Normal 5 2 3 4 5" xfId="14012"/>
    <cellStyle name="Normal 5 2 3 4 5 2" xfId="49711"/>
    <cellStyle name="Normal 5 2 3 4 6" xfId="20502"/>
    <cellStyle name="Normal 5 2 3 4 7" xfId="33482"/>
    <cellStyle name="Normal 5 2 3 4 8" xfId="46465"/>
    <cellStyle name="Normal 5 2 3 5" xfId="1896"/>
    <cellStyle name="Normal 5 2 3 5 2" xfId="5141"/>
    <cellStyle name="Normal 5 2 3 5 2 2" xfId="11673"/>
    <cellStyle name="Normal 5 2 3 5 2 2 2" xfId="31146"/>
    <cellStyle name="Normal 5 2 3 5 2 2 3" xfId="44126"/>
    <cellStyle name="Normal 5 2 3 5 2 2 4" xfId="60355"/>
    <cellStyle name="Normal 5 2 3 5 2 3" xfId="18166"/>
    <cellStyle name="Normal 5 2 3 5 2 4" xfId="24656"/>
    <cellStyle name="Normal 5 2 3 5 2 5" xfId="37636"/>
    <cellStyle name="Normal 5 2 3 5 2 6" xfId="53865"/>
    <cellStyle name="Normal 5 2 3 5 3" xfId="8428"/>
    <cellStyle name="Normal 5 2 3 5 3 2" xfId="27901"/>
    <cellStyle name="Normal 5 2 3 5 3 3" xfId="40881"/>
    <cellStyle name="Normal 5 2 3 5 3 4" xfId="57110"/>
    <cellStyle name="Normal 5 2 3 5 4" xfId="14921"/>
    <cellStyle name="Normal 5 2 3 5 4 2" xfId="50620"/>
    <cellStyle name="Normal 5 2 3 5 5" xfId="21411"/>
    <cellStyle name="Normal 5 2 3 5 6" xfId="34391"/>
    <cellStyle name="Normal 5 2 3 5 7" xfId="47374"/>
    <cellStyle name="Normal 5 2 3 6" xfId="3517"/>
    <cellStyle name="Normal 5 2 3 6 2" xfId="10049"/>
    <cellStyle name="Normal 5 2 3 6 2 2" xfId="29522"/>
    <cellStyle name="Normal 5 2 3 6 2 3" xfId="42502"/>
    <cellStyle name="Normal 5 2 3 6 2 4" xfId="58731"/>
    <cellStyle name="Normal 5 2 3 6 3" xfId="16542"/>
    <cellStyle name="Normal 5 2 3 6 4" xfId="23032"/>
    <cellStyle name="Normal 5 2 3 6 5" xfId="36012"/>
    <cellStyle name="Normal 5 2 3 6 6" xfId="52241"/>
    <cellStyle name="Normal 5 2 3 7" xfId="6804"/>
    <cellStyle name="Normal 5 2 3 7 2" xfId="26277"/>
    <cellStyle name="Normal 5 2 3 7 3" xfId="39257"/>
    <cellStyle name="Normal 5 2 3 7 4" xfId="55486"/>
    <cellStyle name="Normal 5 2 3 8" xfId="13297"/>
    <cellStyle name="Normal 5 2 3 8 2" xfId="48996"/>
    <cellStyle name="Normal 5 2 3 9" xfId="19787"/>
    <cellStyle name="Normal 5 2 4" xfId="311"/>
    <cellStyle name="Normal 5 2 4 10" xfId="32855"/>
    <cellStyle name="Normal 5 2 4 11" xfId="45838"/>
    <cellStyle name="Normal 5 2 4 2" xfId="775"/>
    <cellStyle name="Normal 5 2 4 2 10" xfId="46298"/>
    <cellStyle name="Normal 5 2 4 2 2" xfId="1714"/>
    <cellStyle name="Normal 5 2 4 2 2 2" xfId="3381"/>
    <cellStyle name="Normal 5 2 4 2 2 2 2" xfId="6626"/>
    <cellStyle name="Normal 5 2 4 2 2 2 2 2" xfId="13158"/>
    <cellStyle name="Normal 5 2 4 2 2 2 2 2 2" xfId="32631"/>
    <cellStyle name="Normal 5 2 4 2 2 2 2 2 3" xfId="45611"/>
    <cellStyle name="Normal 5 2 4 2 2 2 2 2 4" xfId="61840"/>
    <cellStyle name="Normal 5 2 4 2 2 2 2 3" xfId="19651"/>
    <cellStyle name="Normal 5 2 4 2 2 2 2 4" xfId="26141"/>
    <cellStyle name="Normal 5 2 4 2 2 2 2 5" xfId="39121"/>
    <cellStyle name="Normal 5 2 4 2 2 2 2 6" xfId="55350"/>
    <cellStyle name="Normal 5 2 4 2 2 2 3" xfId="9913"/>
    <cellStyle name="Normal 5 2 4 2 2 2 3 2" xfId="29386"/>
    <cellStyle name="Normal 5 2 4 2 2 2 3 3" xfId="42366"/>
    <cellStyle name="Normal 5 2 4 2 2 2 3 4" xfId="58595"/>
    <cellStyle name="Normal 5 2 4 2 2 2 4" xfId="16406"/>
    <cellStyle name="Normal 5 2 4 2 2 2 4 2" xfId="52105"/>
    <cellStyle name="Normal 5 2 4 2 2 2 5" xfId="22896"/>
    <cellStyle name="Normal 5 2 4 2 2 2 6" xfId="35876"/>
    <cellStyle name="Normal 5 2 4 2 2 2 7" xfId="48859"/>
    <cellStyle name="Normal 5 2 4 2 2 3" xfId="5003"/>
    <cellStyle name="Normal 5 2 4 2 2 3 2" xfId="11535"/>
    <cellStyle name="Normal 5 2 4 2 2 3 2 2" xfId="31008"/>
    <cellStyle name="Normal 5 2 4 2 2 3 2 3" xfId="43988"/>
    <cellStyle name="Normal 5 2 4 2 2 3 2 4" xfId="60217"/>
    <cellStyle name="Normal 5 2 4 2 2 3 3" xfId="18028"/>
    <cellStyle name="Normal 5 2 4 2 2 3 4" xfId="24518"/>
    <cellStyle name="Normal 5 2 4 2 2 3 5" xfId="37498"/>
    <cellStyle name="Normal 5 2 4 2 2 3 6" xfId="53727"/>
    <cellStyle name="Normal 5 2 4 2 2 4" xfId="8290"/>
    <cellStyle name="Normal 5 2 4 2 2 4 2" xfId="27763"/>
    <cellStyle name="Normal 5 2 4 2 2 4 3" xfId="40743"/>
    <cellStyle name="Normal 5 2 4 2 2 4 4" xfId="56972"/>
    <cellStyle name="Normal 5 2 4 2 2 5" xfId="14783"/>
    <cellStyle name="Normal 5 2 4 2 2 5 2" xfId="50482"/>
    <cellStyle name="Normal 5 2 4 2 2 6" xfId="21273"/>
    <cellStyle name="Normal 5 2 4 2 2 7" xfId="34253"/>
    <cellStyle name="Normal 5 2 4 2 2 8" xfId="47236"/>
    <cellStyle name="Normal 5 2 4 2 3" xfId="1251"/>
    <cellStyle name="Normal 5 2 4 2 3 2" xfId="2918"/>
    <cellStyle name="Normal 5 2 4 2 3 2 2" xfId="6163"/>
    <cellStyle name="Normal 5 2 4 2 3 2 2 2" xfId="12695"/>
    <cellStyle name="Normal 5 2 4 2 3 2 2 2 2" xfId="32168"/>
    <cellStyle name="Normal 5 2 4 2 3 2 2 2 3" xfId="45148"/>
    <cellStyle name="Normal 5 2 4 2 3 2 2 2 4" xfId="61377"/>
    <cellStyle name="Normal 5 2 4 2 3 2 2 3" xfId="19188"/>
    <cellStyle name="Normal 5 2 4 2 3 2 2 4" xfId="25678"/>
    <cellStyle name="Normal 5 2 4 2 3 2 2 5" xfId="38658"/>
    <cellStyle name="Normal 5 2 4 2 3 2 2 6" xfId="54887"/>
    <cellStyle name="Normal 5 2 4 2 3 2 3" xfId="9450"/>
    <cellStyle name="Normal 5 2 4 2 3 2 3 2" xfId="28923"/>
    <cellStyle name="Normal 5 2 4 2 3 2 3 3" xfId="41903"/>
    <cellStyle name="Normal 5 2 4 2 3 2 3 4" xfId="58132"/>
    <cellStyle name="Normal 5 2 4 2 3 2 4" xfId="15943"/>
    <cellStyle name="Normal 5 2 4 2 3 2 4 2" xfId="51642"/>
    <cellStyle name="Normal 5 2 4 2 3 2 5" xfId="22433"/>
    <cellStyle name="Normal 5 2 4 2 3 2 6" xfId="35413"/>
    <cellStyle name="Normal 5 2 4 2 3 2 7" xfId="48396"/>
    <cellStyle name="Normal 5 2 4 2 3 3" xfId="4540"/>
    <cellStyle name="Normal 5 2 4 2 3 3 2" xfId="11072"/>
    <cellStyle name="Normal 5 2 4 2 3 3 2 2" xfId="30545"/>
    <cellStyle name="Normal 5 2 4 2 3 3 2 3" xfId="43525"/>
    <cellStyle name="Normal 5 2 4 2 3 3 2 4" xfId="59754"/>
    <cellStyle name="Normal 5 2 4 2 3 3 3" xfId="17565"/>
    <cellStyle name="Normal 5 2 4 2 3 3 4" xfId="24055"/>
    <cellStyle name="Normal 5 2 4 2 3 3 5" xfId="37035"/>
    <cellStyle name="Normal 5 2 4 2 3 3 6" xfId="53264"/>
    <cellStyle name="Normal 5 2 4 2 3 4" xfId="7827"/>
    <cellStyle name="Normal 5 2 4 2 3 4 2" xfId="27300"/>
    <cellStyle name="Normal 5 2 4 2 3 4 3" xfId="40280"/>
    <cellStyle name="Normal 5 2 4 2 3 4 4" xfId="56509"/>
    <cellStyle name="Normal 5 2 4 2 3 5" xfId="14320"/>
    <cellStyle name="Normal 5 2 4 2 3 5 2" xfId="50019"/>
    <cellStyle name="Normal 5 2 4 2 3 6" xfId="20810"/>
    <cellStyle name="Normal 5 2 4 2 3 7" xfId="33790"/>
    <cellStyle name="Normal 5 2 4 2 3 8" xfId="46773"/>
    <cellStyle name="Normal 5 2 4 2 4" xfId="2443"/>
    <cellStyle name="Normal 5 2 4 2 4 2" xfId="5688"/>
    <cellStyle name="Normal 5 2 4 2 4 2 2" xfId="12220"/>
    <cellStyle name="Normal 5 2 4 2 4 2 2 2" xfId="31693"/>
    <cellStyle name="Normal 5 2 4 2 4 2 2 3" xfId="44673"/>
    <cellStyle name="Normal 5 2 4 2 4 2 2 4" xfId="60902"/>
    <cellStyle name="Normal 5 2 4 2 4 2 3" xfId="18713"/>
    <cellStyle name="Normal 5 2 4 2 4 2 4" xfId="25203"/>
    <cellStyle name="Normal 5 2 4 2 4 2 5" xfId="38183"/>
    <cellStyle name="Normal 5 2 4 2 4 2 6" xfId="54412"/>
    <cellStyle name="Normal 5 2 4 2 4 3" xfId="8975"/>
    <cellStyle name="Normal 5 2 4 2 4 3 2" xfId="28448"/>
    <cellStyle name="Normal 5 2 4 2 4 3 3" xfId="41428"/>
    <cellStyle name="Normal 5 2 4 2 4 3 4" xfId="57657"/>
    <cellStyle name="Normal 5 2 4 2 4 4" xfId="15468"/>
    <cellStyle name="Normal 5 2 4 2 4 4 2" xfId="51167"/>
    <cellStyle name="Normal 5 2 4 2 4 5" xfId="21958"/>
    <cellStyle name="Normal 5 2 4 2 4 6" xfId="34938"/>
    <cellStyle name="Normal 5 2 4 2 4 7" xfId="47921"/>
    <cellStyle name="Normal 5 2 4 2 5" xfId="4065"/>
    <cellStyle name="Normal 5 2 4 2 5 2" xfId="10597"/>
    <cellStyle name="Normal 5 2 4 2 5 2 2" xfId="30070"/>
    <cellStyle name="Normal 5 2 4 2 5 2 3" xfId="43050"/>
    <cellStyle name="Normal 5 2 4 2 5 2 4" xfId="59279"/>
    <cellStyle name="Normal 5 2 4 2 5 3" xfId="17090"/>
    <cellStyle name="Normal 5 2 4 2 5 4" xfId="23580"/>
    <cellStyle name="Normal 5 2 4 2 5 5" xfId="36560"/>
    <cellStyle name="Normal 5 2 4 2 5 6" xfId="52789"/>
    <cellStyle name="Normal 5 2 4 2 6" xfId="7352"/>
    <cellStyle name="Normal 5 2 4 2 6 2" xfId="26825"/>
    <cellStyle name="Normal 5 2 4 2 6 3" xfId="39805"/>
    <cellStyle name="Normal 5 2 4 2 6 4" xfId="56034"/>
    <cellStyle name="Normal 5 2 4 2 7" xfId="13845"/>
    <cellStyle name="Normal 5 2 4 2 7 2" xfId="49544"/>
    <cellStyle name="Normal 5 2 4 2 8" xfId="20335"/>
    <cellStyle name="Normal 5 2 4 2 9" xfId="33315"/>
    <cellStyle name="Normal 5 2 4 3" xfId="545"/>
    <cellStyle name="Normal 5 2 4 3 2" xfId="1494"/>
    <cellStyle name="Normal 5 2 4 3 2 2" xfId="3161"/>
    <cellStyle name="Normal 5 2 4 3 2 2 2" xfId="6406"/>
    <cellStyle name="Normal 5 2 4 3 2 2 2 2" xfId="12938"/>
    <cellStyle name="Normal 5 2 4 3 2 2 2 2 2" xfId="32411"/>
    <cellStyle name="Normal 5 2 4 3 2 2 2 2 3" xfId="45391"/>
    <cellStyle name="Normal 5 2 4 3 2 2 2 2 4" xfId="61620"/>
    <cellStyle name="Normal 5 2 4 3 2 2 2 3" xfId="19431"/>
    <cellStyle name="Normal 5 2 4 3 2 2 2 4" xfId="25921"/>
    <cellStyle name="Normal 5 2 4 3 2 2 2 5" xfId="38901"/>
    <cellStyle name="Normal 5 2 4 3 2 2 2 6" xfId="55130"/>
    <cellStyle name="Normal 5 2 4 3 2 2 3" xfId="9693"/>
    <cellStyle name="Normal 5 2 4 3 2 2 3 2" xfId="29166"/>
    <cellStyle name="Normal 5 2 4 3 2 2 3 3" xfId="42146"/>
    <cellStyle name="Normal 5 2 4 3 2 2 3 4" xfId="58375"/>
    <cellStyle name="Normal 5 2 4 3 2 2 4" xfId="16186"/>
    <cellStyle name="Normal 5 2 4 3 2 2 4 2" xfId="51885"/>
    <cellStyle name="Normal 5 2 4 3 2 2 5" xfId="22676"/>
    <cellStyle name="Normal 5 2 4 3 2 2 6" xfId="35656"/>
    <cellStyle name="Normal 5 2 4 3 2 2 7" xfId="48639"/>
    <cellStyle name="Normal 5 2 4 3 2 3" xfId="4783"/>
    <cellStyle name="Normal 5 2 4 3 2 3 2" xfId="11315"/>
    <cellStyle name="Normal 5 2 4 3 2 3 2 2" xfId="30788"/>
    <cellStyle name="Normal 5 2 4 3 2 3 2 3" xfId="43768"/>
    <cellStyle name="Normal 5 2 4 3 2 3 2 4" xfId="59997"/>
    <cellStyle name="Normal 5 2 4 3 2 3 3" xfId="17808"/>
    <cellStyle name="Normal 5 2 4 3 2 3 4" xfId="24298"/>
    <cellStyle name="Normal 5 2 4 3 2 3 5" xfId="37278"/>
    <cellStyle name="Normal 5 2 4 3 2 3 6" xfId="53507"/>
    <cellStyle name="Normal 5 2 4 3 2 4" xfId="8070"/>
    <cellStyle name="Normal 5 2 4 3 2 4 2" xfId="27543"/>
    <cellStyle name="Normal 5 2 4 3 2 4 3" xfId="40523"/>
    <cellStyle name="Normal 5 2 4 3 2 4 4" xfId="56752"/>
    <cellStyle name="Normal 5 2 4 3 2 5" xfId="14563"/>
    <cellStyle name="Normal 5 2 4 3 2 5 2" xfId="50262"/>
    <cellStyle name="Normal 5 2 4 3 2 6" xfId="21053"/>
    <cellStyle name="Normal 5 2 4 3 2 7" xfId="34033"/>
    <cellStyle name="Normal 5 2 4 3 2 8" xfId="47016"/>
    <cellStyle name="Normal 5 2 4 3 3" xfId="2213"/>
    <cellStyle name="Normal 5 2 4 3 3 2" xfId="5458"/>
    <cellStyle name="Normal 5 2 4 3 3 2 2" xfId="11990"/>
    <cellStyle name="Normal 5 2 4 3 3 2 2 2" xfId="31463"/>
    <cellStyle name="Normal 5 2 4 3 3 2 2 3" xfId="44443"/>
    <cellStyle name="Normal 5 2 4 3 3 2 2 4" xfId="60672"/>
    <cellStyle name="Normal 5 2 4 3 3 2 3" xfId="18483"/>
    <cellStyle name="Normal 5 2 4 3 3 2 4" xfId="24973"/>
    <cellStyle name="Normal 5 2 4 3 3 2 5" xfId="37953"/>
    <cellStyle name="Normal 5 2 4 3 3 2 6" xfId="54182"/>
    <cellStyle name="Normal 5 2 4 3 3 3" xfId="8745"/>
    <cellStyle name="Normal 5 2 4 3 3 3 2" xfId="28218"/>
    <cellStyle name="Normal 5 2 4 3 3 3 3" xfId="41198"/>
    <cellStyle name="Normal 5 2 4 3 3 3 4" xfId="57427"/>
    <cellStyle name="Normal 5 2 4 3 3 4" xfId="15238"/>
    <cellStyle name="Normal 5 2 4 3 3 4 2" xfId="50937"/>
    <cellStyle name="Normal 5 2 4 3 3 5" xfId="21728"/>
    <cellStyle name="Normal 5 2 4 3 3 6" xfId="34708"/>
    <cellStyle name="Normal 5 2 4 3 3 7" xfId="47691"/>
    <cellStyle name="Normal 5 2 4 3 4" xfId="3835"/>
    <cellStyle name="Normal 5 2 4 3 4 2" xfId="10367"/>
    <cellStyle name="Normal 5 2 4 3 4 2 2" xfId="29840"/>
    <cellStyle name="Normal 5 2 4 3 4 2 3" xfId="42820"/>
    <cellStyle name="Normal 5 2 4 3 4 2 4" xfId="59049"/>
    <cellStyle name="Normal 5 2 4 3 4 3" xfId="16860"/>
    <cellStyle name="Normal 5 2 4 3 4 4" xfId="23350"/>
    <cellStyle name="Normal 5 2 4 3 4 5" xfId="36330"/>
    <cellStyle name="Normal 5 2 4 3 4 6" xfId="52559"/>
    <cellStyle name="Normal 5 2 4 3 5" xfId="7122"/>
    <cellStyle name="Normal 5 2 4 3 5 2" xfId="26595"/>
    <cellStyle name="Normal 5 2 4 3 5 3" xfId="39575"/>
    <cellStyle name="Normal 5 2 4 3 5 4" xfId="55804"/>
    <cellStyle name="Normal 5 2 4 3 6" xfId="13615"/>
    <cellStyle name="Normal 5 2 4 3 6 2" xfId="49314"/>
    <cellStyle name="Normal 5 2 4 3 7" xfId="20105"/>
    <cellStyle name="Normal 5 2 4 3 8" xfId="33085"/>
    <cellStyle name="Normal 5 2 4 3 9" xfId="46068"/>
    <cellStyle name="Normal 5 2 4 4" xfId="1031"/>
    <cellStyle name="Normal 5 2 4 4 2" xfId="2698"/>
    <cellStyle name="Normal 5 2 4 4 2 2" xfId="5943"/>
    <cellStyle name="Normal 5 2 4 4 2 2 2" xfId="12475"/>
    <cellStyle name="Normal 5 2 4 4 2 2 2 2" xfId="31948"/>
    <cellStyle name="Normal 5 2 4 4 2 2 2 3" xfId="44928"/>
    <cellStyle name="Normal 5 2 4 4 2 2 2 4" xfId="61157"/>
    <cellStyle name="Normal 5 2 4 4 2 2 3" xfId="18968"/>
    <cellStyle name="Normal 5 2 4 4 2 2 4" xfId="25458"/>
    <cellStyle name="Normal 5 2 4 4 2 2 5" xfId="38438"/>
    <cellStyle name="Normal 5 2 4 4 2 2 6" xfId="54667"/>
    <cellStyle name="Normal 5 2 4 4 2 3" xfId="9230"/>
    <cellStyle name="Normal 5 2 4 4 2 3 2" xfId="28703"/>
    <cellStyle name="Normal 5 2 4 4 2 3 3" xfId="41683"/>
    <cellStyle name="Normal 5 2 4 4 2 3 4" xfId="57912"/>
    <cellStyle name="Normal 5 2 4 4 2 4" xfId="15723"/>
    <cellStyle name="Normal 5 2 4 4 2 4 2" xfId="51422"/>
    <cellStyle name="Normal 5 2 4 4 2 5" xfId="22213"/>
    <cellStyle name="Normal 5 2 4 4 2 6" xfId="35193"/>
    <cellStyle name="Normal 5 2 4 4 2 7" xfId="48176"/>
    <cellStyle name="Normal 5 2 4 4 3" xfId="4320"/>
    <cellStyle name="Normal 5 2 4 4 3 2" xfId="10852"/>
    <cellStyle name="Normal 5 2 4 4 3 2 2" xfId="30325"/>
    <cellStyle name="Normal 5 2 4 4 3 2 3" xfId="43305"/>
    <cellStyle name="Normal 5 2 4 4 3 2 4" xfId="59534"/>
    <cellStyle name="Normal 5 2 4 4 3 3" xfId="17345"/>
    <cellStyle name="Normal 5 2 4 4 3 4" xfId="23835"/>
    <cellStyle name="Normal 5 2 4 4 3 5" xfId="36815"/>
    <cellStyle name="Normal 5 2 4 4 3 6" xfId="53044"/>
    <cellStyle name="Normal 5 2 4 4 4" xfId="7607"/>
    <cellStyle name="Normal 5 2 4 4 4 2" xfId="27080"/>
    <cellStyle name="Normal 5 2 4 4 4 3" xfId="40060"/>
    <cellStyle name="Normal 5 2 4 4 4 4" xfId="56289"/>
    <cellStyle name="Normal 5 2 4 4 5" xfId="14100"/>
    <cellStyle name="Normal 5 2 4 4 5 2" xfId="49799"/>
    <cellStyle name="Normal 5 2 4 4 6" xfId="20590"/>
    <cellStyle name="Normal 5 2 4 4 7" xfId="33570"/>
    <cellStyle name="Normal 5 2 4 4 8" xfId="46553"/>
    <cellStyle name="Normal 5 2 4 5" xfId="1984"/>
    <cellStyle name="Normal 5 2 4 5 2" xfId="5229"/>
    <cellStyle name="Normal 5 2 4 5 2 2" xfId="11761"/>
    <cellStyle name="Normal 5 2 4 5 2 2 2" xfId="31234"/>
    <cellStyle name="Normal 5 2 4 5 2 2 3" xfId="44214"/>
    <cellStyle name="Normal 5 2 4 5 2 2 4" xfId="60443"/>
    <cellStyle name="Normal 5 2 4 5 2 3" xfId="18254"/>
    <cellStyle name="Normal 5 2 4 5 2 4" xfId="24744"/>
    <cellStyle name="Normal 5 2 4 5 2 5" xfId="37724"/>
    <cellStyle name="Normal 5 2 4 5 2 6" xfId="53953"/>
    <cellStyle name="Normal 5 2 4 5 3" xfId="8516"/>
    <cellStyle name="Normal 5 2 4 5 3 2" xfId="27989"/>
    <cellStyle name="Normal 5 2 4 5 3 3" xfId="40969"/>
    <cellStyle name="Normal 5 2 4 5 3 4" xfId="57198"/>
    <cellStyle name="Normal 5 2 4 5 4" xfId="15009"/>
    <cellStyle name="Normal 5 2 4 5 4 2" xfId="50708"/>
    <cellStyle name="Normal 5 2 4 5 5" xfId="21499"/>
    <cellStyle name="Normal 5 2 4 5 6" xfId="34479"/>
    <cellStyle name="Normal 5 2 4 5 7" xfId="47462"/>
    <cellStyle name="Normal 5 2 4 6" xfId="3605"/>
    <cellStyle name="Normal 5 2 4 6 2" xfId="10137"/>
    <cellStyle name="Normal 5 2 4 6 2 2" xfId="29610"/>
    <cellStyle name="Normal 5 2 4 6 2 3" xfId="42590"/>
    <cellStyle name="Normal 5 2 4 6 2 4" xfId="58819"/>
    <cellStyle name="Normal 5 2 4 6 3" xfId="16630"/>
    <cellStyle name="Normal 5 2 4 6 4" xfId="23120"/>
    <cellStyle name="Normal 5 2 4 6 5" xfId="36100"/>
    <cellStyle name="Normal 5 2 4 6 6" xfId="52329"/>
    <cellStyle name="Normal 5 2 4 7" xfId="6892"/>
    <cellStyle name="Normal 5 2 4 7 2" xfId="26365"/>
    <cellStyle name="Normal 5 2 4 7 3" xfId="39345"/>
    <cellStyle name="Normal 5 2 4 7 4" xfId="55574"/>
    <cellStyle name="Normal 5 2 4 8" xfId="13385"/>
    <cellStyle name="Normal 5 2 4 8 2" xfId="49084"/>
    <cellStyle name="Normal 5 2 4 9" xfId="19875"/>
    <cellStyle name="Normal 5 2 5" xfId="643"/>
    <cellStyle name="Normal 5 2 5 10" xfId="46166"/>
    <cellStyle name="Normal 5 2 5 2" xfId="1582"/>
    <cellStyle name="Normal 5 2 5 2 2" xfId="3249"/>
    <cellStyle name="Normal 5 2 5 2 2 2" xfId="6494"/>
    <cellStyle name="Normal 5 2 5 2 2 2 2" xfId="13026"/>
    <cellStyle name="Normal 5 2 5 2 2 2 2 2" xfId="32499"/>
    <cellStyle name="Normal 5 2 5 2 2 2 2 3" xfId="45479"/>
    <cellStyle name="Normal 5 2 5 2 2 2 2 4" xfId="61708"/>
    <cellStyle name="Normal 5 2 5 2 2 2 3" xfId="19519"/>
    <cellStyle name="Normal 5 2 5 2 2 2 4" xfId="26009"/>
    <cellStyle name="Normal 5 2 5 2 2 2 5" xfId="38989"/>
    <cellStyle name="Normal 5 2 5 2 2 2 6" xfId="55218"/>
    <cellStyle name="Normal 5 2 5 2 2 3" xfId="9781"/>
    <cellStyle name="Normal 5 2 5 2 2 3 2" xfId="29254"/>
    <cellStyle name="Normal 5 2 5 2 2 3 3" xfId="42234"/>
    <cellStyle name="Normal 5 2 5 2 2 3 4" xfId="58463"/>
    <cellStyle name="Normal 5 2 5 2 2 4" xfId="16274"/>
    <cellStyle name="Normal 5 2 5 2 2 4 2" xfId="51973"/>
    <cellStyle name="Normal 5 2 5 2 2 5" xfId="22764"/>
    <cellStyle name="Normal 5 2 5 2 2 6" xfId="35744"/>
    <cellStyle name="Normal 5 2 5 2 2 7" xfId="48727"/>
    <cellStyle name="Normal 5 2 5 2 3" xfId="4871"/>
    <cellStyle name="Normal 5 2 5 2 3 2" xfId="11403"/>
    <cellStyle name="Normal 5 2 5 2 3 2 2" xfId="30876"/>
    <cellStyle name="Normal 5 2 5 2 3 2 3" xfId="43856"/>
    <cellStyle name="Normal 5 2 5 2 3 2 4" xfId="60085"/>
    <cellStyle name="Normal 5 2 5 2 3 3" xfId="17896"/>
    <cellStyle name="Normal 5 2 5 2 3 4" xfId="24386"/>
    <cellStyle name="Normal 5 2 5 2 3 5" xfId="37366"/>
    <cellStyle name="Normal 5 2 5 2 3 6" xfId="53595"/>
    <cellStyle name="Normal 5 2 5 2 4" xfId="8158"/>
    <cellStyle name="Normal 5 2 5 2 4 2" xfId="27631"/>
    <cellStyle name="Normal 5 2 5 2 4 3" xfId="40611"/>
    <cellStyle name="Normal 5 2 5 2 4 4" xfId="56840"/>
    <cellStyle name="Normal 5 2 5 2 5" xfId="14651"/>
    <cellStyle name="Normal 5 2 5 2 5 2" xfId="50350"/>
    <cellStyle name="Normal 5 2 5 2 6" xfId="21141"/>
    <cellStyle name="Normal 5 2 5 2 7" xfId="34121"/>
    <cellStyle name="Normal 5 2 5 2 8" xfId="47104"/>
    <cellStyle name="Normal 5 2 5 3" xfId="1119"/>
    <cellStyle name="Normal 5 2 5 3 2" xfId="2786"/>
    <cellStyle name="Normal 5 2 5 3 2 2" xfId="6031"/>
    <cellStyle name="Normal 5 2 5 3 2 2 2" xfId="12563"/>
    <cellStyle name="Normal 5 2 5 3 2 2 2 2" xfId="32036"/>
    <cellStyle name="Normal 5 2 5 3 2 2 2 3" xfId="45016"/>
    <cellStyle name="Normal 5 2 5 3 2 2 2 4" xfId="61245"/>
    <cellStyle name="Normal 5 2 5 3 2 2 3" xfId="19056"/>
    <cellStyle name="Normal 5 2 5 3 2 2 4" xfId="25546"/>
    <cellStyle name="Normal 5 2 5 3 2 2 5" xfId="38526"/>
    <cellStyle name="Normal 5 2 5 3 2 2 6" xfId="54755"/>
    <cellStyle name="Normal 5 2 5 3 2 3" xfId="9318"/>
    <cellStyle name="Normal 5 2 5 3 2 3 2" xfId="28791"/>
    <cellStyle name="Normal 5 2 5 3 2 3 3" xfId="41771"/>
    <cellStyle name="Normal 5 2 5 3 2 3 4" xfId="58000"/>
    <cellStyle name="Normal 5 2 5 3 2 4" xfId="15811"/>
    <cellStyle name="Normal 5 2 5 3 2 4 2" xfId="51510"/>
    <cellStyle name="Normal 5 2 5 3 2 5" xfId="22301"/>
    <cellStyle name="Normal 5 2 5 3 2 6" xfId="35281"/>
    <cellStyle name="Normal 5 2 5 3 2 7" xfId="48264"/>
    <cellStyle name="Normal 5 2 5 3 3" xfId="4408"/>
    <cellStyle name="Normal 5 2 5 3 3 2" xfId="10940"/>
    <cellStyle name="Normal 5 2 5 3 3 2 2" xfId="30413"/>
    <cellStyle name="Normal 5 2 5 3 3 2 3" xfId="43393"/>
    <cellStyle name="Normal 5 2 5 3 3 2 4" xfId="59622"/>
    <cellStyle name="Normal 5 2 5 3 3 3" xfId="17433"/>
    <cellStyle name="Normal 5 2 5 3 3 4" xfId="23923"/>
    <cellStyle name="Normal 5 2 5 3 3 5" xfId="36903"/>
    <cellStyle name="Normal 5 2 5 3 3 6" xfId="53132"/>
    <cellStyle name="Normal 5 2 5 3 4" xfId="7695"/>
    <cellStyle name="Normal 5 2 5 3 4 2" xfId="27168"/>
    <cellStyle name="Normal 5 2 5 3 4 3" xfId="40148"/>
    <cellStyle name="Normal 5 2 5 3 4 4" xfId="56377"/>
    <cellStyle name="Normal 5 2 5 3 5" xfId="14188"/>
    <cellStyle name="Normal 5 2 5 3 5 2" xfId="49887"/>
    <cellStyle name="Normal 5 2 5 3 6" xfId="20678"/>
    <cellStyle name="Normal 5 2 5 3 7" xfId="33658"/>
    <cellStyle name="Normal 5 2 5 3 8" xfId="46641"/>
    <cellStyle name="Normal 5 2 5 4" xfId="2311"/>
    <cellStyle name="Normal 5 2 5 4 2" xfId="5556"/>
    <cellStyle name="Normal 5 2 5 4 2 2" xfId="12088"/>
    <cellStyle name="Normal 5 2 5 4 2 2 2" xfId="31561"/>
    <cellStyle name="Normal 5 2 5 4 2 2 3" xfId="44541"/>
    <cellStyle name="Normal 5 2 5 4 2 2 4" xfId="60770"/>
    <cellStyle name="Normal 5 2 5 4 2 3" xfId="18581"/>
    <cellStyle name="Normal 5 2 5 4 2 4" xfId="25071"/>
    <cellStyle name="Normal 5 2 5 4 2 5" xfId="38051"/>
    <cellStyle name="Normal 5 2 5 4 2 6" xfId="54280"/>
    <cellStyle name="Normal 5 2 5 4 3" xfId="8843"/>
    <cellStyle name="Normal 5 2 5 4 3 2" xfId="28316"/>
    <cellStyle name="Normal 5 2 5 4 3 3" xfId="41296"/>
    <cellStyle name="Normal 5 2 5 4 3 4" xfId="57525"/>
    <cellStyle name="Normal 5 2 5 4 4" xfId="15336"/>
    <cellStyle name="Normal 5 2 5 4 4 2" xfId="51035"/>
    <cellStyle name="Normal 5 2 5 4 5" xfId="21826"/>
    <cellStyle name="Normal 5 2 5 4 6" xfId="34806"/>
    <cellStyle name="Normal 5 2 5 4 7" xfId="47789"/>
    <cellStyle name="Normal 5 2 5 5" xfId="3933"/>
    <cellStyle name="Normal 5 2 5 5 2" xfId="10465"/>
    <cellStyle name="Normal 5 2 5 5 2 2" xfId="29938"/>
    <cellStyle name="Normal 5 2 5 5 2 3" xfId="42918"/>
    <cellStyle name="Normal 5 2 5 5 2 4" xfId="59147"/>
    <cellStyle name="Normal 5 2 5 5 3" xfId="16958"/>
    <cellStyle name="Normal 5 2 5 5 4" xfId="23448"/>
    <cellStyle name="Normal 5 2 5 5 5" xfId="36428"/>
    <cellStyle name="Normal 5 2 5 5 6" xfId="52657"/>
    <cellStyle name="Normal 5 2 5 6" xfId="7220"/>
    <cellStyle name="Normal 5 2 5 6 2" xfId="26693"/>
    <cellStyle name="Normal 5 2 5 6 3" xfId="39673"/>
    <cellStyle name="Normal 5 2 5 6 4" xfId="55902"/>
    <cellStyle name="Normal 5 2 5 7" xfId="13713"/>
    <cellStyle name="Normal 5 2 5 7 2" xfId="49412"/>
    <cellStyle name="Normal 5 2 5 8" xfId="20203"/>
    <cellStyle name="Normal 5 2 5 9" xfId="33183"/>
    <cellStyle name="Normal 5 2 6" xfId="413"/>
    <cellStyle name="Normal 5 2 6 2" xfId="1362"/>
    <cellStyle name="Normal 5 2 6 2 2" xfId="3029"/>
    <cellStyle name="Normal 5 2 6 2 2 2" xfId="6274"/>
    <cellStyle name="Normal 5 2 6 2 2 2 2" xfId="12806"/>
    <cellStyle name="Normal 5 2 6 2 2 2 2 2" xfId="32279"/>
    <cellStyle name="Normal 5 2 6 2 2 2 2 3" xfId="45259"/>
    <cellStyle name="Normal 5 2 6 2 2 2 2 4" xfId="61488"/>
    <cellStyle name="Normal 5 2 6 2 2 2 3" xfId="19299"/>
    <cellStyle name="Normal 5 2 6 2 2 2 4" xfId="25789"/>
    <cellStyle name="Normal 5 2 6 2 2 2 5" xfId="38769"/>
    <cellStyle name="Normal 5 2 6 2 2 2 6" xfId="54998"/>
    <cellStyle name="Normal 5 2 6 2 2 3" xfId="9561"/>
    <cellStyle name="Normal 5 2 6 2 2 3 2" xfId="29034"/>
    <cellStyle name="Normal 5 2 6 2 2 3 3" xfId="42014"/>
    <cellStyle name="Normal 5 2 6 2 2 3 4" xfId="58243"/>
    <cellStyle name="Normal 5 2 6 2 2 4" xfId="16054"/>
    <cellStyle name="Normal 5 2 6 2 2 4 2" xfId="51753"/>
    <cellStyle name="Normal 5 2 6 2 2 5" xfId="22544"/>
    <cellStyle name="Normal 5 2 6 2 2 6" xfId="35524"/>
    <cellStyle name="Normal 5 2 6 2 2 7" xfId="48507"/>
    <cellStyle name="Normal 5 2 6 2 3" xfId="4651"/>
    <cellStyle name="Normal 5 2 6 2 3 2" xfId="11183"/>
    <cellStyle name="Normal 5 2 6 2 3 2 2" xfId="30656"/>
    <cellStyle name="Normal 5 2 6 2 3 2 3" xfId="43636"/>
    <cellStyle name="Normal 5 2 6 2 3 2 4" xfId="59865"/>
    <cellStyle name="Normal 5 2 6 2 3 3" xfId="17676"/>
    <cellStyle name="Normal 5 2 6 2 3 4" xfId="24166"/>
    <cellStyle name="Normal 5 2 6 2 3 5" xfId="37146"/>
    <cellStyle name="Normal 5 2 6 2 3 6" xfId="53375"/>
    <cellStyle name="Normal 5 2 6 2 4" xfId="7938"/>
    <cellStyle name="Normal 5 2 6 2 4 2" xfId="27411"/>
    <cellStyle name="Normal 5 2 6 2 4 3" xfId="40391"/>
    <cellStyle name="Normal 5 2 6 2 4 4" xfId="56620"/>
    <cellStyle name="Normal 5 2 6 2 5" xfId="14431"/>
    <cellStyle name="Normal 5 2 6 2 5 2" xfId="50130"/>
    <cellStyle name="Normal 5 2 6 2 6" xfId="20921"/>
    <cellStyle name="Normal 5 2 6 2 7" xfId="33901"/>
    <cellStyle name="Normal 5 2 6 2 8" xfId="46884"/>
    <cellStyle name="Normal 5 2 6 3" xfId="2081"/>
    <cellStyle name="Normal 5 2 6 3 2" xfId="5326"/>
    <cellStyle name="Normal 5 2 6 3 2 2" xfId="11858"/>
    <cellStyle name="Normal 5 2 6 3 2 2 2" xfId="31331"/>
    <cellStyle name="Normal 5 2 6 3 2 2 3" xfId="44311"/>
    <cellStyle name="Normal 5 2 6 3 2 2 4" xfId="60540"/>
    <cellStyle name="Normal 5 2 6 3 2 3" xfId="18351"/>
    <cellStyle name="Normal 5 2 6 3 2 4" xfId="24841"/>
    <cellStyle name="Normal 5 2 6 3 2 5" xfId="37821"/>
    <cellStyle name="Normal 5 2 6 3 2 6" xfId="54050"/>
    <cellStyle name="Normal 5 2 6 3 3" xfId="8613"/>
    <cellStyle name="Normal 5 2 6 3 3 2" xfId="28086"/>
    <cellStyle name="Normal 5 2 6 3 3 3" xfId="41066"/>
    <cellStyle name="Normal 5 2 6 3 3 4" xfId="57295"/>
    <cellStyle name="Normal 5 2 6 3 4" xfId="15106"/>
    <cellStyle name="Normal 5 2 6 3 4 2" xfId="50805"/>
    <cellStyle name="Normal 5 2 6 3 5" xfId="21596"/>
    <cellStyle name="Normal 5 2 6 3 6" xfId="34576"/>
    <cellStyle name="Normal 5 2 6 3 7" xfId="47559"/>
    <cellStyle name="Normal 5 2 6 4" xfId="3703"/>
    <cellStyle name="Normal 5 2 6 4 2" xfId="10235"/>
    <cellStyle name="Normal 5 2 6 4 2 2" xfId="29708"/>
    <cellStyle name="Normal 5 2 6 4 2 3" xfId="42688"/>
    <cellStyle name="Normal 5 2 6 4 2 4" xfId="58917"/>
    <cellStyle name="Normal 5 2 6 4 3" xfId="16728"/>
    <cellStyle name="Normal 5 2 6 4 4" xfId="23218"/>
    <cellStyle name="Normal 5 2 6 4 5" xfId="36198"/>
    <cellStyle name="Normal 5 2 6 4 6" xfId="52427"/>
    <cellStyle name="Normal 5 2 6 5" xfId="6990"/>
    <cellStyle name="Normal 5 2 6 5 2" xfId="26463"/>
    <cellStyle name="Normal 5 2 6 5 3" xfId="39443"/>
    <cellStyle name="Normal 5 2 6 5 4" xfId="55672"/>
    <cellStyle name="Normal 5 2 6 6" xfId="13483"/>
    <cellStyle name="Normal 5 2 6 6 2" xfId="49182"/>
    <cellStyle name="Normal 5 2 6 7" xfId="19973"/>
    <cellStyle name="Normal 5 2 6 8" xfId="32953"/>
    <cellStyle name="Normal 5 2 6 9" xfId="45936"/>
    <cellStyle name="Normal 5 2 7" xfId="899"/>
    <cellStyle name="Normal 5 2 7 2" xfId="2566"/>
    <cellStyle name="Normal 5 2 7 2 2" xfId="5811"/>
    <cellStyle name="Normal 5 2 7 2 2 2" xfId="12343"/>
    <cellStyle name="Normal 5 2 7 2 2 2 2" xfId="31816"/>
    <cellStyle name="Normal 5 2 7 2 2 2 3" xfId="44796"/>
    <cellStyle name="Normal 5 2 7 2 2 2 4" xfId="61025"/>
    <cellStyle name="Normal 5 2 7 2 2 3" xfId="18836"/>
    <cellStyle name="Normal 5 2 7 2 2 4" xfId="25326"/>
    <cellStyle name="Normal 5 2 7 2 2 5" xfId="38306"/>
    <cellStyle name="Normal 5 2 7 2 2 6" xfId="54535"/>
    <cellStyle name="Normal 5 2 7 2 3" xfId="9098"/>
    <cellStyle name="Normal 5 2 7 2 3 2" xfId="28571"/>
    <cellStyle name="Normal 5 2 7 2 3 3" xfId="41551"/>
    <cellStyle name="Normal 5 2 7 2 3 4" xfId="57780"/>
    <cellStyle name="Normal 5 2 7 2 4" xfId="15591"/>
    <cellStyle name="Normal 5 2 7 2 4 2" xfId="51290"/>
    <cellStyle name="Normal 5 2 7 2 5" xfId="22081"/>
    <cellStyle name="Normal 5 2 7 2 6" xfId="35061"/>
    <cellStyle name="Normal 5 2 7 2 7" xfId="48044"/>
    <cellStyle name="Normal 5 2 7 3" xfId="4188"/>
    <cellStyle name="Normal 5 2 7 3 2" xfId="10720"/>
    <cellStyle name="Normal 5 2 7 3 2 2" xfId="30193"/>
    <cellStyle name="Normal 5 2 7 3 2 3" xfId="43173"/>
    <cellStyle name="Normal 5 2 7 3 2 4" xfId="59402"/>
    <cellStyle name="Normal 5 2 7 3 3" xfId="17213"/>
    <cellStyle name="Normal 5 2 7 3 4" xfId="23703"/>
    <cellStyle name="Normal 5 2 7 3 5" xfId="36683"/>
    <cellStyle name="Normal 5 2 7 3 6" xfId="52912"/>
    <cellStyle name="Normal 5 2 7 4" xfId="7475"/>
    <cellStyle name="Normal 5 2 7 4 2" xfId="26948"/>
    <cellStyle name="Normal 5 2 7 4 3" xfId="39928"/>
    <cellStyle name="Normal 5 2 7 4 4" xfId="56157"/>
    <cellStyle name="Normal 5 2 7 5" xfId="13968"/>
    <cellStyle name="Normal 5 2 7 5 2" xfId="49667"/>
    <cellStyle name="Normal 5 2 7 6" xfId="20458"/>
    <cellStyle name="Normal 5 2 7 7" xfId="33438"/>
    <cellStyle name="Normal 5 2 7 8" xfId="46421"/>
    <cellStyle name="Normal 5 2 8" xfId="1852"/>
    <cellStyle name="Normal 5 2 8 2" xfId="5097"/>
    <cellStyle name="Normal 5 2 8 2 2" xfId="11629"/>
    <cellStyle name="Normal 5 2 8 2 2 2" xfId="31102"/>
    <cellStyle name="Normal 5 2 8 2 2 3" xfId="44082"/>
    <cellStyle name="Normal 5 2 8 2 2 4" xfId="60311"/>
    <cellStyle name="Normal 5 2 8 2 3" xfId="18122"/>
    <cellStyle name="Normal 5 2 8 2 4" xfId="24612"/>
    <cellStyle name="Normal 5 2 8 2 5" xfId="37592"/>
    <cellStyle name="Normal 5 2 8 2 6" xfId="53821"/>
    <cellStyle name="Normal 5 2 8 3" xfId="8384"/>
    <cellStyle name="Normal 5 2 8 3 2" xfId="27857"/>
    <cellStyle name="Normal 5 2 8 3 3" xfId="40837"/>
    <cellStyle name="Normal 5 2 8 3 4" xfId="57066"/>
    <cellStyle name="Normal 5 2 8 4" xfId="14877"/>
    <cellStyle name="Normal 5 2 8 4 2" xfId="50576"/>
    <cellStyle name="Normal 5 2 8 5" xfId="21367"/>
    <cellStyle name="Normal 5 2 8 6" xfId="34347"/>
    <cellStyle name="Normal 5 2 8 7" xfId="47330"/>
    <cellStyle name="Normal 5 2 9" xfId="3473"/>
    <cellStyle name="Normal 5 2 9 2" xfId="10005"/>
    <cellStyle name="Normal 5 2 9 2 2" xfId="29478"/>
    <cellStyle name="Normal 5 2 9 2 3" xfId="42458"/>
    <cellStyle name="Normal 5 2 9 2 4" xfId="58687"/>
    <cellStyle name="Normal 5 2 9 3" xfId="16498"/>
    <cellStyle name="Normal 5 2 9 4" xfId="22988"/>
    <cellStyle name="Normal 5 2 9 5" xfId="35968"/>
    <cellStyle name="Normal 5 2 9 6" xfId="52197"/>
    <cellStyle name="Normal 5 3" xfId="245"/>
    <cellStyle name="Normal 5 3 10" xfId="19809"/>
    <cellStyle name="Normal 5 3 11" xfId="32789"/>
    <cellStyle name="Normal 5 3 12" xfId="45772"/>
    <cellStyle name="Normal 5 3 2" xfId="333"/>
    <cellStyle name="Normal 5 3 2 10" xfId="32877"/>
    <cellStyle name="Normal 5 3 2 11" xfId="45860"/>
    <cellStyle name="Normal 5 3 2 2" xfId="797"/>
    <cellStyle name="Normal 5 3 2 2 10" xfId="46320"/>
    <cellStyle name="Normal 5 3 2 2 2" xfId="1736"/>
    <cellStyle name="Normal 5 3 2 2 2 2" xfId="3403"/>
    <cellStyle name="Normal 5 3 2 2 2 2 2" xfId="6648"/>
    <cellStyle name="Normal 5 3 2 2 2 2 2 2" xfId="13180"/>
    <cellStyle name="Normal 5 3 2 2 2 2 2 2 2" xfId="32653"/>
    <cellStyle name="Normal 5 3 2 2 2 2 2 2 3" xfId="45633"/>
    <cellStyle name="Normal 5 3 2 2 2 2 2 2 4" xfId="61862"/>
    <cellStyle name="Normal 5 3 2 2 2 2 2 3" xfId="19673"/>
    <cellStyle name="Normal 5 3 2 2 2 2 2 4" xfId="26163"/>
    <cellStyle name="Normal 5 3 2 2 2 2 2 5" xfId="39143"/>
    <cellStyle name="Normal 5 3 2 2 2 2 2 6" xfId="55372"/>
    <cellStyle name="Normal 5 3 2 2 2 2 3" xfId="9935"/>
    <cellStyle name="Normal 5 3 2 2 2 2 3 2" xfId="29408"/>
    <cellStyle name="Normal 5 3 2 2 2 2 3 3" xfId="42388"/>
    <cellStyle name="Normal 5 3 2 2 2 2 3 4" xfId="58617"/>
    <cellStyle name="Normal 5 3 2 2 2 2 4" xfId="16428"/>
    <cellStyle name="Normal 5 3 2 2 2 2 4 2" xfId="52127"/>
    <cellStyle name="Normal 5 3 2 2 2 2 5" xfId="22918"/>
    <cellStyle name="Normal 5 3 2 2 2 2 6" xfId="35898"/>
    <cellStyle name="Normal 5 3 2 2 2 2 7" xfId="48881"/>
    <cellStyle name="Normal 5 3 2 2 2 3" xfId="5025"/>
    <cellStyle name="Normal 5 3 2 2 2 3 2" xfId="11557"/>
    <cellStyle name="Normal 5 3 2 2 2 3 2 2" xfId="31030"/>
    <cellStyle name="Normal 5 3 2 2 2 3 2 3" xfId="44010"/>
    <cellStyle name="Normal 5 3 2 2 2 3 2 4" xfId="60239"/>
    <cellStyle name="Normal 5 3 2 2 2 3 3" xfId="18050"/>
    <cellStyle name="Normal 5 3 2 2 2 3 4" xfId="24540"/>
    <cellStyle name="Normal 5 3 2 2 2 3 5" xfId="37520"/>
    <cellStyle name="Normal 5 3 2 2 2 3 6" xfId="53749"/>
    <cellStyle name="Normal 5 3 2 2 2 4" xfId="8312"/>
    <cellStyle name="Normal 5 3 2 2 2 4 2" xfId="27785"/>
    <cellStyle name="Normal 5 3 2 2 2 4 3" xfId="40765"/>
    <cellStyle name="Normal 5 3 2 2 2 4 4" xfId="56994"/>
    <cellStyle name="Normal 5 3 2 2 2 5" xfId="14805"/>
    <cellStyle name="Normal 5 3 2 2 2 5 2" xfId="50504"/>
    <cellStyle name="Normal 5 3 2 2 2 6" xfId="21295"/>
    <cellStyle name="Normal 5 3 2 2 2 7" xfId="34275"/>
    <cellStyle name="Normal 5 3 2 2 2 8" xfId="47258"/>
    <cellStyle name="Normal 5 3 2 2 3" xfId="1273"/>
    <cellStyle name="Normal 5 3 2 2 3 2" xfId="2940"/>
    <cellStyle name="Normal 5 3 2 2 3 2 2" xfId="6185"/>
    <cellStyle name="Normal 5 3 2 2 3 2 2 2" xfId="12717"/>
    <cellStyle name="Normal 5 3 2 2 3 2 2 2 2" xfId="32190"/>
    <cellStyle name="Normal 5 3 2 2 3 2 2 2 3" xfId="45170"/>
    <cellStyle name="Normal 5 3 2 2 3 2 2 2 4" xfId="61399"/>
    <cellStyle name="Normal 5 3 2 2 3 2 2 3" xfId="19210"/>
    <cellStyle name="Normal 5 3 2 2 3 2 2 4" xfId="25700"/>
    <cellStyle name="Normal 5 3 2 2 3 2 2 5" xfId="38680"/>
    <cellStyle name="Normal 5 3 2 2 3 2 2 6" xfId="54909"/>
    <cellStyle name="Normal 5 3 2 2 3 2 3" xfId="9472"/>
    <cellStyle name="Normal 5 3 2 2 3 2 3 2" xfId="28945"/>
    <cellStyle name="Normal 5 3 2 2 3 2 3 3" xfId="41925"/>
    <cellStyle name="Normal 5 3 2 2 3 2 3 4" xfId="58154"/>
    <cellStyle name="Normal 5 3 2 2 3 2 4" xfId="15965"/>
    <cellStyle name="Normal 5 3 2 2 3 2 4 2" xfId="51664"/>
    <cellStyle name="Normal 5 3 2 2 3 2 5" xfId="22455"/>
    <cellStyle name="Normal 5 3 2 2 3 2 6" xfId="35435"/>
    <cellStyle name="Normal 5 3 2 2 3 2 7" xfId="48418"/>
    <cellStyle name="Normal 5 3 2 2 3 3" xfId="4562"/>
    <cellStyle name="Normal 5 3 2 2 3 3 2" xfId="11094"/>
    <cellStyle name="Normal 5 3 2 2 3 3 2 2" xfId="30567"/>
    <cellStyle name="Normal 5 3 2 2 3 3 2 3" xfId="43547"/>
    <cellStyle name="Normal 5 3 2 2 3 3 2 4" xfId="59776"/>
    <cellStyle name="Normal 5 3 2 2 3 3 3" xfId="17587"/>
    <cellStyle name="Normal 5 3 2 2 3 3 4" xfId="24077"/>
    <cellStyle name="Normal 5 3 2 2 3 3 5" xfId="37057"/>
    <cellStyle name="Normal 5 3 2 2 3 3 6" xfId="53286"/>
    <cellStyle name="Normal 5 3 2 2 3 4" xfId="7849"/>
    <cellStyle name="Normal 5 3 2 2 3 4 2" xfId="27322"/>
    <cellStyle name="Normal 5 3 2 2 3 4 3" xfId="40302"/>
    <cellStyle name="Normal 5 3 2 2 3 4 4" xfId="56531"/>
    <cellStyle name="Normal 5 3 2 2 3 5" xfId="14342"/>
    <cellStyle name="Normal 5 3 2 2 3 5 2" xfId="50041"/>
    <cellStyle name="Normal 5 3 2 2 3 6" xfId="20832"/>
    <cellStyle name="Normal 5 3 2 2 3 7" xfId="33812"/>
    <cellStyle name="Normal 5 3 2 2 3 8" xfId="46795"/>
    <cellStyle name="Normal 5 3 2 2 4" xfId="2465"/>
    <cellStyle name="Normal 5 3 2 2 4 2" xfId="5710"/>
    <cellStyle name="Normal 5 3 2 2 4 2 2" xfId="12242"/>
    <cellStyle name="Normal 5 3 2 2 4 2 2 2" xfId="31715"/>
    <cellStyle name="Normal 5 3 2 2 4 2 2 3" xfId="44695"/>
    <cellStyle name="Normal 5 3 2 2 4 2 2 4" xfId="60924"/>
    <cellStyle name="Normal 5 3 2 2 4 2 3" xfId="18735"/>
    <cellStyle name="Normal 5 3 2 2 4 2 4" xfId="25225"/>
    <cellStyle name="Normal 5 3 2 2 4 2 5" xfId="38205"/>
    <cellStyle name="Normal 5 3 2 2 4 2 6" xfId="54434"/>
    <cellStyle name="Normal 5 3 2 2 4 3" xfId="8997"/>
    <cellStyle name="Normal 5 3 2 2 4 3 2" xfId="28470"/>
    <cellStyle name="Normal 5 3 2 2 4 3 3" xfId="41450"/>
    <cellStyle name="Normal 5 3 2 2 4 3 4" xfId="57679"/>
    <cellStyle name="Normal 5 3 2 2 4 4" xfId="15490"/>
    <cellStyle name="Normal 5 3 2 2 4 4 2" xfId="51189"/>
    <cellStyle name="Normal 5 3 2 2 4 5" xfId="21980"/>
    <cellStyle name="Normal 5 3 2 2 4 6" xfId="34960"/>
    <cellStyle name="Normal 5 3 2 2 4 7" xfId="47943"/>
    <cellStyle name="Normal 5 3 2 2 5" xfId="4087"/>
    <cellStyle name="Normal 5 3 2 2 5 2" xfId="10619"/>
    <cellStyle name="Normal 5 3 2 2 5 2 2" xfId="30092"/>
    <cellStyle name="Normal 5 3 2 2 5 2 3" xfId="43072"/>
    <cellStyle name="Normal 5 3 2 2 5 2 4" xfId="59301"/>
    <cellStyle name="Normal 5 3 2 2 5 3" xfId="17112"/>
    <cellStyle name="Normal 5 3 2 2 5 4" xfId="23602"/>
    <cellStyle name="Normal 5 3 2 2 5 5" xfId="36582"/>
    <cellStyle name="Normal 5 3 2 2 5 6" xfId="52811"/>
    <cellStyle name="Normal 5 3 2 2 6" xfId="7374"/>
    <cellStyle name="Normal 5 3 2 2 6 2" xfId="26847"/>
    <cellStyle name="Normal 5 3 2 2 6 3" xfId="39827"/>
    <cellStyle name="Normal 5 3 2 2 6 4" xfId="56056"/>
    <cellStyle name="Normal 5 3 2 2 7" xfId="13867"/>
    <cellStyle name="Normal 5 3 2 2 7 2" xfId="49566"/>
    <cellStyle name="Normal 5 3 2 2 8" xfId="20357"/>
    <cellStyle name="Normal 5 3 2 2 9" xfId="33337"/>
    <cellStyle name="Normal 5 3 2 3" xfId="567"/>
    <cellStyle name="Normal 5 3 2 3 2" xfId="1516"/>
    <cellStyle name="Normal 5 3 2 3 2 2" xfId="3183"/>
    <cellStyle name="Normal 5 3 2 3 2 2 2" xfId="6428"/>
    <cellStyle name="Normal 5 3 2 3 2 2 2 2" xfId="12960"/>
    <cellStyle name="Normal 5 3 2 3 2 2 2 2 2" xfId="32433"/>
    <cellStyle name="Normal 5 3 2 3 2 2 2 2 3" xfId="45413"/>
    <cellStyle name="Normal 5 3 2 3 2 2 2 2 4" xfId="61642"/>
    <cellStyle name="Normal 5 3 2 3 2 2 2 3" xfId="19453"/>
    <cellStyle name="Normal 5 3 2 3 2 2 2 4" xfId="25943"/>
    <cellStyle name="Normal 5 3 2 3 2 2 2 5" xfId="38923"/>
    <cellStyle name="Normal 5 3 2 3 2 2 2 6" xfId="55152"/>
    <cellStyle name="Normal 5 3 2 3 2 2 3" xfId="9715"/>
    <cellStyle name="Normal 5 3 2 3 2 2 3 2" xfId="29188"/>
    <cellStyle name="Normal 5 3 2 3 2 2 3 3" xfId="42168"/>
    <cellStyle name="Normal 5 3 2 3 2 2 3 4" xfId="58397"/>
    <cellStyle name="Normal 5 3 2 3 2 2 4" xfId="16208"/>
    <cellStyle name="Normal 5 3 2 3 2 2 4 2" xfId="51907"/>
    <cellStyle name="Normal 5 3 2 3 2 2 5" xfId="22698"/>
    <cellStyle name="Normal 5 3 2 3 2 2 6" xfId="35678"/>
    <cellStyle name="Normal 5 3 2 3 2 2 7" xfId="48661"/>
    <cellStyle name="Normal 5 3 2 3 2 3" xfId="4805"/>
    <cellStyle name="Normal 5 3 2 3 2 3 2" xfId="11337"/>
    <cellStyle name="Normal 5 3 2 3 2 3 2 2" xfId="30810"/>
    <cellStyle name="Normal 5 3 2 3 2 3 2 3" xfId="43790"/>
    <cellStyle name="Normal 5 3 2 3 2 3 2 4" xfId="60019"/>
    <cellStyle name="Normal 5 3 2 3 2 3 3" xfId="17830"/>
    <cellStyle name="Normal 5 3 2 3 2 3 4" xfId="24320"/>
    <cellStyle name="Normal 5 3 2 3 2 3 5" xfId="37300"/>
    <cellStyle name="Normal 5 3 2 3 2 3 6" xfId="53529"/>
    <cellStyle name="Normal 5 3 2 3 2 4" xfId="8092"/>
    <cellStyle name="Normal 5 3 2 3 2 4 2" xfId="27565"/>
    <cellStyle name="Normal 5 3 2 3 2 4 3" xfId="40545"/>
    <cellStyle name="Normal 5 3 2 3 2 4 4" xfId="56774"/>
    <cellStyle name="Normal 5 3 2 3 2 5" xfId="14585"/>
    <cellStyle name="Normal 5 3 2 3 2 5 2" xfId="50284"/>
    <cellStyle name="Normal 5 3 2 3 2 6" xfId="21075"/>
    <cellStyle name="Normal 5 3 2 3 2 7" xfId="34055"/>
    <cellStyle name="Normal 5 3 2 3 2 8" xfId="47038"/>
    <cellStyle name="Normal 5 3 2 3 3" xfId="2235"/>
    <cellStyle name="Normal 5 3 2 3 3 2" xfId="5480"/>
    <cellStyle name="Normal 5 3 2 3 3 2 2" xfId="12012"/>
    <cellStyle name="Normal 5 3 2 3 3 2 2 2" xfId="31485"/>
    <cellStyle name="Normal 5 3 2 3 3 2 2 3" xfId="44465"/>
    <cellStyle name="Normal 5 3 2 3 3 2 2 4" xfId="60694"/>
    <cellStyle name="Normal 5 3 2 3 3 2 3" xfId="18505"/>
    <cellStyle name="Normal 5 3 2 3 3 2 4" xfId="24995"/>
    <cellStyle name="Normal 5 3 2 3 3 2 5" xfId="37975"/>
    <cellStyle name="Normal 5 3 2 3 3 2 6" xfId="54204"/>
    <cellStyle name="Normal 5 3 2 3 3 3" xfId="8767"/>
    <cellStyle name="Normal 5 3 2 3 3 3 2" xfId="28240"/>
    <cellStyle name="Normal 5 3 2 3 3 3 3" xfId="41220"/>
    <cellStyle name="Normal 5 3 2 3 3 3 4" xfId="57449"/>
    <cellStyle name="Normal 5 3 2 3 3 4" xfId="15260"/>
    <cellStyle name="Normal 5 3 2 3 3 4 2" xfId="50959"/>
    <cellStyle name="Normal 5 3 2 3 3 5" xfId="21750"/>
    <cellStyle name="Normal 5 3 2 3 3 6" xfId="34730"/>
    <cellStyle name="Normal 5 3 2 3 3 7" xfId="47713"/>
    <cellStyle name="Normal 5 3 2 3 4" xfId="3857"/>
    <cellStyle name="Normal 5 3 2 3 4 2" xfId="10389"/>
    <cellStyle name="Normal 5 3 2 3 4 2 2" xfId="29862"/>
    <cellStyle name="Normal 5 3 2 3 4 2 3" xfId="42842"/>
    <cellStyle name="Normal 5 3 2 3 4 2 4" xfId="59071"/>
    <cellStyle name="Normal 5 3 2 3 4 3" xfId="16882"/>
    <cellStyle name="Normal 5 3 2 3 4 4" xfId="23372"/>
    <cellStyle name="Normal 5 3 2 3 4 5" xfId="36352"/>
    <cellStyle name="Normal 5 3 2 3 4 6" xfId="52581"/>
    <cellStyle name="Normal 5 3 2 3 5" xfId="7144"/>
    <cellStyle name="Normal 5 3 2 3 5 2" xfId="26617"/>
    <cellStyle name="Normal 5 3 2 3 5 3" xfId="39597"/>
    <cellStyle name="Normal 5 3 2 3 5 4" xfId="55826"/>
    <cellStyle name="Normal 5 3 2 3 6" xfId="13637"/>
    <cellStyle name="Normal 5 3 2 3 6 2" xfId="49336"/>
    <cellStyle name="Normal 5 3 2 3 7" xfId="20127"/>
    <cellStyle name="Normal 5 3 2 3 8" xfId="33107"/>
    <cellStyle name="Normal 5 3 2 3 9" xfId="46090"/>
    <cellStyle name="Normal 5 3 2 4" xfId="1053"/>
    <cellStyle name="Normal 5 3 2 4 2" xfId="2720"/>
    <cellStyle name="Normal 5 3 2 4 2 2" xfId="5965"/>
    <cellStyle name="Normal 5 3 2 4 2 2 2" xfId="12497"/>
    <cellStyle name="Normal 5 3 2 4 2 2 2 2" xfId="31970"/>
    <cellStyle name="Normal 5 3 2 4 2 2 2 3" xfId="44950"/>
    <cellStyle name="Normal 5 3 2 4 2 2 2 4" xfId="61179"/>
    <cellStyle name="Normal 5 3 2 4 2 2 3" xfId="18990"/>
    <cellStyle name="Normal 5 3 2 4 2 2 4" xfId="25480"/>
    <cellStyle name="Normal 5 3 2 4 2 2 5" xfId="38460"/>
    <cellStyle name="Normal 5 3 2 4 2 2 6" xfId="54689"/>
    <cellStyle name="Normal 5 3 2 4 2 3" xfId="9252"/>
    <cellStyle name="Normal 5 3 2 4 2 3 2" xfId="28725"/>
    <cellStyle name="Normal 5 3 2 4 2 3 3" xfId="41705"/>
    <cellStyle name="Normal 5 3 2 4 2 3 4" xfId="57934"/>
    <cellStyle name="Normal 5 3 2 4 2 4" xfId="15745"/>
    <cellStyle name="Normal 5 3 2 4 2 4 2" xfId="51444"/>
    <cellStyle name="Normal 5 3 2 4 2 5" xfId="22235"/>
    <cellStyle name="Normal 5 3 2 4 2 6" xfId="35215"/>
    <cellStyle name="Normal 5 3 2 4 2 7" xfId="48198"/>
    <cellStyle name="Normal 5 3 2 4 3" xfId="4342"/>
    <cellStyle name="Normal 5 3 2 4 3 2" xfId="10874"/>
    <cellStyle name="Normal 5 3 2 4 3 2 2" xfId="30347"/>
    <cellStyle name="Normal 5 3 2 4 3 2 3" xfId="43327"/>
    <cellStyle name="Normal 5 3 2 4 3 2 4" xfId="59556"/>
    <cellStyle name="Normal 5 3 2 4 3 3" xfId="17367"/>
    <cellStyle name="Normal 5 3 2 4 3 4" xfId="23857"/>
    <cellStyle name="Normal 5 3 2 4 3 5" xfId="36837"/>
    <cellStyle name="Normal 5 3 2 4 3 6" xfId="53066"/>
    <cellStyle name="Normal 5 3 2 4 4" xfId="7629"/>
    <cellStyle name="Normal 5 3 2 4 4 2" xfId="27102"/>
    <cellStyle name="Normal 5 3 2 4 4 3" xfId="40082"/>
    <cellStyle name="Normal 5 3 2 4 4 4" xfId="56311"/>
    <cellStyle name="Normal 5 3 2 4 5" xfId="14122"/>
    <cellStyle name="Normal 5 3 2 4 5 2" xfId="49821"/>
    <cellStyle name="Normal 5 3 2 4 6" xfId="20612"/>
    <cellStyle name="Normal 5 3 2 4 7" xfId="33592"/>
    <cellStyle name="Normal 5 3 2 4 8" xfId="46575"/>
    <cellStyle name="Normal 5 3 2 5" xfId="2006"/>
    <cellStyle name="Normal 5 3 2 5 2" xfId="5251"/>
    <cellStyle name="Normal 5 3 2 5 2 2" xfId="11783"/>
    <cellStyle name="Normal 5 3 2 5 2 2 2" xfId="31256"/>
    <cellStyle name="Normal 5 3 2 5 2 2 3" xfId="44236"/>
    <cellStyle name="Normal 5 3 2 5 2 2 4" xfId="60465"/>
    <cellStyle name="Normal 5 3 2 5 2 3" xfId="18276"/>
    <cellStyle name="Normal 5 3 2 5 2 4" xfId="24766"/>
    <cellStyle name="Normal 5 3 2 5 2 5" xfId="37746"/>
    <cellStyle name="Normal 5 3 2 5 2 6" xfId="53975"/>
    <cellStyle name="Normal 5 3 2 5 3" xfId="8538"/>
    <cellStyle name="Normal 5 3 2 5 3 2" xfId="28011"/>
    <cellStyle name="Normal 5 3 2 5 3 3" xfId="40991"/>
    <cellStyle name="Normal 5 3 2 5 3 4" xfId="57220"/>
    <cellStyle name="Normal 5 3 2 5 4" xfId="15031"/>
    <cellStyle name="Normal 5 3 2 5 4 2" xfId="50730"/>
    <cellStyle name="Normal 5 3 2 5 5" xfId="21521"/>
    <cellStyle name="Normal 5 3 2 5 6" xfId="34501"/>
    <cellStyle name="Normal 5 3 2 5 7" xfId="47484"/>
    <cellStyle name="Normal 5 3 2 6" xfId="3627"/>
    <cellStyle name="Normal 5 3 2 6 2" xfId="10159"/>
    <cellStyle name="Normal 5 3 2 6 2 2" xfId="29632"/>
    <cellStyle name="Normal 5 3 2 6 2 3" xfId="42612"/>
    <cellStyle name="Normal 5 3 2 6 2 4" xfId="58841"/>
    <cellStyle name="Normal 5 3 2 6 3" xfId="16652"/>
    <cellStyle name="Normal 5 3 2 6 4" xfId="23142"/>
    <cellStyle name="Normal 5 3 2 6 5" xfId="36122"/>
    <cellStyle name="Normal 5 3 2 6 6" xfId="52351"/>
    <cellStyle name="Normal 5 3 2 7" xfId="6914"/>
    <cellStyle name="Normal 5 3 2 7 2" xfId="26387"/>
    <cellStyle name="Normal 5 3 2 7 3" xfId="39367"/>
    <cellStyle name="Normal 5 3 2 7 4" xfId="55596"/>
    <cellStyle name="Normal 5 3 2 8" xfId="13407"/>
    <cellStyle name="Normal 5 3 2 8 2" xfId="49106"/>
    <cellStyle name="Normal 5 3 2 9" xfId="19897"/>
    <cellStyle name="Normal 5 3 3" xfId="709"/>
    <cellStyle name="Normal 5 3 3 10" xfId="46232"/>
    <cellStyle name="Normal 5 3 3 2" xfId="1648"/>
    <cellStyle name="Normal 5 3 3 2 2" xfId="3315"/>
    <cellStyle name="Normal 5 3 3 2 2 2" xfId="6560"/>
    <cellStyle name="Normal 5 3 3 2 2 2 2" xfId="13092"/>
    <cellStyle name="Normal 5 3 3 2 2 2 2 2" xfId="32565"/>
    <cellStyle name="Normal 5 3 3 2 2 2 2 3" xfId="45545"/>
    <cellStyle name="Normal 5 3 3 2 2 2 2 4" xfId="61774"/>
    <cellStyle name="Normal 5 3 3 2 2 2 3" xfId="19585"/>
    <cellStyle name="Normal 5 3 3 2 2 2 4" xfId="26075"/>
    <cellStyle name="Normal 5 3 3 2 2 2 5" xfId="39055"/>
    <cellStyle name="Normal 5 3 3 2 2 2 6" xfId="55284"/>
    <cellStyle name="Normal 5 3 3 2 2 3" xfId="9847"/>
    <cellStyle name="Normal 5 3 3 2 2 3 2" xfId="29320"/>
    <cellStyle name="Normal 5 3 3 2 2 3 3" xfId="42300"/>
    <cellStyle name="Normal 5 3 3 2 2 3 4" xfId="58529"/>
    <cellStyle name="Normal 5 3 3 2 2 4" xfId="16340"/>
    <cellStyle name="Normal 5 3 3 2 2 4 2" xfId="52039"/>
    <cellStyle name="Normal 5 3 3 2 2 5" xfId="22830"/>
    <cellStyle name="Normal 5 3 3 2 2 6" xfId="35810"/>
    <cellStyle name="Normal 5 3 3 2 2 7" xfId="48793"/>
    <cellStyle name="Normal 5 3 3 2 3" xfId="4937"/>
    <cellStyle name="Normal 5 3 3 2 3 2" xfId="11469"/>
    <cellStyle name="Normal 5 3 3 2 3 2 2" xfId="30942"/>
    <cellStyle name="Normal 5 3 3 2 3 2 3" xfId="43922"/>
    <cellStyle name="Normal 5 3 3 2 3 2 4" xfId="60151"/>
    <cellStyle name="Normal 5 3 3 2 3 3" xfId="17962"/>
    <cellStyle name="Normal 5 3 3 2 3 4" xfId="24452"/>
    <cellStyle name="Normal 5 3 3 2 3 5" xfId="37432"/>
    <cellStyle name="Normal 5 3 3 2 3 6" xfId="53661"/>
    <cellStyle name="Normal 5 3 3 2 4" xfId="8224"/>
    <cellStyle name="Normal 5 3 3 2 4 2" xfId="27697"/>
    <cellStyle name="Normal 5 3 3 2 4 3" xfId="40677"/>
    <cellStyle name="Normal 5 3 3 2 4 4" xfId="56906"/>
    <cellStyle name="Normal 5 3 3 2 5" xfId="14717"/>
    <cellStyle name="Normal 5 3 3 2 5 2" xfId="50416"/>
    <cellStyle name="Normal 5 3 3 2 6" xfId="21207"/>
    <cellStyle name="Normal 5 3 3 2 7" xfId="34187"/>
    <cellStyle name="Normal 5 3 3 2 8" xfId="47170"/>
    <cellStyle name="Normal 5 3 3 3" xfId="1185"/>
    <cellStyle name="Normal 5 3 3 3 2" xfId="2852"/>
    <cellStyle name="Normal 5 3 3 3 2 2" xfId="6097"/>
    <cellStyle name="Normal 5 3 3 3 2 2 2" xfId="12629"/>
    <cellStyle name="Normal 5 3 3 3 2 2 2 2" xfId="32102"/>
    <cellStyle name="Normal 5 3 3 3 2 2 2 3" xfId="45082"/>
    <cellStyle name="Normal 5 3 3 3 2 2 2 4" xfId="61311"/>
    <cellStyle name="Normal 5 3 3 3 2 2 3" xfId="19122"/>
    <cellStyle name="Normal 5 3 3 3 2 2 4" xfId="25612"/>
    <cellStyle name="Normal 5 3 3 3 2 2 5" xfId="38592"/>
    <cellStyle name="Normal 5 3 3 3 2 2 6" xfId="54821"/>
    <cellStyle name="Normal 5 3 3 3 2 3" xfId="9384"/>
    <cellStyle name="Normal 5 3 3 3 2 3 2" xfId="28857"/>
    <cellStyle name="Normal 5 3 3 3 2 3 3" xfId="41837"/>
    <cellStyle name="Normal 5 3 3 3 2 3 4" xfId="58066"/>
    <cellStyle name="Normal 5 3 3 3 2 4" xfId="15877"/>
    <cellStyle name="Normal 5 3 3 3 2 4 2" xfId="51576"/>
    <cellStyle name="Normal 5 3 3 3 2 5" xfId="22367"/>
    <cellStyle name="Normal 5 3 3 3 2 6" xfId="35347"/>
    <cellStyle name="Normal 5 3 3 3 2 7" xfId="48330"/>
    <cellStyle name="Normal 5 3 3 3 3" xfId="4474"/>
    <cellStyle name="Normal 5 3 3 3 3 2" xfId="11006"/>
    <cellStyle name="Normal 5 3 3 3 3 2 2" xfId="30479"/>
    <cellStyle name="Normal 5 3 3 3 3 2 3" xfId="43459"/>
    <cellStyle name="Normal 5 3 3 3 3 2 4" xfId="59688"/>
    <cellStyle name="Normal 5 3 3 3 3 3" xfId="17499"/>
    <cellStyle name="Normal 5 3 3 3 3 4" xfId="23989"/>
    <cellStyle name="Normal 5 3 3 3 3 5" xfId="36969"/>
    <cellStyle name="Normal 5 3 3 3 3 6" xfId="53198"/>
    <cellStyle name="Normal 5 3 3 3 4" xfId="7761"/>
    <cellStyle name="Normal 5 3 3 3 4 2" xfId="27234"/>
    <cellStyle name="Normal 5 3 3 3 4 3" xfId="40214"/>
    <cellStyle name="Normal 5 3 3 3 4 4" xfId="56443"/>
    <cellStyle name="Normal 5 3 3 3 5" xfId="14254"/>
    <cellStyle name="Normal 5 3 3 3 5 2" xfId="49953"/>
    <cellStyle name="Normal 5 3 3 3 6" xfId="20744"/>
    <cellStyle name="Normal 5 3 3 3 7" xfId="33724"/>
    <cellStyle name="Normal 5 3 3 3 8" xfId="46707"/>
    <cellStyle name="Normal 5 3 3 4" xfId="2377"/>
    <cellStyle name="Normal 5 3 3 4 2" xfId="5622"/>
    <cellStyle name="Normal 5 3 3 4 2 2" xfId="12154"/>
    <cellStyle name="Normal 5 3 3 4 2 2 2" xfId="31627"/>
    <cellStyle name="Normal 5 3 3 4 2 2 3" xfId="44607"/>
    <cellStyle name="Normal 5 3 3 4 2 2 4" xfId="60836"/>
    <cellStyle name="Normal 5 3 3 4 2 3" xfId="18647"/>
    <cellStyle name="Normal 5 3 3 4 2 4" xfId="25137"/>
    <cellStyle name="Normal 5 3 3 4 2 5" xfId="38117"/>
    <cellStyle name="Normal 5 3 3 4 2 6" xfId="54346"/>
    <cellStyle name="Normal 5 3 3 4 3" xfId="8909"/>
    <cellStyle name="Normal 5 3 3 4 3 2" xfId="28382"/>
    <cellStyle name="Normal 5 3 3 4 3 3" xfId="41362"/>
    <cellStyle name="Normal 5 3 3 4 3 4" xfId="57591"/>
    <cellStyle name="Normal 5 3 3 4 4" xfId="15402"/>
    <cellStyle name="Normal 5 3 3 4 4 2" xfId="51101"/>
    <cellStyle name="Normal 5 3 3 4 5" xfId="21892"/>
    <cellStyle name="Normal 5 3 3 4 6" xfId="34872"/>
    <cellStyle name="Normal 5 3 3 4 7" xfId="47855"/>
    <cellStyle name="Normal 5 3 3 5" xfId="3999"/>
    <cellStyle name="Normal 5 3 3 5 2" xfId="10531"/>
    <cellStyle name="Normal 5 3 3 5 2 2" xfId="30004"/>
    <cellStyle name="Normal 5 3 3 5 2 3" xfId="42984"/>
    <cellStyle name="Normal 5 3 3 5 2 4" xfId="59213"/>
    <cellStyle name="Normal 5 3 3 5 3" xfId="17024"/>
    <cellStyle name="Normal 5 3 3 5 4" xfId="23514"/>
    <cellStyle name="Normal 5 3 3 5 5" xfId="36494"/>
    <cellStyle name="Normal 5 3 3 5 6" xfId="52723"/>
    <cellStyle name="Normal 5 3 3 6" xfId="7286"/>
    <cellStyle name="Normal 5 3 3 6 2" xfId="26759"/>
    <cellStyle name="Normal 5 3 3 6 3" xfId="39739"/>
    <cellStyle name="Normal 5 3 3 6 4" xfId="55968"/>
    <cellStyle name="Normal 5 3 3 7" xfId="13779"/>
    <cellStyle name="Normal 5 3 3 7 2" xfId="49478"/>
    <cellStyle name="Normal 5 3 3 8" xfId="20269"/>
    <cellStyle name="Normal 5 3 3 9" xfId="33249"/>
    <cellStyle name="Normal 5 3 4" xfId="479"/>
    <cellStyle name="Normal 5 3 4 2" xfId="1428"/>
    <cellStyle name="Normal 5 3 4 2 2" xfId="3095"/>
    <cellStyle name="Normal 5 3 4 2 2 2" xfId="6340"/>
    <cellStyle name="Normal 5 3 4 2 2 2 2" xfId="12872"/>
    <cellStyle name="Normal 5 3 4 2 2 2 2 2" xfId="32345"/>
    <cellStyle name="Normal 5 3 4 2 2 2 2 3" xfId="45325"/>
    <cellStyle name="Normal 5 3 4 2 2 2 2 4" xfId="61554"/>
    <cellStyle name="Normal 5 3 4 2 2 2 3" xfId="19365"/>
    <cellStyle name="Normal 5 3 4 2 2 2 4" xfId="25855"/>
    <cellStyle name="Normal 5 3 4 2 2 2 5" xfId="38835"/>
    <cellStyle name="Normal 5 3 4 2 2 2 6" xfId="55064"/>
    <cellStyle name="Normal 5 3 4 2 2 3" xfId="9627"/>
    <cellStyle name="Normal 5 3 4 2 2 3 2" xfId="29100"/>
    <cellStyle name="Normal 5 3 4 2 2 3 3" xfId="42080"/>
    <cellStyle name="Normal 5 3 4 2 2 3 4" xfId="58309"/>
    <cellStyle name="Normal 5 3 4 2 2 4" xfId="16120"/>
    <cellStyle name="Normal 5 3 4 2 2 4 2" xfId="51819"/>
    <cellStyle name="Normal 5 3 4 2 2 5" xfId="22610"/>
    <cellStyle name="Normal 5 3 4 2 2 6" xfId="35590"/>
    <cellStyle name="Normal 5 3 4 2 2 7" xfId="48573"/>
    <cellStyle name="Normal 5 3 4 2 3" xfId="4717"/>
    <cellStyle name="Normal 5 3 4 2 3 2" xfId="11249"/>
    <cellStyle name="Normal 5 3 4 2 3 2 2" xfId="30722"/>
    <cellStyle name="Normal 5 3 4 2 3 2 3" xfId="43702"/>
    <cellStyle name="Normal 5 3 4 2 3 2 4" xfId="59931"/>
    <cellStyle name="Normal 5 3 4 2 3 3" xfId="17742"/>
    <cellStyle name="Normal 5 3 4 2 3 4" xfId="24232"/>
    <cellStyle name="Normal 5 3 4 2 3 5" xfId="37212"/>
    <cellStyle name="Normal 5 3 4 2 3 6" xfId="53441"/>
    <cellStyle name="Normal 5 3 4 2 4" xfId="8004"/>
    <cellStyle name="Normal 5 3 4 2 4 2" xfId="27477"/>
    <cellStyle name="Normal 5 3 4 2 4 3" xfId="40457"/>
    <cellStyle name="Normal 5 3 4 2 4 4" xfId="56686"/>
    <cellStyle name="Normal 5 3 4 2 5" xfId="14497"/>
    <cellStyle name="Normal 5 3 4 2 5 2" xfId="50196"/>
    <cellStyle name="Normal 5 3 4 2 6" xfId="20987"/>
    <cellStyle name="Normal 5 3 4 2 7" xfId="33967"/>
    <cellStyle name="Normal 5 3 4 2 8" xfId="46950"/>
    <cellStyle name="Normal 5 3 4 3" xfId="2147"/>
    <cellStyle name="Normal 5 3 4 3 2" xfId="5392"/>
    <cellStyle name="Normal 5 3 4 3 2 2" xfId="11924"/>
    <cellStyle name="Normal 5 3 4 3 2 2 2" xfId="31397"/>
    <cellStyle name="Normal 5 3 4 3 2 2 3" xfId="44377"/>
    <cellStyle name="Normal 5 3 4 3 2 2 4" xfId="60606"/>
    <cellStyle name="Normal 5 3 4 3 2 3" xfId="18417"/>
    <cellStyle name="Normal 5 3 4 3 2 4" xfId="24907"/>
    <cellStyle name="Normal 5 3 4 3 2 5" xfId="37887"/>
    <cellStyle name="Normal 5 3 4 3 2 6" xfId="54116"/>
    <cellStyle name="Normal 5 3 4 3 3" xfId="8679"/>
    <cellStyle name="Normal 5 3 4 3 3 2" xfId="28152"/>
    <cellStyle name="Normal 5 3 4 3 3 3" xfId="41132"/>
    <cellStyle name="Normal 5 3 4 3 3 4" xfId="57361"/>
    <cellStyle name="Normal 5 3 4 3 4" xfId="15172"/>
    <cellStyle name="Normal 5 3 4 3 4 2" xfId="50871"/>
    <cellStyle name="Normal 5 3 4 3 5" xfId="21662"/>
    <cellStyle name="Normal 5 3 4 3 6" xfId="34642"/>
    <cellStyle name="Normal 5 3 4 3 7" xfId="47625"/>
    <cellStyle name="Normal 5 3 4 4" xfId="3769"/>
    <cellStyle name="Normal 5 3 4 4 2" xfId="10301"/>
    <cellStyle name="Normal 5 3 4 4 2 2" xfId="29774"/>
    <cellStyle name="Normal 5 3 4 4 2 3" xfId="42754"/>
    <cellStyle name="Normal 5 3 4 4 2 4" xfId="58983"/>
    <cellStyle name="Normal 5 3 4 4 3" xfId="16794"/>
    <cellStyle name="Normal 5 3 4 4 4" xfId="23284"/>
    <cellStyle name="Normal 5 3 4 4 5" xfId="36264"/>
    <cellStyle name="Normal 5 3 4 4 6" xfId="52493"/>
    <cellStyle name="Normal 5 3 4 5" xfId="7056"/>
    <cellStyle name="Normal 5 3 4 5 2" xfId="26529"/>
    <cellStyle name="Normal 5 3 4 5 3" xfId="39509"/>
    <cellStyle name="Normal 5 3 4 5 4" xfId="55738"/>
    <cellStyle name="Normal 5 3 4 6" xfId="13549"/>
    <cellStyle name="Normal 5 3 4 6 2" xfId="49248"/>
    <cellStyle name="Normal 5 3 4 7" xfId="20039"/>
    <cellStyle name="Normal 5 3 4 8" xfId="33019"/>
    <cellStyle name="Normal 5 3 4 9" xfId="46002"/>
    <cellStyle name="Normal 5 3 5" xfId="965"/>
    <cellStyle name="Normal 5 3 5 2" xfId="2632"/>
    <cellStyle name="Normal 5 3 5 2 2" xfId="5877"/>
    <cellStyle name="Normal 5 3 5 2 2 2" xfId="12409"/>
    <cellStyle name="Normal 5 3 5 2 2 2 2" xfId="31882"/>
    <cellStyle name="Normal 5 3 5 2 2 2 3" xfId="44862"/>
    <cellStyle name="Normal 5 3 5 2 2 2 4" xfId="61091"/>
    <cellStyle name="Normal 5 3 5 2 2 3" xfId="18902"/>
    <cellStyle name="Normal 5 3 5 2 2 4" xfId="25392"/>
    <cellStyle name="Normal 5 3 5 2 2 5" xfId="38372"/>
    <cellStyle name="Normal 5 3 5 2 2 6" xfId="54601"/>
    <cellStyle name="Normal 5 3 5 2 3" xfId="9164"/>
    <cellStyle name="Normal 5 3 5 2 3 2" xfId="28637"/>
    <cellStyle name="Normal 5 3 5 2 3 3" xfId="41617"/>
    <cellStyle name="Normal 5 3 5 2 3 4" xfId="57846"/>
    <cellStyle name="Normal 5 3 5 2 4" xfId="15657"/>
    <cellStyle name="Normal 5 3 5 2 4 2" xfId="51356"/>
    <cellStyle name="Normal 5 3 5 2 5" xfId="22147"/>
    <cellStyle name="Normal 5 3 5 2 6" xfId="35127"/>
    <cellStyle name="Normal 5 3 5 2 7" xfId="48110"/>
    <cellStyle name="Normal 5 3 5 3" xfId="4254"/>
    <cellStyle name="Normal 5 3 5 3 2" xfId="10786"/>
    <cellStyle name="Normal 5 3 5 3 2 2" xfId="30259"/>
    <cellStyle name="Normal 5 3 5 3 2 3" xfId="43239"/>
    <cellStyle name="Normal 5 3 5 3 2 4" xfId="59468"/>
    <cellStyle name="Normal 5 3 5 3 3" xfId="17279"/>
    <cellStyle name="Normal 5 3 5 3 4" xfId="23769"/>
    <cellStyle name="Normal 5 3 5 3 5" xfId="36749"/>
    <cellStyle name="Normal 5 3 5 3 6" xfId="52978"/>
    <cellStyle name="Normal 5 3 5 4" xfId="7541"/>
    <cellStyle name="Normal 5 3 5 4 2" xfId="27014"/>
    <cellStyle name="Normal 5 3 5 4 3" xfId="39994"/>
    <cellStyle name="Normal 5 3 5 4 4" xfId="56223"/>
    <cellStyle name="Normal 5 3 5 5" xfId="14034"/>
    <cellStyle name="Normal 5 3 5 5 2" xfId="49733"/>
    <cellStyle name="Normal 5 3 5 6" xfId="20524"/>
    <cellStyle name="Normal 5 3 5 7" xfId="33504"/>
    <cellStyle name="Normal 5 3 5 8" xfId="46487"/>
    <cellStyle name="Normal 5 3 6" xfId="1918"/>
    <cellStyle name="Normal 5 3 6 2" xfId="5163"/>
    <cellStyle name="Normal 5 3 6 2 2" xfId="11695"/>
    <cellStyle name="Normal 5 3 6 2 2 2" xfId="31168"/>
    <cellStyle name="Normal 5 3 6 2 2 3" xfId="44148"/>
    <cellStyle name="Normal 5 3 6 2 2 4" xfId="60377"/>
    <cellStyle name="Normal 5 3 6 2 3" xfId="18188"/>
    <cellStyle name="Normal 5 3 6 2 4" xfId="24678"/>
    <cellStyle name="Normal 5 3 6 2 5" xfId="37658"/>
    <cellStyle name="Normal 5 3 6 2 6" xfId="53887"/>
    <cellStyle name="Normal 5 3 6 3" xfId="8450"/>
    <cellStyle name="Normal 5 3 6 3 2" xfId="27923"/>
    <cellStyle name="Normal 5 3 6 3 3" xfId="40903"/>
    <cellStyle name="Normal 5 3 6 3 4" xfId="57132"/>
    <cellStyle name="Normal 5 3 6 4" xfId="14943"/>
    <cellStyle name="Normal 5 3 6 4 2" xfId="50642"/>
    <cellStyle name="Normal 5 3 6 5" xfId="21433"/>
    <cellStyle name="Normal 5 3 6 6" xfId="34413"/>
    <cellStyle name="Normal 5 3 6 7" xfId="47396"/>
    <cellStyle name="Normal 5 3 7" xfId="3539"/>
    <cellStyle name="Normal 5 3 7 2" xfId="10071"/>
    <cellStyle name="Normal 5 3 7 2 2" xfId="29544"/>
    <cellStyle name="Normal 5 3 7 2 3" xfId="42524"/>
    <cellStyle name="Normal 5 3 7 2 4" xfId="58753"/>
    <cellStyle name="Normal 5 3 7 3" xfId="16564"/>
    <cellStyle name="Normal 5 3 7 4" xfId="23054"/>
    <cellStyle name="Normal 5 3 7 5" xfId="36034"/>
    <cellStyle name="Normal 5 3 7 6" xfId="52263"/>
    <cellStyle name="Normal 5 3 8" xfId="6826"/>
    <cellStyle name="Normal 5 3 8 2" xfId="26299"/>
    <cellStyle name="Normal 5 3 8 3" xfId="39279"/>
    <cellStyle name="Normal 5 3 8 4" xfId="55508"/>
    <cellStyle name="Normal 5 3 9" xfId="13319"/>
    <cellStyle name="Normal 5 3 9 2" xfId="49018"/>
    <cellStyle name="Normal 5 4" xfId="201"/>
    <cellStyle name="Normal 5 4 10" xfId="32745"/>
    <cellStyle name="Normal 5 4 11" xfId="45728"/>
    <cellStyle name="Normal 5 4 2" xfId="665"/>
    <cellStyle name="Normal 5 4 2 10" xfId="46188"/>
    <cellStyle name="Normal 5 4 2 2" xfId="1604"/>
    <cellStyle name="Normal 5 4 2 2 2" xfId="3271"/>
    <cellStyle name="Normal 5 4 2 2 2 2" xfId="6516"/>
    <cellStyle name="Normal 5 4 2 2 2 2 2" xfId="13048"/>
    <cellStyle name="Normal 5 4 2 2 2 2 2 2" xfId="32521"/>
    <cellStyle name="Normal 5 4 2 2 2 2 2 3" xfId="45501"/>
    <cellStyle name="Normal 5 4 2 2 2 2 2 4" xfId="61730"/>
    <cellStyle name="Normal 5 4 2 2 2 2 3" xfId="19541"/>
    <cellStyle name="Normal 5 4 2 2 2 2 4" xfId="26031"/>
    <cellStyle name="Normal 5 4 2 2 2 2 5" xfId="39011"/>
    <cellStyle name="Normal 5 4 2 2 2 2 6" xfId="55240"/>
    <cellStyle name="Normal 5 4 2 2 2 3" xfId="9803"/>
    <cellStyle name="Normal 5 4 2 2 2 3 2" xfId="29276"/>
    <cellStyle name="Normal 5 4 2 2 2 3 3" xfId="42256"/>
    <cellStyle name="Normal 5 4 2 2 2 3 4" xfId="58485"/>
    <cellStyle name="Normal 5 4 2 2 2 4" xfId="16296"/>
    <cellStyle name="Normal 5 4 2 2 2 4 2" xfId="51995"/>
    <cellStyle name="Normal 5 4 2 2 2 5" xfId="22786"/>
    <cellStyle name="Normal 5 4 2 2 2 6" xfId="35766"/>
    <cellStyle name="Normal 5 4 2 2 2 7" xfId="48749"/>
    <cellStyle name="Normal 5 4 2 2 3" xfId="4893"/>
    <cellStyle name="Normal 5 4 2 2 3 2" xfId="11425"/>
    <cellStyle name="Normal 5 4 2 2 3 2 2" xfId="30898"/>
    <cellStyle name="Normal 5 4 2 2 3 2 3" xfId="43878"/>
    <cellStyle name="Normal 5 4 2 2 3 2 4" xfId="60107"/>
    <cellStyle name="Normal 5 4 2 2 3 3" xfId="17918"/>
    <cellStyle name="Normal 5 4 2 2 3 4" xfId="24408"/>
    <cellStyle name="Normal 5 4 2 2 3 5" xfId="37388"/>
    <cellStyle name="Normal 5 4 2 2 3 6" xfId="53617"/>
    <cellStyle name="Normal 5 4 2 2 4" xfId="8180"/>
    <cellStyle name="Normal 5 4 2 2 4 2" xfId="27653"/>
    <cellStyle name="Normal 5 4 2 2 4 3" xfId="40633"/>
    <cellStyle name="Normal 5 4 2 2 4 4" xfId="56862"/>
    <cellStyle name="Normal 5 4 2 2 5" xfId="14673"/>
    <cellStyle name="Normal 5 4 2 2 5 2" xfId="50372"/>
    <cellStyle name="Normal 5 4 2 2 6" xfId="21163"/>
    <cellStyle name="Normal 5 4 2 2 7" xfId="34143"/>
    <cellStyle name="Normal 5 4 2 2 8" xfId="47126"/>
    <cellStyle name="Normal 5 4 2 3" xfId="1141"/>
    <cellStyle name="Normal 5 4 2 3 2" xfId="2808"/>
    <cellStyle name="Normal 5 4 2 3 2 2" xfId="6053"/>
    <cellStyle name="Normal 5 4 2 3 2 2 2" xfId="12585"/>
    <cellStyle name="Normal 5 4 2 3 2 2 2 2" xfId="32058"/>
    <cellStyle name="Normal 5 4 2 3 2 2 2 3" xfId="45038"/>
    <cellStyle name="Normal 5 4 2 3 2 2 2 4" xfId="61267"/>
    <cellStyle name="Normal 5 4 2 3 2 2 3" xfId="19078"/>
    <cellStyle name="Normal 5 4 2 3 2 2 4" xfId="25568"/>
    <cellStyle name="Normal 5 4 2 3 2 2 5" xfId="38548"/>
    <cellStyle name="Normal 5 4 2 3 2 2 6" xfId="54777"/>
    <cellStyle name="Normal 5 4 2 3 2 3" xfId="9340"/>
    <cellStyle name="Normal 5 4 2 3 2 3 2" xfId="28813"/>
    <cellStyle name="Normal 5 4 2 3 2 3 3" xfId="41793"/>
    <cellStyle name="Normal 5 4 2 3 2 3 4" xfId="58022"/>
    <cellStyle name="Normal 5 4 2 3 2 4" xfId="15833"/>
    <cellStyle name="Normal 5 4 2 3 2 4 2" xfId="51532"/>
    <cellStyle name="Normal 5 4 2 3 2 5" xfId="22323"/>
    <cellStyle name="Normal 5 4 2 3 2 6" xfId="35303"/>
    <cellStyle name="Normal 5 4 2 3 2 7" xfId="48286"/>
    <cellStyle name="Normal 5 4 2 3 3" xfId="4430"/>
    <cellStyle name="Normal 5 4 2 3 3 2" xfId="10962"/>
    <cellStyle name="Normal 5 4 2 3 3 2 2" xfId="30435"/>
    <cellStyle name="Normal 5 4 2 3 3 2 3" xfId="43415"/>
    <cellStyle name="Normal 5 4 2 3 3 2 4" xfId="59644"/>
    <cellStyle name="Normal 5 4 2 3 3 3" xfId="17455"/>
    <cellStyle name="Normal 5 4 2 3 3 4" xfId="23945"/>
    <cellStyle name="Normal 5 4 2 3 3 5" xfId="36925"/>
    <cellStyle name="Normal 5 4 2 3 3 6" xfId="53154"/>
    <cellStyle name="Normal 5 4 2 3 4" xfId="7717"/>
    <cellStyle name="Normal 5 4 2 3 4 2" xfId="27190"/>
    <cellStyle name="Normal 5 4 2 3 4 3" xfId="40170"/>
    <cellStyle name="Normal 5 4 2 3 4 4" xfId="56399"/>
    <cellStyle name="Normal 5 4 2 3 5" xfId="14210"/>
    <cellStyle name="Normal 5 4 2 3 5 2" xfId="49909"/>
    <cellStyle name="Normal 5 4 2 3 6" xfId="20700"/>
    <cellStyle name="Normal 5 4 2 3 7" xfId="33680"/>
    <cellStyle name="Normal 5 4 2 3 8" xfId="46663"/>
    <cellStyle name="Normal 5 4 2 4" xfId="2333"/>
    <cellStyle name="Normal 5 4 2 4 2" xfId="5578"/>
    <cellStyle name="Normal 5 4 2 4 2 2" xfId="12110"/>
    <cellStyle name="Normal 5 4 2 4 2 2 2" xfId="31583"/>
    <cellStyle name="Normal 5 4 2 4 2 2 3" xfId="44563"/>
    <cellStyle name="Normal 5 4 2 4 2 2 4" xfId="60792"/>
    <cellStyle name="Normal 5 4 2 4 2 3" xfId="18603"/>
    <cellStyle name="Normal 5 4 2 4 2 4" xfId="25093"/>
    <cellStyle name="Normal 5 4 2 4 2 5" xfId="38073"/>
    <cellStyle name="Normal 5 4 2 4 2 6" xfId="54302"/>
    <cellStyle name="Normal 5 4 2 4 3" xfId="8865"/>
    <cellStyle name="Normal 5 4 2 4 3 2" xfId="28338"/>
    <cellStyle name="Normal 5 4 2 4 3 3" xfId="41318"/>
    <cellStyle name="Normal 5 4 2 4 3 4" xfId="57547"/>
    <cellStyle name="Normal 5 4 2 4 4" xfId="15358"/>
    <cellStyle name="Normal 5 4 2 4 4 2" xfId="51057"/>
    <cellStyle name="Normal 5 4 2 4 5" xfId="21848"/>
    <cellStyle name="Normal 5 4 2 4 6" xfId="34828"/>
    <cellStyle name="Normal 5 4 2 4 7" xfId="47811"/>
    <cellStyle name="Normal 5 4 2 5" xfId="3955"/>
    <cellStyle name="Normal 5 4 2 5 2" xfId="10487"/>
    <cellStyle name="Normal 5 4 2 5 2 2" xfId="29960"/>
    <cellStyle name="Normal 5 4 2 5 2 3" xfId="42940"/>
    <cellStyle name="Normal 5 4 2 5 2 4" xfId="59169"/>
    <cellStyle name="Normal 5 4 2 5 3" xfId="16980"/>
    <cellStyle name="Normal 5 4 2 5 4" xfId="23470"/>
    <cellStyle name="Normal 5 4 2 5 5" xfId="36450"/>
    <cellStyle name="Normal 5 4 2 5 6" xfId="52679"/>
    <cellStyle name="Normal 5 4 2 6" xfId="7242"/>
    <cellStyle name="Normal 5 4 2 6 2" xfId="26715"/>
    <cellStyle name="Normal 5 4 2 6 3" xfId="39695"/>
    <cellStyle name="Normal 5 4 2 6 4" xfId="55924"/>
    <cellStyle name="Normal 5 4 2 7" xfId="13735"/>
    <cellStyle name="Normal 5 4 2 7 2" xfId="49434"/>
    <cellStyle name="Normal 5 4 2 8" xfId="20225"/>
    <cellStyle name="Normal 5 4 2 9" xfId="33205"/>
    <cellStyle name="Normal 5 4 3" xfId="435"/>
    <cellStyle name="Normal 5 4 3 2" xfId="1384"/>
    <cellStyle name="Normal 5 4 3 2 2" xfId="3051"/>
    <cellStyle name="Normal 5 4 3 2 2 2" xfId="6296"/>
    <cellStyle name="Normal 5 4 3 2 2 2 2" xfId="12828"/>
    <cellStyle name="Normal 5 4 3 2 2 2 2 2" xfId="32301"/>
    <cellStyle name="Normal 5 4 3 2 2 2 2 3" xfId="45281"/>
    <cellStyle name="Normal 5 4 3 2 2 2 2 4" xfId="61510"/>
    <cellStyle name="Normal 5 4 3 2 2 2 3" xfId="19321"/>
    <cellStyle name="Normal 5 4 3 2 2 2 4" xfId="25811"/>
    <cellStyle name="Normal 5 4 3 2 2 2 5" xfId="38791"/>
    <cellStyle name="Normal 5 4 3 2 2 2 6" xfId="55020"/>
    <cellStyle name="Normal 5 4 3 2 2 3" xfId="9583"/>
    <cellStyle name="Normal 5 4 3 2 2 3 2" xfId="29056"/>
    <cellStyle name="Normal 5 4 3 2 2 3 3" xfId="42036"/>
    <cellStyle name="Normal 5 4 3 2 2 3 4" xfId="58265"/>
    <cellStyle name="Normal 5 4 3 2 2 4" xfId="16076"/>
    <cellStyle name="Normal 5 4 3 2 2 4 2" xfId="51775"/>
    <cellStyle name="Normal 5 4 3 2 2 5" xfId="22566"/>
    <cellStyle name="Normal 5 4 3 2 2 6" xfId="35546"/>
    <cellStyle name="Normal 5 4 3 2 2 7" xfId="48529"/>
    <cellStyle name="Normal 5 4 3 2 3" xfId="4673"/>
    <cellStyle name="Normal 5 4 3 2 3 2" xfId="11205"/>
    <cellStyle name="Normal 5 4 3 2 3 2 2" xfId="30678"/>
    <cellStyle name="Normal 5 4 3 2 3 2 3" xfId="43658"/>
    <cellStyle name="Normal 5 4 3 2 3 2 4" xfId="59887"/>
    <cellStyle name="Normal 5 4 3 2 3 3" xfId="17698"/>
    <cellStyle name="Normal 5 4 3 2 3 4" xfId="24188"/>
    <cellStyle name="Normal 5 4 3 2 3 5" xfId="37168"/>
    <cellStyle name="Normal 5 4 3 2 3 6" xfId="53397"/>
    <cellStyle name="Normal 5 4 3 2 4" xfId="7960"/>
    <cellStyle name="Normal 5 4 3 2 4 2" xfId="27433"/>
    <cellStyle name="Normal 5 4 3 2 4 3" xfId="40413"/>
    <cellStyle name="Normal 5 4 3 2 4 4" xfId="56642"/>
    <cellStyle name="Normal 5 4 3 2 5" xfId="14453"/>
    <cellStyle name="Normal 5 4 3 2 5 2" xfId="50152"/>
    <cellStyle name="Normal 5 4 3 2 6" xfId="20943"/>
    <cellStyle name="Normal 5 4 3 2 7" xfId="33923"/>
    <cellStyle name="Normal 5 4 3 2 8" xfId="46906"/>
    <cellStyle name="Normal 5 4 3 3" xfId="2103"/>
    <cellStyle name="Normal 5 4 3 3 2" xfId="5348"/>
    <cellStyle name="Normal 5 4 3 3 2 2" xfId="11880"/>
    <cellStyle name="Normal 5 4 3 3 2 2 2" xfId="31353"/>
    <cellStyle name="Normal 5 4 3 3 2 2 3" xfId="44333"/>
    <cellStyle name="Normal 5 4 3 3 2 2 4" xfId="60562"/>
    <cellStyle name="Normal 5 4 3 3 2 3" xfId="18373"/>
    <cellStyle name="Normal 5 4 3 3 2 4" xfId="24863"/>
    <cellStyle name="Normal 5 4 3 3 2 5" xfId="37843"/>
    <cellStyle name="Normal 5 4 3 3 2 6" xfId="54072"/>
    <cellStyle name="Normal 5 4 3 3 3" xfId="8635"/>
    <cellStyle name="Normal 5 4 3 3 3 2" xfId="28108"/>
    <cellStyle name="Normal 5 4 3 3 3 3" xfId="41088"/>
    <cellStyle name="Normal 5 4 3 3 3 4" xfId="57317"/>
    <cellStyle name="Normal 5 4 3 3 4" xfId="15128"/>
    <cellStyle name="Normal 5 4 3 3 4 2" xfId="50827"/>
    <cellStyle name="Normal 5 4 3 3 5" xfId="21618"/>
    <cellStyle name="Normal 5 4 3 3 6" xfId="34598"/>
    <cellStyle name="Normal 5 4 3 3 7" xfId="47581"/>
    <cellStyle name="Normal 5 4 3 4" xfId="3725"/>
    <cellStyle name="Normal 5 4 3 4 2" xfId="10257"/>
    <cellStyle name="Normal 5 4 3 4 2 2" xfId="29730"/>
    <cellStyle name="Normal 5 4 3 4 2 3" xfId="42710"/>
    <cellStyle name="Normal 5 4 3 4 2 4" xfId="58939"/>
    <cellStyle name="Normal 5 4 3 4 3" xfId="16750"/>
    <cellStyle name="Normal 5 4 3 4 4" xfId="23240"/>
    <cellStyle name="Normal 5 4 3 4 5" xfId="36220"/>
    <cellStyle name="Normal 5 4 3 4 6" xfId="52449"/>
    <cellStyle name="Normal 5 4 3 5" xfId="7012"/>
    <cellStyle name="Normal 5 4 3 5 2" xfId="26485"/>
    <cellStyle name="Normal 5 4 3 5 3" xfId="39465"/>
    <cellStyle name="Normal 5 4 3 5 4" xfId="55694"/>
    <cellStyle name="Normal 5 4 3 6" xfId="13505"/>
    <cellStyle name="Normal 5 4 3 6 2" xfId="49204"/>
    <cellStyle name="Normal 5 4 3 7" xfId="19995"/>
    <cellStyle name="Normal 5 4 3 8" xfId="32975"/>
    <cellStyle name="Normal 5 4 3 9" xfId="45958"/>
    <cellStyle name="Normal 5 4 4" xfId="921"/>
    <cellStyle name="Normal 5 4 4 2" xfId="2588"/>
    <cellStyle name="Normal 5 4 4 2 2" xfId="5833"/>
    <cellStyle name="Normal 5 4 4 2 2 2" xfId="12365"/>
    <cellStyle name="Normal 5 4 4 2 2 2 2" xfId="31838"/>
    <cellStyle name="Normal 5 4 4 2 2 2 3" xfId="44818"/>
    <cellStyle name="Normal 5 4 4 2 2 2 4" xfId="61047"/>
    <cellStyle name="Normal 5 4 4 2 2 3" xfId="18858"/>
    <cellStyle name="Normal 5 4 4 2 2 4" xfId="25348"/>
    <cellStyle name="Normal 5 4 4 2 2 5" xfId="38328"/>
    <cellStyle name="Normal 5 4 4 2 2 6" xfId="54557"/>
    <cellStyle name="Normal 5 4 4 2 3" xfId="9120"/>
    <cellStyle name="Normal 5 4 4 2 3 2" xfId="28593"/>
    <cellStyle name="Normal 5 4 4 2 3 3" xfId="41573"/>
    <cellStyle name="Normal 5 4 4 2 3 4" xfId="57802"/>
    <cellStyle name="Normal 5 4 4 2 4" xfId="15613"/>
    <cellStyle name="Normal 5 4 4 2 4 2" xfId="51312"/>
    <cellStyle name="Normal 5 4 4 2 5" xfId="22103"/>
    <cellStyle name="Normal 5 4 4 2 6" xfId="35083"/>
    <cellStyle name="Normal 5 4 4 2 7" xfId="48066"/>
    <cellStyle name="Normal 5 4 4 3" xfId="4210"/>
    <cellStyle name="Normal 5 4 4 3 2" xfId="10742"/>
    <cellStyle name="Normal 5 4 4 3 2 2" xfId="30215"/>
    <cellStyle name="Normal 5 4 4 3 2 3" xfId="43195"/>
    <cellStyle name="Normal 5 4 4 3 2 4" xfId="59424"/>
    <cellStyle name="Normal 5 4 4 3 3" xfId="17235"/>
    <cellStyle name="Normal 5 4 4 3 4" xfId="23725"/>
    <cellStyle name="Normal 5 4 4 3 5" xfId="36705"/>
    <cellStyle name="Normal 5 4 4 3 6" xfId="52934"/>
    <cellStyle name="Normal 5 4 4 4" xfId="7497"/>
    <cellStyle name="Normal 5 4 4 4 2" xfId="26970"/>
    <cellStyle name="Normal 5 4 4 4 3" xfId="39950"/>
    <cellStyle name="Normal 5 4 4 4 4" xfId="56179"/>
    <cellStyle name="Normal 5 4 4 5" xfId="13990"/>
    <cellStyle name="Normal 5 4 4 5 2" xfId="49689"/>
    <cellStyle name="Normal 5 4 4 6" xfId="20480"/>
    <cellStyle name="Normal 5 4 4 7" xfId="33460"/>
    <cellStyle name="Normal 5 4 4 8" xfId="46443"/>
    <cellStyle name="Normal 5 4 5" xfId="1874"/>
    <cellStyle name="Normal 5 4 5 2" xfId="5119"/>
    <cellStyle name="Normal 5 4 5 2 2" xfId="11651"/>
    <cellStyle name="Normal 5 4 5 2 2 2" xfId="31124"/>
    <cellStyle name="Normal 5 4 5 2 2 3" xfId="44104"/>
    <cellStyle name="Normal 5 4 5 2 2 4" xfId="60333"/>
    <cellStyle name="Normal 5 4 5 2 3" xfId="18144"/>
    <cellStyle name="Normal 5 4 5 2 4" xfId="24634"/>
    <cellStyle name="Normal 5 4 5 2 5" xfId="37614"/>
    <cellStyle name="Normal 5 4 5 2 6" xfId="53843"/>
    <cellStyle name="Normal 5 4 5 3" xfId="8406"/>
    <cellStyle name="Normal 5 4 5 3 2" xfId="27879"/>
    <cellStyle name="Normal 5 4 5 3 3" xfId="40859"/>
    <cellStyle name="Normal 5 4 5 3 4" xfId="57088"/>
    <cellStyle name="Normal 5 4 5 4" xfId="14899"/>
    <cellStyle name="Normal 5 4 5 4 2" xfId="50598"/>
    <cellStyle name="Normal 5 4 5 5" xfId="21389"/>
    <cellStyle name="Normal 5 4 5 6" xfId="34369"/>
    <cellStyle name="Normal 5 4 5 7" xfId="47352"/>
    <cellStyle name="Normal 5 4 6" xfId="3495"/>
    <cellStyle name="Normal 5 4 6 2" xfId="10027"/>
    <cellStyle name="Normal 5 4 6 2 2" xfId="29500"/>
    <cellStyle name="Normal 5 4 6 2 3" xfId="42480"/>
    <cellStyle name="Normal 5 4 6 2 4" xfId="58709"/>
    <cellStyle name="Normal 5 4 6 3" xfId="16520"/>
    <cellStyle name="Normal 5 4 6 4" xfId="23010"/>
    <cellStyle name="Normal 5 4 6 5" xfId="35990"/>
    <cellStyle name="Normal 5 4 6 6" xfId="52219"/>
    <cellStyle name="Normal 5 4 7" xfId="6782"/>
    <cellStyle name="Normal 5 4 7 2" xfId="26255"/>
    <cellStyle name="Normal 5 4 7 3" xfId="39235"/>
    <cellStyle name="Normal 5 4 7 4" xfId="55464"/>
    <cellStyle name="Normal 5 4 8" xfId="13275"/>
    <cellStyle name="Normal 5 4 8 2" xfId="48974"/>
    <cellStyle name="Normal 5 4 9" xfId="19765"/>
    <cellStyle name="Normal 5 5" xfId="289"/>
    <cellStyle name="Normal 5 5 10" xfId="32833"/>
    <cellStyle name="Normal 5 5 11" xfId="45816"/>
    <cellStyle name="Normal 5 5 2" xfId="753"/>
    <cellStyle name="Normal 5 5 2 10" xfId="46276"/>
    <cellStyle name="Normal 5 5 2 2" xfId="1692"/>
    <cellStyle name="Normal 5 5 2 2 2" xfId="3359"/>
    <cellStyle name="Normal 5 5 2 2 2 2" xfId="6604"/>
    <cellStyle name="Normal 5 5 2 2 2 2 2" xfId="13136"/>
    <cellStyle name="Normal 5 5 2 2 2 2 2 2" xfId="32609"/>
    <cellStyle name="Normal 5 5 2 2 2 2 2 3" xfId="45589"/>
    <cellStyle name="Normal 5 5 2 2 2 2 2 4" xfId="61818"/>
    <cellStyle name="Normal 5 5 2 2 2 2 3" xfId="19629"/>
    <cellStyle name="Normal 5 5 2 2 2 2 4" xfId="26119"/>
    <cellStyle name="Normal 5 5 2 2 2 2 5" xfId="39099"/>
    <cellStyle name="Normal 5 5 2 2 2 2 6" xfId="55328"/>
    <cellStyle name="Normal 5 5 2 2 2 3" xfId="9891"/>
    <cellStyle name="Normal 5 5 2 2 2 3 2" xfId="29364"/>
    <cellStyle name="Normal 5 5 2 2 2 3 3" xfId="42344"/>
    <cellStyle name="Normal 5 5 2 2 2 3 4" xfId="58573"/>
    <cellStyle name="Normal 5 5 2 2 2 4" xfId="16384"/>
    <cellStyle name="Normal 5 5 2 2 2 4 2" xfId="52083"/>
    <cellStyle name="Normal 5 5 2 2 2 5" xfId="22874"/>
    <cellStyle name="Normal 5 5 2 2 2 6" xfId="35854"/>
    <cellStyle name="Normal 5 5 2 2 2 7" xfId="48837"/>
    <cellStyle name="Normal 5 5 2 2 3" xfId="4981"/>
    <cellStyle name="Normal 5 5 2 2 3 2" xfId="11513"/>
    <cellStyle name="Normal 5 5 2 2 3 2 2" xfId="30986"/>
    <cellStyle name="Normal 5 5 2 2 3 2 3" xfId="43966"/>
    <cellStyle name="Normal 5 5 2 2 3 2 4" xfId="60195"/>
    <cellStyle name="Normal 5 5 2 2 3 3" xfId="18006"/>
    <cellStyle name="Normal 5 5 2 2 3 4" xfId="24496"/>
    <cellStyle name="Normal 5 5 2 2 3 5" xfId="37476"/>
    <cellStyle name="Normal 5 5 2 2 3 6" xfId="53705"/>
    <cellStyle name="Normal 5 5 2 2 4" xfId="8268"/>
    <cellStyle name="Normal 5 5 2 2 4 2" xfId="27741"/>
    <cellStyle name="Normal 5 5 2 2 4 3" xfId="40721"/>
    <cellStyle name="Normal 5 5 2 2 4 4" xfId="56950"/>
    <cellStyle name="Normal 5 5 2 2 5" xfId="14761"/>
    <cellStyle name="Normal 5 5 2 2 5 2" xfId="50460"/>
    <cellStyle name="Normal 5 5 2 2 6" xfId="21251"/>
    <cellStyle name="Normal 5 5 2 2 7" xfId="34231"/>
    <cellStyle name="Normal 5 5 2 2 8" xfId="47214"/>
    <cellStyle name="Normal 5 5 2 3" xfId="1229"/>
    <cellStyle name="Normal 5 5 2 3 2" xfId="2896"/>
    <cellStyle name="Normal 5 5 2 3 2 2" xfId="6141"/>
    <cellStyle name="Normal 5 5 2 3 2 2 2" xfId="12673"/>
    <cellStyle name="Normal 5 5 2 3 2 2 2 2" xfId="32146"/>
    <cellStyle name="Normal 5 5 2 3 2 2 2 3" xfId="45126"/>
    <cellStyle name="Normal 5 5 2 3 2 2 2 4" xfId="61355"/>
    <cellStyle name="Normal 5 5 2 3 2 2 3" xfId="19166"/>
    <cellStyle name="Normal 5 5 2 3 2 2 4" xfId="25656"/>
    <cellStyle name="Normal 5 5 2 3 2 2 5" xfId="38636"/>
    <cellStyle name="Normal 5 5 2 3 2 2 6" xfId="54865"/>
    <cellStyle name="Normal 5 5 2 3 2 3" xfId="9428"/>
    <cellStyle name="Normal 5 5 2 3 2 3 2" xfId="28901"/>
    <cellStyle name="Normal 5 5 2 3 2 3 3" xfId="41881"/>
    <cellStyle name="Normal 5 5 2 3 2 3 4" xfId="58110"/>
    <cellStyle name="Normal 5 5 2 3 2 4" xfId="15921"/>
    <cellStyle name="Normal 5 5 2 3 2 4 2" xfId="51620"/>
    <cellStyle name="Normal 5 5 2 3 2 5" xfId="22411"/>
    <cellStyle name="Normal 5 5 2 3 2 6" xfId="35391"/>
    <cellStyle name="Normal 5 5 2 3 2 7" xfId="48374"/>
    <cellStyle name="Normal 5 5 2 3 3" xfId="4518"/>
    <cellStyle name="Normal 5 5 2 3 3 2" xfId="11050"/>
    <cellStyle name="Normal 5 5 2 3 3 2 2" xfId="30523"/>
    <cellStyle name="Normal 5 5 2 3 3 2 3" xfId="43503"/>
    <cellStyle name="Normal 5 5 2 3 3 2 4" xfId="59732"/>
    <cellStyle name="Normal 5 5 2 3 3 3" xfId="17543"/>
    <cellStyle name="Normal 5 5 2 3 3 4" xfId="24033"/>
    <cellStyle name="Normal 5 5 2 3 3 5" xfId="37013"/>
    <cellStyle name="Normal 5 5 2 3 3 6" xfId="53242"/>
    <cellStyle name="Normal 5 5 2 3 4" xfId="7805"/>
    <cellStyle name="Normal 5 5 2 3 4 2" xfId="27278"/>
    <cellStyle name="Normal 5 5 2 3 4 3" xfId="40258"/>
    <cellStyle name="Normal 5 5 2 3 4 4" xfId="56487"/>
    <cellStyle name="Normal 5 5 2 3 5" xfId="14298"/>
    <cellStyle name="Normal 5 5 2 3 5 2" xfId="49997"/>
    <cellStyle name="Normal 5 5 2 3 6" xfId="20788"/>
    <cellStyle name="Normal 5 5 2 3 7" xfId="33768"/>
    <cellStyle name="Normal 5 5 2 3 8" xfId="46751"/>
    <cellStyle name="Normal 5 5 2 4" xfId="2421"/>
    <cellStyle name="Normal 5 5 2 4 2" xfId="5666"/>
    <cellStyle name="Normal 5 5 2 4 2 2" xfId="12198"/>
    <cellStyle name="Normal 5 5 2 4 2 2 2" xfId="31671"/>
    <cellStyle name="Normal 5 5 2 4 2 2 3" xfId="44651"/>
    <cellStyle name="Normal 5 5 2 4 2 2 4" xfId="60880"/>
    <cellStyle name="Normal 5 5 2 4 2 3" xfId="18691"/>
    <cellStyle name="Normal 5 5 2 4 2 4" xfId="25181"/>
    <cellStyle name="Normal 5 5 2 4 2 5" xfId="38161"/>
    <cellStyle name="Normal 5 5 2 4 2 6" xfId="54390"/>
    <cellStyle name="Normal 5 5 2 4 3" xfId="8953"/>
    <cellStyle name="Normal 5 5 2 4 3 2" xfId="28426"/>
    <cellStyle name="Normal 5 5 2 4 3 3" xfId="41406"/>
    <cellStyle name="Normal 5 5 2 4 3 4" xfId="57635"/>
    <cellStyle name="Normal 5 5 2 4 4" xfId="15446"/>
    <cellStyle name="Normal 5 5 2 4 4 2" xfId="51145"/>
    <cellStyle name="Normal 5 5 2 4 5" xfId="21936"/>
    <cellStyle name="Normal 5 5 2 4 6" xfId="34916"/>
    <cellStyle name="Normal 5 5 2 4 7" xfId="47899"/>
    <cellStyle name="Normal 5 5 2 5" xfId="4043"/>
    <cellStyle name="Normal 5 5 2 5 2" xfId="10575"/>
    <cellStyle name="Normal 5 5 2 5 2 2" xfId="30048"/>
    <cellStyle name="Normal 5 5 2 5 2 3" xfId="43028"/>
    <cellStyle name="Normal 5 5 2 5 2 4" xfId="59257"/>
    <cellStyle name="Normal 5 5 2 5 3" xfId="17068"/>
    <cellStyle name="Normal 5 5 2 5 4" xfId="23558"/>
    <cellStyle name="Normal 5 5 2 5 5" xfId="36538"/>
    <cellStyle name="Normal 5 5 2 5 6" xfId="52767"/>
    <cellStyle name="Normal 5 5 2 6" xfId="7330"/>
    <cellStyle name="Normal 5 5 2 6 2" xfId="26803"/>
    <cellStyle name="Normal 5 5 2 6 3" xfId="39783"/>
    <cellStyle name="Normal 5 5 2 6 4" xfId="56012"/>
    <cellStyle name="Normal 5 5 2 7" xfId="13823"/>
    <cellStyle name="Normal 5 5 2 7 2" xfId="49522"/>
    <cellStyle name="Normal 5 5 2 8" xfId="20313"/>
    <cellStyle name="Normal 5 5 2 9" xfId="33293"/>
    <cellStyle name="Normal 5 5 3" xfId="523"/>
    <cellStyle name="Normal 5 5 3 2" xfId="1472"/>
    <cellStyle name="Normal 5 5 3 2 2" xfId="3139"/>
    <cellStyle name="Normal 5 5 3 2 2 2" xfId="6384"/>
    <cellStyle name="Normal 5 5 3 2 2 2 2" xfId="12916"/>
    <cellStyle name="Normal 5 5 3 2 2 2 2 2" xfId="32389"/>
    <cellStyle name="Normal 5 5 3 2 2 2 2 3" xfId="45369"/>
    <cellStyle name="Normal 5 5 3 2 2 2 2 4" xfId="61598"/>
    <cellStyle name="Normal 5 5 3 2 2 2 3" xfId="19409"/>
    <cellStyle name="Normal 5 5 3 2 2 2 4" xfId="25899"/>
    <cellStyle name="Normal 5 5 3 2 2 2 5" xfId="38879"/>
    <cellStyle name="Normal 5 5 3 2 2 2 6" xfId="55108"/>
    <cellStyle name="Normal 5 5 3 2 2 3" xfId="9671"/>
    <cellStyle name="Normal 5 5 3 2 2 3 2" xfId="29144"/>
    <cellStyle name="Normal 5 5 3 2 2 3 3" xfId="42124"/>
    <cellStyle name="Normal 5 5 3 2 2 3 4" xfId="58353"/>
    <cellStyle name="Normal 5 5 3 2 2 4" xfId="16164"/>
    <cellStyle name="Normal 5 5 3 2 2 4 2" xfId="51863"/>
    <cellStyle name="Normal 5 5 3 2 2 5" xfId="22654"/>
    <cellStyle name="Normal 5 5 3 2 2 6" xfId="35634"/>
    <cellStyle name="Normal 5 5 3 2 2 7" xfId="48617"/>
    <cellStyle name="Normal 5 5 3 2 3" xfId="4761"/>
    <cellStyle name="Normal 5 5 3 2 3 2" xfId="11293"/>
    <cellStyle name="Normal 5 5 3 2 3 2 2" xfId="30766"/>
    <cellStyle name="Normal 5 5 3 2 3 2 3" xfId="43746"/>
    <cellStyle name="Normal 5 5 3 2 3 2 4" xfId="59975"/>
    <cellStyle name="Normal 5 5 3 2 3 3" xfId="17786"/>
    <cellStyle name="Normal 5 5 3 2 3 4" xfId="24276"/>
    <cellStyle name="Normal 5 5 3 2 3 5" xfId="37256"/>
    <cellStyle name="Normal 5 5 3 2 3 6" xfId="53485"/>
    <cellStyle name="Normal 5 5 3 2 4" xfId="8048"/>
    <cellStyle name="Normal 5 5 3 2 4 2" xfId="27521"/>
    <cellStyle name="Normal 5 5 3 2 4 3" xfId="40501"/>
    <cellStyle name="Normal 5 5 3 2 4 4" xfId="56730"/>
    <cellStyle name="Normal 5 5 3 2 5" xfId="14541"/>
    <cellStyle name="Normal 5 5 3 2 5 2" xfId="50240"/>
    <cellStyle name="Normal 5 5 3 2 6" xfId="21031"/>
    <cellStyle name="Normal 5 5 3 2 7" xfId="34011"/>
    <cellStyle name="Normal 5 5 3 2 8" xfId="46994"/>
    <cellStyle name="Normal 5 5 3 3" xfId="2191"/>
    <cellStyle name="Normal 5 5 3 3 2" xfId="5436"/>
    <cellStyle name="Normal 5 5 3 3 2 2" xfId="11968"/>
    <cellStyle name="Normal 5 5 3 3 2 2 2" xfId="31441"/>
    <cellStyle name="Normal 5 5 3 3 2 2 3" xfId="44421"/>
    <cellStyle name="Normal 5 5 3 3 2 2 4" xfId="60650"/>
    <cellStyle name="Normal 5 5 3 3 2 3" xfId="18461"/>
    <cellStyle name="Normal 5 5 3 3 2 4" xfId="24951"/>
    <cellStyle name="Normal 5 5 3 3 2 5" xfId="37931"/>
    <cellStyle name="Normal 5 5 3 3 2 6" xfId="54160"/>
    <cellStyle name="Normal 5 5 3 3 3" xfId="8723"/>
    <cellStyle name="Normal 5 5 3 3 3 2" xfId="28196"/>
    <cellStyle name="Normal 5 5 3 3 3 3" xfId="41176"/>
    <cellStyle name="Normal 5 5 3 3 3 4" xfId="57405"/>
    <cellStyle name="Normal 5 5 3 3 4" xfId="15216"/>
    <cellStyle name="Normal 5 5 3 3 4 2" xfId="50915"/>
    <cellStyle name="Normal 5 5 3 3 5" xfId="21706"/>
    <cellStyle name="Normal 5 5 3 3 6" xfId="34686"/>
    <cellStyle name="Normal 5 5 3 3 7" xfId="47669"/>
    <cellStyle name="Normal 5 5 3 4" xfId="3813"/>
    <cellStyle name="Normal 5 5 3 4 2" xfId="10345"/>
    <cellStyle name="Normal 5 5 3 4 2 2" xfId="29818"/>
    <cellStyle name="Normal 5 5 3 4 2 3" xfId="42798"/>
    <cellStyle name="Normal 5 5 3 4 2 4" xfId="59027"/>
    <cellStyle name="Normal 5 5 3 4 3" xfId="16838"/>
    <cellStyle name="Normal 5 5 3 4 4" xfId="23328"/>
    <cellStyle name="Normal 5 5 3 4 5" xfId="36308"/>
    <cellStyle name="Normal 5 5 3 4 6" xfId="52537"/>
    <cellStyle name="Normal 5 5 3 5" xfId="7100"/>
    <cellStyle name="Normal 5 5 3 5 2" xfId="26573"/>
    <cellStyle name="Normal 5 5 3 5 3" xfId="39553"/>
    <cellStyle name="Normal 5 5 3 5 4" xfId="55782"/>
    <cellStyle name="Normal 5 5 3 6" xfId="13593"/>
    <cellStyle name="Normal 5 5 3 6 2" xfId="49292"/>
    <cellStyle name="Normal 5 5 3 7" xfId="20083"/>
    <cellStyle name="Normal 5 5 3 8" xfId="33063"/>
    <cellStyle name="Normal 5 5 3 9" xfId="46046"/>
    <cellStyle name="Normal 5 5 4" xfId="1009"/>
    <cellStyle name="Normal 5 5 4 2" xfId="2676"/>
    <cellStyle name="Normal 5 5 4 2 2" xfId="5921"/>
    <cellStyle name="Normal 5 5 4 2 2 2" xfId="12453"/>
    <cellStyle name="Normal 5 5 4 2 2 2 2" xfId="31926"/>
    <cellStyle name="Normal 5 5 4 2 2 2 3" xfId="44906"/>
    <cellStyle name="Normal 5 5 4 2 2 2 4" xfId="61135"/>
    <cellStyle name="Normal 5 5 4 2 2 3" xfId="18946"/>
    <cellStyle name="Normal 5 5 4 2 2 4" xfId="25436"/>
    <cellStyle name="Normal 5 5 4 2 2 5" xfId="38416"/>
    <cellStyle name="Normal 5 5 4 2 2 6" xfId="54645"/>
    <cellStyle name="Normal 5 5 4 2 3" xfId="9208"/>
    <cellStyle name="Normal 5 5 4 2 3 2" xfId="28681"/>
    <cellStyle name="Normal 5 5 4 2 3 3" xfId="41661"/>
    <cellStyle name="Normal 5 5 4 2 3 4" xfId="57890"/>
    <cellStyle name="Normal 5 5 4 2 4" xfId="15701"/>
    <cellStyle name="Normal 5 5 4 2 4 2" xfId="51400"/>
    <cellStyle name="Normal 5 5 4 2 5" xfId="22191"/>
    <cellStyle name="Normal 5 5 4 2 6" xfId="35171"/>
    <cellStyle name="Normal 5 5 4 2 7" xfId="48154"/>
    <cellStyle name="Normal 5 5 4 3" xfId="4298"/>
    <cellStyle name="Normal 5 5 4 3 2" xfId="10830"/>
    <cellStyle name="Normal 5 5 4 3 2 2" xfId="30303"/>
    <cellStyle name="Normal 5 5 4 3 2 3" xfId="43283"/>
    <cellStyle name="Normal 5 5 4 3 2 4" xfId="59512"/>
    <cellStyle name="Normal 5 5 4 3 3" xfId="17323"/>
    <cellStyle name="Normal 5 5 4 3 4" xfId="23813"/>
    <cellStyle name="Normal 5 5 4 3 5" xfId="36793"/>
    <cellStyle name="Normal 5 5 4 3 6" xfId="53022"/>
    <cellStyle name="Normal 5 5 4 4" xfId="7585"/>
    <cellStyle name="Normal 5 5 4 4 2" xfId="27058"/>
    <cellStyle name="Normal 5 5 4 4 3" xfId="40038"/>
    <cellStyle name="Normal 5 5 4 4 4" xfId="56267"/>
    <cellStyle name="Normal 5 5 4 5" xfId="14078"/>
    <cellStyle name="Normal 5 5 4 5 2" xfId="49777"/>
    <cellStyle name="Normal 5 5 4 6" xfId="20568"/>
    <cellStyle name="Normal 5 5 4 7" xfId="33548"/>
    <cellStyle name="Normal 5 5 4 8" xfId="46531"/>
    <cellStyle name="Normal 5 5 5" xfId="1962"/>
    <cellStyle name="Normal 5 5 5 2" xfId="5207"/>
    <cellStyle name="Normal 5 5 5 2 2" xfId="11739"/>
    <cellStyle name="Normal 5 5 5 2 2 2" xfId="31212"/>
    <cellStyle name="Normal 5 5 5 2 2 3" xfId="44192"/>
    <cellStyle name="Normal 5 5 5 2 2 4" xfId="60421"/>
    <cellStyle name="Normal 5 5 5 2 3" xfId="18232"/>
    <cellStyle name="Normal 5 5 5 2 4" xfId="24722"/>
    <cellStyle name="Normal 5 5 5 2 5" xfId="37702"/>
    <cellStyle name="Normal 5 5 5 2 6" xfId="53931"/>
    <cellStyle name="Normal 5 5 5 3" xfId="8494"/>
    <cellStyle name="Normal 5 5 5 3 2" xfId="27967"/>
    <cellStyle name="Normal 5 5 5 3 3" xfId="40947"/>
    <cellStyle name="Normal 5 5 5 3 4" xfId="57176"/>
    <cellStyle name="Normal 5 5 5 4" xfId="14987"/>
    <cellStyle name="Normal 5 5 5 4 2" xfId="50686"/>
    <cellStyle name="Normal 5 5 5 5" xfId="21477"/>
    <cellStyle name="Normal 5 5 5 6" xfId="34457"/>
    <cellStyle name="Normal 5 5 5 7" xfId="47440"/>
    <cellStyle name="Normal 5 5 6" xfId="3583"/>
    <cellStyle name="Normal 5 5 6 2" xfId="10115"/>
    <cellStyle name="Normal 5 5 6 2 2" xfId="29588"/>
    <cellStyle name="Normal 5 5 6 2 3" xfId="42568"/>
    <cellStyle name="Normal 5 5 6 2 4" xfId="58797"/>
    <cellStyle name="Normal 5 5 6 3" xfId="16608"/>
    <cellStyle name="Normal 5 5 6 4" xfId="23098"/>
    <cellStyle name="Normal 5 5 6 5" xfId="36078"/>
    <cellStyle name="Normal 5 5 6 6" xfId="52307"/>
    <cellStyle name="Normal 5 5 7" xfId="6870"/>
    <cellStyle name="Normal 5 5 7 2" xfId="26343"/>
    <cellStyle name="Normal 5 5 7 3" xfId="39323"/>
    <cellStyle name="Normal 5 5 7 4" xfId="55552"/>
    <cellStyle name="Normal 5 5 8" xfId="13363"/>
    <cellStyle name="Normal 5 5 8 2" xfId="49062"/>
    <cellStyle name="Normal 5 5 9" xfId="19853"/>
    <cellStyle name="Normal 5 6" xfId="621"/>
    <cellStyle name="Normal 5 6 10" xfId="46144"/>
    <cellStyle name="Normal 5 6 2" xfId="1340"/>
    <cellStyle name="Normal 5 6 2 2" xfId="3007"/>
    <cellStyle name="Normal 5 6 2 2 2" xfId="6252"/>
    <cellStyle name="Normal 5 6 2 2 2 2" xfId="12784"/>
    <cellStyle name="Normal 5 6 2 2 2 2 2" xfId="32257"/>
    <cellStyle name="Normal 5 6 2 2 2 2 3" xfId="45237"/>
    <cellStyle name="Normal 5 6 2 2 2 2 4" xfId="61466"/>
    <cellStyle name="Normal 5 6 2 2 2 3" xfId="19277"/>
    <cellStyle name="Normal 5 6 2 2 2 4" xfId="25767"/>
    <cellStyle name="Normal 5 6 2 2 2 5" xfId="38747"/>
    <cellStyle name="Normal 5 6 2 2 2 6" xfId="54976"/>
    <cellStyle name="Normal 5 6 2 2 3" xfId="9539"/>
    <cellStyle name="Normal 5 6 2 2 3 2" xfId="29012"/>
    <cellStyle name="Normal 5 6 2 2 3 3" xfId="41992"/>
    <cellStyle name="Normal 5 6 2 2 3 4" xfId="58221"/>
    <cellStyle name="Normal 5 6 2 2 4" xfId="16032"/>
    <cellStyle name="Normal 5 6 2 2 4 2" xfId="51731"/>
    <cellStyle name="Normal 5 6 2 2 5" xfId="22522"/>
    <cellStyle name="Normal 5 6 2 2 6" xfId="35502"/>
    <cellStyle name="Normal 5 6 2 2 7" xfId="48485"/>
    <cellStyle name="Normal 5 6 2 3" xfId="4629"/>
    <cellStyle name="Normal 5 6 2 3 2" xfId="11161"/>
    <cellStyle name="Normal 5 6 2 3 2 2" xfId="30634"/>
    <cellStyle name="Normal 5 6 2 3 2 3" xfId="43614"/>
    <cellStyle name="Normal 5 6 2 3 2 4" xfId="59843"/>
    <cellStyle name="Normal 5 6 2 3 3" xfId="17654"/>
    <cellStyle name="Normal 5 6 2 3 4" xfId="24144"/>
    <cellStyle name="Normal 5 6 2 3 5" xfId="37124"/>
    <cellStyle name="Normal 5 6 2 3 6" xfId="53353"/>
    <cellStyle name="Normal 5 6 2 4" xfId="7916"/>
    <cellStyle name="Normal 5 6 2 4 2" xfId="27389"/>
    <cellStyle name="Normal 5 6 2 4 3" xfId="40369"/>
    <cellStyle name="Normal 5 6 2 4 4" xfId="56598"/>
    <cellStyle name="Normal 5 6 2 5" xfId="14409"/>
    <cellStyle name="Normal 5 6 2 5 2" xfId="50108"/>
    <cellStyle name="Normal 5 6 2 6" xfId="20899"/>
    <cellStyle name="Normal 5 6 2 7" xfId="33879"/>
    <cellStyle name="Normal 5 6 2 8" xfId="46862"/>
    <cellStyle name="Normal 5 6 3" xfId="876"/>
    <cellStyle name="Normal 5 6 3 2" xfId="2544"/>
    <cellStyle name="Normal 5 6 3 2 2" xfId="5789"/>
    <cellStyle name="Normal 5 6 3 2 2 2" xfId="12321"/>
    <cellStyle name="Normal 5 6 3 2 2 2 2" xfId="31794"/>
    <cellStyle name="Normal 5 6 3 2 2 2 3" xfId="44774"/>
    <cellStyle name="Normal 5 6 3 2 2 2 4" xfId="61003"/>
    <cellStyle name="Normal 5 6 3 2 2 3" xfId="18814"/>
    <cellStyle name="Normal 5 6 3 2 2 4" xfId="25304"/>
    <cellStyle name="Normal 5 6 3 2 2 5" xfId="38284"/>
    <cellStyle name="Normal 5 6 3 2 2 6" xfId="54513"/>
    <cellStyle name="Normal 5 6 3 2 3" xfId="9076"/>
    <cellStyle name="Normal 5 6 3 2 3 2" xfId="28549"/>
    <cellStyle name="Normal 5 6 3 2 3 3" xfId="41529"/>
    <cellStyle name="Normal 5 6 3 2 3 4" xfId="57758"/>
    <cellStyle name="Normal 5 6 3 2 4" xfId="15569"/>
    <cellStyle name="Normal 5 6 3 2 4 2" xfId="51268"/>
    <cellStyle name="Normal 5 6 3 2 5" xfId="22059"/>
    <cellStyle name="Normal 5 6 3 2 6" xfId="35039"/>
    <cellStyle name="Normal 5 6 3 2 7" xfId="48022"/>
    <cellStyle name="Normal 5 6 3 3" xfId="4166"/>
    <cellStyle name="Normal 5 6 3 3 2" xfId="10698"/>
    <cellStyle name="Normal 5 6 3 3 2 2" xfId="30171"/>
    <cellStyle name="Normal 5 6 3 3 2 3" xfId="43151"/>
    <cellStyle name="Normal 5 6 3 3 2 4" xfId="59380"/>
    <cellStyle name="Normal 5 6 3 3 3" xfId="17191"/>
    <cellStyle name="Normal 5 6 3 3 4" xfId="23681"/>
    <cellStyle name="Normal 5 6 3 3 5" xfId="36661"/>
    <cellStyle name="Normal 5 6 3 3 6" xfId="52890"/>
    <cellStyle name="Normal 5 6 3 4" xfId="7453"/>
    <cellStyle name="Normal 5 6 3 4 2" xfId="26926"/>
    <cellStyle name="Normal 5 6 3 4 3" xfId="39906"/>
    <cellStyle name="Normal 5 6 3 4 4" xfId="56135"/>
    <cellStyle name="Normal 5 6 3 5" xfId="13946"/>
    <cellStyle name="Normal 5 6 3 5 2" xfId="49645"/>
    <cellStyle name="Normal 5 6 3 6" xfId="20436"/>
    <cellStyle name="Normal 5 6 3 7" xfId="33416"/>
    <cellStyle name="Normal 5 6 3 8" xfId="46399"/>
    <cellStyle name="Normal 5 6 4" xfId="2289"/>
    <cellStyle name="Normal 5 6 4 2" xfId="5534"/>
    <cellStyle name="Normal 5 6 4 2 2" xfId="12066"/>
    <cellStyle name="Normal 5 6 4 2 2 2" xfId="31539"/>
    <cellStyle name="Normal 5 6 4 2 2 3" xfId="44519"/>
    <cellStyle name="Normal 5 6 4 2 2 4" xfId="60748"/>
    <cellStyle name="Normal 5 6 4 2 3" xfId="18559"/>
    <cellStyle name="Normal 5 6 4 2 4" xfId="25049"/>
    <cellStyle name="Normal 5 6 4 2 5" xfId="38029"/>
    <cellStyle name="Normal 5 6 4 2 6" xfId="54258"/>
    <cellStyle name="Normal 5 6 4 3" xfId="8821"/>
    <cellStyle name="Normal 5 6 4 3 2" xfId="28294"/>
    <cellStyle name="Normal 5 6 4 3 3" xfId="41274"/>
    <cellStyle name="Normal 5 6 4 3 4" xfId="57503"/>
    <cellStyle name="Normal 5 6 4 4" xfId="15314"/>
    <cellStyle name="Normal 5 6 4 4 2" xfId="51013"/>
    <cellStyle name="Normal 5 6 4 5" xfId="21804"/>
    <cellStyle name="Normal 5 6 4 6" xfId="34784"/>
    <cellStyle name="Normal 5 6 4 7" xfId="47767"/>
    <cellStyle name="Normal 5 6 5" xfId="3911"/>
    <cellStyle name="Normal 5 6 5 2" xfId="10443"/>
    <cellStyle name="Normal 5 6 5 2 2" xfId="29916"/>
    <cellStyle name="Normal 5 6 5 2 3" xfId="42896"/>
    <cellStyle name="Normal 5 6 5 2 4" xfId="59125"/>
    <cellStyle name="Normal 5 6 5 3" xfId="16936"/>
    <cellStyle name="Normal 5 6 5 4" xfId="23426"/>
    <cellStyle name="Normal 5 6 5 5" xfId="36406"/>
    <cellStyle name="Normal 5 6 5 6" xfId="52635"/>
    <cellStyle name="Normal 5 6 6" xfId="7198"/>
    <cellStyle name="Normal 5 6 6 2" xfId="26671"/>
    <cellStyle name="Normal 5 6 6 3" xfId="39651"/>
    <cellStyle name="Normal 5 6 6 4" xfId="55880"/>
    <cellStyle name="Normal 5 6 7" xfId="13691"/>
    <cellStyle name="Normal 5 6 7 2" xfId="49390"/>
    <cellStyle name="Normal 5 6 8" xfId="20181"/>
    <cellStyle name="Normal 5 6 9" xfId="33161"/>
    <cellStyle name="Normal 5 7" xfId="391"/>
    <cellStyle name="Normal 5 7 10" xfId="45914"/>
    <cellStyle name="Normal 5 7 2" xfId="1560"/>
    <cellStyle name="Normal 5 7 2 2" xfId="3227"/>
    <cellStyle name="Normal 5 7 2 2 2" xfId="6472"/>
    <cellStyle name="Normal 5 7 2 2 2 2" xfId="13004"/>
    <cellStyle name="Normal 5 7 2 2 2 2 2" xfId="32477"/>
    <cellStyle name="Normal 5 7 2 2 2 2 3" xfId="45457"/>
    <cellStyle name="Normal 5 7 2 2 2 2 4" xfId="61686"/>
    <cellStyle name="Normal 5 7 2 2 2 3" xfId="19497"/>
    <cellStyle name="Normal 5 7 2 2 2 4" xfId="25987"/>
    <cellStyle name="Normal 5 7 2 2 2 5" xfId="38967"/>
    <cellStyle name="Normal 5 7 2 2 2 6" xfId="55196"/>
    <cellStyle name="Normal 5 7 2 2 3" xfId="9759"/>
    <cellStyle name="Normal 5 7 2 2 3 2" xfId="29232"/>
    <cellStyle name="Normal 5 7 2 2 3 3" xfId="42212"/>
    <cellStyle name="Normal 5 7 2 2 3 4" xfId="58441"/>
    <cellStyle name="Normal 5 7 2 2 4" xfId="16252"/>
    <cellStyle name="Normal 5 7 2 2 4 2" xfId="51951"/>
    <cellStyle name="Normal 5 7 2 2 5" xfId="22742"/>
    <cellStyle name="Normal 5 7 2 2 6" xfId="35722"/>
    <cellStyle name="Normal 5 7 2 2 7" xfId="48705"/>
    <cellStyle name="Normal 5 7 2 3" xfId="4849"/>
    <cellStyle name="Normal 5 7 2 3 2" xfId="11381"/>
    <cellStyle name="Normal 5 7 2 3 2 2" xfId="30854"/>
    <cellStyle name="Normal 5 7 2 3 2 3" xfId="43834"/>
    <cellStyle name="Normal 5 7 2 3 2 4" xfId="60063"/>
    <cellStyle name="Normal 5 7 2 3 3" xfId="17874"/>
    <cellStyle name="Normal 5 7 2 3 4" xfId="24364"/>
    <cellStyle name="Normal 5 7 2 3 5" xfId="37344"/>
    <cellStyle name="Normal 5 7 2 3 6" xfId="53573"/>
    <cellStyle name="Normal 5 7 2 4" xfId="8136"/>
    <cellStyle name="Normal 5 7 2 4 2" xfId="27609"/>
    <cellStyle name="Normal 5 7 2 4 3" xfId="40589"/>
    <cellStyle name="Normal 5 7 2 4 4" xfId="56818"/>
    <cellStyle name="Normal 5 7 2 5" xfId="14629"/>
    <cellStyle name="Normal 5 7 2 5 2" xfId="50328"/>
    <cellStyle name="Normal 5 7 2 6" xfId="21119"/>
    <cellStyle name="Normal 5 7 2 7" xfId="34099"/>
    <cellStyle name="Normal 5 7 2 8" xfId="47082"/>
    <cellStyle name="Normal 5 7 3" xfId="1097"/>
    <cellStyle name="Normal 5 7 3 2" xfId="2764"/>
    <cellStyle name="Normal 5 7 3 2 2" xfId="6009"/>
    <cellStyle name="Normal 5 7 3 2 2 2" xfId="12541"/>
    <cellStyle name="Normal 5 7 3 2 2 2 2" xfId="32014"/>
    <cellStyle name="Normal 5 7 3 2 2 2 3" xfId="44994"/>
    <cellStyle name="Normal 5 7 3 2 2 2 4" xfId="61223"/>
    <cellStyle name="Normal 5 7 3 2 2 3" xfId="19034"/>
    <cellStyle name="Normal 5 7 3 2 2 4" xfId="25524"/>
    <cellStyle name="Normal 5 7 3 2 2 5" xfId="38504"/>
    <cellStyle name="Normal 5 7 3 2 2 6" xfId="54733"/>
    <cellStyle name="Normal 5 7 3 2 3" xfId="9296"/>
    <cellStyle name="Normal 5 7 3 2 3 2" xfId="28769"/>
    <cellStyle name="Normal 5 7 3 2 3 3" xfId="41749"/>
    <cellStyle name="Normal 5 7 3 2 3 4" xfId="57978"/>
    <cellStyle name="Normal 5 7 3 2 4" xfId="15789"/>
    <cellStyle name="Normal 5 7 3 2 4 2" xfId="51488"/>
    <cellStyle name="Normal 5 7 3 2 5" xfId="22279"/>
    <cellStyle name="Normal 5 7 3 2 6" xfId="35259"/>
    <cellStyle name="Normal 5 7 3 2 7" xfId="48242"/>
    <cellStyle name="Normal 5 7 3 3" xfId="4386"/>
    <cellStyle name="Normal 5 7 3 3 2" xfId="10918"/>
    <cellStyle name="Normal 5 7 3 3 2 2" xfId="30391"/>
    <cellStyle name="Normal 5 7 3 3 2 3" xfId="43371"/>
    <cellStyle name="Normal 5 7 3 3 2 4" xfId="59600"/>
    <cellStyle name="Normal 5 7 3 3 3" xfId="17411"/>
    <cellStyle name="Normal 5 7 3 3 4" xfId="23901"/>
    <cellStyle name="Normal 5 7 3 3 5" xfId="36881"/>
    <cellStyle name="Normal 5 7 3 3 6" xfId="53110"/>
    <cellStyle name="Normal 5 7 3 4" xfId="7673"/>
    <cellStyle name="Normal 5 7 3 4 2" xfId="27146"/>
    <cellStyle name="Normal 5 7 3 4 3" xfId="40126"/>
    <cellStyle name="Normal 5 7 3 4 4" xfId="56355"/>
    <cellStyle name="Normal 5 7 3 5" xfId="14166"/>
    <cellStyle name="Normal 5 7 3 5 2" xfId="49865"/>
    <cellStyle name="Normal 5 7 3 6" xfId="20656"/>
    <cellStyle name="Normal 5 7 3 7" xfId="33636"/>
    <cellStyle name="Normal 5 7 3 8" xfId="46619"/>
    <cellStyle name="Normal 5 7 4" xfId="2059"/>
    <cellStyle name="Normal 5 7 4 2" xfId="5304"/>
    <cellStyle name="Normal 5 7 4 2 2" xfId="11836"/>
    <cellStyle name="Normal 5 7 4 2 2 2" xfId="31309"/>
    <cellStyle name="Normal 5 7 4 2 2 3" xfId="44289"/>
    <cellStyle name="Normal 5 7 4 2 2 4" xfId="60518"/>
    <cellStyle name="Normal 5 7 4 2 3" xfId="18329"/>
    <cellStyle name="Normal 5 7 4 2 4" xfId="24819"/>
    <cellStyle name="Normal 5 7 4 2 5" xfId="37799"/>
    <cellStyle name="Normal 5 7 4 2 6" xfId="54028"/>
    <cellStyle name="Normal 5 7 4 3" xfId="8591"/>
    <cellStyle name="Normal 5 7 4 3 2" xfId="28064"/>
    <cellStyle name="Normal 5 7 4 3 3" xfId="41044"/>
    <cellStyle name="Normal 5 7 4 3 4" xfId="57273"/>
    <cellStyle name="Normal 5 7 4 4" xfId="15084"/>
    <cellStyle name="Normal 5 7 4 4 2" xfId="50783"/>
    <cellStyle name="Normal 5 7 4 5" xfId="21574"/>
    <cellStyle name="Normal 5 7 4 6" xfId="34554"/>
    <cellStyle name="Normal 5 7 4 7" xfId="47537"/>
    <cellStyle name="Normal 5 7 5" xfId="3681"/>
    <cellStyle name="Normal 5 7 5 2" xfId="10213"/>
    <cellStyle name="Normal 5 7 5 2 2" xfId="29686"/>
    <cellStyle name="Normal 5 7 5 2 3" xfId="42666"/>
    <cellStyle name="Normal 5 7 5 2 4" xfId="58895"/>
    <cellStyle name="Normal 5 7 5 3" xfId="16706"/>
    <cellStyle name="Normal 5 7 5 4" xfId="23196"/>
    <cellStyle name="Normal 5 7 5 5" xfId="36176"/>
    <cellStyle name="Normal 5 7 5 6" xfId="52405"/>
    <cellStyle name="Normal 5 7 6" xfId="6968"/>
    <cellStyle name="Normal 5 7 6 2" xfId="26441"/>
    <cellStyle name="Normal 5 7 6 3" xfId="39421"/>
    <cellStyle name="Normal 5 7 6 4" xfId="55650"/>
    <cellStyle name="Normal 5 7 7" xfId="13461"/>
    <cellStyle name="Normal 5 7 7 2" xfId="49160"/>
    <cellStyle name="Normal 5 7 8" xfId="19951"/>
    <cellStyle name="Normal 5 7 9" xfId="32931"/>
    <cellStyle name="Normal 5 8" xfId="1317"/>
    <cellStyle name="Normal 5 8 2" xfId="2984"/>
    <cellStyle name="Normal 5 8 2 2" xfId="6229"/>
    <cellStyle name="Normal 5 8 2 2 2" xfId="12761"/>
    <cellStyle name="Normal 5 8 2 2 2 2" xfId="32234"/>
    <cellStyle name="Normal 5 8 2 2 2 3" xfId="45214"/>
    <cellStyle name="Normal 5 8 2 2 2 4" xfId="61443"/>
    <cellStyle name="Normal 5 8 2 2 3" xfId="19254"/>
    <cellStyle name="Normal 5 8 2 2 4" xfId="25744"/>
    <cellStyle name="Normal 5 8 2 2 5" xfId="38724"/>
    <cellStyle name="Normal 5 8 2 2 6" xfId="54953"/>
    <cellStyle name="Normal 5 8 2 3" xfId="9516"/>
    <cellStyle name="Normal 5 8 2 3 2" xfId="28989"/>
    <cellStyle name="Normal 5 8 2 3 3" xfId="41969"/>
    <cellStyle name="Normal 5 8 2 3 4" xfId="58198"/>
    <cellStyle name="Normal 5 8 2 4" xfId="16009"/>
    <cellStyle name="Normal 5 8 2 4 2" xfId="51708"/>
    <cellStyle name="Normal 5 8 2 5" xfId="22499"/>
    <cellStyle name="Normal 5 8 2 6" xfId="35479"/>
    <cellStyle name="Normal 5 8 2 7" xfId="48462"/>
    <cellStyle name="Normal 5 8 3" xfId="4606"/>
    <cellStyle name="Normal 5 8 3 2" xfId="11138"/>
    <cellStyle name="Normal 5 8 3 2 2" xfId="30611"/>
    <cellStyle name="Normal 5 8 3 2 3" xfId="43591"/>
    <cellStyle name="Normal 5 8 3 2 4" xfId="59820"/>
    <cellStyle name="Normal 5 8 3 3" xfId="17631"/>
    <cellStyle name="Normal 5 8 3 4" xfId="24121"/>
    <cellStyle name="Normal 5 8 3 5" xfId="37101"/>
    <cellStyle name="Normal 5 8 3 6" xfId="53330"/>
    <cellStyle name="Normal 5 8 4" xfId="7893"/>
    <cellStyle name="Normal 5 8 4 2" xfId="27366"/>
    <cellStyle name="Normal 5 8 4 3" xfId="40346"/>
    <cellStyle name="Normal 5 8 4 4" xfId="56575"/>
    <cellStyle name="Normal 5 8 5" xfId="14386"/>
    <cellStyle name="Normal 5 8 5 2" xfId="50085"/>
    <cellStyle name="Normal 5 8 6" xfId="20876"/>
    <cellStyle name="Normal 5 8 7" xfId="33856"/>
    <cellStyle name="Normal 5 8 8" xfId="46839"/>
    <cellStyle name="Normal 5 9" xfId="853"/>
    <cellStyle name="Normal 5 9 2" xfId="2521"/>
    <cellStyle name="Normal 5 9 2 2" xfId="5766"/>
    <cellStyle name="Normal 5 9 2 2 2" xfId="12298"/>
    <cellStyle name="Normal 5 9 2 2 2 2" xfId="31771"/>
    <cellStyle name="Normal 5 9 2 2 2 3" xfId="44751"/>
    <cellStyle name="Normal 5 9 2 2 2 4" xfId="60980"/>
    <cellStyle name="Normal 5 9 2 2 3" xfId="18791"/>
    <cellStyle name="Normal 5 9 2 2 4" xfId="25281"/>
    <cellStyle name="Normal 5 9 2 2 5" xfId="38261"/>
    <cellStyle name="Normal 5 9 2 2 6" xfId="54490"/>
    <cellStyle name="Normal 5 9 2 3" xfId="9053"/>
    <cellStyle name="Normal 5 9 2 3 2" xfId="28526"/>
    <cellStyle name="Normal 5 9 2 3 3" xfId="41506"/>
    <cellStyle name="Normal 5 9 2 3 4" xfId="57735"/>
    <cellStyle name="Normal 5 9 2 4" xfId="15546"/>
    <cellStyle name="Normal 5 9 2 4 2" xfId="51245"/>
    <cellStyle name="Normal 5 9 2 5" xfId="22036"/>
    <cellStyle name="Normal 5 9 2 6" xfId="35016"/>
    <cellStyle name="Normal 5 9 2 7" xfId="47999"/>
    <cellStyle name="Normal 5 9 3" xfId="4143"/>
    <cellStyle name="Normal 5 9 3 2" xfId="10675"/>
    <cellStyle name="Normal 5 9 3 2 2" xfId="30148"/>
    <cellStyle name="Normal 5 9 3 2 3" xfId="43128"/>
    <cellStyle name="Normal 5 9 3 2 4" xfId="59357"/>
    <cellStyle name="Normal 5 9 3 3" xfId="17168"/>
    <cellStyle name="Normal 5 9 3 4" xfId="23658"/>
    <cellStyle name="Normal 5 9 3 5" xfId="36638"/>
    <cellStyle name="Normal 5 9 3 6" xfId="52867"/>
    <cellStyle name="Normal 5 9 4" xfId="7430"/>
    <cellStyle name="Normal 5 9 4 2" xfId="26903"/>
    <cellStyle name="Normal 5 9 4 3" xfId="39883"/>
    <cellStyle name="Normal 5 9 4 4" xfId="56112"/>
    <cellStyle name="Normal 5 9 5" xfId="13923"/>
    <cellStyle name="Normal 5 9 5 2" xfId="49622"/>
    <cellStyle name="Normal 5 9 6" xfId="20413"/>
    <cellStyle name="Normal 5 9 7" xfId="33393"/>
    <cellStyle name="Normal 5 9 8" xfId="46376"/>
    <cellStyle name="Normal 6" xfId="170"/>
    <cellStyle name="Normal 6 10" xfId="1844"/>
    <cellStyle name="Normal 6 10 2" xfId="5090"/>
    <cellStyle name="Normal 6 10 2 2" xfId="11622"/>
    <cellStyle name="Normal 6 10 2 2 2" xfId="31095"/>
    <cellStyle name="Normal 6 10 2 2 3" xfId="44075"/>
    <cellStyle name="Normal 6 10 2 2 4" xfId="60304"/>
    <cellStyle name="Normal 6 10 2 3" xfId="18115"/>
    <cellStyle name="Normal 6 10 2 4" xfId="24605"/>
    <cellStyle name="Normal 6 10 2 5" xfId="37585"/>
    <cellStyle name="Normal 6 10 2 6" xfId="53814"/>
    <cellStyle name="Normal 6 10 3" xfId="8377"/>
    <cellStyle name="Normal 6 10 3 2" xfId="27850"/>
    <cellStyle name="Normal 6 10 3 3" xfId="40830"/>
    <cellStyle name="Normal 6 10 3 4" xfId="57059"/>
    <cellStyle name="Normal 6 10 4" xfId="14870"/>
    <cellStyle name="Normal 6 10 4 2" xfId="50569"/>
    <cellStyle name="Normal 6 10 5" xfId="21360"/>
    <cellStyle name="Normal 6 10 6" xfId="34340"/>
    <cellStyle name="Normal 6 10 7" xfId="47323"/>
    <cellStyle name="Normal 6 11" xfId="3466"/>
    <cellStyle name="Normal 6 11 2" xfId="9998"/>
    <cellStyle name="Normal 6 11 2 2" xfId="29471"/>
    <cellStyle name="Normal 6 11 2 3" xfId="42451"/>
    <cellStyle name="Normal 6 11 2 4" xfId="58680"/>
    <cellStyle name="Normal 6 11 3" xfId="16491"/>
    <cellStyle name="Normal 6 11 4" xfId="22981"/>
    <cellStyle name="Normal 6 11 5" xfId="35961"/>
    <cellStyle name="Normal 6 11 6" xfId="52190"/>
    <cellStyle name="Normal 6 12" xfId="6753"/>
    <cellStyle name="Normal 6 12 2" xfId="26226"/>
    <cellStyle name="Normal 6 12 3" xfId="39206"/>
    <cellStyle name="Normal 6 12 4" xfId="55435"/>
    <cellStyle name="Normal 6 13" xfId="13246"/>
    <cellStyle name="Normal 6 13 2" xfId="48945"/>
    <cellStyle name="Normal 6 14" xfId="19736"/>
    <cellStyle name="Normal 6 15" xfId="32716"/>
    <cellStyle name="Normal 6 16" xfId="45699"/>
    <cellStyle name="Normal 6 2" xfId="193"/>
    <cellStyle name="Normal 6 2 10" xfId="6775"/>
    <cellStyle name="Normal 6 2 10 2" xfId="26248"/>
    <cellStyle name="Normal 6 2 10 3" xfId="39228"/>
    <cellStyle name="Normal 6 2 10 4" xfId="55457"/>
    <cellStyle name="Normal 6 2 11" xfId="13268"/>
    <cellStyle name="Normal 6 2 11 2" xfId="48967"/>
    <cellStyle name="Normal 6 2 12" xfId="19758"/>
    <cellStyle name="Normal 6 2 13" xfId="32738"/>
    <cellStyle name="Normal 6 2 14" xfId="45721"/>
    <cellStyle name="Normal 6 2 15" xfId="61961"/>
    <cellStyle name="Normal 6 2 2" xfId="282"/>
    <cellStyle name="Normal 6 2 2 10" xfId="19846"/>
    <cellStyle name="Normal 6 2 2 11" xfId="32826"/>
    <cellStyle name="Normal 6 2 2 12" xfId="45809"/>
    <cellStyle name="Normal 6 2 2 13" xfId="61984"/>
    <cellStyle name="Normal 6 2 2 2" xfId="370"/>
    <cellStyle name="Normal 6 2 2 2 10" xfId="32914"/>
    <cellStyle name="Normal 6 2 2 2 11" xfId="45897"/>
    <cellStyle name="Normal 6 2 2 2 2" xfId="834"/>
    <cellStyle name="Normal 6 2 2 2 2 10" xfId="46357"/>
    <cellStyle name="Normal 6 2 2 2 2 2" xfId="1773"/>
    <cellStyle name="Normal 6 2 2 2 2 2 2" xfId="3440"/>
    <cellStyle name="Normal 6 2 2 2 2 2 2 2" xfId="6685"/>
    <cellStyle name="Normal 6 2 2 2 2 2 2 2 2" xfId="13217"/>
    <cellStyle name="Normal 6 2 2 2 2 2 2 2 2 2" xfId="32690"/>
    <cellStyle name="Normal 6 2 2 2 2 2 2 2 2 3" xfId="45670"/>
    <cellStyle name="Normal 6 2 2 2 2 2 2 2 2 4" xfId="61899"/>
    <cellStyle name="Normal 6 2 2 2 2 2 2 2 3" xfId="19710"/>
    <cellStyle name="Normal 6 2 2 2 2 2 2 2 4" xfId="26200"/>
    <cellStyle name="Normal 6 2 2 2 2 2 2 2 5" xfId="39180"/>
    <cellStyle name="Normal 6 2 2 2 2 2 2 2 6" xfId="55409"/>
    <cellStyle name="Normal 6 2 2 2 2 2 2 3" xfId="9972"/>
    <cellStyle name="Normal 6 2 2 2 2 2 2 3 2" xfId="29445"/>
    <cellStyle name="Normal 6 2 2 2 2 2 2 3 3" xfId="42425"/>
    <cellStyle name="Normal 6 2 2 2 2 2 2 3 4" xfId="58654"/>
    <cellStyle name="Normal 6 2 2 2 2 2 2 4" xfId="16465"/>
    <cellStyle name="Normal 6 2 2 2 2 2 2 4 2" xfId="52164"/>
    <cellStyle name="Normal 6 2 2 2 2 2 2 5" xfId="22955"/>
    <cellStyle name="Normal 6 2 2 2 2 2 2 6" xfId="35935"/>
    <cellStyle name="Normal 6 2 2 2 2 2 2 7" xfId="48918"/>
    <cellStyle name="Normal 6 2 2 2 2 2 3" xfId="5062"/>
    <cellStyle name="Normal 6 2 2 2 2 2 3 2" xfId="11594"/>
    <cellStyle name="Normal 6 2 2 2 2 2 3 2 2" xfId="31067"/>
    <cellStyle name="Normal 6 2 2 2 2 2 3 2 3" xfId="44047"/>
    <cellStyle name="Normal 6 2 2 2 2 2 3 2 4" xfId="60276"/>
    <cellStyle name="Normal 6 2 2 2 2 2 3 3" xfId="18087"/>
    <cellStyle name="Normal 6 2 2 2 2 2 3 4" xfId="24577"/>
    <cellStyle name="Normal 6 2 2 2 2 2 3 5" xfId="37557"/>
    <cellStyle name="Normal 6 2 2 2 2 2 3 6" xfId="53786"/>
    <cellStyle name="Normal 6 2 2 2 2 2 4" xfId="8349"/>
    <cellStyle name="Normal 6 2 2 2 2 2 4 2" xfId="27822"/>
    <cellStyle name="Normal 6 2 2 2 2 2 4 3" xfId="40802"/>
    <cellStyle name="Normal 6 2 2 2 2 2 4 4" xfId="57031"/>
    <cellStyle name="Normal 6 2 2 2 2 2 5" xfId="14842"/>
    <cellStyle name="Normal 6 2 2 2 2 2 5 2" xfId="50541"/>
    <cellStyle name="Normal 6 2 2 2 2 2 6" xfId="21332"/>
    <cellStyle name="Normal 6 2 2 2 2 2 7" xfId="34312"/>
    <cellStyle name="Normal 6 2 2 2 2 2 8" xfId="47295"/>
    <cellStyle name="Normal 6 2 2 2 2 3" xfId="1310"/>
    <cellStyle name="Normal 6 2 2 2 2 3 2" xfId="2977"/>
    <cellStyle name="Normal 6 2 2 2 2 3 2 2" xfId="6222"/>
    <cellStyle name="Normal 6 2 2 2 2 3 2 2 2" xfId="12754"/>
    <cellStyle name="Normal 6 2 2 2 2 3 2 2 2 2" xfId="32227"/>
    <cellStyle name="Normal 6 2 2 2 2 3 2 2 2 3" xfId="45207"/>
    <cellStyle name="Normal 6 2 2 2 2 3 2 2 2 4" xfId="61436"/>
    <cellStyle name="Normal 6 2 2 2 2 3 2 2 3" xfId="19247"/>
    <cellStyle name="Normal 6 2 2 2 2 3 2 2 4" xfId="25737"/>
    <cellStyle name="Normal 6 2 2 2 2 3 2 2 5" xfId="38717"/>
    <cellStyle name="Normal 6 2 2 2 2 3 2 2 6" xfId="54946"/>
    <cellStyle name="Normal 6 2 2 2 2 3 2 3" xfId="9509"/>
    <cellStyle name="Normal 6 2 2 2 2 3 2 3 2" xfId="28982"/>
    <cellStyle name="Normal 6 2 2 2 2 3 2 3 3" xfId="41962"/>
    <cellStyle name="Normal 6 2 2 2 2 3 2 3 4" xfId="58191"/>
    <cellStyle name="Normal 6 2 2 2 2 3 2 4" xfId="16002"/>
    <cellStyle name="Normal 6 2 2 2 2 3 2 4 2" xfId="51701"/>
    <cellStyle name="Normal 6 2 2 2 2 3 2 5" xfId="22492"/>
    <cellStyle name="Normal 6 2 2 2 2 3 2 6" xfId="35472"/>
    <cellStyle name="Normal 6 2 2 2 2 3 2 7" xfId="48455"/>
    <cellStyle name="Normal 6 2 2 2 2 3 3" xfId="4599"/>
    <cellStyle name="Normal 6 2 2 2 2 3 3 2" xfId="11131"/>
    <cellStyle name="Normal 6 2 2 2 2 3 3 2 2" xfId="30604"/>
    <cellStyle name="Normal 6 2 2 2 2 3 3 2 3" xfId="43584"/>
    <cellStyle name="Normal 6 2 2 2 2 3 3 2 4" xfId="59813"/>
    <cellStyle name="Normal 6 2 2 2 2 3 3 3" xfId="17624"/>
    <cellStyle name="Normal 6 2 2 2 2 3 3 4" xfId="24114"/>
    <cellStyle name="Normal 6 2 2 2 2 3 3 5" xfId="37094"/>
    <cellStyle name="Normal 6 2 2 2 2 3 3 6" xfId="53323"/>
    <cellStyle name="Normal 6 2 2 2 2 3 4" xfId="7886"/>
    <cellStyle name="Normal 6 2 2 2 2 3 4 2" xfId="27359"/>
    <cellStyle name="Normal 6 2 2 2 2 3 4 3" xfId="40339"/>
    <cellStyle name="Normal 6 2 2 2 2 3 4 4" xfId="56568"/>
    <cellStyle name="Normal 6 2 2 2 2 3 5" xfId="14379"/>
    <cellStyle name="Normal 6 2 2 2 2 3 5 2" xfId="50078"/>
    <cellStyle name="Normal 6 2 2 2 2 3 6" xfId="20869"/>
    <cellStyle name="Normal 6 2 2 2 2 3 7" xfId="33849"/>
    <cellStyle name="Normal 6 2 2 2 2 3 8" xfId="46832"/>
    <cellStyle name="Normal 6 2 2 2 2 4" xfId="2502"/>
    <cellStyle name="Normal 6 2 2 2 2 4 2" xfId="5747"/>
    <cellStyle name="Normal 6 2 2 2 2 4 2 2" xfId="12279"/>
    <cellStyle name="Normal 6 2 2 2 2 4 2 2 2" xfId="31752"/>
    <cellStyle name="Normal 6 2 2 2 2 4 2 2 3" xfId="44732"/>
    <cellStyle name="Normal 6 2 2 2 2 4 2 2 4" xfId="60961"/>
    <cellStyle name="Normal 6 2 2 2 2 4 2 3" xfId="18772"/>
    <cellStyle name="Normal 6 2 2 2 2 4 2 4" xfId="25262"/>
    <cellStyle name="Normal 6 2 2 2 2 4 2 5" xfId="38242"/>
    <cellStyle name="Normal 6 2 2 2 2 4 2 6" xfId="54471"/>
    <cellStyle name="Normal 6 2 2 2 2 4 3" xfId="9034"/>
    <cellStyle name="Normal 6 2 2 2 2 4 3 2" xfId="28507"/>
    <cellStyle name="Normal 6 2 2 2 2 4 3 3" xfId="41487"/>
    <cellStyle name="Normal 6 2 2 2 2 4 3 4" xfId="57716"/>
    <cellStyle name="Normal 6 2 2 2 2 4 4" xfId="15527"/>
    <cellStyle name="Normal 6 2 2 2 2 4 4 2" xfId="51226"/>
    <cellStyle name="Normal 6 2 2 2 2 4 5" xfId="22017"/>
    <cellStyle name="Normal 6 2 2 2 2 4 6" xfId="34997"/>
    <cellStyle name="Normal 6 2 2 2 2 4 7" xfId="47980"/>
    <cellStyle name="Normal 6 2 2 2 2 5" xfId="4124"/>
    <cellStyle name="Normal 6 2 2 2 2 5 2" xfId="10656"/>
    <cellStyle name="Normal 6 2 2 2 2 5 2 2" xfId="30129"/>
    <cellStyle name="Normal 6 2 2 2 2 5 2 3" xfId="43109"/>
    <cellStyle name="Normal 6 2 2 2 2 5 2 4" xfId="59338"/>
    <cellStyle name="Normal 6 2 2 2 2 5 3" xfId="17149"/>
    <cellStyle name="Normal 6 2 2 2 2 5 4" xfId="23639"/>
    <cellStyle name="Normal 6 2 2 2 2 5 5" xfId="36619"/>
    <cellStyle name="Normal 6 2 2 2 2 5 6" xfId="52848"/>
    <cellStyle name="Normal 6 2 2 2 2 6" xfId="7411"/>
    <cellStyle name="Normal 6 2 2 2 2 6 2" xfId="26884"/>
    <cellStyle name="Normal 6 2 2 2 2 6 3" xfId="39864"/>
    <cellStyle name="Normal 6 2 2 2 2 6 4" xfId="56093"/>
    <cellStyle name="Normal 6 2 2 2 2 7" xfId="13904"/>
    <cellStyle name="Normal 6 2 2 2 2 7 2" xfId="49603"/>
    <cellStyle name="Normal 6 2 2 2 2 8" xfId="20394"/>
    <cellStyle name="Normal 6 2 2 2 2 9" xfId="33374"/>
    <cellStyle name="Normal 6 2 2 2 3" xfId="604"/>
    <cellStyle name="Normal 6 2 2 2 3 2" xfId="1553"/>
    <cellStyle name="Normal 6 2 2 2 3 2 2" xfId="3220"/>
    <cellStyle name="Normal 6 2 2 2 3 2 2 2" xfId="6465"/>
    <cellStyle name="Normal 6 2 2 2 3 2 2 2 2" xfId="12997"/>
    <cellStyle name="Normal 6 2 2 2 3 2 2 2 2 2" xfId="32470"/>
    <cellStyle name="Normal 6 2 2 2 3 2 2 2 2 3" xfId="45450"/>
    <cellStyle name="Normal 6 2 2 2 3 2 2 2 2 4" xfId="61679"/>
    <cellStyle name="Normal 6 2 2 2 3 2 2 2 3" xfId="19490"/>
    <cellStyle name="Normal 6 2 2 2 3 2 2 2 4" xfId="25980"/>
    <cellStyle name="Normal 6 2 2 2 3 2 2 2 5" xfId="38960"/>
    <cellStyle name="Normal 6 2 2 2 3 2 2 2 6" xfId="55189"/>
    <cellStyle name="Normal 6 2 2 2 3 2 2 3" xfId="9752"/>
    <cellStyle name="Normal 6 2 2 2 3 2 2 3 2" xfId="29225"/>
    <cellStyle name="Normal 6 2 2 2 3 2 2 3 3" xfId="42205"/>
    <cellStyle name="Normal 6 2 2 2 3 2 2 3 4" xfId="58434"/>
    <cellStyle name="Normal 6 2 2 2 3 2 2 4" xfId="16245"/>
    <cellStyle name="Normal 6 2 2 2 3 2 2 4 2" xfId="51944"/>
    <cellStyle name="Normal 6 2 2 2 3 2 2 5" xfId="22735"/>
    <cellStyle name="Normal 6 2 2 2 3 2 2 6" xfId="35715"/>
    <cellStyle name="Normal 6 2 2 2 3 2 2 7" xfId="48698"/>
    <cellStyle name="Normal 6 2 2 2 3 2 3" xfId="4842"/>
    <cellStyle name="Normal 6 2 2 2 3 2 3 2" xfId="11374"/>
    <cellStyle name="Normal 6 2 2 2 3 2 3 2 2" xfId="30847"/>
    <cellStyle name="Normal 6 2 2 2 3 2 3 2 3" xfId="43827"/>
    <cellStyle name="Normal 6 2 2 2 3 2 3 2 4" xfId="60056"/>
    <cellStyle name="Normal 6 2 2 2 3 2 3 3" xfId="17867"/>
    <cellStyle name="Normal 6 2 2 2 3 2 3 4" xfId="24357"/>
    <cellStyle name="Normal 6 2 2 2 3 2 3 5" xfId="37337"/>
    <cellStyle name="Normal 6 2 2 2 3 2 3 6" xfId="53566"/>
    <cellStyle name="Normal 6 2 2 2 3 2 4" xfId="8129"/>
    <cellStyle name="Normal 6 2 2 2 3 2 4 2" xfId="27602"/>
    <cellStyle name="Normal 6 2 2 2 3 2 4 3" xfId="40582"/>
    <cellStyle name="Normal 6 2 2 2 3 2 4 4" xfId="56811"/>
    <cellStyle name="Normal 6 2 2 2 3 2 5" xfId="14622"/>
    <cellStyle name="Normal 6 2 2 2 3 2 5 2" xfId="50321"/>
    <cellStyle name="Normal 6 2 2 2 3 2 6" xfId="21112"/>
    <cellStyle name="Normal 6 2 2 2 3 2 7" xfId="34092"/>
    <cellStyle name="Normal 6 2 2 2 3 2 8" xfId="47075"/>
    <cellStyle name="Normal 6 2 2 2 3 3" xfId="2272"/>
    <cellStyle name="Normal 6 2 2 2 3 3 2" xfId="5517"/>
    <cellStyle name="Normal 6 2 2 2 3 3 2 2" xfId="12049"/>
    <cellStyle name="Normal 6 2 2 2 3 3 2 2 2" xfId="31522"/>
    <cellStyle name="Normal 6 2 2 2 3 3 2 2 3" xfId="44502"/>
    <cellStyle name="Normal 6 2 2 2 3 3 2 2 4" xfId="60731"/>
    <cellStyle name="Normal 6 2 2 2 3 3 2 3" xfId="18542"/>
    <cellStyle name="Normal 6 2 2 2 3 3 2 4" xfId="25032"/>
    <cellStyle name="Normal 6 2 2 2 3 3 2 5" xfId="38012"/>
    <cellStyle name="Normal 6 2 2 2 3 3 2 6" xfId="54241"/>
    <cellStyle name="Normal 6 2 2 2 3 3 3" xfId="8804"/>
    <cellStyle name="Normal 6 2 2 2 3 3 3 2" xfId="28277"/>
    <cellStyle name="Normal 6 2 2 2 3 3 3 3" xfId="41257"/>
    <cellStyle name="Normal 6 2 2 2 3 3 3 4" xfId="57486"/>
    <cellStyle name="Normal 6 2 2 2 3 3 4" xfId="15297"/>
    <cellStyle name="Normal 6 2 2 2 3 3 4 2" xfId="50996"/>
    <cellStyle name="Normal 6 2 2 2 3 3 5" xfId="21787"/>
    <cellStyle name="Normal 6 2 2 2 3 3 6" xfId="34767"/>
    <cellStyle name="Normal 6 2 2 2 3 3 7" xfId="47750"/>
    <cellStyle name="Normal 6 2 2 2 3 4" xfId="3894"/>
    <cellStyle name="Normal 6 2 2 2 3 4 2" xfId="10426"/>
    <cellStyle name="Normal 6 2 2 2 3 4 2 2" xfId="29899"/>
    <cellStyle name="Normal 6 2 2 2 3 4 2 3" xfId="42879"/>
    <cellStyle name="Normal 6 2 2 2 3 4 2 4" xfId="59108"/>
    <cellStyle name="Normal 6 2 2 2 3 4 3" xfId="16919"/>
    <cellStyle name="Normal 6 2 2 2 3 4 4" xfId="23409"/>
    <cellStyle name="Normal 6 2 2 2 3 4 5" xfId="36389"/>
    <cellStyle name="Normal 6 2 2 2 3 4 6" xfId="52618"/>
    <cellStyle name="Normal 6 2 2 2 3 5" xfId="7181"/>
    <cellStyle name="Normal 6 2 2 2 3 5 2" xfId="26654"/>
    <cellStyle name="Normal 6 2 2 2 3 5 3" xfId="39634"/>
    <cellStyle name="Normal 6 2 2 2 3 5 4" xfId="55863"/>
    <cellStyle name="Normal 6 2 2 2 3 6" xfId="13674"/>
    <cellStyle name="Normal 6 2 2 2 3 6 2" xfId="49373"/>
    <cellStyle name="Normal 6 2 2 2 3 7" xfId="20164"/>
    <cellStyle name="Normal 6 2 2 2 3 8" xfId="33144"/>
    <cellStyle name="Normal 6 2 2 2 3 9" xfId="46127"/>
    <cellStyle name="Normal 6 2 2 2 4" xfId="1090"/>
    <cellStyle name="Normal 6 2 2 2 4 2" xfId="2757"/>
    <cellStyle name="Normal 6 2 2 2 4 2 2" xfId="6002"/>
    <cellStyle name="Normal 6 2 2 2 4 2 2 2" xfId="12534"/>
    <cellStyle name="Normal 6 2 2 2 4 2 2 2 2" xfId="32007"/>
    <cellStyle name="Normal 6 2 2 2 4 2 2 2 3" xfId="44987"/>
    <cellStyle name="Normal 6 2 2 2 4 2 2 2 4" xfId="61216"/>
    <cellStyle name="Normal 6 2 2 2 4 2 2 3" xfId="19027"/>
    <cellStyle name="Normal 6 2 2 2 4 2 2 4" xfId="25517"/>
    <cellStyle name="Normal 6 2 2 2 4 2 2 5" xfId="38497"/>
    <cellStyle name="Normal 6 2 2 2 4 2 2 6" xfId="54726"/>
    <cellStyle name="Normal 6 2 2 2 4 2 3" xfId="9289"/>
    <cellStyle name="Normal 6 2 2 2 4 2 3 2" xfId="28762"/>
    <cellStyle name="Normal 6 2 2 2 4 2 3 3" xfId="41742"/>
    <cellStyle name="Normal 6 2 2 2 4 2 3 4" xfId="57971"/>
    <cellStyle name="Normal 6 2 2 2 4 2 4" xfId="15782"/>
    <cellStyle name="Normal 6 2 2 2 4 2 4 2" xfId="51481"/>
    <cellStyle name="Normal 6 2 2 2 4 2 5" xfId="22272"/>
    <cellStyle name="Normal 6 2 2 2 4 2 6" xfId="35252"/>
    <cellStyle name="Normal 6 2 2 2 4 2 7" xfId="48235"/>
    <cellStyle name="Normal 6 2 2 2 4 3" xfId="4379"/>
    <cellStyle name="Normal 6 2 2 2 4 3 2" xfId="10911"/>
    <cellStyle name="Normal 6 2 2 2 4 3 2 2" xfId="30384"/>
    <cellStyle name="Normal 6 2 2 2 4 3 2 3" xfId="43364"/>
    <cellStyle name="Normal 6 2 2 2 4 3 2 4" xfId="59593"/>
    <cellStyle name="Normal 6 2 2 2 4 3 3" xfId="17404"/>
    <cellStyle name="Normal 6 2 2 2 4 3 4" xfId="23894"/>
    <cellStyle name="Normal 6 2 2 2 4 3 5" xfId="36874"/>
    <cellStyle name="Normal 6 2 2 2 4 3 6" xfId="53103"/>
    <cellStyle name="Normal 6 2 2 2 4 4" xfId="7666"/>
    <cellStyle name="Normal 6 2 2 2 4 4 2" xfId="27139"/>
    <cellStyle name="Normal 6 2 2 2 4 4 3" xfId="40119"/>
    <cellStyle name="Normal 6 2 2 2 4 4 4" xfId="56348"/>
    <cellStyle name="Normal 6 2 2 2 4 5" xfId="14159"/>
    <cellStyle name="Normal 6 2 2 2 4 5 2" xfId="49858"/>
    <cellStyle name="Normal 6 2 2 2 4 6" xfId="20649"/>
    <cellStyle name="Normal 6 2 2 2 4 7" xfId="33629"/>
    <cellStyle name="Normal 6 2 2 2 4 8" xfId="46612"/>
    <cellStyle name="Normal 6 2 2 2 5" xfId="2043"/>
    <cellStyle name="Normal 6 2 2 2 5 2" xfId="5288"/>
    <cellStyle name="Normal 6 2 2 2 5 2 2" xfId="11820"/>
    <cellStyle name="Normal 6 2 2 2 5 2 2 2" xfId="31293"/>
    <cellStyle name="Normal 6 2 2 2 5 2 2 3" xfId="44273"/>
    <cellStyle name="Normal 6 2 2 2 5 2 2 4" xfId="60502"/>
    <cellStyle name="Normal 6 2 2 2 5 2 3" xfId="18313"/>
    <cellStyle name="Normal 6 2 2 2 5 2 4" xfId="24803"/>
    <cellStyle name="Normal 6 2 2 2 5 2 5" xfId="37783"/>
    <cellStyle name="Normal 6 2 2 2 5 2 6" xfId="54012"/>
    <cellStyle name="Normal 6 2 2 2 5 3" xfId="8575"/>
    <cellStyle name="Normal 6 2 2 2 5 3 2" xfId="28048"/>
    <cellStyle name="Normal 6 2 2 2 5 3 3" xfId="41028"/>
    <cellStyle name="Normal 6 2 2 2 5 3 4" xfId="57257"/>
    <cellStyle name="Normal 6 2 2 2 5 4" xfId="15068"/>
    <cellStyle name="Normal 6 2 2 2 5 4 2" xfId="50767"/>
    <cellStyle name="Normal 6 2 2 2 5 5" xfId="21558"/>
    <cellStyle name="Normal 6 2 2 2 5 6" xfId="34538"/>
    <cellStyle name="Normal 6 2 2 2 5 7" xfId="47521"/>
    <cellStyle name="Normal 6 2 2 2 6" xfId="3664"/>
    <cellStyle name="Normal 6 2 2 2 6 2" xfId="10196"/>
    <cellStyle name="Normal 6 2 2 2 6 2 2" xfId="29669"/>
    <cellStyle name="Normal 6 2 2 2 6 2 3" xfId="42649"/>
    <cellStyle name="Normal 6 2 2 2 6 2 4" xfId="58878"/>
    <cellStyle name="Normal 6 2 2 2 6 3" xfId="16689"/>
    <cellStyle name="Normal 6 2 2 2 6 4" xfId="23179"/>
    <cellStyle name="Normal 6 2 2 2 6 5" xfId="36159"/>
    <cellStyle name="Normal 6 2 2 2 6 6" xfId="52388"/>
    <cellStyle name="Normal 6 2 2 2 7" xfId="6951"/>
    <cellStyle name="Normal 6 2 2 2 7 2" xfId="26424"/>
    <cellStyle name="Normal 6 2 2 2 7 3" xfId="39404"/>
    <cellStyle name="Normal 6 2 2 2 7 4" xfId="55633"/>
    <cellStyle name="Normal 6 2 2 2 8" xfId="13444"/>
    <cellStyle name="Normal 6 2 2 2 8 2" xfId="49143"/>
    <cellStyle name="Normal 6 2 2 2 9" xfId="19934"/>
    <cellStyle name="Normal 6 2 2 3" xfId="746"/>
    <cellStyle name="Normal 6 2 2 3 10" xfId="46269"/>
    <cellStyle name="Normal 6 2 2 3 2" xfId="1685"/>
    <cellStyle name="Normal 6 2 2 3 2 2" xfId="3352"/>
    <cellStyle name="Normal 6 2 2 3 2 2 2" xfId="6597"/>
    <cellStyle name="Normal 6 2 2 3 2 2 2 2" xfId="13129"/>
    <cellStyle name="Normal 6 2 2 3 2 2 2 2 2" xfId="32602"/>
    <cellStyle name="Normal 6 2 2 3 2 2 2 2 3" xfId="45582"/>
    <cellStyle name="Normal 6 2 2 3 2 2 2 2 4" xfId="61811"/>
    <cellStyle name="Normal 6 2 2 3 2 2 2 3" xfId="19622"/>
    <cellStyle name="Normal 6 2 2 3 2 2 2 4" xfId="26112"/>
    <cellStyle name="Normal 6 2 2 3 2 2 2 5" xfId="39092"/>
    <cellStyle name="Normal 6 2 2 3 2 2 2 6" xfId="55321"/>
    <cellStyle name="Normal 6 2 2 3 2 2 3" xfId="9884"/>
    <cellStyle name="Normal 6 2 2 3 2 2 3 2" xfId="29357"/>
    <cellStyle name="Normal 6 2 2 3 2 2 3 3" xfId="42337"/>
    <cellStyle name="Normal 6 2 2 3 2 2 3 4" xfId="58566"/>
    <cellStyle name="Normal 6 2 2 3 2 2 4" xfId="16377"/>
    <cellStyle name="Normal 6 2 2 3 2 2 4 2" xfId="52076"/>
    <cellStyle name="Normal 6 2 2 3 2 2 5" xfId="22867"/>
    <cellStyle name="Normal 6 2 2 3 2 2 6" xfId="35847"/>
    <cellStyle name="Normal 6 2 2 3 2 2 7" xfId="48830"/>
    <cellStyle name="Normal 6 2 2 3 2 3" xfId="4974"/>
    <cellStyle name="Normal 6 2 2 3 2 3 2" xfId="11506"/>
    <cellStyle name="Normal 6 2 2 3 2 3 2 2" xfId="30979"/>
    <cellStyle name="Normal 6 2 2 3 2 3 2 3" xfId="43959"/>
    <cellStyle name="Normal 6 2 2 3 2 3 2 4" xfId="60188"/>
    <cellStyle name="Normal 6 2 2 3 2 3 3" xfId="17999"/>
    <cellStyle name="Normal 6 2 2 3 2 3 4" xfId="24489"/>
    <cellStyle name="Normal 6 2 2 3 2 3 5" xfId="37469"/>
    <cellStyle name="Normal 6 2 2 3 2 3 6" xfId="53698"/>
    <cellStyle name="Normal 6 2 2 3 2 4" xfId="8261"/>
    <cellStyle name="Normal 6 2 2 3 2 4 2" xfId="27734"/>
    <cellStyle name="Normal 6 2 2 3 2 4 3" xfId="40714"/>
    <cellStyle name="Normal 6 2 2 3 2 4 4" xfId="56943"/>
    <cellStyle name="Normal 6 2 2 3 2 5" xfId="14754"/>
    <cellStyle name="Normal 6 2 2 3 2 5 2" xfId="50453"/>
    <cellStyle name="Normal 6 2 2 3 2 6" xfId="21244"/>
    <cellStyle name="Normal 6 2 2 3 2 7" xfId="34224"/>
    <cellStyle name="Normal 6 2 2 3 2 8" xfId="47207"/>
    <cellStyle name="Normal 6 2 2 3 3" xfId="1222"/>
    <cellStyle name="Normal 6 2 2 3 3 2" xfId="2889"/>
    <cellStyle name="Normal 6 2 2 3 3 2 2" xfId="6134"/>
    <cellStyle name="Normal 6 2 2 3 3 2 2 2" xfId="12666"/>
    <cellStyle name="Normal 6 2 2 3 3 2 2 2 2" xfId="32139"/>
    <cellStyle name="Normal 6 2 2 3 3 2 2 2 3" xfId="45119"/>
    <cellStyle name="Normal 6 2 2 3 3 2 2 2 4" xfId="61348"/>
    <cellStyle name="Normal 6 2 2 3 3 2 2 3" xfId="19159"/>
    <cellStyle name="Normal 6 2 2 3 3 2 2 4" xfId="25649"/>
    <cellStyle name="Normal 6 2 2 3 3 2 2 5" xfId="38629"/>
    <cellStyle name="Normal 6 2 2 3 3 2 2 6" xfId="54858"/>
    <cellStyle name="Normal 6 2 2 3 3 2 3" xfId="9421"/>
    <cellStyle name="Normal 6 2 2 3 3 2 3 2" xfId="28894"/>
    <cellStyle name="Normal 6 2 2 3 3 2 3 3" xfId="41874"/>
    <cellStyle name="Normal 6 2 2 3 3 2 3 4" xfId="58103"/>
    <cellStyle name="Normal 6 2 2 3 3 2 4" xfId="15914"/>
    <cellStyle name="Normal 6 2 2 3 3 2 4 2" xfId="51613"/>
    <cellStyle name="Normal 6 2 2 3 3 2 5" xfId="22404"/>
    <cellStyle name="Normal 6 2 2 3 3 2 6" xfId="35384"/>
    <cellStyle name="Normal 6 2 2 3 3 2 7" xfId="48367"/>
    <cellStyle name="Normal 6 2 2 3 3 3" xfId="4511"/>
    <cellStyle name="Normal 6 2 2 3 3 3 2" xfId="11043"/>
    <cellStyle name="Normal 6 2 2 3 3 3 2 2" xfId="30516"/>
    <cellStyle name="Normal 6 2 2 3 3 3 2 3" xfId="43496"/>
    <cellStyle name="Normal 6 2 2 3 3 3 2 4" xfId="59725"/>
    <cellStyle name="Normal 6 2 2 3 3 3 3" xfId="17536"/>
    <cellStyle name="Normal 6 2 2 3 3 3 4" xfId="24026"/>
    <cellStyle name="Normal 6 2 2 3 3 3 5" xfId="37006"/>
    <cellStyle name="Normal 6 2 2 3 3 3 6" xfId="53235"/>
    <cellStyle name="Normal 6 2 2 3 3 4" xfId="7798"/>
    <cellStyle name="Normal 6 2 2 3 3 4 2" xfId="27271"/>
    <cellStyle name="Normal 6 2 2 3 3 4 3" xfId="40251"/>
    <cellStyle name="Normal 6 2 2 3 3 4 4" xfId="56480"/>
    <cellStyle name="Normal 6 2 2 3 3 5" xfId="14291"/>
    <cellStyle name="Normal 6 2 2 3 3 5 2" xfId="49990"/>
    <cellStyle name="Normal 6 2 2 3 3 6" xfId="20781"/>
    <cellStyle name="Normal 6 2 2 3 3 7" xfId="33761"/>
    <cellStyle name="Normal 6 2 2 3 3 8" xfId="46744"/>
    <cellStyle name="Normal 6 2 2 3 4" xfId="2414"/>
    <cellStyle name="Normal 6 2 2 3 4 2" xfId="5659"/>
    <cellStyle name="Normal 6 2 2 3 4 2 2" xfId="12191"/>
    <cellStyle name="Normal 6 2 2 3 4 2 2 2" xfId="31664"/>
    <cellStyle name="Normal 6 2 2 3 4 2 2 3" xfId="44644"/>
    <cellStyle name="Normal 6 2 2 3 4 2 2 4" xfId="60873"/>
    <cellStyle name="Normal 6 2 2 3 4 2 3" xfId="18684"/>
    <cellStyle name="Normal 6 2 2 3 4 2 4" xfId="25174"/>
    <cellStyle name="Normal 6 2 2 3 4 2 5" xfId="38154"/>
    <cellStyle name="Normal 6 2 2 3 4 2 6" xfId="54383"/>
    <cellStyle name="Normal 6 2 2 3 4 3" xfId="8946"/>
    <cellStyle name="Normal 6 2 2 3 4 3 2" xfId="28419"/>
    <cellStyle name="Normal 6 2 2 3 4 3 3" xfId="41399"/>
    <cellStyle name="Normal 6 2 2 3 4 3 4" xfId="57628"/>
    <cellStyle name="Normal 6 2 2 3 4 4" xfId="15439"/>
    <cellStyle name="Normal 6 2 2 3 4 4 2" xfId="51138"/>
    <cellStyle name="Normal 6 2 2 3 4 5" xfId="21929"/>
    <cellStyle name="Normal 6 2 2 3 4 6" xfId="34909"/>
    <cellStyle name="Normal 6 2 2 3 4 7" xfId="47892"/>
    <cellStyle name="Normal 6 2 2 3 5" xfId="4036"/>
    <cellStyle name="Normal 6 2 2 3 5 2" xfId="10568"/>
    <cellStyle name="Normal 6 2 2 3 5 2 2" xfId="30041"/>
    <cellStyle name="Normal 6 2 2 3 5 2 3" xfId="43021"/>
    <cellStyle name="Normal 6 2 2 3 5 2 4" xfId="59250"/>
    <cellStyle name="Normal 6 2 2 3 5 3" xfId="17061"/>
    <cellStyle name="Normal 6 2 2 3 5 4" xfId="23551"/>
    <cellStyle name="Normal 6 2 2 3 5 5" xfId="36531"/>
    <cellStyle name="Normal 6 2 2 3 5 6" xfId="52760"/>
    <cellStyle name="Normal 6 2 2 3 6" xfId="7323"/>
    <cellStyle name="Normal 6 2 2 3 6 2" xfId="26796"/>
    <cellStyle name="Normal 6 2 2 3 6 3" xfId="39776"/>
    <cellStyle name="Normal 6 2 2 3 6 4" xfId="56005"/>
    <cellStyle name="Normal 6 2 2 3 7" xfId="13816"/>
    <cellStyle name="Normal 6 2 2 3 7 2" xfId="49515"/>
    <cellStyle name="Normal 6 2 2 3 8" xfId="20306"/>
    <cellStyle name="Normal 6 2 2 3 9" xfId="33286"/>
    <cellStyle name="Normal 6 2 2 4" xfId="516"/>
    <cellStyle name="Normal 6 2 2 4 2" xfId="1465"/>
    <cellStyle name="Normal 6 2 2 4 2 2" xfId="3132"/>
    <cellStyle name="Normal 6 2 2 4 2 2 2" xfId="6377"/>
    <cellStyle name="Normal 6 2 2 4 2 2 2 2" xfId="12909"/>
    <cellStyle name="Normal 6 2 2 4 2 2 2 2 2" xfId="32382"/>
    <cellStyle name="Normal 6 2 2 4 2 2 2 2 3" xfId="45362"/>
    <cellStyle name="Normal 6 2 2 4 2 2 2 2 4" xfId="61591"/>
    <cellStyle name="Normal 6 2 2 4 2 2 2 3" xfId="19402"/>
    <cellStyle name="Normal 6 2 2 4 2 2 2 4" xfId="25892"/>
    <cellStyle name="Normal 6 2 2 4 2 2 2 5" xfId="38872"/>
    <cellStyle name="Normal 6 2 2 4 2 2 2 6" xfId="55101"/>
    <cellStyle name="Normal 6 2 2 4 2 2 3" xfId="9664"/>
    <cellStyle name="Normal 6 2 2 4 2 2 3 2" xfId="29137"/>
    <cellStyle name="Normal 6 2 2 4 2 2 3 3" xfId="42117"/>
    <cellStyle name="Normal 6 2 2 4 2 2 3 4" xfId="58346"/>
    <cellStyle name="Normal 6 2 2 4 2 2 4" xfId="16157"/>
    <cellStyle name="Normal 6 2 2 4 2 2 4 2" xfId="51856"/>
    <cellStyle name="Normal 6 2 2 4 2 2 5" xfId="22647"/>
    <cellStyle name="Normal 6 2 2 4 2 2 6" xfId="35627"/>
    <cellStyle name="Normal 6 2 2 4 2 2 7" xfId="48610"/>
    <cellStyle name="Normal 6 2 2 4 2 3" xfId="4754"/>
    <cellStyle name="Normal 6 2 2 4 2 3 2" xfId="11286"/>
    <cellStyle name="Normal 6 2 2 4 2 3 2 2" xfId="30759"/>
    <cellStyle name="Normal 6 2 2 4 2 3 2 3" xfId="43739"/>
    <cellStyle name="Normal 6 2 2 4 2 3 2 4" xfId="59968"/>
    <cellStyle name="Normal 6 2 2 4 2 3 3" xfId="17779"/>
    <cellStyle name="Normal 6 2 2 4 2 3 4" xfId="24269"/>
    <cellStyle name="Normal 6 2 2 4 2 3 5" xfId="37249"/>
    <cellStyle name="Normal 6 2 2 4 2 3 6" xfId="53478"/>
    <cellStyle name="Normal 6 2 2 4 2 4" xfId="8041"/>
    <cellStyle name="Normal 6 2 2 4 2 4 2" xfId="27514"/>
    <cellStyle name="Normal 6 2 2 4 2 4 3" xfId="40494"/>
    <cellStyle name="Normal 6 2 2 4 2 4 4" xfId="56723"/>
    <cellStyle name="Normal 6 2 2 4 2 5" xfId="14534"/>
    <cellStyle name="Normal 6 2 2 4 2 5 2" xfId="50233"/>
    <cellStyle name="Normal 6 2 2 4 2 6" xfId="21024"/>
    <cellStyle name="Normal 6 2 2 4 2 7" xfId="34004"/>
    <cellStyle name="Normal 6 2 2 4 2 8" xfId="46987"/>
    <cellStyle name="Normal 6 2 2 4 3" xfId="2184"/>
    <cellStyle name="Normal 6 2 2 4 3 2" xfId="5429"/>
    <cellStyle name="Normal 6 2 2 4 3 2 2" xfId="11961"/>
    <cellStyle name="Normal 6 2 2 4 3 2 2 2" xfId="31434"/>
    <cellStyle name="Normal 6 2 2 4 3 2 2 3" xfId="44414"/>
    <cellStyle name="Normal 6 2 2 4 3 2 2 4" xfId="60643"/>
    <cellStyle name="Normal 6 2 2 4 3 2 3" xfId="18454"/>
    <cellStyle name="Normal 6 2 2 4 3 2 4" xfId="24944"/>
    <cellStyle name="Normal 6 2 2 4 3 2 5" xfId="37924"/>
    <cellStyle name="Normal 6 2 2 4 3 2 6" xfId="54153"/>
    <cellStyle name="Normal 6 2 2 4 3 3" xfId="8716"/>
    <cellStyle name="Normal 6 2 2 4 3 3 2" xfId="28189"/>
    <cellStyle name="Normal 6 2 2 4 3 3 3" xfId="41169"/>
    <cellStyle name="Normal 6 2 2 4 3 3 4" xfId="57398"/>
    <cellStyle name="Normal 6 2 2 4 3 4" xfId="15209"/>
    <cellStyle name="Normal 6 2 2 4 3 4 2" xfId="50908"/>
    <cellStyle name="Normal 6 2 2 4 3 5" xfId="21699"/>
    <cellStyle name="Normal 6 2 2 4 3 6" xfId="34679"/>
    <cellStyle name="Normal 6 2 2 4 3 7" xfId="47662"/>
    <cellStyle name="Normal 6 2 2 4 4" xfId="3806"/>
    <cellStyle name="Normal 6 2 2 4 4 2" xfId="10338"/>
    <cellStyle name="Normal 6 2 2 4 4 2 2" xfId="29811"/>
    <cellStyle name="Normal 6 2 2 4 4 2 3" xfId="42791"/>
    <cellStyle name="Normal 6 2 2 4 4 2 4" xfId="59020"/>
    <cellStyle name="Normal 6 2 2 4 4 3" xfId="16831"/>
    <cellStyle name="Normal 6 2 2 4 4 4" xfId="23321"/>
    <cellStyle name="Normal 6 2 2 4 4 5" xfId="36301"/>
    <cellStyle name="Normal 6 2 2 4 4 6" xfId="52530"/>
    <cellStyle name="Normal 6 2 2 4 5" xfId="7093"/>
    <cellStyle name="Normal 6 2 2 4 5 2" xfId="26566"/>
    <cellStyle name="Normal 6 2 2 4 5 3" xfId="39546"/>
    <cellStyle name="Normal 6 2 2 4 5 4" xfId="55775"/>
    <cellStyle name="Normal 6 2 2 4 6" xfId="13586"/>
    <cellStyle name="Normal 6 2 2 4 6 2" xfId="49285"/>
    <cellStyle name="Normal 6 2 2 4 7" xfId="20076"/>
    <cellStyle name="Normal 6 2 2 4 8" xfId="33056"/>
    <cellStyle name="Normal 6 2 2 4 9" xfId="46039"/>
    <cellStyle name="Normal 6 2 2 5" xfId="1002"/>
    <cellStyle name="Normal 6 2 2 5 2" xfId="2669"/>
    <cellStyle name="Normal 6 2 2 5 2 2" xfId="5914"/>
    <cellStyle name="Normal 6 2 2 5 2 2 2" xfId="12446"/>
    <cellStyle name="Normal 6 2 2 5 2 2 2 2" xfId="31919"/>
    <cellStyle name="Normal 6 2 2 5 2 2 2 3" xfId="44899"/>
    <cellStyle name="Normal 6 2 2 5 2 2 2 4" xfId="61128"/>
    <cellStyle name="Normal 6 2 2 5 2 2 3" xfId="18939"/>
    <cellStyle name="Normal 6 2 2 5 2 2 4" xfId="25429"/>
    <cellStyle name="Normal 6 2 2 5 2 2 5" xfId="38409"/>
    <cellStyle name="Normal 6 2 2 5 2 2 6" xfId="54638"/>
    <cellStyle name="Normal 6 2 2 5 2 3" xfId="9201"/>
    <cellStyle name="Normal 6 2 2 5 2 3 2" xfId="28674"/>
    <cellStyle name="Normal 6 2 2 5 2 3 3" xfId="41654"/>
    <cellStyle name="Normal 6 2 2 5 2 3 4" xfId="57883"/>
    <cellStyle name="Normal 6 2 2 5 2 4" xfId="15694"/>
    <cellStyle name="Normal 6 2 2 5 2 4 2" xfId="51393"/>
    <cellStyle name="Normal 6 2 2 5 2 5" xfId="22184"/>
    <cellStyle name="Normal 6 2 2 5 2 6" xfId="35164"/>
    <cellStyle name="Normal 6 2 2 5 2 7" xfId="48147"/>
    <cellStyle name="Normal 6 2 2 5 3" xfId="4291"/>
    <cellStyle name="Normal 6 2 2 5 3 2" xfId="10823"/>
    <cellStyle name="Normal 6 2 2 5 3 2 2" xfId="30296"/>
    <cellStyle name="Normal 6 2 2 5 3 2 3" xfId="43276"/>
    <cellStyle name="Normal 6 2 2 5 3 2 4" xfId="59505"/>
    <cellStyle name="Normal 6 2 2 5 3 3" xfId="17316"/>
    <cellStyle name="Normal 6 2 2 5 3 4" xfId="23806"/>
    <cellStyle name="Normal 6 2 2 5 3 5" xfId="36786"/>
    <cellStyle name="Normal 6 2 2 5 3 6" xfId="53015"/>
    <cellStyle name="Normal 6 2 2 5 4" xfId="7578"/>
    <cellStyle name="Normal 6 2 2 5 4 2" xfId="27051"/>
    <cellStyle name="Normal 6 2 2 5 4 3" xfId="40031"/>
    <cellStyle name="Normal 6 2 2 5 4 4" xfId="56260"/>
    <cellStyle name="Normal 6 2 2 5 5" xfId="14071"/>
    <cellStyle name="Normal 6 2 2 5 5 2" xfId="49770"/>
    <cellStyle name="Normal 6 2 2 5 6" xfId="20561"/>
    <cellStyle name="Normal 6 2 2 5 7" xfId="33541"/>
    <cellStyle name="Normal 6 2 2 5 8" xfId="46524"/>
    <cellStyle name="Normal 6 2 2 6" xfId="1955"/>
    <cellStyle name="Normal 6 2 2 6 2" xfId="5200"/>
    <cellStyle name="Normal 6 2 2 6 2 2" xfId="11732"/>
    <cellStyle name="Normal 6 2 2 6 2 2 2" xfId="31205"/>
    <cellStyle name="Normal 6 2 2 6 2 2 3" xfId="44185"/>
    <cellStyle name="Normal 6 2 2 6 2 2 4" xfId="60414"/>
    <cellStyle name="Normal 6 2 2 6 2 3" xfId="18225"/>
    <cellStyle name="Normal 6 2 2 6 2 4" xfId="24715"/>
    <cellStyle name="Normal 6 2 2 6 2 5" xfId="37695"/>
    <cellStyle name="Normal 6 2 2 6 2 6" xfId="53924"/>
    <cellStyle name="Normal 6 2 2 6 3" xfId="8487"/>
    <cellStyle name="Normal 6 2 2 6 3 2" xfId="27960"/>
    <cellStyle name="Normal 6 2 2 6 3 3" xfId="40940"/>
    <cellStyle name="Normal 6 2 2 6 3 4" xfId="57169"/>
    <cellStyle name="Normal 6 2 2 6 4" xfId="14980"/>
    <cellStyle name="Normal 6 2 2 6 4 2" xfId="50679"/>
    <cellStyle name="Normal 6 2 2 6 5" xfId="21470"/>
    <cellStyle name="Normal 6 2 2 6 6" xfId="34450"/>
    <cellStyle name="Normal 6 2 2 6 7" xfId="47433"/>
    <cellStyle name="Normal 6 2 2 7" xfId="3576"/>
    <cellStyle name="Normal 6 2 2 7 2" xfId="10108"/>
    <cellStyle name="Normal 6 2 2 7 2 2" xfId="29581"/>
    <cellStyle name="Normal 6 2 2 7 2 3" xfId="42561"/>
    <cellStyle name="Normal 6 2 2 7 2 4" xfId="58790"/>
    <cellStyle name="Normal 6 2 2 7 3" xfId="16601"/>
    <cellStyle name="Normal 6 2 2 7 4" xfId="23091"/>
    <cellStyle name="Normal 6 2 2 7 5" xfId="36071"/>
    <cellStyle name="Normal 6 2 2 7 6" xfId="52300"/>
    <cellStyle name="Normal 6 2 2 8" xfId="6863"/>
    <cellStyle name="Normal 6 2 2 8 2" xfId="26336"/>
    <cellStyle name="Normal 6 2 2 8 3" xfId="39316"/>
    <cellStyle name="Normal 6 2 2 8 4" xfId="55545"/>
    <cellStyle name="Normal 6 2 2 9" xfId="13356"/>
    <cellStyle name="Normal 6 2 2 9 2" xfId="49055"/>
    <cellStyle name="Normal 6 2 3" xfId="238"/>
    <cellStyle name="Normal 6 2 3 10" xfId="32782"/>
    <cellStyle name="Normal 6 2 3 11" xfId="45765"/>
    <cellStyle name="Normal 6 2 3 12" xfId="62003"/>
    <cellStyle name="Normal 6 2 3 2" xfId="702"/>
    <cellStyle name="Normal 6 2 3 2 10" xfId="46225"/>
    <cellStyle name="Normal 6 2 3 2 2" xfId="1641"/>
    <cellStyle name="Normal 6 2 3 2 2 2" xfId="3308"/>
    <cellStyle name="Normal 6 2 3 2 2 2 2" xfId="6553"/>
    <cellStyle name="Normal 6 2 3 2 2 2 2 2" xfId="13085"/>
    <cellStyle name="Normal 6 2 3 2 2 2 2 2 2" xfId="32558"/>
    <cellStyle name="Normal 6 2 3 2 2 2 2 2 3" xfId="45538"/>
    <cellStyle name="Normal 6 2 3 2 2 2 2 2 4" xfId="61767"/>
    <cellStyle name="Normal 6 2 3 2 2 2 2 3" xfId="19578"/>
    <cellStyle name="Normal 6 2 3 2 2 2 2 4" xfId="26068"/>
    <cellStyle name="Normal 6 2 3 2 2 2 2 5" xfId="39048"/>
    <cellStyle name="Normal 6 2 3 2 2 2 2 6" xfId="55277"/>
    <cellStyle name="Normal 6 2 3 2 2 2 3" xfId="9840"/>
    <cellStyle name="Normal 6 2 3 2 2 2 3 2" xfId="29313"/>
    <cellStyle name="Normal 6 2 3 2 2 2 3 3" xfId="42293"/>
    <cellStyle name="Normal 6 2 3 2 2 2 3 4" xfId="58522"/>
    <cellStyle name="Normal 6 2 3 2 2 2 4" xfId="16333"/>
    <cellStyle name="Normal 6 2 3 2 2 2 4 2" xfId="52032"/>
    <cellStyle name="Normal 6 2 3 2 2 2 5" xfId="22823"/>
    <cellStyle name="Normal 6 2 3 2 2 2 6" xfId="35803"/>
    <cellStyle name="Normal 6 2 3 2 2 2 7" xfId="48786"/>
    <cellStyle name="Normal 6 2 3 2 2 3" xfId="4930"/>
    <cellStyle name="Normal 6 2 3 2 2 3 2" xfId="11462"/>
    <cellStyle name="Normal 6 2 3 2 2 3 2 2" xfId="30935"/>
    <cellStyle name="Normal 6 2 3 2 2 3 2 3" xfId="43915"/>
    <cellStyle name="Normal 6 2 3 2 2 3 2 4" xfId="60144"/>
    <cellStyle name="Normal 6 2 3 2 2 3 3" xfId="17955"/>
    <cellStyle name="Normal 6 2 3 2 2 3 4" xfId="24445"/>
    <cellStyle name="Normal 6 2 3 2 2 3 5" xfId="37425"/>
    <cellStyle name="Normal 6 2 3 2 2 3 6" xfId="53654"/>
    <cellStyle name="Normal 6 2 3 2 2 4" xfId="8217"/>
    <cellStyle name="Normal 6 2 3 2 2 4 2" xfId="27690"/>
    <cellStyle name="Normal 6 2 3 2 2 4 3" xfId="40670"/>
    <cellStyle name="Normal 6 2 3 2 2 4 4" xfId="56899"/>
    <cellStyle name="Normal 6 2 3 2 2 5" xfId="14710"/>
    <cellStyle name="Normal 6 2 3 2 2 5 2" xfId="50409"/>
    <cellStyle name="Normal 6 2 3 2 2 6" xfId="21200"/>
    <cellStyle name="Normal 6 2 3 2 2 7" xfId="34180"/>
    <cellStyle name="Normal 6 2 3 2 2 8" xfId="47163"/>
    <cellStyle name="Normal 6 2 3 2 3" xfId="1178"/>
    <cellStyle name="Normal 6 2 3 2 3 2" xfId="2845"/>
    <cellStyle name="Normal 6 2 3 2 3 2 2" xfId="6090"/>
    <cellStyle name="Normal 6 2 3 2 3 2 2 2" xfId="12622"/>
    <cellStyle name="Normal 6 2 3 2 3 2 2 2 2" xfId="32095"/>
    <cellStyle name="Normal 6 2 3 2 3 2 2 2 3" xfId="45075"/>
    <cellStyle name="Normal 6 2 3 2 3 2 2 2 4" xfId="61304"/>
    <cellStyle name="Normal 6 2 3 2 3 2 2 3" xfId="19115"/>
    <cellStyle name="Normal 6 2 3 2 3 2 2 4" xfId="25605"/>
    <cellStyle name="Normal 6 2 3 2 3 2 2 5" xfId="38585"/>
    <cellStyle name="Normal 6 2 3 2 3 2 2 6" xfId="54814"/>
    <cellStyle name="Normal 6 2 3 2 3 2 3" xfId="9377"/>
    <cellStyle name="Normal 6 2 3 2 3 2 3 2" xfId="28850"/>
    <cellStyle name="Normal 6 2 3 2 3 2 3 3" xfId="41830"/>
    <cellStyle name="Normal 6 2 3 2 3 2 3 4" xfId="58059"/>
    <cellStyle name="Normal 6 2 3 2 3 2 4" xfId="15870"/>
    <cellStyle name="Normal 6 2 3 2 3 2 4 2" xfId="51569"/>
    <cellStyle name="Normal 6 2 3 2 3 2 5" xfId="22360"/>
    <cellStyle name="Normal 6 2 3 2 3 2 6" xfId="35340"/>
    <cellStyle name="Normal 6 2 3 2 3 2 7" xfId="48323"/>
    <cellStyle name="Normal 6 2 3 2 3 3" xfId="4467"/>
    <cellStyle name="Normal 6 2 3 2 3 3 2" xfId="10999"/>
    <cellStyle name="Normal 6 2 3 2 3 3 2 2" xfId="30472"/>
    <cellStyle name="Normal 6 2 3 2 3 3 2 3" xfId="43452"/>
    <cellStyle name="Normal 6 2 3 2 3 3 2 4" xfId="59681"/>
    <cellStyle name="Normal 6 2 3 2 3 3 3" xfId="17492"/>
    <cellStyle name="Normal 6 2 3 2 3 3 4" xfId="23982"/>
    <cellStyle name="Normal 6 2 3 2 3 3 5" xfId="36962"/>
    <cellStyle name="Normal 6 2 3 2 3 3 6" xfId="53191"/>
    <cellStyle name="Normal 6 2 3 2 3 4" xfId="7754"/>
    <cellStyle name="Normal 6 2 3 2 3 4 2" xfId="27227"/>
    <cellStyle name="Normal 6 2 3 2 3 4 3" xfId="40207"/>
    <cellStyle name="Normal 6 2 3 2 3 4 4" xfId="56436"/>
    <cellStyle name="Normal 6 2 3 2 3 5" xfId="14247"/>
    <cellStyle name="Normal 6 2 3 2 3 5 2" xfId="49946"/>
    <cellStyle name="Normal 6 2 3 2 3 6" xfId="20737"/>
    <cellStyle name="Normal 6 2 3 2 3 7" xfId="33717"/>
    <cellStyle name="Normal 6 2 3 2 3 8" xfId="46700"/>
    <cellStyle name="Normal 6 2 3 2 4" xfId="2370"/>
    <cellStyle name="Normal 6 2 3 2 4 2" xfId="5615"/>
    <cellStyle name="Normal 6 2 3 2 4 2 2" xfId="12147"/>
    <cellStyle name="Normal 6 2 3 2 4 2 2 2" xfId="31620"/>
    <cellStyle name="Normal 6 2 3 2 4 2 2 3" xfId="44600"/>
    <cellStyle name="Normal 6 2 3 2 4 2 2 4" xfId="60829"/>
    <cellStyle name="Normal 6 2 3 2 4 2 3" xfId="18640"/>
    <cellStyle name="Normal 6 2 3 2 4 2 4" xfId="25130"/>
    <cellStyle name="Normal 6 2 3 2 4 2 5" xfId="38110"/>
    <cellStyle name="Normal 6 2 3 2 4 2 6" xfId="54339"/>
    <cellStyle name="Normal 6 2 3 2 4 3" xfId="8902"/>
    <cellStyle name="Normal 6 2 3 2 4 3 2" xfId="28375"/>
    <cellStyle name="Normal 6 2 3 2 4 3 3" xfId="41355"/>
    <cellStyle name="Normal 6 2 3 2 4 3 4" xfId="57584"/>
    <cellStyle name="Normal 6 2 3 2 4 4" xfId="15395"/>
    <cellStyle name="Normal 6 2 3 2 4 4 2" xfId="51094"/>
    <cellStyle name="Normal 6 2 3 2 4 5" xfId="21885"/>
    <cellStyle name="Normal 6 2 3 2 4 6" xfId="34865"/>
    <cellStyle name="Normal 6 2 3 2 4 7" xfId="47848"/>
    <cellStyle name="Normal 6 2 3 2 5" xfId="3992"/>
    <cellStyle name="Normal 6 2 3 2 5 2" xfId="10524"/>
    <cellStyle name="Normal 6 2 3 2 5 2 2" xfId="29997"/>
    <cellStyle name="Normal 6 2 3 2 5 2 3" xfId="42977"/>
    <cellStyle name="Normal 6 2 3 2 5 2 4" xfId="59206"/>
    <cellStyle name="Normal 6 2 3 2 5 3" xfId="17017"/>
    <cellStyle name="Normal 6 2 3 2 5 4" xfId="23507"/>
    <cellStyle name="Normal 6 2 3 2 5 5" xfId="36487"/>
    <cellStyle name="Normal 6 2 3 2 5 6" xfId="52716"/>
    <cellStyle name="Normal 6 2 3 2 6" xfId="7279"/>
    <cellStyle name="Normal 6 2 3 2 6 2" xfId="26752"/>
    <cellStyle name="Normal 6 2 3 2 6 3" xfId="39732"/>
    <cellStyle name="Normal 6 2 3 2 6 4" xfId="55961"/>
    <cellStyle name="Normal 6 2 3 2 7" xfId="13772"/>
    <cellStyle name="Normal 6 2 3 2 7 2" xfId="49471"/>
    <cellStyle name="Normal 6 2 3 2 8" xfId="20262"/>
    <cellStyle name="Normal 6 2 3 2 9" xfId="33242"/>
    <cellStyle name="Normal 6 2 3 3" xfId="472"/>
    <cellStyle name="Normal 6 2 3 3 2" xfId="1421"/>
    <cellStyle name="Normal 6 2 3 3 2 2" xfId="3088"/>
    <cellStyle name="Normal 6 2 3 3 2 2 2" xfId="6333"/>
    <cellStyle name="Normal 6 2 3 3 2 2 2 2" xfId="12865"/>
    <cellStyle name="Normal 6 2 3 3 2 2 2 2 2" xfId="32338"/>
    <cellStyle name="Normal 6 2 3 3 2 2 2 2 3" xfId="45318"/>
    <cellStyle name="Normal 6 2 3 3 2 2 2 2 4" xfId="61547"/>
    <cellStyle name="Normal 6 2 3 3 2 2 2 3" xfId="19358"/>
    <cellStyle name="Normal 6 2 3 3 2 2 2 4" xfId="25848"/>
    <cellStyle name="Normal 6 2 3 3 2 2 2 5" xfId="38828"/>
    <cellStyle name="Normal 6 2 3 3 2 2 2 6" xfId="55057"/>
    <cellStyle name="Normal 6 2 3 3 2 2 3" xfId="9620"/>
    <cellStyle name="Normal 6 2 3 3 2 2 3 2" xfId="29093"/>
    <cellStyle name="Normal 6 2 3 3 2 2 3 3" xfId="42073"/>
    <cellStyle name="Normal 6 2 3 3 2 2 3 4" xfId="58302"/>
    <cellStyle name="Normal 6 2 3 3 2 2 4" xfId="16113"/>
    <cellStyle name="Normal 6 2 3 3 2 2 4 2" xfId="51812"/>
    <cellStyle name="Normal 6 2 3 3 2 2 5" xfId="22603"/>
    <cellStyle name="Normal 6 2 3 3 2 2 6" xfId="35583"/>
    <cellStyle name="Normal 6 2 3 3 2 2 7" xfId="48566"/>
    <cellStyle name="Normal 6 2 3 3 2 3" xfId="4710"/>
    <cellStyle name="Normal 6 2 3 3 2 3 2" xfId="11242"/>
    <cellStyle name="Normal 6 2 3 3 2 3 2 2" xfId="30715"/>
    <cellStyle name="Normal 6 2 3 3 2 3 2 3" xfId="43695"/>
    <cellStyle name="Normal 6 2 3 3 2 3 2 4" xfId="59924"/>
    <cellStyle name="Normal 6 2 3 3 2 3 3" xfId="17735"/>
    <cellStyle name="Normal 6 2 3 3 2 3 4" xfId="24225"/>
    <cellStyle name="Normal 6 2 3 3 2 3 5" xfId="37205"/>
    <cellStyle name="Normal 6 2 3 3 2 3 6" xfId="53434"/>
    <cellStyle name="Normal 6 2 3 3 2 4" xfId="7997"/>
    <cellStyle name="Normal 6 2 3 3 2 4 2" xfId="27470"/>
    <cellStyle name="Normal 6 2 3 3 2 4 3" xfId="40450"/>
    <cellStyle name="Normal 6 2 3 3 2 4 4" xfId="56679"/>
    <cellStyle name="Normal 6 2 3 3 2 5" xfId="14490"/>
    <cellStyle name="Normal 6 2 3 3 2 5 2" xfId="50189"/>
    <cellStyle name="Normal 6 2 3 3 2 6" xfId="20980"/>
    <cellStyle name="Normal 6 2 3 3 2 7" xfId="33960"/>
    <cellStyle name="Normal 6 2 3 3 2 8" xfId="46943"/>
    <cellStyle name="Normal 6 2 3 3 3" xfId="2140"/>
    <cellStyle name="Normal 6 2 3 3 3 2" xfId="5385"/>
    <cellStyle name="Normal 6 2 3 3 3 2 2" xfId="11917"/>
    <cellStyle name="Normal 6 2 3 3 3 2 2 2" xfId="31390"/>
    <cellStyle name="Normal 6 2 3 3 3 2 2 3" xfId="44370"/>
    <cellStyle name="Normal 6 2 3 3 3 2 2 4" xfId="60599"/>
    <cellStyle name="Normal 6 2 3 3 3 2 3" xfId="18410"/>
    <cellStyle name="Normal 6 2 3 3 3 2 4" xfId="24900"/>
    <cellStyle name="Normal 6 2 3 3 3 2 5" xfId="37880"/>
    <cellStyle name="Normal 6 2 3 3 3 2 6" xfId="54109"/>
    <cellStyle name="Normal 6 2 3 3 3 3" xfId="8672"/>
    <cellStyle name="Normal 6 2 3 3 3 3 2" xfId="28145"/>
    <cellStyle name="Normal 6 2 3 3 3 3 3" xfId="41125"/>
    <cellStyle name="Normal 6 2 3 3 3 3 4" xfId="57354"/>
    <cellStyle name="Normal 6 2 3 3 3 4" xfId="15165"/>
    <cellStyle name="Normal 6 2 3 3 3 4 2" xfId="50864"/>
    <cellStyle name="Normal 6 2 3 3 3 5" xfId="21655"/>
    <cellStyle name="Normal 6 2 3 3 3 6" xfId="34635"/>
    <cellStyle name="Normal 6 2 3 3 3 7" xfId="47618"/>
    <cellStyle name="Normal 6 2 3 3 4" xfId="3762"/>
    <cellStyle name="Normal 6 2 3 3 4 2" xfId="10294"/>
    <cellStyle name="Normal 6 2 3 3 4 2 2" xfId="29767"/>
    <cellStyle name="Normal 6 2 3 3 4 2 3" xfId="42747"/>
    <cellStyle name="Normal 6 2 3 3 4 2 4" xfId="58976"/>
    <cellStyle name="Normal 6 2 3 3 4 3" xfId="16787"/>
    <cellStyle name="Normal 6 2 3 3 4 4" xfId="23277"/>
    <cellStyle name="Normal 6 2 3 3 4 5" xfId="36257"/>
    <cellStyle name="Normal 6 2 3 3 4 6" xfId="52486"/>
    <cellStyle name="Normal 6 2 3 3 5" xfId="7049"/>
    <cellStyle name="Normal 6 2 3 3 5 2" xfId="26522"/>
    <cellStyle name="Normal 6 2 3 3 5 3" xfId="39502"/>
    <cellStyle name="Normal 6 2 3 3 5 4" xfId="55731"/>
    <cellStyle name="Normal 6 2 3 3 6" xfId="13542"/>
    <cellStyle name="Normal 6 2 3 3 6 2" xfId="49241"/>
    <cellStyle name="Normal 6 2 3 3 7" xfId="20032"/>
    <cellStyle name="Normal 6 2 3 3 8" xfId="33012"/>
    <cellStyle name="Normal 6 2 3 3 9" xfId="45995"/>
    <cellStyle name="Normal 6 2 3 4" xfId="958"/>
    <cellStyle name="Normal 6 2 3 4 2" xfId="2625"/>
    <cellStyle name="Normal 6 2 3 4 2 2" xfId="5870"/>
    <cellStyle name="Normal 6 2 3 4 2 2 2" xfId="12402"/>
    <cellStyle name="Normal 6 2 3 4 2 2 2 2" xfId="31875"/>
    <cellStyle name="Normal 6 2 3 4 2 2 2 3" xfId="44855"/>
    <cellStyle name="Normal 6 2 3 4 2 2 2 4" xfId="61084"/>
    <cellStyle name="Normal 6 2 3 4 2 2 3" xfId="18895"/>
    <cellStyle name="Normal 6 2 3 4 2 2 4" xfId="25385"/>
    <cellStyle name="Normal 6 2 3 4 2 2 5" xfId="38365"/>
    <cellStyle name="Normal 6 2 3 4 2 2 6" xfId="54594"/>
    <cellStyle name="Normal 6 2 3 4 2 3" xfId="9157"/>
    <cellStyle name="Normal 6 2 3 4 2 3 2" xfId="28630"/>
    <cellStyle name="Normal 6 2 3 4 2 3 3" xfId="41610"/>
    <cellStyle name="Normal 6 2 3 4 2 3 4" xfId="57839"/>
    <cellStyle name="Normal 6 2 3 4 2 4" xfId="15650"/>
    <cellStyle name="Normal 6 2 3 4 2 4 2" xfId="51349"/>
    <cellStyle name="Normal 6 2 3 4 2 5" xfId="22140"/>
    <cellStyle name="Normal 6 2 3 4 2 6" xfId="35120"/>
    <cellStyle name="Normal 6 2 3 4 2 7" xfId="48103"/>
    <cellStyle name="Normal 6 2 3 4 3" xfId="4247"/>
    <cellStyle name="Normal 6 2 3 4 3 2" xfId="10779"/>
    <cellStyle name="Normal 6 2 3 4 3 2 2" xfId="30252"/>
    <cellStyle name="Normal 6 2 3 4 3 2 3" xfId="43232"/>
    <cellStyle name="Normal 6 2 3 4 3 2 4" xfId="59461"/>
    <cellStyle name="Normal 6 2 3 4 3 3" xfId="17272"/>
    <cellStyle name="Normal 6 2 3 4 3 4" xfId="23762"/>
    <cellStyle name="Normal 6 2 3 4 3 5" xfId="36742"/>
    <cellStyle name="Normal 6 2 3 4 3 6" xfId="52971"/>
    <cellStyle name="Normal 6 2 3 4 4" xfId="7534"/>
    <cellStyle name="Normal 6 2 3 4 4 2" xfId="27007"/>
    <cellStyle name="Normal 6 2 3 4 4 3" xfId="39987"/>
    <cellStyle name="Normal 6 2 3 4 4 4" xfId="56216"/>
    <cellStyle name="Normal 6 2 3 4 5" xfId="14027"/>
    <cellStyle name="Normal 6 2 3 4 5 2" xfId="49726"/>
    <cellStyle name="Normal 6 2 3 4 6" xfId="20517"/>
    <cellStyle name="Normal 6 2 3 4 7" xfId="33497"/>
    <cellStyle name="Normal 6 2 3 4 8" xfId="46480"/>
    <cellStyle name="Normal 6 2 3 5" xfId="1911"/>
    <cellStyle name="Normal 6 2 3 5 2" xfId="5156"/>
    <cellStyle name="Normal 6 2 3 5 2 2" xfId="11688"/>
    <cellStyle name="Normal 6 2 3 5 2 2 2" xfId="31161"/>
    <cellStyle name="Normal 6 2 3 5 2 2 3" xfId="44141"/>
    <cellStyle name="Normal 6 2 3 5 2 2 4" xfId="60370"/>
    <cellStyle name="Normal 6 2 3 5 2 3" xfId="18181"/>
    <cellStyle name="Normal 6 2 3 5 2 4" xfId="24671"/>
    <cellStyle name="Normal 6 2 3 5 2 5" xfId="37651"/>
    <cellStyle name="Normal 6 2 3 5 2 6" xfId="53880"/>
    <cellStyle name="Normal 6 2 3 5 3" xfId="8443"/>
    <cellStyle name="Normal 6 2 3 5 3 2" xfId="27916"/>
    <cellStyle name="Normal 6 2 3 5 3 3" xfId="40896"/>
    <cellStyle name="Normal 6 2 3 5 3 4" xfId="57125"/>
    <cellStyle name="Normal 6 2 3 5 4" xfId="14936"/>
    <cellStyle name="Normal 6 2 3 5 4 2" xfId="50635"/>
    <cellStyle name="Normal 6 2 3 5 5" xfId="21426"/>
    <cellStyle name="Normal 6 2 3 5 6" xfId="34406"/>
    <cellStyle name="Normal 6 2 3 5 7" xfId="47389"/>
    <cellStyle name="Normal 6 2 3 6" xfId="3532"/>
    <cellStyle name="Normal 6 2 3 6 2" xfId="10064"/>
    <cellStyle name="Normal 6 2 3 6 2 2" xfId="29537"/>
    <cellStyle name="Normal 6 2 3 6 2 3" xfId="42517"/>
    <cellStyle name="Normal 6 2 3 6 2 4" xfId="58746"/>
    <cellStyle name="Normal 6 2 3 6 3" xfId="16557"/>
    <cellStyle name="Normal 6 2 3 6 4" xfId="23047"/>
    <cellStyle name="Normal 6 2 3 6 5" xfId="36027"/>
    <cellStyle name="Normal 6 2 3 6 6" xfId="52256"/>
    <cellStyle name="Normal 6 2 3 7" xfId="6819"/>
    <cellStyle name="Normal 6 2 3 7 2" xfId="26292"/>
    <cellStyle name="Normal 6 2 3 7 3" xfId="39272"/>
    <cellStyle name="Normal 6 2 3 7 4" xfId="55501"/>
    <cellStyle name="Normal 6 2 3 8" xfId="13312"/>
    <cellStyle name="Normal 6 2 3 8 2" xfId="49011"/>
    <cellStyle name="Normal 6 2 3 9" xfId="19802"/>
    <cellStyle name="Normal 6 2 4" xfId="326"/>
    <cellStyle name="Normal 6 2 4 10" xfId="32870"/>
    <cellStyle name="Normal 6 2 4 11" xfId="45853"/>
    <cellStyle name="Normal 6 2 4 2" xfId="790"/>
    <cellStyle name="Normal 6 2 4 2 10" xfId="46313"/>
    <cellStyle name="Normal 6 2 4 2 2" xfId="1729"/>
    <cellStyle name="Normal 6 2 4 2 2 2" xfId="3396"/>
    <cellStyle name="Normal 6 2 4 2 2 2 2" xfId="6641"/>
    <cellStyle name="Normal 6 2 4 2 2 2 2 2" xfId="13173"/>
    <cellStyle name="Normal 6 2 4 2 2 2 2 2 2" xfId="32646"/>
    <cellStyle name="Normal 6 2 4 2 2 2 2 2 3" xfId="45626"/>
    <cellStyle name="Normal 6 2 4 2 2 2 2 2 4" xfId="61855"/>
    <cellStyle name="Normal 6 2 4 2 2 2 2 3" xfId="19666"/>
    <cellStyle name="Normal 6 2 4 2 2 2 2 4" xfId="26156"/>
    <cellStyle name="Normal 6 2 4 2 2 2 2 5" xfId="39136"/>
    <cellStyle name="Normal 6 2 4 2 2 2 2 6" xfId="55365"/>
    <cellStyle name="Normal 6 2 4 2 2 2 3" xfId="9928"/>
    <cellStyle name="Normal 6 2 4 2 2 2 3 2" xfId="29401"/>
    <cellStyle name="Normal 6 2 4 2 2 2 3 3" xfId="42381"/>
    <cellStyle name="Normal 6 2 4 2 2 2 3 4" xfId="58610"/>
    <cellStyle name="Normal 6 2 4 2 2 2 4" xfId="16421"/>
    <cellStyle name="Normal 6 2 4 2 2 2 4 2" xfId="52120"/>
    <cellStyle name="Normal 6 2 4 2 2 2 5" xfId="22911"/>
    <cellStyle name="Normal 6 2 4 2 2 2 6" xfId="35891"/>
    <cellStyle name="Normal 6 2 4 2 2 2 7" xfId="48874"/>
    <cellStyle name="Normal 6 2 4 2 2 3" xfId="5018"/>
    <cellStyle name="Normal 6 2 4 2 2 3 2" xfId="11550"/>
    <cellStyle name="Normal 6 2 4 2 2 3 2 2" xfId="31023"/>
    <cellStyle name="Normal 6 2 4 2 2 3 2 3" xfId="44003"/>
    <cellStyle name="Normal 6 2 4 2 2 3 2 4" xfId="60232"/>
    <cellStyle name="Normal 6 2 4 2 2 3 3" xfId="18043"/>
    <cellStyle name="Normal 6 2 4 2 2 3 4" xfId="24533"/>
    <cellStyle name="Normal 6 2 4 2 2 3 5" xfId="37513"/>
    <cellStyle name="Normal 6 2 4 2 2 3 6" xfId="53742"/>
    <cellStyle name="Normal 6 2 4 2 2 4" xfId="8305"/>
    <cellStyle name="Normal 6 2 4 2 2 4 2" xfId="27778"/>
    <cellStyle name="Normal 6 2 4 2 2 4 3" xfId="40758"/>
    <cellStyle name="Normal 6 2 4 2 2 4 4" xfId="56987"/>
    <cellStyle name="Normal 6 2 4 2 2 5" xfId="14798"/>
    <cellStyle name="Normal 6 2 4 2 2 5 2" xfId="50497"/>
    <cellStyle name="Normal 6 2 4 2 2 6" xfId="21288"/>
    <cellStyle name="Normal 6 2 4 2 2 7" xfId="34268"/>
    <cellStyle name="Normal 6 2 4 2 2 8" xfId="47251"/>
    <cellStyle name="Normal 6 2 4 2 3" xfId="1266"/>
    <cellStyle name="Normal 6 2 4 2 3 2" xfId="2933"/>
    <cellStyle name="Normal 6 2 4 2 3 2 2" xfId="6178"/>
    <cellStyle name="Normal 6 2 4 2 3 2 2 2" xfId="12710"/>
    <cellStyle name="Normal 6 2 4 2 3 2 2 2 2" xfId="32183"/>
    <cellStyle name="Normal 6 2 4 2 3 2 2 2 3" xfId="45163"/>
    <cellStyle name="Normal 6 2 4 2 3 2 2 2 4" xfId="61392"/>
    <cellStyle name="Normal 6 2 4 2 3 2 2 3" xfId="19203"/>
    <cellStyle name="Normal 6 2 4 2 3 2 2 4" xfId="25693"/>
    <cellStyle name="Normal 6 2 4 2 3 2 2 5" xfId="38673"/>
    <cellStyle name="Normal 6 2 4 2 3 2 2 6" xfId="54902"/>
    <cellStyle name="Normal 6 2 4 2 3 2 3" xfId="9465"/>
    <cellStyle name="Normal 6 2 4 2 3 2 3 2" xfId="28938"/>
    <cellStyle name="Normal 6 2 4 2 3 2 3 3" xfId="41918"/>
    <cellStyle name="Normal 6 2 4 2 3 2 3 4" xfId="58147"/>
    <cellStyle name="Normal 6 2 4 2 3 2 4" xfId="15958"/>
    <cellStyle name="Normal 6 2 4 2 3 2 4 2" xfId="51657"/>
    <cellStyle name="Normal 6 2 4 2 3 2 5" xfId="22448"/>
    <cellStyle name="Normal 6 2 4 2 3 2 6" xfId="35428"/>
    <cellStyle name="Normal 6 2 4 2 3 2 7" xfId="48411"/>
    <cellStyle name="Normal 6 2 4 2 3 3" xfId="4555"/>
    <cellStyle name="Normal 6 2 4 2 3 3 2" xfId="11087"/>
    <cellStyle name="Normal 6 2 4 2 3 3 2 2" xfId="30560"/>
    <cellStyle name="Normal 6 2 4 2 3 3 2 3" xfId="43540"/>
    <cellStyle name="Normal 6 2 4 2 3 3 2 4" xfId="59769"/>
    <cellStyle name="Normal 6 2 4 2 3 3 3" xfId="17580"/>
    <cellStyle name="Normal 6 2 4 2 3 3 4" xfId="24070"/>
    <cellStyle name="Normal 6 2 4 2 3 3 5" xfId="37050"/>
    <cellStyle name="Normal 6 2 4 2 3 3 6" xfId="53279"/>
    <cellStyle name="Normal 6 2 4 2 3 4" xfId="7842"/>
    <cellStyle name="Normal 6 2 4 2 3 4 2" xfId="27315"/>
    <cellStyle name="Normal 6 2 4 2 3 4 3" xfId="40295"/>
    <cellStyle name="Normal 6 2 4 2 3 4 4" xfId="56524"/>
    <cellStyle name="Normal 6 2 4 2 3 5" xfId="14335"/>
    <cellStyle name="Normal 6 2 4 2 3 5 2" xfId="50034"/>
    <cellStyle name="Normal 6 2 4 2 3 6" xfId="20825"/>
    <cellStyle name="Normal 6 2 4 2 3 7" xfId="33805"/>
    <cellStyle name="Normal 6 2 4 2 3 8" xfId="46788"/>
    <cellStyle name="Normal 6 2 4 2 4" xfId="2458"/>
    <cellStyle name="Normal 6 2 4 2 4 2" xfId="5703"/>
    <cellStyle name="Normal 6 2 4 2 4 2 2" xfId="12235"/>
    <cellStyle name="Normal 6 2 4 2 4 2 2 2" xfId="31708"/>
    <cellStyle name="Normal 6 2 4 2 4 2 2 3" xfId="44688"/>
    <cellStyle name="Normal 6 2 4 2 4 2 2 4" xfId="60917"/>
    <cellStyle name="Normal 6 2 4 2 4 2 3" xfId="18728"/>
    <cellStyle name="Normal 6 2 4 2 4 2 4" xfId="25218"/>
    <cellStyle name="Normal 6 2 4 2 4 2 5" xfId="38198"/>
    <cellStyle name="Normal 6 2 4 2 4 2 6" xfId="54427"/>
    <cellStyle name="Normal 6 2 4 2 4 3" xfId="8990"/>
    <cellStyle name="Normal 6 2 4 2 4 3 2" xfId="28463"/>
    <cellStyle name="Normal 6 2 4 2 4 3 3" xfId="41443"/>
    <cellStyle name="Normal 6 2 4 2 4 3 4" xfId="57672"/>
    <cellStyle name="Normal 6 2 4 2 4 4" xfId="15483"/>
    <cellStyle name="Normal 6 2 4 2 4 4 2" xfId="51182"/>
    <cellStyle name="Normal 6 2 4 2 4 5" xfId="21973"/>
    <cellStyle name="Normal 6 2 4 2 4 6" xfId="34953"/>
    <cellStyle name="Normal 6 2 4 2 4 7" xfId="47936"/>
    <cellStyle name="Normal 6 2 4 2 5" xfId="4080"/>
    <cellStyle name="Normal 6 2 4 2 5 2" xfId="10612"/>
    <cellStyle name="Normal 6 2 4 2 5 2 2" xfId="30085"/>
    <cellStyle name="Normal 6 2 4 2 5 2 3" xfId="43065"/>
    <cellStyle name="Normal 6 2 4 2 5 2 4" xfId="59294"/>
    <cellStyle name="Normal 6 2 4 2 5 3" xfId="17105"/>
    <cellStyle name="Normal 6 2 4 2 5 4" xfId="23595"/>
    <cellStyle name="Normal 6 2 4 2 5 5" xfId="36575"/>
    <cellStyle name="Normal 6 2 4 2 5 6" xfId="52804"/>
    <cellStyle name="Normal 6 2 4 2 6" xfId="7367"/>
    <cellStyle name="Normal 6 2 4 2 6 2" xfId="26840"/>
    <cellStyle name="Normal 6 2 4 2 6 3" xfId="39820"/>
    <cellStyle name="Normal 6 2 4 2 6 4" xfId="56049"/>
    <cellStyle name="Normal 6 2 4 2 7" xfId="13860"/>
    <cellStyle name="Normal 6 2 4 2 7 2" xfId="49559"/>
    <cellStyle name="Normal 6 2 4 2 8" xfId="20350"/>
    <cellStyle name="Normal 6 2 4 2 9" xfId="33330"/>
    <cellStyle name="Normal 6 2 4 3" xfId="560"/>
    <cellStyle name="Normal 6 2 4 3 2" xfId="1509"/>
    <cellStyle name="Normal 6 2 4 3 2 2" xfId="3176"/>
    <cellStyle name="Normal 6 2 4 3 2 2 2" xfId="6421"/>
    <cellStyle name="Normal 6 2 4 3 2 2 2 2" xfId="12953"/>
    <cellStyle name="Normal 6 2 4 3 2 2 2 2 2" xfId="32426"/>
    <cellStyle name="Normal 6 2 4 3 2 2 2 2 3" xfId="45406"/>
    <cellStyle name="Normal 6 2 4 3 2 2 2 2 4" xfId="61635"/>
    <cellStyle name="Normal 6 2 4 3 2 2 2 3" xfId="19446"/>
    <cellStyle name="Normal 6 2 4 3 2 2 2 4" xfId="25936"/>
    <cellStyle name="Normal 6 2 4 3 2 2 2 5" xfId="38916"/>
    <cellStyle name="Normal 6 2 4 3 2 2 2 6" xfId="55145"/>
    <cellStyle name="Normal 6 2 4 3 2 2 3" xfId="9708"/>
    <cellStyle name="Normal 6 2 4 3 2 2 3 2" xfId="29181"/>
    <cellStyle name="Normal 6 2 4 3 2 2 3 3" xfId="42161"/>
    <cellStyle name="Normal 6 2 4 3 2 2 3 4" xfId="58390"/>
    <cellStyle name="Normal 6 2 4 3 2 2 4" xfId="16201"/>
    <cellStyle name="Normal 6 2 4 3 2 2 4 2" xfId="51900"/>
    <cellStyle name="Normal 6 2 4 3 2 2 5" xfId="22691"/>
    <cellStyle name="Normal 6 2 4 3 2 2 6" xfId="35671"/>
    <cellStyle name="Normal 6 2 4 3 2 2 7" xfId="48654"/>
    <cellStyle name="Normal 6 2 4 3 2 3" xfId="4798"/>
    <cellStyle name="Normal 6 2 4 3 2 3 2" xfId="11330"/>
    <cellStyle name="Normal 6 2 4 3 2 3 2 2" xfId="30803"/>
    <cellStyle name="Normal 6 2 4 3 2 3 2 3" xfId="43783"/>
    <cellStyle name="Normal 6 2 4 3 2 3 2 4" xfId="60012"/>
    <cellStyle name="Normal 6 2 4 3 2 3 3" xfId="17823"/>
    <cellStyle name="Normal 6 2 4 3 2 3 4" xfId="24313"/>
    <cellStyle name="Normal 6 2 4 3 2 3 5" xfId="37293"/>
    <cellStyle name="Normal 6 2 4 3 2 3 6" xfId="53522"/>
    <cellStyle name="Normal 6 2 4 3 2 4" xfId="8085"/>
    <cellStyle name="Normal 6 2 4 3 2 4 2" xfId="27558"/>
    <cellStyle name="Normal 6 2 4 3 2 4 3" xfId="40538"/>
    <cellStyle name="Normal 6 2 4 3 2 4 4" xfId="56767"/>
    <cellStyle name="Normal 6 2 4 3 2 5" xfId="14578"/>
    <cellStyle name="Normal 6 2 4 3 2 5 2" xfId="50277"/>
    <cellStyle name="Normal 6 2 4 3 2 6" xfId="21068"/>
    <cellStyle name="Normal 6 2 4 3 2 7" xfId="34048"/>
    <cellStyle name="Normal 6 2 4 3 2 8" xfId="47031"/>
    <cellStyle name="Normal 6 2 4 3 3" xfId="2228"/>
    <cellStyle name="Normal 6 2 4 3 3 2" xfId="5473"/>
    <cellStyle name="Normal 6 2 4 3 3 2 2" xfId="12005"/>
    <cellStyle name="Normal 6 2 4 3 3 2 2 2" xfId="31478"/>
    <cellStyle name="Normal 6 2 4 3 3 2 2 3" xfId="44458"/>
    <cellStyle name="Normal 6 2 4 3 3 2 2 4" xfId="60687"/>
    <cellStyle name="Normal 6 2 4 3 3 2 3" xfId="18498"/>
    <cellStyle name="Normal 6 2 4 3 3 2 4" xfId="24988"/>
    <cellStyle name="Normal 6 2 4 3 3 2 5" xfId="37968"/>
    <cellStyle name="Normal 6 2 4 3 3 2 6" xfId="54197"/>
    <cellStyle name="Normal 6 2 4 3 3 3" xfId="8760"/>
    <cellStyle name="Normal 6 2 4 3 3 3 2" xfId="28233"/>
    <cellStyle name="Normal 6 2 4 3 3 3 3" xfId="41213"/>
    <cellStyle name="Normal 6 2 4 3 3 3 4" xfId="57442"/>
    <cellStyle name="Normal 6 2 4 3 3 4" xfId="15253"/>
    <cellStyle name="Normal 6 2 4 3 3 4 2" xfId="50952"/>
    <cellStyle name="Normal 6 2 4 3 3 5" xfId="21743"/>
    <cellStyle name="Normal 6 2 4 3 3 6" xfId="34723"/>
    <cellStyle name="Normal 6 2 4 3 3 7" xfId="47706"/>
    <cellStyle name="Normal 6 2 4 3 4" xfId="3850"/>
    <cellStyle name="Normal 6 2 4 3 4 2" xfId="10382"/>
    <cellStyle name="Normal 6 2 4 3 4 2 2" xfId="29855"/>
    <cellStyle name="Normal 6 2 4 3 4 2 3" xfId="42835"/>
    <cellStyle name="Normal 6 2 4 3 4 2 4" xfId="59064"/>
    <cellStyle name="Normal 6 2 4 3 4 3" xfId="16875"/>
    <cellStyle name="Normal 6 2 4 3 4 4" xfId="23365"/>
    <cellStyle name="Normal 6 2 4 3 4 5" xfId="36345"/>
    <cellStyle name="Normal 6 2 4 3 4 6" xfId="52574"/>
    <cellStyle name="Normal 6 2 4 3 5" xfId="7137"/>
    <cellStyle name="Normal 6 2 4 3 5 2" xfId="26610"/>
    <cellStyle name="Normal 6 2 4 3 5 3" xfId="39590"/>
    <cellStyle name="Normal 6 2 4 3 5 4" xfId="55819"/>
    <cellStyle name="Normal 6 2 4 3 6" xfId="13630"/>
    <cellStyle name="Normal 6 2 4 3 6 2" xfId="49329"/>
    <cellStyle name="Normal 6 2 4 3 7" xfId="20120"/>
    <cellStyle name="Normal 6 2 4 3 8" xfId="33100"/>
    <cellStyle name="Normal 6 2 4 3 9" xfId="46083"/>
    <cellStyle name="Normal 6 2 4 4" xfId="1046"/>
    <cellStyle name="Normal 6 2 4 4 2" xfId="2713"/>
    <cellStyle name="Normal 6 2 4 4 2 2" xfId="5958"/>
    <cellStyle name="Normal 6 2 4 4 2 2 2" xfId="12490"/>
    <cellStyle name="Normal 6 2 4 4 2 2 2 2" xfId="31963"/>
    <cellStyle name="Normal 6 2 4 4 2 2 2 3" xfId="44943"/>
    <cellStyle name="Normal 6 2 4 4 2 2 2 4" xfId="61172"/>
    <cellStyle name="Normal 6 2 4 4 2 2 3" xfId="18983"/>
    <cellStyle name="Normal 6 2 4 4 2 2 4" xfId="25473"/>
    <cellStyle name="Normal 6 2 4 4 2 2 5" xfId="38453"/>
    <cellStyle name="Normal 6 2 4 4 2 2 6" xfId="54682"/>
    <cellStyle name="Normal 6 2 4 4 2 3" xfId="9245"/>
    <cellStyle name="Normal 6 2 4 4 2 3 2" xfId="28718"/>
    <cellStyle name="Normal 6 2 4 4 2 3 3" xfId="41698"/>
    <cellStyle name="Normal 6 2 4 4 2 3 4" xfId="57927"/>
    <cellStyle name="Normal 6 2 4 4 2 4" xfId="15738"/>
    <cellStyle name="Normal 6 2 4 4 2 4 2" xfId="51437"/>
    <cellStyle name="Normal 6 2 4 4 2 5" xfId="22228"/>
    <cellStyle name="Normal 6 2 4 4 2 6" xfId="35208"/>
    <cellStyle name="Normal 6 2 4 4 2 7" xfId="48191"/>
    <cellStyle name="Normal 6 2 4 4 3" xfId="4335"/>
    <cellStyle name="Normal 6 2 4 4 3 2" xfId="10867"/>
    <cellStyle name="Normal 6 2 4 4 3 2 2" xfId="30340"/>
    <cellStyle name="Normal 6 2 4 4 3 2 3" xfId="43320"/>
    <cellStyle name="Normal 6 2 4 4 3 2 4" xfId="59549"/>
    <cellStyle name="Normal 6 2 4 4 3 3" xfId="17360"/>
    <cellStyle name="Normal 6 2 4 4 3 4" xfId="23850"/>
    <cellStyle name="Normal 6 2 4 4 3 5" xfId="36830"/>
    <cellStyle name="Normal 6 2 4 4 3 6" xfId="53059"/>
    <cellStyle name="Normal 6 2 4 4 4" xfId="7622"/>
    <cellStyle name="Normal 6 2 4 4 4 2" xfId="27095"/>
    <cellStyle name="Normal 6 2 4 4 4 3" xfId="40075"/>
    <cellStyle name="Normal 6 2 4 4 4 4" xfId="56304"/>
    <cellStyle name="Normal 6 2 4 4 5" xfId="14115"/>
    <cellStyle name="Normal 6 2 4 4 5 2" xfId="49814"/>
    <cellStyle name="Normal 6 2 4 4 6" xfId="20605"/>
    <cellStyle name="Normal 6 2 4 4 7" xfId="33585"/>
    <cellStyle name="Normal 6 2 4 4 8" xfId="46568"/>
    <cellStyle name="Normal 6 2 4 5" xfId="1999"/>
    <cellStyle name="Normal 6 2 4 5 2" xfId="5244"/>
    <cellStyle name="Normal 6 2 4 5 2 2" xfId="11776"/>
    <cellStyle name="Normal 6 2 4 5 2 2 2" xfId="31249"/>
    <cellStyle name="Normal 6 2 4 5 2 2 3" xfId="44229"/>
    <cellStyle name="Normal 6 2 4 5 2 2 4" xfId="60458"/>
    <cellStyle name="Normal 6 2 4 5 2 3" xfId="18269"/>
    <cellStyle name="Normal 6 2 4 5 2 4" xfId="24759"/>
    <cellStyle name="Normal 6 2 4 5 2 5" xfId="37739"/>
    <cellStyle name="Normal 6 2 4 5 2 6" xfId="53968"/>
    <cellStyle name="Normal 6 2 4 5 3" xfId="8531"/>
    <cellStyle name="Normal 6 2 4 5 3 2" xfId="28004"/>
    <cellStyle name="Normal 6 2 4 5 3 3" xfId="40984"/>
    <cellStyle name="Normal 6 2 4 5 3 4" xfId="57213"/>
    <cellStyle name="Normal 6 2 4 5 4" xfId="15024"/>
    <cellStyle name="Normal 6 2 4 5 4 2" xfId="50723"/>
    <cellStyle name="Normal 6 2 4 5 5" xfId="21514"/>
    <cellStyle name="Normal 6 2 4 5 6" xfId="34494"/>
    <cellStyle name="Normal 6 2 4 5 7" xfId="47477"/>
    <cellStyle name="Normal 6 2 4 6" xfId="3620"/>
    <cellStyle name="Normal 6 2 4 6 2" xfId="10152"/>
    <cellStyle name="Normal 6 2 4 6 2 2" xfId="29625"/>
    <cellStyle name="Normal 6 2 4 6 2 3" xfId="42605"/>
    <cellStyle name="Normal 6 2 4 6 2 4" xfId="58834"/>
    <cellStyle name="Normal 6 2 4 6 3" xfId="16645"/>
    <cellStyle name="Normal 6 2 4 6 4" xfId="23135"/>
    <cellStyle name="Normal 6 2 4 6 5" xfId="36115"/>
    <cellStyle name="Normal 6 2 4 6 6" xfId="52344"/>
    <cellStyle name="Normal 6 2 4 7" xfId="6907"/>
    <cellStyle name="Normal 6 2 4 7 2" xfId="26380"/>
    <cellStyle name="Normal 6 2 4 7 3" xfId="39360"/>
    <cellStyle name="Normal 6 2 4 7 4" xfId="55589"/>
    <cellStyle name="Normal 6 2 4 8" xfId="13400"/>
    <cellStyle name="Normal 6 2 4 8 2" xfId="49099"/>
    <cellStyle name="Normal 6 2 4 9" xfId="19890"/>
    <cellStyle name="Normal 6 2 5" xfId="658"/>
    <cellStyle name="Normal 6 2 5 10" xfId="46181"/>
    <cellStyle name="Normal 6 2 5 2" xfId="1597"/>
    <cellStyle name="Normal 6 2 5 2 2" xfId="3264"/>
    <cellStyle name="Normal 6 2 5 2 2 2" xfId="6509"/>
    <cellStyle name="Normal 6 2 5 2 2 2 2" xfId="13041"/>
    <cellStyle name="Normal 6 2 5 2 2 2 2 2" xfId="32514"/>
    <cellStyle name="Normal 6 2 5 2 2 2 2 3" xfId="45494"/>
    <cellStyle name="Normal 6 2 5 2 2 2 2 4" xfId="61723"/>
    <cellStyle name="Normal 6 2 5 2 2 2 3" xfId="19534"/>
    <cellStyle name="Normal 6 2 5 2 2 2 4" xfId="26024"/>
    <cellStyle name="Normal 6 2 5 2 2 2 5" xfId="39004"/>
    <cellStyle name="Normal 6 2 5 2 2 2 6" xfId="55233"/>
    <cellStyle name="Normal 6 2 5 2 2 3" xfId="9796"/>
    <cellStyle name="Normal 6 2 5 2 2 3 2" xfId="29269"/>
    <cellStyle name="Normal 6 2 5 2 2 3 3" xfId="42249"/>
    <cellStyle name="Normal 6 2 5 2 2 3 4" xfId="58478"/>
    <cellStyle name="Normal 6 2 5 2 2 4" xfId="16289"/>
    <cellStyle name="Normal 6 2 5 2 2 4 2" xfId="51988"/>
    <cellStyle name="Normal 6 2 5 2 2 5" xfId="22779"/>
    <cellStyle name="Normal 6 2 5 2 2 6" xfId="35759"/>
    <cellStyle name="Normal 6 2 5 2 2 7" xfId="48742"/>
    <cellStyle name="Normal 6 2 5 2 3" xfId="4886"/>
    <cellStyle name="Normal 6 2 5 2 3 2" xfId="11418"/>
    <cellStyle name="Normal 6 2 5 2 3 2 2" xfId="30891"/>
    <cellStyle name="Normal 6 2 5 2 3 2 3" xfId="43871"/>
    <cellStyle name="Normal 6 2 5 2 3 2 4" xfId="60100"/>
    <cellStyle name="Normal 6 2 5 2 3 3" xfId="17911"/>
    <cellStyle name="Normal 6 2 5 2 3 4" xfId="24401"/>
    <cellStyle name="Normal 6 2 5 2 3 5" xfId="37381"/>
    <cellStyle name="Normal 6 2 5 2 3 6" xfId="53610"/>
    <cellStyle name="Normal 6 2 5 2 4" xfId="8173"/>
    <cellStyle name="Normal 6 2 5 2 4 2" xfId="27646"/>
    <cellStyle name="Normal 6 2 5 2 4 3" xfId="40626"/>
    <cellStyle name="Normal 6 2 5 2 4 4" xfId="56855"/>
    <cellStyle name="Normal 6 2 5 2 5" xfId="14666"/>
    <cellStyle name="Normal 6 2 5 2 5 2" xfId="50365"/>
    <cellStyle name="Normal 6 2 5 2 6" xfId="21156"/>
    <cellStyle name="Normal 6 2 5 2 7" xfId="34136"/>
    <cellStyle name="Normal 6 2 5 2 8" xfId="47119"/>
    <cellStyle name="Normal 6 2 5 3" xfId="1134"/>
    <cellStyle name="Normal 6 2 5 3 2" xfId="2801"/>
    <cellStyle name="Normal 6 2 5 3 2 2" xfId="6046"/>
    <cellStyle name="Normal 6 2 5 3 2 2 2" xfId="12578"/>
    <cellStyle name="Normal 6 2 5 3 2 2 2 2" xfId="32051"/>
    <cellStyle name="Normal 6 2 5 3 2 2 2 3" xfId="45031"/>
    <cellStyle name="Normal 6 2 5 3 2 2 2 4" xfId="61260"/>
    <cellStyle name="Normal 6 2 5 3 2 2 3" xfId="19071"/>
    <cellStyle name="Normal 6 2 5 3 2 2 4" xfId="25561"/>
    <cellStyle name="Normal 6 2 5 3 2 2 5" xfId="38541"/>
    <cellStyle name="Normal 6 2 5 3 2 2 6" xfId="54770"/>
    <cellStyle name="Normal 6 2 5 3 2 3" xfId="9333"/>
    <cellStyle name="Normal 6 2 5 3 2 3 2" xfId="28806"/>
    <cellStyle name="Normal 6 2 5 3 2 3 3" xfId="41786"/>
    <cellStyle name="Normal 6 2 5 3 2 3 4" xfId="58015"/>
    <cellStyle name="Normal 6 2 5 3 2 4" xfId="15826"/>
    <cellStyle name="Normal 6 2 5 3 2 4 2" xfId="51525"/>
    <cellStyle name="Normal 6 2 5 3 2 5" xfId="22316"/>
    <cellStyle name="Normal 6 2 5 3 2 6" xfId="35296"/>
    <cellStyle name="Normal 6 2 5 3 2 7" xfId="48279"/>
    <cellStyle name="Normal 6 2 5 3 3" xfId="4423"/>
    <cellStyle name="Normal 6 2 5 3 3 2" xfId="10955"/>
    <cellStyle name="Normal 6 2 5 3 3 2 2" xfId="30428"/>
    <cellStyle name="Normal 6 2 5 3 3 2 3" xfId="43408"/>
    <cellStyle name="Normal 6 2 5 3 3 2 4" xfId="59637"/>
    <cellStyle name="Normal 6 2 5 3 3 3" xfId="17448"/>
    <cellStyle name="Normal 6 2 5 3 3 4" xfId="23938"/>
    <cellStyle name="Normal 6 2 5 3 3 5" xfId="36918"/>
    <cellStyle name="Normal 6 2 5 3 3 6" xfId="53147"/>
    <cellStyle name="Normal 6 2 5 3 4" xfId="7710"/>
    <cellStyle name="Normal 6 2 5 3 4 2" xfId="27183"/>
    <cellStyle name="Normal 6 2 5 3 4 3" xfId="40163"/>
    <cellStyle name="Normal 6 2 5 3 4 4" xfId="56392"/>
    <cellStyle name="Normal 6 2 5 3 5" xfId="14203"/>
    <cellStyle name="Normal 6 2 5 3 5 2" xfId="49902"/>
    <cellStyle name="Normal 6 2 5 3 6" xfId="20693"/>
    <cellStyle name="Normal 6 2 5 3 7" xfId="33673"/>
    <cellStyle name="Normal 6 2 5 3 8" xfId="46656"/>
    <cellStyle name="Normal 6 2 5 4" xfId="2326"/>
    <cellStyle name="Normal 6 2 5 4 2" xfId="5571"/>
    <cellStyle name="Normal 6 2 5 4 2 2" xfId="12103"/>
    <cellStyle name="Normal 6 2 5 4 2 2 2" xfId="31576"/>
    <cellStyle name="Normal 6 2 5 4 2 2 3" xfId="44556"/>
    <cellStyle name="Normal 6 2 5 4 2 2 4" xfId="60785"/>
    <cellStyle name="Normal 6 2 5 4 2 3" xfId="18596"/>
    <cellStyle name="Normal 6 2 5 4 2 4" xfId="25086"/>
    <cellStyle name="Normal 6 2 5 4 2 5" xfId="38066"/>
    <cellStyle name="Normal 6 2 5 4 2 6" xfId="54295"/>
    <cellStyle name="Normal 6 2 5 4 3" xfId="8858"/>
    <cellStyle name="Normal 6 2 5 4 3 2" xfId="28331"/>
    <cellStyle name="Normal 6 2 5 4 3 3" xfId="41311"/>
    <cellStyle name="Normal 6 2 5 4 3 4" xfId="57540"/>
    <cellStyle name="Normal 6 2 5 4 4" xfId="15351"/>
    <cellStyle name="Normal 6 2 5 4 4 2" xfId="51050"/>
    <cellStyle name="Normal 6 2 5 4 5" xfId="21841"/>
    <cellStyle name="Normal 6 2 5 4 6" xfId="34821"/>
    <cellStyle name="Normal 6 2 5 4 7" xfId="47804"/>
    <cellStyle name="Normal 6 2 5 5" xfId="3948"/>
    <cellStyle name="Normal 6 2 5 5 2" xfId="10480"/>
    <cellStyle name="Normal 6 2 5 5 2 2" xfId="29953"/>
    <cellStyle name="Normal 6 2 5 5 2 3" xfId="42933"/>
    <cellStyle name="Normal 6 2 5 5 2 4" xfId="59162"/>
    <cellStyle name="Normal 6 2 5 5 3" xfId="16973"/>
    <cellStyle name="Normal 6 2 5 5 4" xfId="23463"/>
    <cellStyle name="Normal 6 2 5 5 5" xfId="36443"/>
    <cellStyle name="Normal 6 2 5 5 6" xfId="52672"/>
    <cellStyle name="Normal 6 2 5 6" xfId="7235"/>
    <cellStyle name="Normal 6 2 5 6 2" xfId="26708"/>
    <cellStyle name="Normal 6 2 5 6 3" xfId="39688"/>
    <cellStyle name="Normal 6 2 5 6 4" xfId="55917"/>
    <cellStyle name="Normal 6 2 5 7" xfId="13728"/>
    <cellStyle name="Normal 6 2 5 7 2" xfId="49427"/>
    <cellStyle name="Normal 6 2 5 8" xfId="20218"/>
    <cellStyle name="Normal 6 2 5 9" xfId="33198"/>
    <cellStyle name="Normal 6 2 6" xfId="428"/>
    <cellStyle name="Normal 6 2 6 2" xfId="1377"/>
    <cellStyle name="Normal 6 2 6 2 2" xfId="3044"/>
    <cellStyle name="Normal 6 2 6 2 2 2" xfId="6289"/>
    <cellStyle name="Normal 6 2 6 2 2 2 2" xfId="12821"/>
    <cellStyle name="Normal 6 2 6 2 2 2 2 2" xfId="32294"/>
    <cellStyle name="Normal 6 2 6 2 2 2 2 3" xfId="45274"/>
    <cellStyle name="Normal 6 2 6 2 2 2 2 4" xfId="61503"/>
    <cellStyle name="Normal 6 2 6 2 2 2 3" xfId="19314"/>
    <cellStyle name="Normal 6 2 6 2 2 2 4" xfId="25804"/>
    <cellStyle name="Normal 6 2 6 2 2 2 5" xfId="38784"/>
    <cellStyle name="Normal 6 2 6 2 2 2 6" xfId="55013"/>
    <cellStyle name="Normal 6 2 6 2 2 3" xfId="9576"/>
    <cellStyle name="Normal 6 2 6 2 2 3 2" xfId="29049"/>
    <cellStyle name="Normal 6 2 6 2 2 3 3" xfId="42029"/>
    <cellStyle name="Normal 6 2 6 2 2 3 4" xfId="58258"/>
    <cellStyle name="Normal 6 2 6 2 2 4" xfId="16069"/>
    <cellStyle name="Normal 6 2 6 2 2 4 2" xfId="51768"/>
    <cellStyle name="Normal 6 2 6 2 2 5" xfId="22559"/>
    <cellStyle name="Normal 6 2 6 2 2 6" xfId="35539"/>
    <cellStyle name="Normal 6 2 6 2 2 7" xfId="48522"/>
    <cellStyle name="Normal 6 2 6 2 3" xfId="4666"/>
    <cellStyle name="Normal 6 2 6 2 3 2" xfId="11198"/>
    <cellStyle name="Normal 6 2 6 2 3 2 2" xfId="30671"/>
    <cellStyle name="Normal 6 2 6 2 3 2 3" xfId="43651"/>
    <cellStyle name="Normal 6 2 6 2 3 2 4" xfId="59880"/>
    <cellStyle name="Normal 6 2 6 2 3 3" xfId="17691"/>
    <cellStyle name="Normal 6 2 6 2 3 4" xfId="24181"/>
    <cellStyle name="Normal 6 2 6 2 3 5" xfId="37161"/>
    <cellStyle name="Normal 6 2 6 2 3 6" xfId="53390"/>
    <cellStyle name="Normal 6 2 6 2 4" xfId="7953"/>
    <cellStyle name="Normal 6 2 6 2 4 2" xfId="27426"/>
    <cellStyle name="Normal 6 2 6 2 4 3" xfId="40406"/>
    <cellStyle name="Normal 6 2 6 2 4 4" xfId="56635"/>
    <cellStyle name="Normal 6 2 6 2 5" xfId="14446"/>
    <cellStyle name="Normal 6 2 6 2 5 2" xfId="50145"/>
    <cellStyle name="Normal 6 2 6 2 6" xfId="20936"/>
    <cellStyle name="Normal 6 2 6 2 7" xfId="33916"/>
    <cellStyle name="Normal 6 2 6 2 8" xfId="46899"/>
    <cellStyle name="Normal 6 2 6 3" xfId="2096"/>
    <cellStyle name="Normal 6 2 6 3 2" xfId="5341"/>
    <cellStyle name="Normal 6 2 6 3 2 2" xfId="11873"/>
    <cellStyle name="Normal 6 2 6 3 2 2 2" xfId="31346"/>
    <cellStyle name="Normal 6 2 6 3 2 2 3" xfId="44326"/>
    <cellStyle name="Normal 6 2 6 3 2 2 4" xfId="60555"/>
    <cellStyle name="Normal 6 2 6 3 2 3" xfId="18366"/>
    <cellStyle name="Normal 6 2 6 3 2 4" xfId="24856"/>
    <cellStyle name="Normal 6 2 6 3 2 5" xfId="37836"/>
    <cellStyle name="Normal 6 2 6 3 2 6" xfId="54065"/>
    <cellStyle name="Normal 6 2 6 3 3" xfId="8628"/>
    <cellStyle name="Normal 6 2 6 3 3 2" xfId="28101"/>
    <cellStyle name="Normal 6 2 6 3 3 3" xfId="41081"/>
    <cellStyle name="Normal 6 2 6 3 3 4" xfId="57310"/>
    <cellStyle name="Normal 6 2 6 3 4" xfId="15121"/>
    <cellStyle name="Normal 6 2 6 3 4 2" xfId="50820"/>
    <cellStyle name="Normal 6 2 6 3 5" xfId="21611"/>
    <cellStyle name="Normal 6 2 6 3 6" xfId="34591"/>
    <cellStyle name="Normal 6 2 6 3 7" xfId="47574"/>
    <cellStyle name="Normal 6 2 6 4" xfId="3718"/>
    <cellStyle name="Normal 6 2 6 4 2" xfId="10250"/>
    <cellStyle name="Normal 6 2 6 4 2 2" xfId="29723"/>
    <cellStyle name="Normal 6 2 6 4 2 3" xfId="42703"/>
    <cellStyle name="Normal 6 2 6 4 2 4" xfId="58932"/>
    <cellStyle name="Normal 6 2 6 4 3" xfId="16743"/>
    <cellStyle name="Normal 6 2 6 4 4" xfId="23233"/>
    <cellStyle name="Normal 6 2 6 4 5" xfId="36213"/>
    <cellStyle name="Normal 6 2 6 4 6" xfId="52442"/>
    <cellStyle name="Normal 6 2 6 5" xfId="7005"/>
    <cellStyle name="Normal 6 2 6 5 2" xfId="26478"/>
    <cellStyle name="Normal 6 2 6 5 3" xfId="39458"/>
    <cellStyle name="Normal 6 2 6 5 4" xfId="55687"/>
    <cellStyle name="Normal 6 2 6 6" xfId="13498"/>
    <cellStyle name="Normal 6 2 6 6 2" xfId="49197"/>
    <cellStyle name="Normal 6 2 6 7" xfId="19988"/>
    <cellStyle name="Normal 6 2 6 8" xfId="32968"/>
    <cellStyle name="Normal 6 2 6 9" xfId="45951"/>
    <cellStyle name="Normal 6 2 7" xfId="914"/>
    <cellStyle name="Normal 6 2 7 2" xfId="2581"/>
    <cellStyle name="Normal 6 2 7 2 2" xfId="5826"/>
    <cellStyle name="Normal 6 2 7 2 2 2" xfId="12358"/>
    <cellStyle name="Normal 6 2 7 2 2 2 2" xfId="31831"/>
    <cellStyle name="Normal 6 2 7 2 2 2 3" xfId="44811"/>
    <cellStyle name="Normal 6 2 7 2 2 2 4" xfId="61040"/>
    <cellStyle name="Normal 6 2 7 2 2 3" xfId="18851"/>
    <cellStyle name="Normal 6 2 7 2 2 4" xfId="25341"/>
    <cellStyle name="Normal 6 2 7 2 2 5" xfId="38321"/>
    <cellStyle name="Normal 6 2 7 2 2 6" xfId="54550"/>
    <cellStyle name="Normal 6 2 7 2 3" xfId="9113"/>
    <cellStyle name="Normal 6 2 7 2 3 2" xfId="28586"/>
    <cellStyle name="Normal 6 2 7 2 3 3" xfId="41566"/>
    <cellStyle name="Normal 6 2 7 2 3 4" xfId="57795"/>
    <cellStyle name="Normal 6 2 7 2 4" xfId="15606"/>
    <cellStyle name="Normal 6 2 7 2 4 2" xfId="51305"/>
    <cellStyle name="Normal 6 2 7 2 5" xfId="22096"/>
    <cellStyle name="Normal 6 2 7 2 6" xfId="35076"/>
    <cellStyle name="Normal 6 2 7 2 7" xfId="48059"/>
    <cellStyle name="Normal 6 2 7 3" xfId="4203"/>
    <cellStyle name="Normal 6 2 7 3 2" xfId="10735"/>
    <cellStyle name="Normal 6 2 7 3 2 2" xfId="30208"/>
    <cellStyle name="Normal 6 2 7 3 2 3" xfId="43188"/>
    <cellStyle name="Normal 6 2 7 3 2 4" xfId="59417"/>
    <cellStyle name="Normal 6 2 7 3 3" xfId="17228"/>
    <cellStyle name="Normal 6 2 7 3 4" xfId="23718"/>
    <cellStyle name="Normal 6 2 7 3 5" xfId="36698"/>
    <cellStyle name="Normal 6 2 7 3 6" xfId="52927"/>
    <cellStyle name="Normal 6 2 7 4" xfId="7490"/>
    <cellStyle name="Normal 6 2 7 4 2" xfId="26963"/>
    <cellStyle name="Normal 6 2 7 4 3" xfId="39943"/>
    <cellStyle name="Normal 6 2 7 4 4" xfId="56172"/>
    <cellStyle name="Normal 6 2 7 5" xfId="13983"/>
    <cellStyle name="Normal 6 2 7 5 2" xfId="49682"/>
    <cellStyle name="Normal 6 2 7 6" xfId="20473"/>
    <cellStyle name="Normal 6 2 7 7" xfId="33453"/>
    <cellStyle name="Normal 6 2 7 8" xfId="46436"/>
    <cellStyle name="Normal 6 2 8" xfId="1867"/>
    <cellStyle name="Normal 6 2 8 2" xfId="5112"/>
    <cellStyle name="Normal 6 2 8 2 2" xfId="11644"/>
    <cellStyle name="Normal 6 2 8 2 2 2" xfId="31117"/>
    <cellStyle name="Normal 6 2 8 2 2 3" xfId="44097"/>
    <cellStyle name="Normal 6 2 8 2 2 4" xfId="60326"/>
    <cellStyle name="Normal 6 2 8 2 3" xfId="18137"/>
    <cellStyle name="Normal 6 2 8 2 4" xfId="24627"/>
    <cellStyle name="Normal 6 2 8 2 5" xfId="37607"/>
    <cellStyle name="Normal 6 2 8 2 6" xfId="53836"/>
    <cellStyle name="Normal 6 2 8 3" xfId="8399"/>
    <cellStyle name="Normal 6 2 8 3 2" xfId="27872"/>
    <cellStyle name="Normal 6 2 8 3 3" xfId="40852"/>
    <cellStyle name="Normal 6 2 8 3 4" xfId="57081"/>
    <cellStyle name="Normal 6 2 8 4" xfId="14892"/>
    <cellStyle name="Normal 6 2 8 4 2" xfId="50591"/>
    <cellStyle name="Normal 6 2 8 5" xfId="21382"/>
    <cellStyle name="Normal 6 2 8 6" xfId="34362"/>
    <cellStyle name="Normal 6 2 8 7" xfId="47345"/>
    <cellStyle name="Normal 6 2 9" xfId="3488"/>
    <cellStyle name="Normal 6 2 9 2" xfId="10020"/>
    <cellStyle name="Normal 6 2 9 2 2" xfId="29493"/>
    <cellStyle name="Normal 6 2 9 2 3" xfId="42473"/>
    <cellStyle name="Normal 6 2 9 2 4" xfId="58702"/>
    <cellStyle name="Normal 6 2 9 3" xfId="16513"/>
    <cellStyle name="Normal 6 2 9 4" xfId="23003"/>
    <cellStyle name="Normal 6 2 9 5" xfId="35983"/>
    <cellStyle name="Normal 6 2 9 6" xfId="52212"/>
    <cellStyle name="Normal 6 3" xfId="260"/>
    <cellStyle name="Normal 6 3 10" xfId="19824"/>
    <cellStyle name="Normal 6 3 11" xfId="32804"/>
    <cellStyle name="Normal 6 3 12" xfId="45787"/>
    <cellStyle name="Normal 6 3 13" xfId="62065"/>
    <cellStyle name="Normal 6 3 2" xfId="348"/>
    <cellStyle name="Normal 6 3 2 10" xfId="32892"/>
    <cellStyle name="Normal 6 3 2 11" xfId="45875"/>
    <cellStyle name="Normal 6 3 2 2" xfId="812"/>
    <cellStyle name="Normal 6 3 2 2 10" xfId="46335"/>
    <cellStyle name="Normal 6 3 2 2 2" xfId="1751"/>
    <cellStyle name="Normal 6 3 2 2 2 2" xfId="3418"/>
    <cellStyle name="Normal 6 3 2 2 2 2 2" xfId="6663"/>
    <cellStyle name="Normal 6 3 2 2 2 2 2 2" xfId="13195"/>
    <cellStyle name="Normal 6 3 2 2 2 2 2 2 2" xfId="32668"/>
    <cellStyle name="Normal 6 3 2 2 2 2 2 2 3" xfId="45648"/>
    <cellStyle name="Normal 6 3 2 2 2 2 2 2 4" xfId="61877"/>
    <cellStyle name="Normal 6 3 2 2 2 2 2 3" xfId="19688"/>
    <cellStyle name="Normal 6 3 2 2 2 2 2 4" xfId="26178"/>
    <cellStyle name="Normal 6 3 2 2 2 2 2 5" xfId="39158"/>
    <cellStyle name="Normal 6 3 2 2 2 2 2 6" xfId="55387"/>
    <cellStyle name="Normal 6 3 2 2 2 2 3" xfId="9950"/>
    <cellStyle name="Normal 6 3 2 2 2 2 3 2" xfId="29423"/>
    <cellStyle name="Normal 6 3 2 2 2 2 3 3" xfId="42403"/>
    <cellStyle name="Normal 6 3 2 2 2 2 3 4" xfId="58632"/>
    <cellStyle name="Normal 6 3 2 2 2 2 4" xfId="16443"/>
    <cellStyle name="Normal 6 3 2 2 2 2 4 2" xfId="52142"/>
    <cellStyle name="Normal 6 3 2 2 2 2 5" xfId="22933"/>
    <cellStyle name="Normal 6 3 2 2 2 2 6" xfId="35913"/>
    <cellStyle name="Normal 6 3 2 2 2 2 7" xfId="48896"/>
    <cellStyle name="Normal 6 3 2 2 2 3" xfId="5040"/>
    <cellStyle name="Normal 6 3 2 2 2 3 2" xfId="11572"/>
    <cellStyle name="Normal 6 3 2 2 2 3 2 2" xfId="31045"/>
    <cellStyle name="Normal 6 3 2 2 2 3 2 3" xfId="44025"/>
    <cellStyle name="Normal 6 3 2 2 2 3 2 4" xfId="60254"/>
    <cellStyle name="Normal 6 3 2 2 2 3 3" xfId="18065"/>
    <cellStyle name="Normal 6 3 2 2 2 3 4" xfId="24555"/>
    <cellStyle name="Normal 6 3 2 2 2 3 5" xfId="37535"/>
    <cellStyle name="Normal 6 3 2 2 2 3 6" xfId="53764"/>
    <cellStyle name="Normal 6 3 2 2 2 4" xfId="8327"/>
    <cellStyle name="Normal 6 3 2 2 2 4 2" xfId="27800"/>
    <cellStyle name="Normal 6 3 2 2 2 4 3" xfId="40780"/>
    <cellStyle name="Normal 6 3 2 2 2 4 4" xfId="57009"/>
    <cellStyle name="Normal 6 3 2 2 2 5" xfId="14820"/>
    <cellStyle name="Normal 6 3 2 2 2 5 2" xfId="50519"/>
    <cellStyle name="Normal 6 3 2 2 2 6" xfId="21310"/>
    <cellStyle name="Normal 6 3 2 2 2 7" xfId="34290"/>
    <cellStyle name="Normal 6 3 2 2 2 8" xfId="47273"/>
    <cellStyle name="Normal 6 3 2 2 3" xfId="1288"/>
    <cellStyle name="Normal 6 3 2 2 3 2" xfId="2955"/>
    <cellStyle name="Normal 6 3 2 2 3 2 2" xfId="6200"/>
    <cellStyle name="Normal 6 3 2 2 3 2 2 2" xfId="12732"/>
    <cellStyle name="Normal 6 3 2 2 3 2 2 2 2" xfId="32205"/>
    <cellStyle name="Normal 6 3 2 2 3 2 2 2 3" xfId="45185"/>
    <cellStyle name="Normal 6 3 2 2 3 2 2 2 4" xfId="61414"/>
    <cellStyle name="Normal 6 3 2 2 3 2 2 3" xfId="19225"/>
    <cellStyle name="Normal 6 3 2 2 3 2 2 4" xfId="25715"/>
    <cellStyle name="Normal 6 3 2 2 3 2 2 5" xfId="38695"/>
    <cellStyle name="Normal 6 3 2 2 3 2 2 6" xfId="54924"/>
    <cellStyle name="Normal 6 3 2 2 3 2 3" xfId="9487"/>
    <cellStyle name="Normal 6 3 2 2 3 2 3 2" xfId="28960"/>
    <cellStyle name="Normal 6 3 2 2 3 2 3 3" xfId="41940"/>
    <cellStyle name="Normal 6 3 2 2 3 2 3 4" xfId="58169"/>
    <cellStyle name="Normal 6 3 2 2 3 2 4" xfId="15980"/>
    <cellStyle name="Normal 6 3 2 2 3 2 4 2" xfId="51679"/>
    <cellStyle name="Normal 6 3 2 2 3 2 5" xfId="22470"/>
    <cellStyle name="Normal 6 3 2 2 3 2 6" xfId="35450"/>
    <cellStyle name="Normal 6 3 2 2 3 2 7" xfId="48433"/>
    <cellStyle name="Normal 6 3 2 2 3 3" xfId="4577"/>
    <cellStyle name="Normal 6 3 2 2 3 3 2" xfId="11109"/>
    <cellStyle name="Normal 6 3 2 2 3 3 2 2" xfId="30582"/>
    <cellStyle name="Normal 6 3 2 2 3 3 2 3" xfId="43562"/>
    <cellStyle name="Normal 6 3 2 2 3 3 2 4" xfId="59791"/>
    <cellStyle name="Normal 6 3 2 2 3 3 3" xfId="17602"/>
    <cellStyle name="Normal 6 3 2 2 3 3 4" xfId="24092"/>
    <cellStyle name="Normal 6 3 2 2 3 3 5" xfId="37072"/>
    <cellStyle name="Normal 6 3 2 2 3 3 6" xfId="53301"/>
    <cellStyle name="Normal 6 3 2 2 3 4" xfId="7864"/>
    <cellStyle name="Normal 6 3 2 2 3 4 2" xfId="27337"/>
    <cellStyle name="Normal 6 3 2 2 3 4 3" xfId="40317"/>
    <cellStyle name="Normal 6 3 2 2 3 4 4" xfId="56546"/>
    <cellStyle name="Normal 6 3 2 2 3 5" xfId="14357"/>
    <cellStyle name="Normal 6 3 2 2 3 5 2" xfId="50056"/>
    <cellStyle name="Normal 6 3 2 2 3 6" xfId="20847"/>
    <cellStyle name="Normal 6 3 2 2 3 7" xfId="33827"/>
    <cellStyle name="Normal 6 3 2 2 3 8" xfId="46810"/>
    <cellStyle name="Normal 6 3 2 2 4" xfId="2480"/>
    <cellStyle name="Normal 6 3 2 2 4 2" xfId="5725"/>
    <cellStyle name="Normal 6 3 2 2 4 2 2" xfId="12257"/>
    <cellStyle name="Normal 6 3 2 2 4 2 2 2" xfId="31730"/>
    <cellStyle name="Normal 6 3 2 2 4 2 2 3" xfId="44710"/>
    <cellStyle name="Normal 6 3 2 2 4 2 2 4" xfId="60939"/>
    <cellStyle name="Normal 6 3 2 2 4 2 3" xfId="18750"/>
    <cellStyle name="Normal 6 3 2 2 4 2 4" xfId="25240"/>
    <cellStyle name="Normal 6 3 2 2 4 2 5" xfId="38220"/>
    <cellStyle name="Normal 6 3 2 2 4 2 6" xfId="54449"/>
    <cellStyle name="Normal 6 3 2 2 4 3" xfId="9012"/>
    <cellStyle name="Normal 6 3 2 2 4 3 2" xfId="28485"/>
    <cellStyle name="Normal 6 3 2 2 4 3 3" xfId="41465"/>
    <cellStyle name="Normal 6 3 2 2 4 3 4" xfId="57694"/>
    <cellStyle name="Normal 6 3 2 2 4 4" xfId="15505"/>
    <cellStyle name="Normal 6 3 2 2 4 4 2" xfId="51204"/>
    <cellStyle name="Normal 6 3 2 2 4 5" xfId="21995"/>
    <cellStyle name="Normal 6 3 2 2 4 6" xfId="34975"/>
    <cellStyle name="Normal 6 3 2 2 4 7" xfId="47958"/>
    <cellStyle name="Normal 6 3 2 2 5" xfId="4102"/>
    <cellStyle name="Normal 6 3 2 2 5 2" xfId="10634"/>
    <cellStyle name="Normal 6 3 2 2 5 2 2" xfId="30107"/>
    <cellStyle name="Normal 6 3 2 2 5 2 3" xfId="43087"/>
    <cellStyle name="Normal 6 3 2 2 5 2 4" xfId="59316"/>
    <cellStyle name="Normal 6 3 2 2 5 3" xfId="17127"/>
    <cellStyle name="Normal 6 3 2 2 5 4" xfId="23617"/>
    <cellStyle name="Normal 6 3 2 2 5 5" xfId="36597"/>
    <cellStyle name="Normal 6 3 2 2 5 6" xfId="52826"/>
    <cellStyle name="Normal 6 3 2 2 6" xfId="7389"/>
    <cellStyle name="Normal 6 3 2 2 6 2" xfId="26862"/>
    <cellStyle name="Normal 6 3 2 2 6 3" xfId="39842"/>
    <cellStyle name="Normal 6 3 2 2 6 4" xfId="56071"/>
    <cellStyle name="Normal 6 3 2 2 7" xfId="13882"/>
    <cellStyle name="Normal 6 3 2 2 7 2" xfId="49581"/>
    <cellStyle name="Normal 6 3 2 2 8" xfId="20372"/>
    <cellStyle name="Normal 6 3 2 2 9" xfId="33352"/>
    <cellStyle name="Normal 6 3 2 3" xfId="582"/>
    <cellStyle name="Normal 6 3 2 3 2" xfId="1531"/>
    <cellStyle name="Normal 6 3 2 3 2 2" xfId="3198"/>
    <cellStyle name="Normal 6 3 2 3 2 2 2" xfId="6443"/>
    <cellStyle name="Normal 6 3 2 3 2 2 2 2" xfId="12975"/>
    <cellStyle name="Normal 6 3 2 3 2 2 2 2 2" xfId="32448"/>
    <cellStyle name="Normal 6 3 2 3 2 2 2 2 3" xfId="45428"/>
    <cellStyle name="Normal 6 3 2 3 2 2 2 2 4" xfId="61657"/>
    <cellStyle name="Normal 6 3 2 3 2 2 2 3" xfId="19468"/>
    <cellStyle name="Normal 6 3 2 3 2 2 2 4" xfId="25958"/>
    <cellStyle name="Normal 6 3 2 3 2 2 2 5" xfId="38938"/>
    <cellStyle name="Normal 6 3 2 3 2 2 2 6" xfId="55167"/>
    <cellStyle name="Normal 6 3 2 3 2 2 3" xfId="9730"/>
    <cellStyle name="Normal 6 3 2 3 2 2 3 2" xfId="29203"/>
    <cellStyle name="Normal 6 3 2 3 2 2 3 3" xfId="42183"/>
    <cellStyle name="Normal 6 3 2 3 2 2 3 4" xfId="58412"/>
    <cellStyle name="Normal 6 3 2 3 2 2 4" xfId="16223"/>
    <cellStyle name="Normal 6 3 2 3 2 2 4 2" xfId="51922"/>
    <cellStyle name="Normal 6 3 2 3 2 2 5" xfId="22713"/>
    <cellStyle name="Normal 6 3 2 3 2 2 6" xfId="35693"/>
    <cellStyle name="Normal 6 3 2 3 2 2 7" xfId="48676"/>
    <cellStyle name="Normal 6 3 2 3 2 3" xfId="4820"/>
    <cellStyle name="Normal 6 3 2 3 2 3 2" xfId="11352"/>
    <cellStyle name="Normal 6 3 2 3 2 3 2 2" xfId="30825"/>
    <cellStyle name="Normal 6 3 2 3 2 3 2 3" xfId="43805"/>
    <cellStyle name="Normal 6 3 2 3 2 3 2 4" xfId="60034"/>
    <cellStyle name="Normal 6 3 2 3 2 3 3" xfId="17845"/>
    <cellStyle name="Normal 6 3 2 3 2 3 4" xfId="24335"/>
    <cellStyle name="Normal 6 3 2 3 2 3 5" xfId="37315"/>
    <cellStyle name="Normal 6 3 2 3 2 3 6" xfId="53544"/>
    <cellStyle name="Normal 6 3 2 3 2 4" xfId="8107"/>
    <cellStyle name="Normal 6 3 2 3 2 4 2" xfId="27580"/>
    <cellStyle name="Normal 6 3 2 3 2 4 3" xfId="40560"/>
    <cellStyle name="Normal 6 3 2 3 2 4 4" xfId="56789"/>
    <cellStyle name="Normal 6 3 2 3 2 5" xfId="14600"/>
    <cellStyle name="Normal 6 3 2 3 2 5 2" xfId="50299"/>
    <cellStyle name="Normal 6 3 2 3 2 6" xfId="21090"/>
    <cellStyle name="Normal 6 3 2 3 2 7" xfId="34070"/>
    <cellStyle name="Normal 6 3 2 3 2 8" xfId="47053"/>
    <cellStyle name="Normal 6 3 2 3 3" xfId="2250"/>
    <cellStyle name="Normal 6 3 2 3 3 2" xfId="5495"/>
    <cellStyle name="Normal 6 3 2 3 3 2 2" xfId="12027"/>
    <cellStyle name="Normal 6 3 2 3 3 2 2 2" xfId="31500"/>
    <cellStyle name="Normal 6 3 2 3 3 2 2 3" xfId="44480"/>
    <cellStyle name="Normal 6 3 2 3 3 2 2 4" xfId="60709"/>
    <cellStyle name="Normal 6 3 2 3 3 2 3" xfId="18520"/>
    <cellStyle name="Normal 6 3 2 3 3 2 4" xfId="25010"/>
    <cellStyle name="Normal 6 3 2 3 3 2 5" xfId="37990"/>
    <cellStyle name="Normal 6 3 2 3 3 2 6" xfId="54219"/>
    <cellStyle name="Normal 6 3 2 3 3 3" xfId="8782"/>
    <cellStyle name="Normal 6 3 2 3 3 3 2" xfId="28255"/>
    <cellStyle name="Normal 6 3 2 3 3 3 3" xfId="41235"/>
    <cellStyle name="Normal 6 3 2 3 3 3 4" xfId="57464"/>
    <cellStyle name="Normal 6 3 2 3 3 4" xfId="15275"/>
    <cellStyle name="Normal 6 3 2 3 3 4 2" xfId="50974"/>
    <cellStyle name="Normal 6 3 2 3 3 5" xfId="21765"/>
    <cellStyle name="Normal 6 3 2 3 3 6" xfId="34745"/>
    <cellStyle name="Normal 6 3 2 3 3 7" xfId="47728"/>
    <cellStyle name="Normal 6 3 2 3 4" xfId="3872"/>
    <cellStyle name="Normal 6 3 2 3 4 2" xfId="10404"/>
    <cellStyle name="Normal 6 3 2 3 4 2 2" xfId="29877"/>
    <cellStyle name="Normal 6 3 2 3 4 2 3" xfId="42857"/>
    <cellStyle name="Normal 6 3 2 3 4 2 4" xfId="59086"/>
    <cellStyle name="Normal 6 3 2 3 4 3" xfId="16897"/>
    <cellStyle name="Normal 6 3 2 3 4 4" xfId="23387"/>
    <cellStyle name="Normal 6 3 2 3 4 5" xfId="36367"/>
    <cellStyle name="Normal 6 3 2 3 4 6" xfId="52596"/>
    <cellStyle name="Normal 6 3 2 3 5" xfId="7159"/>
    <cellStyle name="Normal 6 3 2 3 5 2" xfId="26632"/>
    <cellStyle name="Normal 6 3 2 3 5 3" xfId="39612"/>
    <cellStyle name="Normal 6 3 2 3 5 4" xfId="55841"/>
    <cellStyle name="Normal 6 3 2 3 6" xfId="13652"/>
    <cellStyle name="Normal 6 3 2 3 6 2" xfId="49351"/>
    <cellStyle name="Normal 6 3 2 3 7" xfId="20142"/>
    <cellStyle name="Normal 6 3 2 3 8" xfId="33122"/>
    <cellStyle name="Normal 6 3 2 3 9" xfId="46105"/>
    <cellStyle name="Normal 6 3 2 4" xfId="1068"/>
    <cellStyle name="Normal 6 3 2 4 2" xfId="2735"/>
    <cellStyle name="Normal 6 3 2 4 2 2" xfId="5980"/>
    <cellStyle name="Normal 6 3 2 4 2 2 2" xfId="12512"/>
    <cellStyle name="Normal 6 3 2 4 2 2 2 2" xfId="31985"/>
    <cellStyle name="Normal 6 3 2 4 2 2 2 3" xfId="44965"/>
    <cellStyle name="Normal 6 3 2 4 2 2 2 4" xfId="61194"/>
    <cellStyle name="Normal 6 3 2 4 2 2 3" xfId="19005"/>
    <cellStyle name="Normal 6 3 2 4 2 2 4" xfId="25495"/>
    <cellStyle name="Normal 6 3 2 4 2 2 5" xfId="38475"/>
    <cellStyle name="Normal 6 3 2 4 2 2 6" xfId="54704"/>
    <cellStyle name="Normal 6 3 2 4 2 3" xfId="9267"/>
    <cellStyle name="Normal 6 3 2 4 2 3 2" xfId="28740"/>
    <cellStyle name="Normal 6 3 2 4 2 3 3" xfId="41720"/>
    <cellStyle name="Normal 6 3 2 4 2 3 4" xfId="57949"/>
    <cellStyle name="Normal 6 3 2 4 2 4" xfId="15760"/>
    <cellStyle name="Normal 6 3 2 4 2 4 2" xfId="51459"/>
    <cellStyle name="Normal 6 3 2 4 2 5" xfId="22250"/>
    <cellStyle name="Normal 6 3 2 4 2 6" xfId="35230"/>
    <cellStyle name="Normal 6 3 2 4 2 7" xfId="48213"/>
    <cellStyle name="Normal 6 3 2 4 3" xfId="4357"/>
    <cellStyle name="Normal 6 3 2 4 3 2" xfId="10889"/>
    <cellStyle name="Normal 6 3 2 4 3 2 2" xfId="30362"/>
    <cellStyle name="Normal 6 3 2 4 3 2 3" xfId="43342"/>
    <cellStyle name="Normal 6 3 2 4 3 2 4" xfId="59571"/>
    <cellStyle name="Normal 6 3 2 4 3 3" xfId="17382"/>
    <cellStyle name="Normal 6 3 2 4 3 4" xfId="23872"/>
    <cellStyle name="Normal 6 3 2 4 3 5" xfId="36852"/>
    <cellStyle name="Normal 6 3 2 4 3 6" xfId="53081"/>
    <cellStyle name="Normal 6 3 2 4 4" xfId="7644"/>
    <cellStyle name="Normal 6 3 2 4 4 2" xfId="27117"/>
    <cellStyle name="Normal 6 3 2 4 4 3" xfId="40097"/>
    <cellStyle name="Normal 6 3 2 4 4 4" xfId="56326"/>
    <cellStyle name="Normal 6 3 2 4 5" xfId="14137"/>
    <cellStyle name="Normal 6 3 2 4 5 2" xfId="49836"/>
    <cellStyle name="Normal 6 3 2 4 6" xfId="20627"/>
    <cellStyle name="Normal 6 3 2 4 7" xfId="33607"/>
    <cellStyle name="Normal 6 3 2 4 8" xfId="46590"/>
    <cellStyle name="Normal 6 3 2 5" xfId="2021"/>
    <cellStyle name="Normal 6 3 2 5 2" xfId="5266"/>
    <cellStyle name="Normal 6 3 2 5 2 2" xfId="11798"/>
    <cellStyle name="Normal 6 3 2 5 2 2 2" xfId="31271"/>
    <cellStyle name="Normal 6 3 2 5 2 2 3" xfId="44251"/>
    <cellStyle name="Normal 6 3 2 5 2 2 4" xfId="60480"/>
    <cellStyle name="Normal 6 3 2 5 2 3" xfId="18291"/>
    <cellStyle name="Normal 6 3 2 5 2 4" xfId="24781"/>
    <cellStyle name="Normal 6 3 2 5 2 5" xfId="37761"/>
    <cellStyle name="Normal 6 3 2 5 2 6" xfId="53990"/>
    <cellStyle name="Normal 6 3 2 5 3" xfId="8553"/>
    <cellStyle name="Normal 6 3 2 5 3 2" xfId="28026"/>
    <cellStyle name="Normal 6 3 2 5 3 3" xfId="41006"/>
    <cellStyle name="Normal 6 3 2 5 3 4" xfId="57235"/>
    <cellStyle name="Normal 6 3 2 5 4" xfId="15046"/>
    <cellStyle name="Normal 6 3 2 5 4 2" xfId="50745"/>
    <cellStyle name="Normal 6 3 2 5 5" xfId="21536"/>
    <cellStyle name="Normal 6 3 2 5 6" xfId="34516"/>
    <cellStyle name="Normal 6 3 2 5 7" xfId="47499"/>
    <cellStyle name="Normal 6 3 2 6" xfId="3642"/>
    <cellStyle name="Normal 6 3 2 6 2" xfId="10174"/>
    <cellStyle name="Normal 6 3 2 6 2 2" xfId="29647"/>
    <cellStyle name="Normal 6 3 2 6 2 3" xfId="42627"/>
    <cellStyle name="Normal 6 3 2 6 2 4" xfId="58856"/>
    <cellStyle name="Normal 6 3 2 6 3" xfId="16667"/>
    <cellStyle name="Normal 6 3 2 6 4" xfId="23157"/>
    <cellStyle name="Normal 6 3 2 6 5" xfId="36137"/>
    <cellStyle name="Normal 6 3 2 6 6" xfId="52366"/>
    <cellStyle name="Normal 6 3 2 7" xfId="6929"/>
    <cellStyle name="Normal 6 3 2 7 2" xfId="26402"/>
    <cellStyle name="Normal 6 3 2 7 3" xfId="39382"/>
    <cellStyle name="Normal 6 3 2 7 4" xfId="55611"/>
    <cellStyle name="Normal 6 3 2 8" xfId="13422"/>
    <cellStyle name="Normal 6 3 2 8 2" xfId="49121"/>
    <cellStyle name="Normal 6 3 2 9" xfId="19912"/>
    <cellStyle name="Normal 6 3 3" xfId="724"/>
    <cellStyle name="Normal 6 3 3 10" xfId="46247"/>
    <cellStyle name="Normal 6 3 3 2" xfId="1663"/>
    <cellStyle name="Normal 6 3 3 2 2" xfId="3330"/>
    <cellStyle name="Normal 6 3 3 2 2 2" xfId="6575"/>
    <cellStyle name="Normal 6 3 3 2 2 2 2" xfId="13107"/>
    <cellStyle name="Normal 6 3 3 2 2 2 2 2" xfId="32580"/>
    <cellStyle name="Normal 6 3 3 2 2 2 2 3" xfId="45560"/>
    <cellStyle name="Normal 6 3 3 2 2 2 2 4" xfId="61789"/>
    <cellStyle name="Normal 6 3 3 2 2 2 3" xfId="19600"/>
    <cellStyle name="Normal 6 3 3 2 2 2 4" xfId="26090"/>
    <cellStyle name="Normal 6 3 3 2 2 2 5" xfId="39070"/>
    <cellStyle name="Normal 6 3 3 2 2 2 6" xfId="55299"/>
    <cellStyle name="Normal 6 3 3 2 2 3" xfId="9862"/>
    <cellStyle name="Normal 6 3 3 2 2 3 2" xfId="29335"/>
    <cellStyle name="Normal 6 3 3 2 2 3 3" xfId="42315"/>
    <cellStyle name="Normal 6 3 3 2 2 3 4" xfId="58544"/>
    <cellStyle name="Normal 6 3 3 2 2 4" xfId="16355"/>
    <cellStyle name="Normal 6 3 3 2 2 4 2" xfId="52054"/>
    <cellStyle name="Normal 6 3 3 2 2 5" xfId="22845"/>
    <cellStyle name="Normal 6 3 3 2 2 6" xfId="35825"/>
    <cellStyle name="Normal 6 3 3 2 2 7" xfId="48808"/>
    <cellStyle name="Normal 6 3 3 2 3" xfId="4952"/>
    <cellStyle name="Normal 6 3 3 2 3 2" xfId="11484"/>
    <cellStyle name="Normal 6 3 3 2 3 2 2" xfId="30957"/>
    <cellStyle name="Normal 6 3 3 2 3 2 3" xfId="43937"/>
    <cellStyle name="Normal 6 3 3 2 3 2 4" xfId="60166"/>
    <cellStyle name="Normal 6 3 3 2 3 3" xfId="17977"/>
    <cellStyle name="Normal 6 3 3 2 3 4" xfId="24467"/>
    <cellStyle name="Normal 6 3 3 2 3 5" xfId="37447"/>
    <cellStyle name="Normal 6 3 3 2 3 6" xfId="53676"/>
    <cellStyle name="Normal 6 3 3 2 4" xfId="8239"/>
    <cellStyle name="Normal 6 3 3 2 4 2" xfId="27712"/>
    <cellStyle name="Normal 6 3 3 2 4 3" xfId="40692"/>
    <cellStyle name="Normal 6 3 3 2 4 4" xfId="56921"/>
    <cellStyle name="Normal 6 3 3 2 5" xfId="14732"/>
    <cellStyle name="Normal 6 3 3 2 5 2" xfId="50431"/>
    <cellStyle name="Normal 6 3 3 2 6" xfId="21222"/>
    <cellStyle name="Normal 6 3 3 2 7" xfId="34202"/>
    <cellStyle name="Normal 6 3 3 2 8" xfId="47185"/>
    <cellStyle name="Normal 6 3 3 3" xfId="1200"/>
    <cellStyle name="Normal 6 3 3 3 2" xfId="2867"/>
    <cellStyle name="Normal 6 3 3 3 2 2" xfId="6112"/>
    <cellStyle name="Normal 6 3 3 3 2 2 2" xfId="12644"/>
    <cellStyle name="Normal 6 3 3 3 2 2 2 2" xfId="32117"/>
    <cellStyle name="Normal 6 3 3 3 2 2 2 3" xfId="45097"/>
    <cellStyle name="Normal 6 3 3 3 2 2 2 4" xfId="61326"/>
    <cellStyle name="Normal 6 3 3 3 2 2 3" xfId="19137"/>
    <cellStyle name="Normal 6 3 3 3 2 2 4" xfId="25627"/>
    <cellStyle name="Normal 6 3 3 3 2 2 5" xfId="38607"/>
    <cellStyle name="Normal 6 3 3 3 2 2 6" xfId="54836"/>
    <cellStyle name="Normal 6 3 3 3 2 3" xfId="9399"/>
    <cellStyle name="Normal 6 3 3 3 2 3 2" xfId="28872"/>
    <cellStyle name="Normal 6 3 3 3 2 3 3" xfId="41852"/>
    <cellStyle name="Normal 6 3 3 3 2 3 4" xfId="58081"/>
    <cellStyle name="Normal 6 3 3 3 2 4" xfId="15892"/>
    <cellStyle name="Normal 6 3 3 3 2 4 2" xfId="51591"/>
    <cellStyle name="Normal 6 3 3 3 2 5" xfId="22382"/>
    <cellStyle name="Normal 6 3 3 3 2 6" xfId="35362"/>
    <cellStyle name="Normal 6 3 3 3 2 7" xfId="48345"/>
    <cellStyle name="Normal 6 3 3 3 3" xfId="4489"/>
    <cellStyle name="Normal 6 3 3 3 3 2" xfId="11021"/>
    <cellStyle name="Normal 6 3 3 3 3 2 2" xfId="30494"/>
    <cellStyle name="Normal 6 3 3 3 3 2 3" xfId="43474"/>
    <cellStyle name="Normal 6 3 3 3 3 2 4" xfId="59703"/>
    <cellStyle name="Normal 6 3 3 3 3 3" xfId="17514"/>
    <cellStyle name="Normal 6 3 3 3 3 4" xfId="24004"/>
    <cellStyle name="Normal 6 3 3 3 3 5" xfId="36984"/>
    <cellStyle name="Normal 6 3 3 3 3 6" xfId="53213"/>
    <cellStyle name="Normal 6 3 3 3 4" xfId="7776"/>
    <cellStyle name="Normal 6 3 3 3 4 2" xfId="27249"/>
    <cellStyle name="Normal 6 3 3 3 4 3" xfId="40229"/>
    <cellStyle name="Normal 6 3 3 3 4 4" xfId="56458"/>
    <cellStyle name="Normal 6 3 3 3 5" xfId="14269"/>
    <cellStyle name="Normal 6 3 3 3 5 2" xfId="49968"/>
    <cellStyle name="Normal 6 3 3 3 6" xfId="20759"/>
    <cellStyle name="Normal 6 3 3 3 7" xfId="33739"/>
    <cellStyle name="Normal 6 3 3 3 8" xfId="46722"/>
    <cellStyle name="Normal 6 3 3 4" xfId="2392"/>
    <cellStyle name="Normal 6 3 3 4 2" xfId="5637"/>
    <cellStyle name="Normal 6 3 3 4 2 2" xfId="12169"/>
    <cellStyle name="Normal 6 3 3 4 2 2 2" xfId="31642"/>
    <cellStyle name="Normal 6 3 3 4 2 2 3" xfId="44622"/>
    <cellStyle name="Normal 6 3 3 4 2 2 4" xfId="60851"/>
    <cellStyle name="Normal 6 3 3 4 2 3" xfId="18662"/>
    <cellStyle name="Normal 6 3 3 4 2 4" xfId="25152"/>
    <cellStyle name="Normal 6 3 3 4 2 5" xfId="38132"/>
    <cellStyle name="Normal 6 3 3 4 2 6" xfId="54361"/>
    <cellStyle name="Normal 6 3 3 4 3" xfId="8924"/>
    <cellStyle name="Normal 6 3 3 4 3 2" xfId="28397"/>
    <cellStyle name="Normal 6 3 3 4 3 3" xfId="41377"/>
    <cellStyle name="Normal 6 3 3 4 3 4" xfId="57606"/>
    <cellStyle name="Normal 6 3 3 4 4" xfId="15417"/>
    <cellStyle name="Normal 6 3 3 4 4 2" xfId="51116"/>
    <cellStyle name="Normal 6 3 3 4 5" xfId="21907"/>
    <cellStyle name="Normal 6 3 3 4 6" xfId="34887"/>
    <cellStyle name="Normal 6 3 3 4 7" xfId="47870"/>
    <cellStyle name="Normal 6 3 3 5" xfId="4014"/>
    <cellStyle name="Normal 6 3 3 5 2" xfId="10546"/>
    <cellStyle name="Normal 6 3 3 5 2 2" xfId="30019"/>
    <cellStyle name="Normal 6 3 3 5 2 3" xfId="42999"/>
    <cellStyle name="Normal 6 3 3 5 2 4" xfId="59228"/>
    <cellStyle name="Normal 6 3 3 5 3" xfId="17039"/>
    <cellStyle name="Normal 6 3 3 5 4" xfId="23529"/>
    <cellStyle name="Normal 6 3 3 5 5" xfId="36509"/>
    <cellStyle name="Normal 6 3 3 5 6" xfId="52738"/>
    <cellStyle name="Normal 6 3 3 6" xfId="7301"/>
    <cellStyle name="Normal 6 3 3 6 2" xfId="26774"/>
    <cellStyle name="Normal 6 3 3 6 3" xfId="39754"/>
    <cellStyle name="Normal 6 3 3 6 4" xfId="55983"/>
    <cellStyle name="Normal 6 3 3 7" xfId="13794"/>
    <cellStyle name="Normal 6 3 3 7 2" xfId="49493"/>
    <cellStyle name="Normal 6 3 3 8" xfId="20284"/>
    <cellStyle name="Normal 6 3 3 9" xfId="33264"/>
    <cellStyle name="Normal 6 3 4" xfId="494"/>
    <cellStyle name="Normal 6 3 4 2" xfId="1443"/>
    <cellStyle name="Normal 6 3 4 2 2" xfId="3110"/>
    <cellStyle name="Normal 6 3 4 2 2 2" xfId="6355"/>
    <cellStyle name="Normal 6 3 4 2 2 2 2" xfId="12887"/>
    <cellStyle name="Normal 6 3 4 2 2 2 2 2" xfId="32360"/>
    <cellStyle name="Normal 6 3 4 2 2 2 2 3" xfId="45340"/>
    <cellStyle name="Normal 6 3 4 2 2 2 2 4" xfId="61569"/>
    <cellStyle name="Normal 6 3 4 2 2 2 3" xfId="19380"/>
    <cellStyle name="Normal 6 3 4 2 2 2 4" xfId="25870"/>
    <cellStyle name="Normal 6 3 4 2 2 2 5" xfId="38850"/>
    <cellStyle name="Normal 6 3 4 2 2 2 6" xfId="55079"/>
    <cellStyle name="Normal 6 3 4 2 2 3" xfId="9642"/>
    <cellStyle name="Normal 6 3 4 2 2 3 2" xfId="29115"/>
    <cellStyle name="Normal 6 3 4 2 2 3 3" xfId="42095"/>
    <cellStyle name="Normal 6 3 4 2 2 3 4" xfId="58324"/>
    <cellStyle name="Normal 6 3 4 2 2 4" xfId="16135"/>
    <cellStyle name="Normal 6 3 4 2 2 4 2" xfId="51834"/>
    <cellStyle name="Normal 6 3 4 2 2 5" xfId="22625"/>
    <cellStyle name="Normal 6 3 4 2 2 6" xfId="35605"/>
    <cellStyle name="Normal 6 3 4 2 2 7" xfId="48588"/>
    <cellStyle name="Normal 6 3 4 2 3" xfId="4732"/>
    <cellStyle name="Normal 6 3 4 2 3 2" xfId="11264"/>
    <cellStyle name="Normal 6 3 4 2 3 2 2" xfId="30737"/>
    <cellStyle name="Normal 6 3 4 2 3 2 3" xfId="43717"/>
    <cellStyle name="Normal 6 3 4 2 3 2 4" xfId="59946"/>
    <cellStyle name="Normal 6 3 4 2 3 3" xfId="17757"/>
    <cellStyle name="Normal 6 3 4 2 3 4" xfId="24247"/>
    <cellStyle name="Normal 6 3 4 2 3 5" xfId="37227"/>
    <cellStyle name="Normal 6 3 4 2 3 6" xfId="53456"/>
    <cellStyle name="Normal 6 3 4 2 4" xfId="8019"/>
    <cellStyle name="Normal 6 3 4 2 4 2" xfId="27492"/>
    <cellStyle name="Normal 6 3 4 2 4 3" xfId="40472"/>
    <cellStyle name="Normal 6 3 4 2 4 4" xfId="56701"/>
    <cellStyle name="Normal 6 3 4 2 5" xfId="14512"/>
    <cellStyle name="Normal 6 3 4 2 5 2" xfId="50211"/>
    <cellStyle name="Normal 6 3 4 2 6" xfId="21002"/>
    <cellStyle name="Normal 6 3 4 2 7" xfId="33982"/>
    <cellStyle name="Normal 6 3 4 2 8" xfId="46965"/>
    <cellStyle name="Normal 6 3 4 3" xfId="2162"/>
    <cellStyle name="Normal 6 3 4 3 2" xfId="5407"/>
    <cellStyle name="Normal 6 3 4 3 2 2" xfId="11939"/>
    <cellStyle name="Normal 6 3 4 3 2 2 2" xfId="31412"/>
    <cellStyle name="Normal 6 3 4 3 2 2 3" xfId="44392"/>
    <cellStyle name="Normal 6 3 4 3 2 2 4" xfId="60621"/>
    <cellStyle name="Normal 6 3 4 3 2 3" xfId="18432"/>
    <cellStyle name="Normal 6 3 4 3 2 4" xfId="24922"/>
    <cellStyle name="Normal 6 3 4 3 2 5" xfId="37902"/>
    <cellStyle name="Normal 6 3 4 3 2 6" xfId="54131"/>
    <cellStyle name="Normal 6 3 4 3 3" xfId="8694"/>
    <cellStyle name="Normal 6 3 4 3 3 2" xfId="28167"/>
    <cellStyle name="Normal 6 3 4 3 3 3" xfId="41147"/>
    <cellStyle name="Normal 6 3 4 3 3 4" xfId="57376"/>
    <cellStyle name="Normal 6 3 4 3 4" xfId="15187"/>
    <cellStyle name="Normal 6 3 4 3 4 2" xfId="50886"/>
    <cellStyle name="Normal 6 3 4 3 5" xfId="21677"/>
    <cellStyle name="Normal 6 3 4 3 6" xfId="34657"/>
    <cellStyle name="Normal 6 3 4 3 7" xfId="47640"/>
    <cellStyle name="Normal 6 3 4 4" xfId="3784"/>
    <cellStyle name="Normal 6 3 4 4 2" xfId="10316"/>
    <cellStyle name="Normal 6 3 4 4 2 2" xfId="29789"/>
    <cellStyle name="Normal 6 3 4 4 2 3" xfId="42769"/>
    <cellStyle name="Normal 6 3 4 4 2 4" xfId="58998"/>
    <cellStyle name="Normal 6 3 4 4 3" xfId="16809"/>
    <cellStyle name="Normal 6 3 4 4 4" xfId="23299"/>
    <cellStyle name="Normal 6 3 4 4 5" xfId="36279"/>
    <cellStyle name="Normal 6 3 4 4 6" xfId="52508"/>
    <cellStyle name="Normal 6 3 4 5" xfId="7071"/>
    <cellStyle name="Normal 6 3 4 5 2" xfId="26544"/>
    <cellStyle name="Normal 6 3 4 5 3" xfId="39524"/>
    <cellStyle name="Normal 6 3 4 5 4" xfId="55753"/>
    <cellStyle name="Normal 6 3 4 6" xfId="13564"/>
    <cellStyle name="Normal 6 3 4 6 2" xfId="49263"/>
    <cellStyle name="Normal 6 3 4 7" xfId="20054"/>
    <cellStyle name="Normal 6 3 4 8" xfId="33034"/>
    <cellStyle name="Normal 6 3 4 9" xfId="46017"/>
    <cellStyle name="Normal 6 3 5" xfId="980"/>
    <cellStyle name="Normal 6 3 5 2" xfId="2647"/>
    <cellStyle name="Normal 6 3 5 2 2" xfId="5892"/>
    <cellStyle name="Normal 6 3 5 2 2 2" xfId="12424"/>
    <cellStyle name="Normal 6 3 5 2 2 2 2" xfId="31897"/>
    <cellStyle name="Normal 6 3 5 2 2 2 3" xfId="44877"/>
    <cellStyle name="Normal 6 3 5 2 2 2 4" xfId="61106"/>
    <cellStyle name="Normal 6 3 5 2 2 3" xfId="18917"/>
    <cellStyle name="Normal 6 3 5 2 2 4" xfId="25407"/>
    <cellStyle name="Normal 6 3 5 2 2 5" xfId="38387"/>
    <cellStyle name="Normal 6 3 5 2 2 6" xfId="54616"/>
    <cellStyle name="Normal 6 3 5 2 3" xfId="9179"/>
    <cellStyle name="Normal 6 3 5 2 3 2" xfId="28652"/>
    <cellStyle name="Normal 6 3 5 2 3 3" xfId="41632"/>
    <cellStyle name="Normal 6 3 5 2 3 4" xfId="57861"/>
    <cellStyle name="Normal 6 3 5 2 4" xfId="15672"/>
    <cellStyle name="Normal 6 3 5 2 4 2" xfId="51371"/>
    <cellStyle name="Normal 6 3 5 2 5" xfId="22162"/>
    <cellStyle name="Normal 6 3 5 2 6" xfId="35142"/>
    <cellStyle name="Normal 6 3 5 2 7" xfId="48125"/>
    <cellStyle name="Normal 6 3 5 3" xfId="4269"/>
    <cellStyle name="Normal 6 3 5 3 2" xfId="10801"/>
    <cellStyle name="Normal 6 3 5 3 2 2" xfId="30274"/>
    <cellStyle name="Normal 6 3 5 3 2 3" xfId="43254"/>
    <cellStyle name="Normal 6 3 5 3 2 4" xfId="59483"/>
    <cellStyle name="Normal 6 3 5 3 3" xfId="17294"/>
    <cellStyle name="Normal 6 3 5 3 4" xfId="23784"/>
    <cellStyle name="Normal 6 3 5 3 5" xfId="36764"/>
    <cellStyle name="Normal 6 3 5 3 6" xfId="52993"/>
    <cellStyle name="Normal 6 3 5 4" xfId="7556"/>
    <cellStyle name="Normal 6 3 5 4 2" xfId="27029"/>
    <cellStyle name="Normal 6 3 5 4 3" xfId="40009"/>
    <cellStyle name="Normal 6 3 5 4 4" xfId="56238"/>
    <cellStyle name="Normal 6 3 5 5" xfId="14049"/>
    <cellStyle name="Normal 6 3 5 5 2" xfId="49748"/>
    <cellStyle name="Normal 6 3 5 6" xfId="20539"/>
    <cellStyle name="Normal 6 3 5 7" xfId="33519"/>
    <cellStyle name="Normal 6 3 5 8" xfId="46502"/>
    <cellStyle name="Normal 6 3 6" xfId="1933"/>
    <cellStyle name="Normal 6 3 6 2" xfId="5178"/>
    <cellStyle name="Normal 6 3 6 2 2" xfId="11710"/>
    <cellStyle name="Normal 6 3 6 2 2 2" xfId="31183"/>
    <cellStyle name="Normal 6 3 6 2 2 3" xfId="44163"/>
    <cellStyle name="Normal 6 3 6 2 2 4" xfId="60392"/>
    <cellStyle name="Normal 6 3 6 2 3" xfId="18203"/>
    <cellStyle name="Normal 6 3 6 2 4" xfId="24693"/>
    <cellStyle name="Normal 6 3 6 2 5" xfId="37673"/>
    <cellStyle name="Normal 6 3 6 2 6" xfId="53902"/>
    <cellStyle name="Normal 6 3 6 3" xfId="8465"/>
    <cellStyle name="Normal 6 3 6 3 2" xfId="27938"/>
    <cellStyle name="Normal 6 3 6 3 3" xfId="40918"/>
    <cellStyle name="Normal 6 3 6 3 4" xfId="57147"/>
    <cellStyle name="Normal 6 3 6 4" xfId="14958"/>
    <cellStyle name="Normal 6 3 6 4 2" xfId="50657"/>
    <cellStyle name="Normal 6 3 6 5" xfId="21448"/>
    <cellStyle name="Normal 6 3 6 6" xfId="34428"/>
    <cellStyle name="Normal 6 3 6 7" xfId="47411"/>
    <cellStyle name="Normal 6 3 7" xfId="3554"/>
    <cellStyle name="Normal 6 3 7 2" xfId="10086"/>
    <cellStyle name="Normal 6 3 7 2 2" xfId="29559"/>
    <cellStyle name="Normal 6 3 7 2 3" xfId="42539"/>
    <cellStyle name="Normal 6 3 7 2 4" xfId="58768"/>
    <cellStyle name="Normal 6 3 7 3" xfId="16579"/>
    <cellStyle name="Normal 6 3 7 4" xfId="23069"/>
    <cellStyle name="Normal 6 3 7 5" xfId="36049"/>
    <cellStyle name="Normal 6 3 7 6" xfId="52278"/>
    <cellStyle name="Normal 6 3 8" xfId="6841"/>
    <cellStyle name="Normal 6 3 8 2" xfId="26314"/>
    <cellStyle name="Normal 6 3 8 3" xfId="39294"/>
    <cellStyle name="Normal 6 3 8 4" xfId="55523"/>
    <cellStyle name="Normal 6 3 9" xfId="13334"/>
    <cellStyle name="Normal 6 3 9 2" xfId="49033"/>
    <cellStyle name="Normal 6 4" xfId="216"/>
    <cellStyle name="Normal 6 4 10" xfId="32760"/>
    <cellStyle name="Normal 6 4 11" xfId="45743"/>
    <cellStyle name="Normal 6 4 2" xfId="680"/>
    <cellStyle name="Normal 6 4 2 10" xfId="46203"/>
    <cellStyle name="Normal 6 4 2 2" xfId="1619"/>
    <cellStyle name="Normal 6 4 2 2 2" xfId="3286"/>
    <cellStyle name="Normal 6 4 2 2 2 2" xfId="6531"/>
    <cellStyle name="Normal 6 4 2 2 2 2 2" xfId="13063"/>
    <cellStyle name="Normal 6 4 2 2 2 2 2 2" xfId="32536"/>
    <cellStyle name="Normal 6 4 2 2 2 2 2 3" xfId="45516"/>
    <cellStyle name="Normal 6 4 2 2 2 2 2 4" xfId="61745"/>
    <cellStyle name="Normal 6 4 2 2 2 2 3" xfId="19556"/>
    <cellStyle name="Normal 6 4 2 2 2 2 4" xfId="26046"/>
    <cellStyle name="Normal 6 4 2 2 2 2 5" xfId="39026"/>
    <cellStyle name="Normal 6 4 2 2 2 2 6" xfId="55255"/>
    <cellStyle name="Normal 6 4 2 2 2 3" xfId="9818"/>
    <cellStyle name="Normal 6 4 2 2 2 3 2" xfId="29291"/>
    <cellStyle name="Normal 6 4 2 2 2 3 3" xfId="42271"/>
    <cellStyle name="Normal 6 4 2 2 2 3 4" xfId="58500"/>
    <cellStyle name="Normal 6 4 2 2 2 4" xfId="16311"/>
    <cellStyle name="Normal 6 4 2 2 2 4 2" xfId="52010"/>
    <cellStyle name="Normal 6 4 2 2 2 5" xfId="22801"/>
    <cellStyle name="Normal 6 4 2 2 2 6" xfId="35781"/>
    <cellStyle name="Normal 6 4 2 2 2 7" xfId="48764"/>
    <cellStyle name="Normal 6 4 2 2 3" xfId="4908"/>
    <cellStyle name="Normal 6 4 2 2 3 2" xfId="11440"/>
    <cellStyle name="Normal 6 4 2 2 3 2 2" xfId="30913"/>
    <cellStyle name="Normal 6 4 2 2 3 2 3" xfId="43893"/>
    <cellStyle name="Normal 6 4 2 2 3 2 4" xfId="60122"/>
    <cellStyle name="Normal 6 4 2 2 3 3" xfId="17933"/>
    <cellStyle name="Normal 6 4 2 2 3 4" xfId="24423"/>
    <cellStyle name="Normal 6 4 2 2 3 5" xfId="37403"/>
    <cellStyle name="Normal 6 4 2 2 3 6" xfId="53632"/>
    <cellStyle name="Normal 6 4 2 2 4" xfId="8195"/>
    <cellStyle name="Normal 6 4 2 2 4 2" xfId="27668"/>
    <cellStyle name="Normal 6 4 2 2 4 3" xfId="40648"/>
    <cellStyle name="Normal 6 4 2 2 4 4" xfId="56877"/>
    <cellStyle name="Normal 6 4 2 2 5" xfId="14688"/>
    <cellStyle name="Normal 6 4 2 2 5 2" xfId="50387"/>
    <cellStyle name="Normal 6 4 2 2 6" xfId="21178"/>
    <cellStyle name="Normal 6 4 2 2 7" xfId="34158"/>
    <cellStyle name="Normal 6 4 2 2 8" xfId="47141"/>
    <cellStyle name="Normal 6 4 2 3" xfId="1156"/>
    <cellStyle name="Normal 6 4 2 3 2" xfId="2823"/>
    <cellStyle name="Normal 6 4 2 3 2 2" xfId="6068"/>
    <cellStyle name="Normal 6 4 2 3 2 2 2" xfId="12600"/>
    <cellStyle name="Normal 6 4 2 3 2 2 2 2" xfId="32073"/>
    <cellStyle name="Normal 6 4 2 3 2 2 2 3" xfId="45053"/>
    <cellStyle name="Normal 6 4 2 3 2 2 2 4" xfId="61282"/>
    <cellStyle name="Normal 6 4 2 3 2 2 3" xfId="19093"/>
    <cellStyle name="Normal 6 4 2 3 2 2 4" xfId="25583"/>
    <cellStyle name="Normal 6 4 2 3 2 2 5" xfId="38563"/>
    <cellStyle name="Normal 6 4 2 3 2 2 6" xfId="54792"/>
    <cellStyle name="Normal 6 4 2 3 2 3" xfId="9355"/>
    <cellStyle name="Normal 6 4 2 3 2 3 2" xfId="28828"/>
    <cellStyle name="Normal 6 4 2 3 2 3 3" xfId="41808"/>
    <cellStyle name="Normal 6 4 2 3 2 3 4" xfId="58037"/>
    <cellStyle name="Normal 6 4 2 3 2 4" xfId="15848"/>
    <cellStyle name="Normal 6 4 2 3 2 4 2" xfId="51547"/>
    <cellStyle name="Normal 6 4 2 3 2 5" xfId="22338"/>
    <cellStyle name="Normal 6 4 2 3 2 6" xfId="35318"/>
    <cellStyle name="Normal 6 4 2 3 2 7" xfId="48301"/>
    <cellStyle name="Normal 6 4 2 3 3" xfId="4445"/>
    <cellStyle name="Normal 6 4 2 3 3 2" xfId="10977"/>
    <cellStyle name="Normal 6 4 2 3 3 2 2" xfId="30450"/>
    <cellStyle name="Normal 6 4 2 3 3 2 3" xfId="43430"/>
    <cellStyle name="Normal 6 4 2 3 3 2 4" xfId="59659"/>
    <cellStyle name="Normal 6 4 2 3 3 3" xfId="17470"/>
    <cellStyle name="Normal 6 4 2 3 3 4" xfId="23960"/>
    <cellStyle name="Normal 6 4 2 3 3 5" xfId="36940"/>
    <cellStyle name="Normal 6 4 2 3 3 6" xfId="53169"/>
    <cellStyle name="Normal 6 4 2 3 4" xfId="7732"/>
    <cellStyle name="Normal 6 4 2 3 4 2" xfId="27205"/>
    <cellStyle name="Normal 6 4 2 3 4 3" xfId="40185"/>
    <cellStyle name="Normal 6 4 2 3 4 4" xfId="56414"/>
    <cellStyle name="Normal 6 4 2 3 5" xfId="14225"/>
    <cellStyle name="Normal 6 4 2 3 5 2" xfId="49924"/>
    <cellStyle name="Normal 6 4 2 3 6" xfId="20715"/>
    <cellStyle name="Normal 6 4 2 3 7" xfId="33695"/>
    <cellStyle name="Normal 6 4 2 3 8" xfId="46678"/>
    <cellStyle name="Normal 6 4 2 4" xfId="2348"/>
    <cellStyle name="Normal 6 4 2 4 2" xfId="5593"/>
    <cellStyle name="Normal 6 4 2 4 2 2" xfId="12125"/>
    <cellStyle name="Normal 6 4 2 4 2 2 2" xfId="31598"/>
    <cellStyle name="Normal 6 4 2 4 2 2 3" xfId="44578"/>
    <cellStyle name="Normal 6 4 2 4 2 2 4" xfId="60807"/>
    <cellStyle name="Normal 6 4 2 4 2 3" xfId="18618"/>
    <cellStyle name="Normal 6 4 2 4 2 4" xfId="25108"/>
    <cellStyle name="Normal 6 4 2 4 2 5" xfId="38088"/>
    <cellStyle name="Normal 6 4 2 4 2 6" xfId="54317"/>
    <cellStyle name="Normal 6 4 2 4 3" xfId="8880"/>
    <cellStyle name="Normal 6 4 2 4 3 2" xfId="28353"/>
    <cellStyle name="Normal 6 4 2 4 3 3" xfId="41333"/>
    <cellStyle name="Normal 6 4 2 4 3 4" xfId="57562"/>
    <cellStyle name="Normal 6 4 2 4 4" xfId="15373"/>
    <cellStyle name="Normal 6 4 2 4 4 2" xfId="51072"/>
    <cellStyle name="Normal 6 4 2 4 5" xfId="21863"/>
    <cellStyle name="Normal 6 4 2 4 6" xfId="34843"/>
    <cellStyle name="Normal 6 4 2 4 7" xfId="47826"/>
    <cellStyle name="Normal 6 4 2 5" xfId="3970"/>
    <cellStyle name="Normal 6 4 2 5 2" xfId="10502"/>
    <cellStyle name="Normal 6 4 2 5 2 2" xfId="29975"/>
    <cellStyle name="Normal 6 4 2 5 2 3" xfId="42955"/>
    <cellStyle name="Normal 6 4 2 5 2 4" xfId="59184"/>
    <cellStyle name="Normal 6 4 2 5 3" xfId="16995"/>
    <cellStyle name="Normal 6 4 2 5 4" xfId="23485"/>
    <cellStyle name="Normal 6 4 2 5 5" xfId="36465"/>
    <cellStyle name="Normal 6 4 2 5 6" xfId="52694"/>
    <cellStyle name="Normal 6 4 2 6" xfId="7257"/>
    <cellStyle name="Normal 6 4 2 6 2" xfId="26730"/>
    <cellStyle name="Normal 6 4 2 6 3" xfId="39710"/>
    <cellStyle name="Normal 6 4 2 6 4" xfId="55939"/>
    <cellStyle name="Normal 6 4 2 7" xfId="13750"/>
    <cellStyle name="Normal 6 4 2 7 2" xfId="49449"/>
    <cellStyle name="Normal 6 4 2 8" xfId="20240"/>
    <cellStyle name="Normal 6 4 2 9" xfId="33220"/>
    <cellStyle name="Normal 6 4 3" xfId="450"/>
    <cellStyle name="Normal 6 4 3 2" xfId="1399"/>
    <cellStyle name="Normal 6 4 3 2 2" xfId="3066"/>
    <cellStyle name="Normal 6 4 3 2 2 2" xfId="6311"/>
    <cellStyle name="Normal 6 4 3 2 2 2 2" xfId="12843"/>
    <cellStyle name="Normal 6 4 3 2 2 2 2 2" xfId="32316"/>
    <cellStyle name="Normal 6 4 3 2 2 2 2 3" xfId="45296"/>
    <cellStyle name="Normal 6 4 3 2 2 2 2 4" xfId="61525"/>
    <cellStyle name="Normal 6 4 3 2 2 2 3" xfId="19336"/>
    <cellStyle name="Normal 6 4 3 2 2 2 4" xfId="25826"/>
    <cellStyle name="Normal 6 4 3 2 2 2 5" xfId="38806"/>
    <cellStyle name="Normal 6 4 3 2 2 2 6" xfId="55035"/>
    <cellStyle name="Normal 6 4 3 2 2 3" xfId="9598"/>
    <cellStyle name="Normal 6 4 3 2 2 3 2" xfId="29071"/>
    <cellStyle name="Normal 6 4 3 2 2 3 3" xfId="42051"/>
    <cellStyle name="Normal 6 4 3 2 2 3 4" xfId="58280"/>
    <cellStyle name="Normal 6 4 3 2 2 4" xfId="16091"/>
    <cellStyle name="Normal 6 4 3 2 2 4 2" xfId="51790"/>
    <cellStyle name="Normal 6 4 3 2 2 5" xfId="22581"/>
    <cellStyle name="Normal 6 4 3 2 2 6" xfId="35561"/>
    <cellStyle name="Normal 6 4 3 2 2 7" xfId="48544"/>
    <cellStyle name="Normal 6 4 3 2 3" xfId="4688"/>
    <cellStyle name="Normal 6 4 3 2 3 2" xfId="11220"/>
    <cellStyle name="Normal 6 4 3 2 3 2 2" xfId="30693"/>
    <cellStyle name="Normal 6 4 3 2 3 2 3" xfId="43673"/>
    <cellStyle name="Normal 6 4 3 2 3 2 4" xfId="59902"/>
    <cellStyle name="Normal 6 4 3 2 3 3" xfId="17713"/>
    <cellStyle name="Normal 6 4 3 2 3 4" xfId="24203"/>
    <cellStyle name="Normal 6 4 3 2 3 5" xfId="37183"/>
    <cellStyle name="Normal 6 4 3 2 3 6" xfId="53412"/>
    <cellStyle name="Normal 6 4 3 2 4" xfId="7975"/>
    <cellStyle name="Normal 6 4 3 2 4 2" xfId="27448"/>
    <cellStyle name="Normal 6 4 3 2 4 3" xfId="40428"/>
    <cellStyle name="Normal 6 4 3 2 4 4" xfId="56657"/>
    <cellStyle name="Normal 6 4 3 2 5" xfId="14468"/>
    <cellStyle name="Normal 6 4 3 2 5 2" xfId="50167"/>
    <cellStyle name="Normal 6 4 3 2 6" xfId="20958"/>
    <cellStyle name="Normal 6 4 3 2 7" xfId="33938"/>
    <cellStyle name="Normal 6 4 3 2 8" xfId="46921"/>
    <cellStyle name="Normal 6 4 3 3" xfId="2118"/>
    <cellStyle name="Normal 6 4 3 3 2" xfId="5363"/>
    <cellStyle name="Normal 6 4 3 3 2 2" xfId="11895"/>
    <cellStyle name="Normal 6 4 3 3 2 2 2" xfId="31368"/>
    <cellStyle name="Normal 6 4 3 3 2 2 3" xfId="44348"/>
    <cellStyle name="Normal 6 4 3 3 2 2 4" xfId="60577"/>
    <cellStyle name="Normal 6 4 3 3 2 3" xfId="18388"/>
    <cellStyle name="Normal 6 4 3 3 2 4" xfId="24878"/>
    <cellStyle name="Normal 6 4 3 3 2 5" xfId="37858"/>
    <cellStyle name="Normal 6 4 3 3 2 6" xfId="54087"/>
    <cellStyle name="Normal 6 4 3 3 3" xfId="8650"/>
    <cellStyle name="Normal 6 4 3 3 3 2" xfId="28123"/>
    <cellStyle name="Normal 6 4 3 3 3 3" xfId="41103"/>
    <cellStyle name="Normal 6 4 3 3 3 4" xfId="57332"/>
    <cellStyle name="Normal 6 4 3 3 4" xfId="15143"/>
    <cellStyle name="Normal 6 4 3 3 4 2" xfId="50842"/>
    <cellStyle name="Normal 6 4 3 3 5" xfId="21633"/>
    <cellStyle name="Normal 6 4 3 3 6" xfId="34613"/>
    <cellStyle name="Normal 6 4 3 3 7" xfId="47596"/>
    <cellStyle name="Normal 6 4 3 4" xfId="3740"/>
    <cellStyle name="Normal 6 4 3 4 2" xfId="10272"/>
    <cellStyle name="Normal 6 4 3 4 2 2" xfId="29745"/>
    <cellStyle name="Normal 6 4 3 4 2 3" xfId="42725"/>
    <cellStyle name="Normal 6 4 3 4 2 4" xfId="58954"/>
    <cellStyle name="Normal 6 4 3 4 3" xfId="16765"/>
    <cellStyle name="Normal 6 4 3 4 4" xfId="23255"/>
    <cellStyle name="Normal 6 4 3 4 5" xfId="36235"/>
    <cellStyle name="Normal 6 4 3 4 6" xfId="52464"/>
    <cellStyle name="Normal 6 4 3 5" xfId="7027"/>
    <cellStyle name="Normal 6 4 3 5 2" xfId="26500"/>
    <cellStyle name="Normal 6 4 3 5 3" xfId="39480"/>
    <cellStyle name="Normal 6 4 3 5 4" xfId="55709"/>
    <cellStyle name="Normal 6 4 3 6" xfId="13520"/>
    <cellStyle name="Normal 6 4 3 6 2" xfId="49219"/>
    <cellStyle name="Normal 6 4 3 7" xfId="20010"/>
    <cellStyle name="Normal 6 4 3 8" xfId="32990"/>
    <cellStyle name="Normal 6 4 3 9" xfId="45973"/>
    <cellStyle name="Normal 6 4 4" xfId="936"/>
    <cellStyle name="Normal 6 4 4 2" xfId="2603"/>
    <cellStyle name="Normal 6 4 4 2 2" xfId="5848"/>
    <cellStyle name="Normal 6 4 4 2 2 2" xfId="12380"/>
    <cellStyle name="Normal 6 4 4 2 2 2 2" xfId="31853"/>
    <cellStyle name="Normal 6 4 4 2 2 2 3" xfId="44833"/>
    <cellStyle name="Normal 6 4 4 2 2 2 4" xfId="61062"/>
    <cellStyle name="Normal 6 4 4 2 2 3" xfId="18873"/>
    <cellStyle name="Normal 6 4 4 2 2 4" xfId="25363"/>
    <cellStyle name="Normal 6 4 4 2 2 5" xfId="38343"/>
    <cellStyle name="Normal 6 4 4 2 2 6" xfId="54572"/>
    <cellStyle name="Normal 6 4 4 2 3" xfId="9135"/>
    <cellStyle name="Normal 6 4 4 2 3 2" xfId="28608"/>
    <cellStyle name="Normal 6 4 4 2 3 3" xfId="41588"/>
    <cellStyle name="Normal 6 4 4 2 3 4" xfId="57817"/>
    <cellStyle name="Normal 6 4 4 2 4" xfId="15628"/>
    <cellStyle name="Normal 6 4 4 2 4 2" xfId="51327"/>
    <cellStyle name="Normal 6 4 4 2 5" xfId="22118"/>
    <cellStyle name="Normal 6 4 4 2 6" xfId="35098"/>
    <cellStyle name="Normal 6 4 4 2 7" xfId="48081"/>
    <cellStyle name="Normal 6 4 4 3" xfId="4225"/>
    <cellStyle name="Normal 6 4 4 3 2" xfId="10757"/>
    <cellStyle name="Normal 6 4 4 3 2 2" xfId="30230"/>
    <cellStyle name="Normal 6 4 4 3 2 3" xfId="43210"/>
    <cellStyle name="Normal 6 4 4 3 2 4" xfId="59439"/>
    <cellStyle name="Normal 6 4 4 3 3" xfId="17250"/>
    <cellStyle name="Normal 6 4 4 3 4" xfId="23740"/>
    <cellStyle name="Normal 6 4 4 3 5" xfId="36720"/>
    <cellStyle name="Normal 6 4 4 3 6" xfId="52949"/>
    <cellStyle name="Normal 6 4 4 4" xfId="7512"/>
    <cellStyle name="Normal 6 4 4 4 2" xfId="26985"/>
    <cellStyle name="Normal 6 4 4 4 3" xfId="39965"/>
    <cellStyle name="Normal 6 4 4 4 4" xfId="56194"/>
    <cellStyle name="Normal 6 4 4 5" xfId="14005"/>
    <cellStyle name="Normal 6 4 4 5 2" xfId="49704"/>
    <cellStyle name="Normal 6 4 4 6" xfId="20495"/>
    <cellStyle name="Normal 6 4 4 7" xfId="33475"/>
    <cellStyle name="Normal 6 4 4 8" xfId="46458"/>
    <cellStyle name="Normal 6 4 5" xfId="1889"/>
    <cellStyle name="Normal 6 4 5 2" xfId="5134"/>
    <cellStyle name="Normal 6 4 5 2 2" xfId="11666"/>
    <cellStyle name="Normal 6 4 5 2 2 2" xfId="31139"/>
    <cellStyle name="Normal 6 4 5 2 2 3" xfId="44119"/>
    <cellStyle name="Normal 6 4 5 2 2 4" xfId="60348"/>
    <cellStyle name="Normal 6 4 5 2 3" xfId="18159"/>
    <cellStyle name="Normal 6 4 5 2 4" xfId="24649"/>
    <cellStyle name="Normal 6 4 5 2 5" xfId="37629"/>
    <cellStyle name="Normal 6 4 5 2 6" xfId="53858"/>
    <cellStyle name="Normal 6 4 5 3" xfId="8421"/>
    <cellStyle name="Normal 6 4 5 3 2" xfId="27894"/>
    <cellStyle name="Normal 6 4 5 3 3" xfId="40874"/>
    <cellStyle name="Normal 6 4 5 3 4" xfId="57103"/>
    <cellStyle name="Normal 6 4 5 4" xfId="14914"/>
    <cellStyle name="Normal 6 4 5 4 2" xfId="50613"/>
    <cellStyle name="Normal 6 4 5 5" xfId="21404"/>
    <cellStyle name="Normal 6 4 5 6" xfId="34384"/>
    <cellStyle name="Normal 6 4 5 7" xfId="47367"/>
    <cellStyle name="Normal 6 4 6" xfId="3510"/>
    <cellStyle name="Normal 6 4 6 2" xfId="10042"/>
    <cellStyle name="Normal 6 4 6 2 2" xfId="29515"/>
    <cellStyle name="Normal 6 4 6 2 3" xfId="42495"/>
    <cellStyle name="Normal 6 4 6 2 4" xfId="58724"/>
    <cellStyle name="Normal 6 4 6 3" xfId="16535"/>
    <cellStyle name="Normal 6 4 6 4" xfId="23025"/>
    <cellStyle name="Normal 6 4 6 5" xfId="36005"/>
    <cellStyle name="Normal 6 4 6 6" xfId="52234"/>
    <cellStyle name="Normal 6 4 7" xfId="6797"/>
    <cellStyle name="Normal 6 4 7 2" xfId="26270"/>
    <cellStyle name="Normal 6 4 7 3" xfId="39250"/>
    <cellStyle name="Normal 6 4 7 4" xfId="55479"/>
    <cellStyle name="Normal 6 4 8" xfId="13290"/>
    <cellStyle name="Normal 6 4 8 2" xfId="48989"/>
    <cellStyle name="Normal 6 4 9" xfId="19780"/>
    <cellStyle name="Normal 6 5" xfId="304"/>
    <cellStyle name="Normal 6 5 10" xfId="32848"/>
    <cellStyle name="Normal 6 5 11" xfId="45831"/>
    <cellStyle name="Normal 6 5 2" xfId="768"/>
    <cellStyle name="Normal 6 5 2 10" xfId="46291"/>
    <cellStyle name="Normal 6 5 2 2" xfId="1707"/>
    <cellStyle name="Normal 6 5 2 2 2" xfId="3374"/>
    <cellStyle name="Normal 6 5 2 2 2 2" xfId="6619"/>
    <cellStyle name="Normal 6 5 2 2 2 2 2" xfId="13151"/>
    <cellStyle name="Normal 6 5 2 2 2 2 2 2" xfId="32624"/>
    <cellStyle name="Normal 6 5 2 2 2 2 2 3" xfId="45604"/>
    <cellStyle name="Normal 6 5 2 2 2 2 2 4" xfId="61833"/>
    <cellStyle name="Normal 6 5 2 2 2 2 3" xfId="19644"/>
    <cellStyle name="Normal 6 5 2 2 2 2 4" xfId="26134"/>
    <cellStyle name="Normal 6 5 2 2 2 2 5" xfId="39114"/>
    <cellStyle name="Normal 6 5 2 2 2 2 6" xfId="55343"/>
    <cellStyle name="Normal 6 5 2 2 2 3" xfId="9906"/>
    <cellStyle name="Normal 6 5 2 2 2 3 2" xfId="29379"/>
    <cellStyle name="Normal 6 5 2 2 2 3 3" xfId="42359"/>
    <cellStyle name="Normal 6 5 2 2 2 3 4" xfId="58588"/>
    <cellStyle name="Normal 6 5 2 2 2 4" xfId="16399"/>
    <cellStyle name="Normal 6 5 2 2 2 4 2" xfId="52098"/>
    <cellStyle name="Normal 6 5 2 2 2 5" xfId="22889"/>
    <cellStyle name="Normal 6 5 2 2 2 6" xfId="35869"/>
    <cellStyle name="Normal 6 5 2 2 2 7" xfId="48852"/>
    <cellStyle name="Normal 6 5 2 2 3" xfId="4996"/>
    <cellStyle name="Normal 6 5 2 2 3 2" xfId="11528"/>
    <cellStyle name="Normal 6 5 2 2 3 2 2" xfId="31001"/>
    <cellStyle name="Normal 6 5 2 2 3 2 3" xfId="43981"/>
    <cellStyle name="Normal 6 5 2 2 3 2 4" xfId="60210"/>
    <cellStyle name="Normal 6 5 2 2 3 3" xfId="18021"/>
    <cellStyle name="Normal 6 5 2 2 3 4" xfId="24511"/>
    <cellStyle name="Normal 6 5 2 2 3 5" xfId="37491"/>
    <cellStyle name="Normal 6 5 2 2 3 6" xfId="53720"/>
    <cellStyle name="Normal 6 5 2 2 4" xfId="8283"/>
    <cellStyle name="Normal 6 5 2 2 4 2" xfId="27756"/>
    <cellStyle name="Normal 6 5 2 2 4 3" xfId="40736"/>
    <cellStyle name="Normal 6 5 2 2 4 4" xfId="56965"/>
    <cellStyle name="Normal 6 5 2 2 5" xfId="14776"/>
    <cellStyle name="Normal 6 5 2 2 5 2" xfId="50475"/>
    <cellStyle name="Normal 6 5 2 2 6" xfId="21266"/>
    <cellStyle name="Normal 6 5 2 2 7" xfId="34246"/>
    <cellStyle name="Normal 6 5 2 2 8" xfId="47229"/>
    <cellStyle name="Normal 6 5 2 3" xfId="1244"/>
    <cellStyle name="Normal 6 5 2 3 2" xfId="2911"/>
    <cellStyle name="Normal 6 5 2 3 2 2" xfId="6156"/>
    <cellStyle name="Normal 6 5 2 3 2 2 2" xfId="12688"/>
    <cellStyle name="Normal 6 5 2 3 2 2 2 2" xfId="32161"/>
    <cellStyle name="Normal 6 5 2 3 2 2 2 3" xfId="45141"/>
    <cellStyle name="Normal 6 5 2 3 2 2 2 4" xfId="61370"/>
    <cellStyle name="Normal 6 5 2 3 2 2 3" xfId="19181"/>
    <cellStyle name="Normal 6 5 2 3 2 2 4" xfId="25671"/>
    <cellStyle name="Normal 6 5 2 3 2 2 5" xfId="38651"/>
    <cellStyle name="Normal 6 5 2 3 2 2 6" xfId="54880"/>
    <cellStyle name="Normal 6 5 2 3 2 3" xfId="9443"/>
    <cellStyle name="Normal 6 5 2 3 2 3 2" xfId="28916"/>
    <cellStyle name="Normal 6 5 2 3 2 3 3" xfId="41896"/>
    <cellStyle name="Normal 6 5 2 3 2 3 4" xfId="58125"/>
    <cellStyle name="Normal 6 5 2 3 2 4" xfId="15936"/>
    <cellStyle name="Normal 6 5 2 3 2 4 2" xfId="51635"/>
    <cellStyle name="Normal 6 5 2 3 2 5" xfId="22426"/>
    <cellStyle name="Normal 6 5 2 3 2 6" xfId="35406"/>
    <cellStyle name="Normal 6 5 2 3 2 7" xfId="48389"/>
    <cellStyle name="Normal 6 5 2 3 3" xfId="4533"/>
    <cellStyle name="Normal 6 5 2 3 3 2" xfId="11065"/>
    <cellStyle name="Normal 6 5 2 3 3 2 2" xfId="30538"/>
    <cellStyle name="Normal 6 5 2 3 3 2 3" xfId="43518"/>
    <cellStyle name="Normal 6 5 2 3 3 2 4" xfId="59747"/>
    <cellStyle name="Normal 6 5 2 3 3 3" xfId="17558"/>
    <cellStyle name="Normal 6 5 2 3 3 4" xfId="24048"/>
    <cellStyle name="Normal 6 5 2 3 3 5" xfId="37028"/>
    <cellStyle name="Normal 6 5 2 3 3 6" xfId="53257"/>
    <cellStyle name="Normal 6 5 2 3 4" xfId="7820"/>
    <cellStyle name="Normal 6 5 2 3 4 2" xfId="27293"/>
    <cellStyle name="Normal 6 5 2 3 4 3" xfId="40273"/>
    <cellStyle name="Normal 6 5 2 3 4 4" xfId="56502"/>
    <cellStyle name="Normal 6 5 2 3 5" xfId="14313"/>
    <cellStyle name="Normal 6 5 2 3 5 2" xfId="50012"/>
    <cellStyle name="Normal 6 5 2 3 6" xfId="20803"/>
    <cellStyle name="Normal 6 5 2 3 7" xfId="33783"/>
    <cellStyle name="Normal 6 5 2 3 8" xfId="46766"/>
    <cellStyle name="Normal 6 5 2 4" xfId="2436"/>
    <cellStyle name="Normal 6 5 2 4 2" xfId="5681"/>
    <cellStyle name="Normal 6 5 2 4 2 2" xfId="12213"/>
    <cellStyle name="Normal 6 5 2 4 2 2 2" xfId="31686"/>
    <cellStyle name="Normal 6 5 2 4 2 2 3" xfId="44666"/>
    <cellStyle name="Normal 6 5 2 4 2 2 4" xfId="60895"/>
    <cellStyle name="Normal 6 5 2 4 2 3" xfId="18706"/>
    <cellStyle name="Normal 6 5 2 4 2 4" xfId="25196"/>
    <cellStyle name="Normal 6 5 2 4 2 5" xfId="38176"/>
    <cellStyle name="Normal 6 5 2 4 2 6" xfId="54405"/>
    <cellStyle name="Normal 6 5 2 4 3" xfId="8968"/>
    <cellStyle name="Normal 6 5 2 4 3 2" xfId="28441"/>
    <cellStyle name="Normal 6 5 2 4 3 3" xfId="41421"/>
    <cellStyle name="Normal 6 5 2 4 3 4" xfId="57650"/>
    <cellStyle name="Normal 6 5 2 4 4" xfId="15461"/>
    <cellStyle name="Normal 6 5 2 4 4 2" xfId="51160"/>
    <cellStyle name="Normal 6 5 2 4 5" xfId="21951"/>
    <cellStyle name="Normal 6 5 2 4 6" xfId="34931"/>
    <cellStyle name="Normal 6 5 2 4 7" xfId="47914"/>
    <cellStyle name="Normal 6 5 2 5" xfId="4058"/>
    <cellStyle name="Normal 6 5 2 5 2" xfId="10590"/>
    <cellStyle name="Normal 6 5 2 5 2 2" xfId="30063"/>
    <cellStyle name="Normal 6 5 2 5 2 3" xfId="43043"/>
    <cellStyle name="Normal 6 5 2 5 2 4" xfId="59272"/>
    <cellStyle name="Normal 6 5 2 5 3" xfId="17083"/>
    <cellStyle name="Normal 6 5 2 5 4" xfId="23573"/>
    <cellStyle name="Normal 6 5 2 5 5" xfId="36553"/>
    <cellStyle name="Normal 6 5 2 5 6" xfId="52782"/>
    <cellStyle name="Normal 6 5 2 6" xfId="7345"/>
    <cellStyle name="Normal 6 5 2 6 2" xfId="26818"/>
    <cellStyle name="Normal 6 5 2 6 3" xfId="39798"/>
    <cellStyle name="Normal 6 5 2 6 4" xfId="56027"/>
    <cellStyle name="Normal 6 5 2 7" xfId="13838"/>
    <cellStyle name="Normal 6 5 2 7 2" xfId="49537"/>
    <cellStyle name="Normal 6 5 2 8" xfId="20328"/>
    <cellStyle name="Normal 6 5 2 9" xfId="33308"/>
    <cellStyle name="Normal 6 5 3" xfId="538"/>
    <cellStyle name="Normal 6 5 3 2" xfId="1487"/>
    <cellStyle name="Normal 6 5 3 2 2" xfId="3154"/>
    <cellStyle name="Normal 6 5 3 2 2 2" xfId="6399"/>
    <cellStyle name="Normal 6 5 3 2 2 2 2" xfId="12931"/>
    <cellStyle name="Normal 6 5 3 2 2 2 2 2" xfId="32404"/>
    <cellStyle name="Normal 6 5 3 2 2 2 2 3" xfId="45384"/>
    <cellStyle name="Normal 6 5 3 2 2 2 2 4" xfId="61613"/>
    <cellStyle name="Normal 6 5 3 2 2 2 3" xfId="19424"/>
    <cellStyle name="Normal 6 5 3 2 2 2 4" xfId="25914"/>
    <cellStyle name="Normal 6 5 3 2 2 2 5" xfId="38894"/>
    <cellStyle name="Normal 6 5 3 2 2 2 6" xfId="55123"/>
    <cellStyle name="Normal 6 5 3 2 2 3" xfId="9686"/>
    <cellStyle name="Normal 6 5 3 2 2 3 2" xfId="29159"/>
    <cellStyle name="Normal 6 5 3 2 2 3 3" xfId="42139"/>
    <cellStyle name="Normal 6 5 3 2 2 3 4" xfId="58368"/>
    <cellStyle name="Normal 6 5 3 2 2 4" xfId="16179"/>
    <cellStyle name="Normal 6 5 3 2 2 4 2" xfId="51878"/>
    <cellStyle name="Normal 6 5 3 2 2 5" xfId="22669"/>
    <cellStyle name="Normal 6 5 3 2 2 6" xfId="35649"/>
    <cellStyle name="Normal 6 5 3 2 2 7" xfId="48632"/>
    <cellStyle name="Normal 6 5 3 2 3" xfId="4776"/>
    <cellStyle name="Normal 6 5 3 2 3 2" xfId="11308"/>
    <cellStyle name="Normal 6 5 3 2 3 2 2" xfId="30781"/>
    <cellStyle name="Normal 6 5 3 2 3 2 3" xfId="43761"/>
    <cellStyle name="Normal 6 5 3 2 3 2 4" xfId="59990"/>
    <cellStyle name="Normal 6 5 3 2 3 3" xfId="17801"/>
    <cellStyle name="Normal 6 5 3 2 3 4" xfId="24291"/>
    <cellStyle name="Normal 6 5 3 2 3 5" xfId="37271"/>
    <cellStyle name="Normal 6 5 3 2 3 6" xfId="53500"/>
    <cellStyle name="Normal 6 5 3 2 4" xfId="8063"/>
    <cellStyle name="Normal 6 5 3 2 4 2" xfId="27536"/>
    <cellStyle name="Normal 6 5 3 2 4 3" xfId="40516"/>
    <cellStyle name="Normal 6 5 3 2 4 4" xfId="56745"/>
    <cellStyle name="Normal 6 5 3 2 5" xfId="14556"/>
    <cellStyle name="Normal 6 5 3 2 5 2" xfId="50255"/>
    <cellStyle name="Normal 6 5 3 2 6" xfId="21046"/>
    <cellStyle name="Normal 6 5 3 2 7" xfId="34026"/>
    <cellStyle name="Normal 6 5 3 2 8" xfId="47009"/>
    <cellStyle name="Normal 6 5 3 3" xfId="2206"/>
    <cellStyle name="Normal 6 5 3 3 2" xfId="5451"/>
    <cellStyle name="Normal 6 5 3 3 2 2" xfId="11983"/>
    <cellStyle name="Normal 6 5 3 3 2 2 2" xfId="31456"/>
    <cellStyle name="Normal 6 5 3 3 2 2 3" xfId="44436"/>
    <cellStyle name="Normal 6 5 3 3 2 2 4" xfId="60665"/>
    <cellStyle name="Normal 6 5 3 3 2 3" xfId="18476"/>
    <cellStyle name="Normal 6 5 3 3 2 4" xfId="24966"/>
    <cellStyle name="Normal 6 5 3 3 2 5" xfId="37946"/>
    <cellStyle name="Normal 6 5 3 3 2 6" xfId="54175"/>
    <cellStyle name="Normal 6 5 3 3 3" xfId="8738"/>
    <cellStyle name="Normal 6 5 3 3 3 2" xfId="28211"/>
    <cellStyle name="Normal 6 5 3 3 3 3" xfId="41191"/>
    <cellStyle name="Normal 6 5 3 3 3 4" xfId="57420"/>
    <cellStyle name="Normal 6 5 3 3 4" xfId="15231"/>
    <cellStyle name="Normal 6 5 3 3 4 2" xfId="50930"/>
    <cellStyle name="Normal 6 5 3 3 5" xfId="21721"/>
    <cellStyle name="Normal 6 5 3 3 6" xfId="34701"/>
    <cellStyle name="Normal 6 5 3 3 7" xfId="47684"/>
    <cellStyle name="Normal 6 5 3 4" xfId="3828"/>
    <cellStyle name="Normal 6 5 3 4 2" xfId="10360"/>
    <cellStyle name="Normal 6 5 3 4 2 2" xfId="29833"/>
    <cellStyle name="Normal 6 5 3 4 2 3" xfId="42813"/>
    <cellStyle name="Normal 6 5 3 4 2 4" xfId="59042"/>
    <cellStyle name="Normal 6 5 3 4 3" xfId="16853"/>
    <cellStyle name="Normal 6 5 3 4 4" xfId="23343"/>
    <cellStyle name="Normal 6 5 3 4 5" xfId="36323"/>
    <cellStyle name="Normal 6 5 3 4 6" xfId="52552"/>
    <cellStyle name="Normal 6 5 3 5" xfId="7115"/>
    <cellStyle name="Normal 6 5 3 5 2" xfId="26588"/>
    <cellStyle name="Normal 6 5 3 5 3" xfId="39568"/>
    <cellStyle name="Normal 6 5 3 5 4" xfId="55797"/>
    <cellStyle name="Normal 6 5 3 6" xfId="13608"/>
    <cellStyle name="Normal 6 5 3 6 2" xfId="49307"/>
    <cellStyle name="Normal 6 5 3 7" xfId="20098"/>
    <cellStyle name="Normal 6 5 3 8" xfId="33078"/>
    <cellStyle name="Normal 6 5 3 9" xfId="46061"/>
    <cellStyle name="Normal 6 5 4" xfId="1024"/>
    <cellStyle name="Normal 6 5 4 2" xfId="2691"/>
    <cellStyle name="Normal 6 5 4 2 2" xfId="5936"/>
    <cellStyle name="Normal 6 5 4 2 2 2" xfId="12468"/>
    <cellStyle name="Normal 6 5 4 2 2 2 2" xfId="31941"/>
    <cellStyle name="Normal 6 5 4 2 2 2 3" xfId="44921"/>
    <cellStyle name="Normal 6 5 4 2 2 2 4" xfId="61150"/>
    <cellStyle name="Normal 6 5 4 2 2 3" xfId="18961"/>
    <cellStyle name="Normal 6 5 4 2 2 4" xfId="25451"/>
    <cellStyle name="Normal 6 5 4 2 2 5" xfId="38431"/>
    <cellStyle name="Normal 6 5 4 2 2 6" xfId="54660"/>
    <cellStyle name="Normal 6 5 4 2 3" xfId="9223"/>
    <cellStyle name="Normal 6 5 4 2 3 2" xfId="28696"/>
    <cellStyle name="Normal 6 5 4 2 3 3" xfId="41676"/>
    <cellStyle name="Normal 6 5 4 2 3 4" xfId="57905"/>
    <cellStyle name="Normal 6 5 4 2 4" xfId="15716"/>
    <cellStyle name="Normal 6 5 4 2 4 2" xfId="51415"/>
    <cellStyle name="Normal 6 5 4 2 5" xfId="22206"/>
    <cellStyle name="Normal 6 5 4 2 6" xfId="35186"/>
    <cellStyle name="Normal 6 5 4 2 7" xfId="48169"/>
    <cellStyle name="Normal 6 5 4 3" xfId="4313"/>
    <cellStyle name="Normal 6 5 4 3 2" xfId="10845"/>
    <cellStyle name="Normal 6 5 4 3 2 2" xfId="30318"/>
    <cellStyle name="Normal 6 5 4 3 2 3" xfId="43298"/>
    <cellStyle name="Normal 6 5 4 3 2 4" xfId="59527"/>
    <cellStyle name="Normal 6 5 4 3 3" xfId="17338"/>
    <cellStyle name="Normal 6 5 4 3 4" xfId="23828"/>
    <cellStyle name="Normal 6 5 4 3 5" xfId="36808"/>
    <cellStyle name="Normal 6 5 4 3 6" xfId="53037"/>
    <cellStyle name="Normal 6 5 4 4" xfId="7600"/>
    <cellStyle name="Normal 6 5 4 4 2" xfId="27073"/>
    <cellStyle name="Normal 6 5 4 4 3" xfId="40053"/>
    <cellStyle name="Normal 6 5 4 4 4" xfId="56282"/>
    <cellStyle name="Normal 6 5 4 5" xfId="14093"/>
    <cellStyle name="Normal 6 5 4 5 2" xfId="49792"/>
    <cellStyle name="Normal 6 5 4 6" xfId="20583"/>
    <cellStyle name="Normal 6 5 4 7" xfId="33563"/>
    <cellStyle name="Normal 6 5 4 8" xfId="46546"/>
    <cellStyle name="Normal 6 5 5" xfId="1977"/>
    <cellStyle name="Normal 6 5 5 2" xfId="5222"/>
    <cellStyle name="Normal 6 5 5 2 2" xfId="11754"/>
    <cellStyle name="Normal 6 5 5 2 2 2" xfId="31227"/>
    <cellStyle name="Normal 6 5 5 2 2 3" xfId="44207"/>
    <cellStyle name="Normal 6 5 5 2 2 4" xfId="60436"/>
    <cellStyle name="Normal 6 5 5 2 3" xfId="18247"/>
    <cellStyle name="Normal 6 5 5 2 4" xfId="24737"/>
    <cellStyle name="Normal 6 5 5 2 5" xfId="37717"/>
    <cellStyle name="Normal 6 5 5 2 6" xfId="53946"/>
    <cellStyle name="Normal 6 5 5 3" xfId="8509"/>
    <cellStyle name="Normal 6 5 5 3 2" xfId="27982"/>
    <cellStyle name="Normal 6 5 5 3 3" xfId="40962"/>
    <cellStyle name="Normal 6 5 5 3 4" xfId="57191"/>
    <cellStyle name="Normal 6 5 5 4" xfId="15002"/>
    <cellStyle name="Normal 6 5 5 4 2" xfId="50701"/>
    <cellStyle name="Normal 6 5 5 5" xfId="21492"/>
    <cellStyle name="Normal 6 5 5 6" xfId="34472"/>
    <cellStyle name="Normal 6 5 5 7" xfId="47455"/>
    <cellStyle name="Normal 6 5 6" xfId="3598"/>
    <cellStyle name="Normal 6 5 6 2" xfId="10130"/>
    <cellStyle name="Normal 6 5 6 2 2" xfId="29603"/>
    <cellStyle name="Normal 6 5 6 2 3" xfId="42583"/>
    <cellStyle name="Normal 6 5 6 2 4" xfId="58812"/>
    <cellStyle name="Normal 6 5 6 3" xfId="16623"/>
    <cellStyle name="Normal 6 5 6 4" xfId="23113"/>
    <cellStyle name="Normal 6 5 6 5" xfId="36093"/>
    <cellStyle name="Normal 6 5 6 6" xfId="52322"/>
    <cellStyle name="Normal 6 5 7" xfId="6885"/>
    <cellStyle name="Normal 6 5 7 2" xfId="26358"/>
    <cellStyle name="Normal 6 5 7 3" xfId="39338"/>
    <cellStyle name="Normal 6 5 7 4" xfId="55567"/>
    <cellStyle name="Normal 6 5 8" xfId="13378"/>
    <cellStyle name="Normal 6 5 8 2" xfId="49077"/>
    <cellStyle name="Normal 6 5 9" xfId="19868"/>
    <cellStyle name="Normal 6 6" xfId="375"/>
    <cellStyle name="Normal 6 6 2" xfId="1355"/>
    <cellStyle name="Normal 6 6 2 2" xfId="3022"/>
    <cellStyle name="Normal 6 6 2 2 2" xfId="6267"/>
    <cellStyle name="Normal 6 6 2 2 2 2" xfId="12799"/>
    <cellStyle name="Normal 6 6 2 2 2 2 2" xfId="32272"/>
    <cellStyle name="Normal 6 6 2 2 2 2 3" xfId="45252"/>
    <cellStyle name="Normal 6 6 2 2 2 2 4" xfId="61481"/>
    <cellStyle name="Normal 6 6 2 2 2 3" xfId="19292"/>
    <cellStyle name="Normal 6 6 2 2 2 4" xfId="25782"/>
    <cellStyle name="Normal 6 6 2 2 2 5" xfId="38762"/>
    <cellStyle name="Normal 6 6 2 2 2 6" xfId="54991"/>
    <cellStyle name="Normal 6 6 2 2 3" xfId="9554"/>
    <cellStyle name="Normal 6 6 2 2 3 2" xfId="29027"/>
    <cellStyle name="Normal 6 6 2 2 3 3" xfId="42007"/>
    <cellStyle name="Normal 6 6 2 2 3 4" xfId="58236"/>
    <cellStyle name="Normal 6 6 2 2 4" xfId="16047"/>
    <cellStyle name="Normal 6 6 2 2 4 2" xfId="51746"/>
    <cellStyle name="Normal 6 6 2 2 5" xfId="22537"/>
    <cellStyle name="Normal 6 6 2 2 6" xfId="35517"/>
    <cellStyle name="Normal 6 6 2 2 7" xfId="48500"/>
    <cellStyle name="Normal 6 6 2 3" xfId="4644"/>
    <cellStyle name="Normal 6 6 2 3 2" xfId="11176"/>
    <cellStyle name="Normal 6 6 2 3 2 2" xfId="30649"/>
    <cellStyle name="Normal 6 6 2 3 2 3" xfId="43629"/>
    <cellStyle name="Normal 6 6 2 3 2 4" xfId="59858"/>
    <cellStyle name="Normal 6 6 2 3 3" xfId="17669"/>
    <cellStyle name="Normal 6 6 2 3 4" xfId="24159"/>
    <cellStyle name="Normal 6 6 2 3 5" xfId="37139"/>
    <cellStyle name="Normal 6 6 2 3 6" xfId="53368"/>
    <cellStyle name="Normal 6 6 2 4" xfId="7931"/>
    <cellStyle name="Normal 6 6 2 4 2" xfId="27404"/>
    <cellStyle name="Normal 6 6 2 4 3" xfId="40384"/>
    <cellStyle name="Normal 6 6 2 4 4" xfId="56613"/>
    <cellStyle name="Normal 6 6 2 5" xfId="14424"/>
    <cellStyle name="Normal 6 6 2 5 2" xfId="50123"/>
    <cellStyle name="Normal 6 6 2 6" xfId="20914"/>
    <cellStyle name="Normal 6 6 2 7" xfId="33894"/>
    <cellStyle name="Normal 6 6 2 8" xfId="46877"/>
    <cellStyle name="Normal 6 6 3" xfId="891"/>
    <cellStyle name="Normal 6 6 3 2" xfId="2559"/>
    <cellStyle name="Normal 6 6 3 2 2" xfId="5804"/>
    <cellStyle name="Normal 6 6 3 2 2 2" xfId="12336"/>
    <cellStyle name="Normal 6 6 3 2 2 2 2" xfId="31809"/>
    <cellStyle name="Normal 6 6 3 2 2 2 3" xfId="44789"/>
    <cellStyle name="Normal 6 6 3 2 2 2 4" xfId="61018"/>
    <cellStyle name="Normal 6 6 3 2 2 3" xfId="18829"/>
    <cellStyle name="Normal 6 6 3 2 2 4" xfId="25319"/>
    <cellStyle name="Normal 6 6 3 2 2 5" xfId="38299"/>
    <cellStyle name="Normal 6 6 3 2 2 6" xfId="54528"/>
    <cellStyle name="Normal 6 6 3 2 3" xfId="9091"/>
    <cellStyle name="Normal 6 6 3 2 3 2" xfId="28564"/>
    <cellStyle name="Normal 6 6 3 2 3 3" xfId="41544"/>
    <cellStyle name="Normal 6 6 3 2 3 4" xfId="57773"/>
    <cellStyle name="Normal 6 6 3 2 4" xfId="15584"/>
    <cellStyle name="Normal 6 6 3 2 4 2" xfId="51283"/>
    <cellStyle name="Normal 6 6 3 2 5" xfId="22074"/>
    <cellStyle name="Normal 6 6 3 2 6" xfId="35054"/>
    <cellStyle name="Normal 6 6 3 2 7" xfId="48037"/>
    <cellStyle name="Normal 6 6 3 3" xfId="4181"/>
    <cellStyle name="Normal 6 6 3 3 2" xfId="10713"/>
    <cellStyle name="Normal 6 6 3 3 2 2" xfId="30186"/>
    <cellStyle name="Normal 6 6 3 3 2 3" xfId="43166"/>
    <cellStyle name="Normal 6 6 3 3 2 4" xfId="59395"/>
    <cellStyle name="Normal 6 6 3 3 3" xfId="17206"/>
    <cellStyle name="Normal 6 6 3 3 4" xfId="23696"/>
    <cellStyle name="Normal 6 6 3 3 5" xfId="36676"/>
    <cellStyle name="Normal 6 6 3 3 6" xfId="52905"/>
    <cellStyle name="Normal 6 6 3 4" xfId="7468"/>
    <cellStyle name="Normal 6 6 3 4 2" xfId="26941"/>
    <cellStyle name="Normal 6 6 3 4 3" xfId="39921"/>
    <cellStyle name="Normal 6 6 3 4 4" xfId="56150"/>
    <cellStyle name="Normal 6 6 3 5" xfId="13961"/>
    <cellStyle name="Normal 6 6 3 5 2" xfId="49660"/>
    <cellStyle name="Normal 6 6 3 6" xfId="20451"/>
    <cellStyle name="Normal 6 6 3 7" xfId="33431"/>
    <cellStyle name="Normal 6 6 3 8" xfId="46414"/>
    <cellStyle name="Normal 6 7" xfId="636"/>
    <cellStyle name="Normal 6 7 10" xfId="46159"/>
    <cellStyle name="Normal 6 7 2" xfId="1575"/>
    <cellStyle name="Normal 6 7 2 2" xfId="3242"/>
    <cellStyle name="Normal 6 7 2 2 2" xfId="6487"/>
    <cellStyle name="Normal 6 7 2 2 2 2" xfId="13019"/>
    <cellStyle name="Normal 6 7 2 2 2 2 2" xfId="32492"/>
    <cellStyle name="Normal 6 7 2 2 2 2 3" xfId="45472"/>
    <cellStyle name="Normal 6 7 2 2 2 2 4" xfId="61701"/>
    <cellStyle name="Normal 6 7 2 2 2 3" xfId="19512"/>
    <cellStyle name="Normal 6 7 2 2 2 4" xfId="26002"/>
    <cellStyle name="Normal 6 7 2 2 2 5" xfId="38982"/>
    <cellStyle name="Normal 6 7 2 2 2 6" xfId="55211"/>
    <cellStyle name="Normal 6 7 2 2 3" xfId="9774"/>
    <cellStyle name="Normal 6 7 2 2 3 2" xfId="29247"/>
    <cellStyle name="Normal 6 7 2 2 3 3" xfId="42227"/>
    <cellStyle name="Normal 6 7 2 2 3 4" xfId="58456"/>
    <cellStyle name="Normal 6 7 2 2 4" xfId="16267"/>
    <cellStyle name="Normal 6 7 2 2 4 2" xfId="51966"/>
    <cellStyle name="Normal 6 7 2 2 5" xfId="22757"/>
    <cellStyle name="Normal 6 7 2 2 6" xfId="35737"/>
    <cellStyle name="Normal 6 7 2 2 7" xfId="48720"/>
    <cellStyle name="Normal 6 7 2 3" xfId="4864"/>
    <cellStyle name="Normal 6 7 2 3 2" xfId="11396"/>
    <cellStyle name="Normal 6 7 2 3 2 2" xfId="30869"/>
    <cellStyle name="Normal 6 7 2 3 2 3" xfId="43849"/>
    <cellStyle name="Normal 6 7 2 3 2 4" xfId="60078"/>
    <cellStyle name="Normal 6 7 2 3 3" xfId="17889"/>
    <cellStyle name="Normal 6 7 2 3 4" xfId="24379"/>
    <cellStyle name="Normal 6 7 2 3 5" xfId="37359"/>
    <cellStyle name="Normal 6 7 2 3 6" xfId="53588"/>
    <cellStyle name="Normal 6 7 2 4" xfId="8151"/>
    <cellStyle name="Normal 6 7 2 4 2" xfId="27624"/>
    <cellStyle name="Normal 6 7 2 4 3" xfId="40604"/>
    <cellStyle name="Normal 6 7 2 4 4" xfId="56833"/>
    <cellStyle name="Normal 6 7 2 5" xfId="14644"/>
    <cellStyle name="Normal 6 7 2 5 2" xfId="50343"/>
    <cellStyle name="Normal 6 7 2 6" xfId="21134"/>
    <cellStyle name="Normal 6 7 2 7" xfId="34114"/>
    <cellStyle name="Normal 6 7 2 8" xfId="47097"/>
    <cellStyle name="Normal 6 7 3" xfId="1112"/>
    <cellStyle name="Normal 6 7 3 2" xfId="2779"/>
    <cellStyle name="Normal 6 7 3 2 2" xfId="6024"/>
    <cellStyle name="Normal 6 7 3 2 2 2" xfId="12556"/>
    <cellStyle name="Normal 6 7 3 2 2 2 2" xfId="32029"/>
    <cellStyle name="Normal 6 7 3 2 2 2 3" xfId="45009"/>
    <cellStyle name="Normal 6 7 3 2 2 2 4" xfId="61238"/>
    <cellStyle name="Normal 6 7 3 2 2 3" xfId="19049"/>
    <cellStyle name="Normal 6 7 3 2 2 4" xfId="25539"/>
    <cellStyle name="Normal 6 7 3 2 2 5" xfId="38519"/>
    <cellStyle name="Normal 6 7 3 2 2 6" xfId="54748"/>
    <cellStyle name="Normal 6 7 3 2 3" xfId="9311"/>
    <cellStyle name="Normal 6 7 3 2 3 2" xfId="28784"/>
    <cellStyle name="Normal 6 7 3 2 3 3" xfId="41764"/>
    <cellStyle name="Normal 6 7 3 2 3 4" xfId="57993"/>
    <cellStyle name="Normal 6 7 3 2 4" xfId="15804"/>
    <cellStyle name="Normal 6 7 3 2 4 2" xfId="51503"/>
    <cellStyle name="Normal 6 7 3 2 5" xfId="22294"/>
    <cellStyle name="Normal 6 7 3 2 6" xfId="35274"/>
    <cellStyle name="Normal 6 7 3 2 7" xfId="48257"/>
    <cellStyle name="Normal 6 7 3 3" xfId="4401"/>
    <cellStyle name="Normal 6 7 3 3 2" xfId="10933"/>
    <cellStyle name="Normal 6 7 3 3 2 2" xfId="30406"/>
    <cellStyle name="Normal 6 7 3 3 2 3" xfId="43386"/>
    <cellStyle name="Normal 6 7 3 3 2 4" xfId="59615"/>
    <cellStyle name="Normal 6 7 3 3 3" xfId="17426"/>
    <cellStyle name="Normal 6 7 3 3 4" xfId="23916"/>
    <cellStyle name="Normal 6 7 3 3 5" xfId="36896"/>
    <cellStyle name="Normal 6 7 3 3 6" xfId="53125"/>
    <cellStyle name="Normal 6 7 3 4" xfId="7688"/>
    <cellStyle name="Normal 6 7 3 4 2" xfId="27161"/>
    <cellStyle name="Normal 6 7 3 4 3" xfId="40141"/>
    <cellStyle name="Normal 6 7 3 4 4" xfId="56370"/>
    <cellStyle name="Normal 6 7 3 5" xfId="14181"/>
    <cellStyle name="Normal 6 7 3 5 2" xfId="49880"/>
    <cellStyle name="Normal 6 7 3 6" xfId="20671"/>
    <cellStyle name="Normal 6 7 3 7" xfId="33651"/>
    <cellStyle name="Normal 6 7 3 8" xfId="46634"/>
    <cellStyle name="Normal 6 7 4" xfId="2304"/>
    <cellStyle name="Normal 6 7 4 2" xfId="5549"/>
    <cellStyle name="Normal 6 7 4 2 2" xfId="12081"/>
    <cellStyle name="Normal 6 7 4 2 2 2" xfId="31554"/>
    <cellStyle name="Normal 6 7 4 2 2 3" xfId="44534"/>
    <cellStyle name="Normal 6 7 4 2 2 4" xfId="60763"/>
    <cellStyle name="Normal 6 7 4 2 3" xfId="18574"/>
    <cellStyle name="Normal 6 7 4 2 4" xfId="25064"/>
    <cellStyle name="Normal 6 7 4 2 5" xfId="38044"/>
    <cellStyle name="Normal 6 7 4 2 6" xfId="54273"/>
    <cellStyle name="Normal 6 7 4 3" xfId="8836"/>
    <cellStyle name="Normal 6 7 4 3 2" xfId="28309"/>
    <cellStyle name="Normal 6 7 4 3 3" xfId="41289"/>
    <cellStyle name="Normal 6 7 4 3 4" xfId="57518"/>
    <cellStyle name="Normal 6 7 4 4" xfId="15329"/>
    <cellStyle name="Normal 6 7 4 4 2" xfId="51028"/>
    <cellStyle name="Normal 6 7 4 5" xfId="21819"/>
    <cellStyle name="Normal 6 7 4 6" xfId="34799"/>
    <cellStyle name="Normal 6 7 4 7" xfId="47782"/>
    <cellStyle name="Normal 6 7 5" xfId="3926"/>
    <cellStyle name="Normal 6 7 5 2" xfId="10458"/>
    <cellStyle name="Normal 6 7 5 2 2" xfId="29931"/>
    <cellStyle name="Normal 6 7 5 2 3" xfId="42911"/>
    <cellStyle name="Normal 6 7 5 2 4" xfId="59140"/>
    <cellStyle name="Normal 6 7 5 3" xfId="16951"/>
    <cellStyle name="Normal 6 7 5 4" xfId="23441"/>
    <cellStyle name="Normal 6 7 5 5" xfId="36421"/>
    <cellStyle name="Normal 6 7 5 6" xfId="52650"/>
    <cellStyle name="Normal 6 7 6" xfId="7213"/>
    <cellStyle name="Normal 6 7 6 2" xfId="26686"/>
    <cellStyle name="Normal 6 7 6 3" xfId="39666"/>
    <cellStyle name="Normal 6 7 6 4" xfId="55895"/>
    <cellStyle name="Normal 6 7 7" xfId="13706"/>
    <cellStyle name="Normal 6 7 7 2" xfId="49405"/>
    <cellStyle name="Normal 6 7 8" xfId="20196"/>
    <cellStyle name="Normal 6 7 9" xfId="33176"/>
    <cellStyle name="Normal 6 8" xfId="406"/>
    <cellStyle name="Normal 6 8 2" xfId="1332"/>
    <cellStyle name="Normal 6 8 2 2" xfId="2999"/>
    <cellStyle name="Normal 6 8 2 2 2" xfId="6244"/>
    <cellStyle name="Normal 6 8 2 2 2 2" xfId="12776"/>
    <cellStyle name="Normal 6 8 2 2 2 2 2" xfId="32249"/>
    <cellStyle name="Normal 6 8 2 2 2 2 3" xfId="45229"/>
    <cellStyle name="Normal 6 8 2 2 2 2 4" xfId="61458"/>
    <cellStyle name="Normal 6 8 2 2 2 3" xfId="19269"/>
    <cellStyle name="Normal 6 8 2 2 2 4" xfId="25759"/>
    <cellStyle name="Normal 6 8 2 2 2 5" xfId="38739"/>
    <cellStyle name="Normal 6 8 2 2 2 6" xfId="54968"/>
    <cellStyle name="Normal 6 8 2 2 3" xfId="9531"/>
    <cellStyle name="Normal 6 8 2 2 3 2" xfId="29004"/>
    <cellStyle name="Normal 6 8 2 2 3 3" xfId="41984"/>
    <cellStyle name="Normal 6 8 2 2 3 4" xfId="58213"/>
    <cellStyle name="Normal 6 8 2 2 4" xfId="16024"/>
    <cellStyle name="Normal 6 8 2 2 4 2" xfId="51723"/>
    <cellStyle name="Normal 6 8 2 2 5" xfId="22514"/>
    <cellStyle name="Normal 6 8 2 2 6" xfId="35494"/>
    <cellStyle name="Normal 6 8 2 2 7" xfId="48477"/>
    <cellStyle name="Normal 6 8 2 3" xfId="4621"/>
    <cellStyle name="Normal 6 8 2 3 2" xfId="11153"/>
    <cellStyle name="Normal 6 8 2 3 2 2" xfId="30626"/>
    <cellStyle name="Normal 6 8 2 3 2 3" xfId="43606"/>
    <cellStyle name="Normal 6 8 2 3 2 4" xfId="59835"/>
    <cellStyle name="Normal 6 8 2 3 3" xfId="17646"/>
    <cellStyle name="Normal 6 8 2 3 4" xfId="24136"/>
    <cellStyle name="Normal 6 8 2 3 5" xfId="37116"/>
    <cellStyle name="Normal 6 8 2 3 6" xfId="53345"/>
    <cellStyle name="Normal 6 8 2 4" xfId="7908"/>
    <cellStyle name="Normal 6 8 2 4 2" xfId="27381"/>
    <cellStyle name="Normal 6 8 2 4 3" xfId="40361"/>
    <cellStyle name="Normal 6 8 2 4 4" xfId="56590"/>
    <cellStyle name="Normal 6 8 2 5" xfId="14401"/>
    <cellStyle name="Normal 6 8 2 5 2" xfId="50100"/>
    <cellStyle name="Normal 6 8 2 6" xfId="20891"/>
    <cellStyle name="Normal 6 8 2 7" xfId="33871"/>
    <cellStyle name="Normal 6 8 2 8" xfId="46854"/>
    <cellStyle name="Normal 6 8 3" xfId="2074"/>
    <cellStyle name="Normal 6 8 3 2" xfId="5319"/>
    <cellStyle name="Normal 6 8 3 2 2" xfId="11851"/>
    <cellStyle name="Normal 6 8 3 2 2 2" xfId="31324"/>
    <cellStyle name="Normal 6 8 3 2 2 3" xfId="44304"/>
    <cellStyle name="Normal 6 8 3 2 2 4" xfId="60533"/>
    <cellStyle name="Normal 6 8 3 2 3" xfId="18344"/>
    <cellStyle name="Normal 6 8 3 2 4" xfId="24834"/>
    <cellStyle name="Normal 6 8 3 2 5" xfId="37814"/>
    <cellStyle name="Normal 6 8 3 2 6" xfId="54043"/>
    <cellStyle name="Normal 6 8 3 3" xfId="8606"/>
    <cellStyle name="Normal 6 8 3 3 2" xfId="28079"/>
    <cellStyle name="Normal 6 8 3 3 3" xfId="41059"/>
    <cellStyle name="Normal 6 8 3 3 4" xfId="57288"/>
    <cellStyle name="Normal 6 8 3 4" xfId="15099"/>
    <cellStyle name="Normal 6 8 3 4 2" xfId="50798"/>
    <cellStyle name="Normal 6 8 3 5" xfId="21589"/>
    <cellStyle name="Normal 6 8 3 6" xfId="34569"/>
    <cellStyle name="Normal 6 8 3 7" xfId="47552"/>
    <cellStyle name="Normal 6 8 4" xfId="3696"/>
    <cellStyle name="Normal 6 8 4 2" xfId="10228"/>
    <cellStyle name="Normal 6 8 4 2 2" xfId="29701"/>
    <cellStyle name="Normal 6 8 4 2 3" xfId="42681"/>
    <cellStyle name="Normal 6 8 4 2 4" xfId="58910"/>
    <cellStyle name="Normal 6 8 4 3" xfId="16721"/>
    <cellStyle name="Normal 6 8 4 4" xfId="23211"/>
    <cellStyle name="Normal 6 8 4 5" xfId="36191"/>
    <cellStyle name="Normal 6 8 4 6" xfId="52420"/>
    <cellStyle name="Normal 6 8 5" xfId="6983"/>
    <cellStyle name="Normal 6 8 5 2" xfId="26456"/>
    <cellStyle name="Normal 6 8 5 3" xfId="39436"/>
    <cellStyle name="Normal 6 8 5 4" xfId="55665"/>
    <cellStyle name="Normal 6 8 6" xfId="13476"/>
    <cellStyle name="Normal 6 8 6 2" xfId="49175"/>
    <cellStyle name="Normal 6 8 7" xfId="19966"/>
    <cellStyle name="Normal 6 8 8" xfId="32946"/>
    <cellStyle name="Normal 6 8 9" xfId="45929"/>
    <cellStyle name="Normal 6 9" xfId="868"/>
    <cellStyle name="Normal 6 9 2" xfId="2536"/>
    <cellStyle name="Normal 6 9 2 2" xfId="5781"/>
    <cellStyle name="Normal 6 9 2 2 2" xfId="12313"/>
    <cellStyle name="Normal 6 9 2 2 2 2" xfId="31786"/>
    <cellStyle name="Normal 6 9 2 2 2 3" xfId="44766"/>
    <cellStyle name="Normal 6 9 2 2 2 4" xfId="60995"/>
    <cellStyle name="Normal 6 9 2 2 3" xfId="18806"/>
    <cellStyle name="Normal 6 9 2 2 4" xfId="25296"/>
    <cellStyle name="Normal 6 9 2 2 5" xfId="38276"/>
    <cellStyle name="Normal 6 9 2 2 6" xfId="54505"/>
    <cellStyle name="Normal 6 9 2 3" xfId="9068"/>
    <cellStyle name="Normal 6 9 2 3 2" xfId="28541"/>
    <cellStyle name="Normal 6 9 2 3 3" xfId="41521"/>
    <cellStyle name="Normal 6 9 2 3 4" xfId="57750"/>
    <cellStyle name="Normal 6 9 2 4" xfId="15561"/>
    <cellStyle name="Normal 6 9 2 4 2" xfId="51260"/>
    <cellStyle name="Normal 6 9 2 5" xfId="22051"/>
    <cellStyle name="Normal 6 9 2 6" xfId="35031"/>
    <cellStyle name="Normal 6 9 2 7" xfId="48014"/>
    <cellStyle name="Normal 6 9 3" xfId="4158"/>
    <cellStyle name="Normal 6 9 3 2" xfId="10690"/>
    <cellStyle name="Normal 6 9 3 2 2" xfId="30163"/>
    <cellStyle name="Normal 6 9 3 2 3" xfId="43143"/>
    <cellStyle name="Normal 6 9 3 2 4" xfId="59372"/>
    <cellStyle name="Normal 6 9 3 3" xfId="17183"/>
    <cellStyle name="Normal 6 9 3 4" xfId="23673"/>
    <cellStyle name="Normal 6 9 3 5" xfId="36653"/>
    <cellStyle name="Normal 6 9 3 6" xfId="52882"/>
    <cellStyle name="Normal 6 9 4" xfId="7445"/>
    <cellStyle name="Normal 6 9 4 2" xfId="26918"/>
    <cellStyle name="Normal 6 9 4 3" xfId="39898"/>
    <cellStyle name="Normal 6 9 4 4" xfId="56127"/>
    <cellStyle name="Normal 6 9 5" xfId="13938"/>
    <cellStyle name="Normal 6 9 5 2" xfId="49637"/>
    <cellStyle name="Normal 6 9 6" xfId="20428"/>
    <cellStyle name="Normal 6 9 7" xfId="33408"/>
    <cellStyle name="Normal 6 9 8" xfId="46391"/>
    <cellStyle name="Normal 7" xfId="172"/>
    <cellStyle name="Normal 7 10" xfId="1846"/>
    <cellStyle name="Normal 7 10 2" xfId="5092"/>
    <cellStyle name="Normal 7 10 2 2" xfId="11624"/>
    <cellStyle name="Normal 7 10 2 2 2" xfId="31097"/>
    <cellStyle name="Normal 7 10 2 2 3" xfId="44077"/>
    <cellStyle name="Normal 7 10 2 2 4" xfId="60306"/>
    <cellStyle name="Normal 7 10 2 3" xfId="18117"/>
    <cellStyle name="Normal 7 10 2 4" xfId="24607"/>
    <cellStyle name="Normal 7 10 2 5" xfId="37587"/>
    <cellStyle name="Normal 7 10 2 6" xfId="53816"/>
    <cellStyle name="Normal 7 10 3" xfId="8379"/>
    <cellStyle name="Normal 7 10 3 2" xfId="27852"/>
    <cellStyle name="Normal 7 10 3 3" xfId="40832"/>
    <cellStyle name="Normal 7 10 3 4" xfId="57061"/>
    <cellStyle name="Normal 7 10 4" xfId="14872"/>
    <cellStyle name="Normal 7 10 4 2" xfId="50571"/>
    <cellStyle name="Normal 7 10 5" xfId="21362"/>
    <cellStyle name="Normal 7 10 6" xfId="34342"/>
    <cellStyle name="Normal 7 10 7" xfId="47325"/>
    <cellStyle name="Normal 7 11" xfId="3468"/>
    <cellStyle name="Normal 7 11 2" xfId="10000"/>
    <cellStyle name="Normal 7 11 2 2" xfId="29473"/>
    <cellStyle name="Normal 7 11 2 3" xfId="42453"/>
    <cellStyle name="Normal 7 11 2 4" xfId="58682"/>
    <cellStyle name="Normal 7 11 3" xfId="16493"/>
    <cellStyle name="Normal 7 11 4" xfId="22983"/>
    <cellStyle name="Normal 7 11 5" xfId="35963"/>
    <cellStyle name="Normal 7 11 6" xfId="52192"/>
    <cellStyle name="Normal 7 12" xfId="6755"/>
    <cellStyle name="Normal 7 12 2" xfId="26228"/>
    <cellStyle name="Normal 7 12 3" xfId="39208"/>
    <cellStyle name="Normal 7 12 4" xfId="55437"/>
    <cellStyle name="Normal 7 13" xfId="13248"/>
    <cellStyle name="Normal 7 13 2" xfId="48947"/>
    <cellStyle name="Normal 7 14" xfId="19738"/>
    <cellStyle name="Normal 7 15" xfId="32718"/>
    <cellStyle name="Normal 7 16" xfId="45701"/>
    <cellStyle name="Normal 7 17" xfId="61964"/>
    <cellStyle name="Normal 7 2" xfId="195"/>
    <cellStyle name="Normal 7 2 10" xfId="6777"/>
    <cellStyle name="Normal 7 2 10 2" xfId="26250"/>
    <cellStyle name="Normal 7 2 10 3" xfId="39230"/>
    <cellStyle name="Normal 7 2 10 4" xfId="55459"/>
    <cellStyle name="Normal 7 2 11" xfId="13270"/>
    <cellStyle name="Normal 7 2 11 2" xfId="48969"/>
    <cellStyle name="Normal 7 2 12" xfId="19760"/>
    <cellStyle name="Normal 7 2 13" xfId="32740"/>
    <cellStyle name="Normal 7 2 14" xfId="45723"/>
    <cellStyle name="Normal 7 2 15" xfId="61967"/>
    <cellStyle name="Normal 7 2 2" xfId="284"/>
    <cellStyle name="Normal 7 2 2 10" xfId="19848"/>
    <cellStyle name="Normal 7 2 2 11" xfId="32828"/>
    <cellStyle name="Normal 7 2 2 12" xfId="45811"/>
    <cellStyle name="Normal 7 2 2 13" xfId="61989"/>
    <cellStyle name="Normal 7 2 2 2" xfId="372"/>
    <cellStyle name="Normal 7 2 2 2 10" xfId="32916"/>
    <cellStyle name="Normal 7 2 2 2 11" xfId="45899"/>
    <cellStyle name="Normal 7 2 2 2 2" xfId="836"/>
    <cellStyle name="Normal 7 2 2 2 2 10" xfId="46359"/>
    <cellStyle name="Normal 7 2 2 2 2 2" xfId="1775"/>
    <cellStyle name="Normal 7 2 2 2 2 2 2" xfId="3442"/>
    <cellStyle name="Normal 7 2 2 2 2 2 2 2" xfId="6687"/>
    <cellStyle name="Normal 7 2 2 2 2 2 2 2 2" xfId="13219"/>
    <cellStyle name="Normal 7 2 2 2 2 2 2 2 2 2" xfId="32692"/>
    <cellStyle name="Normal 7 2 2 2 2 2 2 2 2 3" xfId="45672"/>
    <cellStyle name="Normal 7 2 2 2 2 2 2 2 2 4" xfId="61901"/>
    <cellStyle name="Normal 7 2 2 2 2 2 2 2 3" xfId="19712"/>
    <cellStyle name="Normal 7 2 2 2 2 2 2 2 4" xfId="26202"/>
    <cellStyle name="Normal 7 2 2 2 2 2 2 2 5" xfId="39182"/>
    <cellStyle name="Normal 7 2 2 2 2 2 2 2 6" xfId="55411"/>
    <cellStyle name="Normal 7 2 2 2 2 2 2 3" xfId="9974"/>
    <cellStyle name="Normal 7 2 2 2 2 2 2 3 2" xfId="29447"/>
    <cellStyle name="Normal 7 2 2 2 2 2 2 3 3" xfId="42427"/>
    <cellStyle name="Normal 7 2 2 2 2 2 2 3 4" xfId="58656"/>
    <cellStyle name="Normal 7 2 2 2 2 2 2 4" xfId="16467"/>
    <cellStyle name="Normal 7 2 2 2 2 2 2 4 2" xfId="52166"/>
    <cellStyle name="Normal 7 2 2 2 2 2 2 5" xfId="22957"/>
    <cellStyle name="Normal 7 2 2 2 2 2 2 6" xfId="35937"/>
    <cellStyle name="Normal 7 2 2 2 2 2 2 7" xfId="48920"/>
    <cellStyle name="Normal 7 2 2 2 2 2 3" xfId="5064"/>
    <cellStyle name="Normal 7 2 2 2 2 2 3 2" xfId="11596"/>
    <cellStyle name="Normal 7 2 2 2 2 2 3 2 2" xfId="31069"/>
    <cellStyle name="Normal 7 2 2 2 2 2 3 2 3" xfId="44049"/>
    <cellStyle name="Normal 7 2 2 2 2 2 3 2 4" xfId="60278"/>
    <cellStyle name="Normal 7 2 2 2 2 2 3 3" xfId="18089"/>
    <cellStyle name="Normal 7 2 2 2 2 2 3 4" xfId="24579"/>
    <cellStyle name="Normal 7 2 2 2 2 2 3 5" xfId="37559"/>
    <cellStyle name="Normal 7 2 2 2 2 2 3 6" xfId="53788"/>
    <cellStyle name="Normal 7 2 2 2 2 2 4" xfId="8351"/>
    <cellStyle name="Normal 7 2 2 2 2 2 4 2" xfId="27824"/>
    <cellStyle name="Normal 7 2 2 2 2 2 4 3" xfId="40804"/>
    <cellStyle name="Normal 7 2 2 2 2 2 4 4" xfId="57033"/>
    <cellStyle name="Normal 7 2 2 2 2 2 5" xfId="14844"/>
    <cellStyle name="Normal 7 2 2 2 2 2 5 2" xfId="50543"/>
    <cellStyle name="Normal 7 2 2 2 2 2 6" xfId="21334"/>
    <cellStyle name="Normal 7 2 2 2 2 2 7" xfId="34314"/>
    <cellStyle name="Normal 7 2 2 2 2 2 8" xfId="47297"/>
    <cellStyle name="Normal 7 2 2 2 2 3" xfId="1312"/>
    <cellStyle name="Normal 7 2 2 2 2 3 2" xfId="2979"/>
    <cellStyle name="Normal 7 2 2 2 2 3 2 2" xfId="6224"/>
    <cellStyle name="Normal 7 2 2 2 2 3 2 2 2" xfId="12756"/>
    <cellStyle name="Normal 7 2 2 2 2 3 2 2 2 2" xfId="32229"/>
    <cellStyle name="Normal 7 2 2 2 2 3 2 2 2 3" xfId="45209"/>
    <cellStyle name="Normal 7 2 2 2 2 3 2 2 2 4" xfId="61438"/>
    <cellStyle name="Normal 7 2 2 2 2 3 2 2 3" xfId="19249"/>
    <cellStyle name="Normal 7 2 2 2 2 3 2 2 4" xfId="25739"/>
    <cellStyle name="Normal 7 2 2 2 2 3 2 2 5" xfId="38719"/>
    <cellStyle name="Normal 7 2 2 2 2 3 2 2 6" xfId="54948"/>
    <cellStyle name="Normal 7 2 2 2 2 3 2 3" xfId="9511"/>
    <cellStyle name="Normal 7 2 2 2 2 3 2 3 2" xfId="28984"/>
    <cellStyle name="Normal 7 2 2 2 2 3 2 3 3" xfId="41964"/>
    <cellStyle name="Normal 7 2 2 2 2 3 2 3 4" xfId="58193"/>
    <cellStyle name="Normal 7 2 2 2 2 3 2 4" xfId="16004"/>
    <cellStyle name="Normal 7 2 2 2 2 3 2 4 2" xfId="51703"/>
    <cellStyle name="Normal 7 2 2 2 2 3 2 5" xfId="22494"/>
    <cellStyle name="Normal 7 2 2 2 2 3 2 6" xfId="35474"/>
    <cellStyle name="Normal 7 2 2 2 2 3 2 7" xfId="48457"/>
    <cellStyle name="Normal 7 2 2 2 2 3 3" xfId="4601"/>
    <cellStyle name="Normal 7 2 2 2 2 3 3 2" xfId="11133"/>
    <cellStyle name="Normal 7 2 2 2 2 3 3 2 2" xfId="30606"/>
    <cellStyle name="Normal 7 2 2 2 2 3 3 2 3" xfId="43586"/>
    <cellStyle name="Normal 7 2 2 2 2 3 3 2 4" xfId="59815"/>
    <cellStyle name="Normal 7 2 2 2 2 3 3 3" xfId="17626"/>
    <cellStyle name="Normal 7 2 2 2 2 3 3 4" xfId="24116"/>
    <cellStyle name="Normal 7 2 2 2 2 3 3 5" xfId="37096"/>
    <cellStyle name="Normal 7 2 2 2 2 3 3 6" xfId="53325"/>
    <cellStyle name="Normal 7 2 2 2 2 3 4" xfId="7888"/>
    <cellStyle name="Normal 7 2 2 2 2 3 4 2" xfId="27361"/>
    <cellStyle name="Normal 7 2 2 2 2 3 4 3" xfId="40341"/>
    <cellStyle name="Normal 7 2 2 2 2 3 4 4" xfId="56570"/>
    <cellStyle name="Normal 7 2 2 2 2 3 5" xfId="14381"/>
    <cellStyle name="Normal 7 2 2 2 2 3 5 2" xfId="50080"/>
    <cellStyle name="Normal 7 2 2 2 2 3 6" xfId="20871"/>
    <cellStyle name="Normal 7 2 2 2 2 3 7" xfId="33851"/>
    <cellStyle name="Normal 7 2 2 2 2 3 8" xfId="46834"/>
    <cellStyle name="Normal 7 2 2 2 2 4" xfId="2504"/>
    <cellStyle name="Normal 7 2 2 2 2 4 2" xfId="5749"/>
    <cellStyle name="Normal 7 2 2 2 2 4 2 2" xfId="12281"/>
    <cellStyle name="Normal 7 2 2 2 2 4 2 2 2" xfId="31754"/>
    <cellStyle name="Normal 7 2 2 2 2 4 2 2 3" xfId="44734"/>
    <cellStyle name="Normal 7 2 2 2 2 4 2 2 4" xfId="60963"/>
    <cellStyle name="Normal 7 2 2 2 2 4 2 3" xfId="18774"/>
    <cellStyle name="Normal 7 2 2 2 2 4 2 4" xfId="25264"/>
    <cellStyle name="Normal 7 2 2 2 2 4 2 5" xfId="38244"/>
    <cellStyle name="Normal 7 2 2 2 2 4 2 6" xfId="54473"/>
    <cellStyle name="Normal 7 2 2 2 2 4 3" xfId="9036"/>
    <cellStyle name="Normal 7 2 2 2 2 4 3 2" xfId="28509"/>
    <cellStyle name="Normal 7 2 2 2 2 4 3 3" xfId="41489"/>
    <cellStyle name="Normal 7 2 2 2 2 4 3 4" xfId="57718"/>
    <cellStyle name="Normal 7 2 2 2 2 4 4" xfId="15529"/>
    <cellStyle name="Normal 7 2 2 2 2 4 4 2" xfId="51228"/>
    <cellStyle name="Normal 7 2 2 2 2 4 5" xfId="22019"/>
    <cellStyle name="Normal 7 2 2 2 2 4 6" xfId="34999"/>
    <cellStyle name="Normal 7 2 2 2 2 4 7" xfId="47982"/>
    <cellStyle name="Normal 7 2 2 2 2 5" xfId="4126"/>
    <cellStyle name="Normal 7 2 2 2 2 5 2" xfId="10658"/>
    <cellStyle name="Normal 7 2 2 2 2 5 2 2" xfId="30131"/>
    <cellStyle name="Normal 7 2 2 2 2 5 2 3" xfId="43111"/>
    <cellStyle name="Normal 7 2 2 2 2 5 2 4" xfId="59340"/>
    <cellStyle name="Normal 7 2 2 2 2 5 3" xfId="17151"/>
    <cellStyle name="Normal 7 2 2 2 2 5 4" xfId="23641"/>
    <cellStyle name="Normal 7 2 2 2 2 5 5" xfId="36621"/>
    <cellStyle name="Normal 7 2 2 2 2 5 6" xfId="52850"/>
    <cellStyle name="Normal 7 2 2 2 2 6" xfId="7413"/>
    <cellStyle name="Normal 7 2 2 2 2 6 2" xfId="26886"/>
    <cellStyle name="Normal 7 2 2 2 2 6 3" xfId="39866"/>
    <cellStyle name="Normal 7 2 2 2 2 6 4" xfId="56095"/>
    <cellStyle name="Normal 7 2 2 2 2 7" xfId="13906"/>
    <cellStyle name="Normal 7 2 2 2 2 7 2" xfId="49605"/>
    <cellStyle name="Normal 7 2 2 2 2 8" xfId="20396"/>
    <cellStyle name="Normal 7 2 2 2 2 9" xfId="33376"/>
    <cellStyle name="Normal 7 2 2 2 3" xfId="606"/>
    <cellStyle name="Normal 7 2 2 2 3 2" xfId="1555"/>
    <cellStyle name="Normal 7 2 2 2 3 2 2" xfId="3222"/>
    <cellStyle name="Normal 7 2 2 2 3 2 2 2" xfId="6467"/>
    <cellStyle name="Normal 7 2 2 2 3 2 2 2 2" xfId="12999"/>
    <cellStyle name="Normal 7 2 2 2 3 2 2 2 2 2" xfId="32472"/>
    <cellStyle name="Normal 7 2 2 2 3 2 2 2 2 3" xfId="45452"/>
    <cellStyle name="Normal 7 2 2 2 3 2 2 2 2 4" xfId="61681"/>
    <cellStyle name="Normal 7 2 2 2 3 2 2 2 3" xfId="19492"/>
    <cellStyle name="Normal 7 2 2 2 3 2 2 2 4" xfId="25982"/>
    <cellStyle name="Normal 7 2 2 2 3 2 2 2 5" xfId="38962"/>
    <cellStyle name="Normal 7 2 2 2 3 2 2 2 6" xfId="55191"/>
    <cellStyle name="Normal 7 2 2 2 3 2 2 3" xfId="9754"/>
    <cellStyle name="Normal 7 2 2 2 3 2 2 3 2" xfId="29227"/>
    <cellStyle name="Normal 7 2 2 2 3 2 2 3 3" xfId="42207"/>
    <cellStyle name="Normal 7 2 2 2 3 2 2 3 4" xfId="58436"/>
    <cellStyle name="Normal 7 2 2 2 3 2 2 4" xfId="16247"/>
    <cellStyle name="Normal 7 2 2 2 3 2 2 4 2" xfId="51946"/>
    <cellStyle name="Normal 7 2 2 2 3 2 2 5" xfId="22737"/>
    <cellStyle name="Normal 7 2 2 2 3 2 2 6" xfId="35717"/>
    <cellStyle name="Normal 7 2 2 2 3 2 2 7" xfId="48700"/>
    <cellStyle name="Normal 7 2 2 2 3 2 3" xfId="4844"/>
    <cellStyle name="Normal 7 2 2 2 3 2 3 2" xfId="11376"/>
    <cellStyle name="Normal 7 2 2 2 3 2 3 2 2" xfId="30849"/>
    <cellStyle name="Normal 7 2 2 2 3 2 3 2 3" xfId="43829"/>
    <cellStyle name="Normal 7 2 2 2 3 2 3 2 4" xfId="60058"/>
    <cellStyle name="Normal 7 2 2 2 3 2 3 3" xfId="17869"/>
    <cellStyle name="Normal 7 2 2 2 3 2 3 4" xfId="24359"/>
    <cellStyle name="Normal 7 2 2 2 3 2 3 5" xfId="37339"/>
    <cellStyle name="Normal 7 2 2 2 3 2 3 6" xfId="53568"/>
    <cellStyle name="Normal 7 2 2 2 3 2 4" xfId="8131"/>
    <cellStyle name="Normal 7 2 2 2 3 2 4 2" xfId="27604"/>
    <cellStyle name="Normal 7 2 2 2 3 2 4 3" xfId="40584"/>
    <cellStyle name="Normal 7 2 2 2 3 2 4 4" xfId="56813"/>
    <cellStyle name="Normal 7 2 2 2 3 2 5" xfId="14624"/>
    <cellStyle name="Normal 7 2 2 2 3 2 5 2" xfId="50323"/>
    <cellStyle name="Normal 7 2 2 2 3 2 6" xfId="21114"/>
    <cellStyle name="Normal 7 2 2 2 3 2 7" xfId="34094"/>
    <cellStyle name="Normal 7 2 2 2 3 2 8" xfId="47077"/>
    <cellStyle name="Normal 7 2 2 2 3 3" xfId="2274"/>
    <cellStyle name="Normal 7 2 2 2 3 3 2" xfId="5519"/>
    <cellStyle name="Normal 7 2 2 2 3 3 2 2" xfId="12051"/>
    <cellStyle name="Normal 7 2 2 2 3 3 2 2 2" xfId="31524"/>
    <cellStyle name="Normal 7 2 2 2 3 3 2 2 3" xfId="44504"/>
    <cellStyle name="Normal 7 2 2 2 3 3 2 2 4" xfId="60733"/>
    <cellStyle name="Normal 7 2 2 2 3 3 2 3" xfId="18544"/>
    <cellStyle name="Normal 7 2 2 2 3 3 2 4" xfId="25034"/>
    <cellStyle name="Normal 7 2 2 2 3 3 2 5" xfId="38014"/>
    <cellStyle name="Normal 7 2 2 2 3 3 2 6" xfId="54243"/>
    <cellStyle name="Normal 7 2 2 2 3 3 3" xfId="8806"/>
    <cellStyle name="Normal 7 2 2 2 3 3 3 2" xfId="28279"/>
    <cellStyle name="Normal 7 2 2 2 3 3 3 3" xfId="41259"/>
    <cellStyle name="Normal 7 2 2 2 3 3 3 4" xfId="57488"/>
    <cellStyle name="Normal 7 2 2 2 3 3 4" xfId="15299"/>
    <cellStyle name="Normal 7 2 2 2 3 3 4 2" xfId="50998"/>
    <cellStyle name="Normal 7 2 2 2 3 3 5" xfId="21789"/>
    <cellStyle name="Normal 7 2 2 2 3 3 6" xfId="34769"/>
    <cellStyle name="Normal 7 2 2 2 3 3 7" xfId="47752"/>
    <cellStyle name="Normal 7 2 2 2 3 4" xfId="3896"/>
    <cellStyle name="Normal 7 2 2 2 3 4 2" xfId="10428"/>
    <cellStyle name="Normal 7 2 2 2 3 4 2 2" xfId="29901"/>
    <cellStyle name="Normal 7 2 2 2 3 4 2 3" xfId="42881"/>
    <cellStyle name="Normal 7 2 2 2 3 4 2 4" xfId="59110"/>
    <cellStyle name="Normal 7 2 2 2 3 4 3" xfId="16921"/>
    <cellStyle name="Normal 7 2 2 2 3 4 4" xfId="23411"/>
    <cellStyle name="Normal 7 2 2 2 3 4 5" xfId="36391"/>
    <cellStyle name="Normal 7 2 2 2 3 4 6" xfId="52620"/>
    <cellStyle name="Normal 7 2 2 2 3 5" xfId="7183"/>
    <cellStyle name="Normal 7 2 2 2 3 5 2" xfId="26656"/>
    <cellStyle name="Normal 7 2 2 2 3 5 3" xfId="39636"/>
    <cellStyle name="Normal 7 2 2 2 3 5 4" xfId="55865"/>
    <cellStyle name="Normal 7 2 2 2 3 6" xfId="13676"/>
    <cellStyle name="Normal 7 2 2 2 3 6 2" xfId="49375"/>
    <cellStyle name="Normal 7 2 2 2 3 7" xfId="20166"/>
    <cellStyle name="Normal 7 2 2 2 3 8" xfId="33146"/>
    <cellStyle name="Normal 7 2 2 2 3 9" xfId="46129"/>
    <cellStyle name="Normal 7 2 2 2 4" xfId="1092"/>
    <cellStyle name="Normal 7 2 2 2 4 2" xfId="2759"/>
    <cellStyle name="Normal 7 2 2 2 4 2 2" xfId="6004"/>
    <cellStyle name="Normal 7 2 2 2 4 2 2 2" xfId="12536"/>
    <cellStyle name="Normal 7 2 2 2 4 2 2 2 2" xfId="32009"/>
    <cellStyle name="Normal 7 2 2 2 4 2 2 2 3" xfId="44989"/>
    <cellStyle name="Normal 7 2 2 2 4 2 2 2 4" xfId="61218"/>
    <cellStyle name="Normal 7 2 2 2 4 2 2 3" xfId="19029"/>
    <cellStyle name="Normal 7 2 2 2 4 2 2 4" xfId="25519"/>
    <cellStyle name="Normal 7 2 2 2 4 2 2 5" xfId="38499"/>
    <cellStyle name="Normal 7 2 2 2 4 2 2 6" xfId="54728"/>
    <cellStyle name="Normal 7 2 2 2 4 2 3" xfId="9291"/>
    <cellStyle name="Normal 7 2 2 2 4 2 3 2" xfId="28764"/>
    <cellStyle name="Normal 7 2 2 2 4 2 3 3" xfId="41744"/>
    <cellStyle name="Normal 7 2 2 2 4 2 3 4" xfId="57973"/>
    <cellStyle name="Normal 7 2 2 2 4 2 4" xfId="15784"/>
    <cellStyle name="Normal 7 2 2 2 4 2 4 2" xfId="51483"/>
    <cellStyle name="Normal 7 2 2 2 4 2 5" xfId="22274"/>
    <cellStyle name="Normal 7 2 2 2 4 2 6" xfId="35254"/>
    <cellStyle name="Normal 7 2 2 2 4 2 7" xfId="48237"/>
    <cellStyle name="Normal 7 2 2 2 4 3" xfId="4381"/>
    <cellStyle name="Normal 7 2 2 2 4 3 2" xfId="10913"/>
    <cellStyle name="Normal 7 2 2 2 4 3 2 2" xfId="30386"/>
    <cellStyle name="Normal 7 2 2 2 4 3 2 3" xfId="43366"/>
    <cellStyle name="Normal 7 2 2 2 4 3 2 4" xfId="59595"/>
    <cellStyle name="Normal 7 2 2 2 4 3 3" xfId="17406"/>
    <cellStyle name="Normal 7 2 2 2 4 3 4" xfId="23896"/>
    <cellStyle name="Normal 7 2 2 2 4 3 5" xfId="36876"/>
    <cellStyle name="Normal 7 2 2 2 4 3 6" xfId="53105"/>
    <cellStyle name="Normal 7 2 2 2 4 4" xfId="7668"/>
    <cellStyle name="Normal 7 2 2 2 4 4 2" xfId="27141"/>
    <cellStyle name="Normal 7 2 2 2 4 4 3" xfId="40121"/>
    <cellStyle name="Normal 7 2 2 2 4 4 4" xfId="56350"/>
    <cellStyle name="Normal 7 2 2 2 4 5" xfId="14161"/>
    <cellStyle name="Normal 7 2 2 2 4 5 2" xfId="49860"/>
    <cellStyle name="Normal 7 2 2 2 4 6" xfId="20651"/>
    <cellStyle name="Normal 7 2 2 2 4 7" xfId="33631"/>
    <cellStyle name="Normal 7 2 2 2 4 8" xfId="46614"/>
    <cellStyle name="Normal 7 2 2 2 5" xfId="2045"/>
    <cellStyle name="Normal 7 2 2 2 5 2" xfId="5290"/>
    <cellStyle name="Normal 7 2 2 2 5 2 2" xfId="11822"/>
    <cellStyle name="Normal 7 2 2 2 5 2 2 2" xfId="31295"/>
    <cellStyle name="Normal 7 2 2 2 5 2 2 3" xfId="44275"/>
    <cellStyle name="Normal 7 2 2 2 5 2 2 4" xfId="60504"/>
    <cellStyle name="Normal 7 2 2 2 5 2 3" xfId="18315"/>
    <cellStyle name="Normal 7 2 2 2 5 2 4" xfId="24805"/>
    <cellStyle name="Normal 7 2 2 2 5 2 5" xfId="37785"/>
    <cellStyle name="Normal 7 2 2 2 5 2 6" xfId="54014"/>
    <cellStyle name="Normal 7 2 2 2 5 3" xfId="8577"/>
    <cellStyle name="Normal 7 2 2 2 5 3 2" xfId="28050"/>
    <cellStyle name="Normal 7 2 2 2 5 3 3" xfId="41030"/>
    <cellStyle name="Normal 7 2 2 2 5 3 4" xfId="57259"/>
    <cellStyle name="Normal 7 2 2 2 5 4" xfId="15070"/>
    <cellStyle name="Normal 7 2 2 2 5 4 2" xfId="50769"/>
    <cellStyle name="Normal 7 2 2 2 5 5" xfId="21560"/>
    <cellStyle name="Normal 7 2 2 2 5 6" xfId="34540"/>
    <cellStyle name="Normal 7 2 2 2 5 7" xfId="47523"/>
    <cellStyle name="Normal 7 2 2 2 6" xfId="3666"/>
    <cellStyle name="Normal 7 2 2 2 6 2" xfId="10198"/>
    <cellStyle name="Normal 7 2 2 2 6 2 2" xfId="29671"/>
    <cellStyle name="Normal 7 2 2 2 6 2 3" xfId="42651"/>
    <cellStyle name="Normal 7 2 2 2 6 2 4" xfId="58880"/>
    <cellStyle name="Normal 7 2 2 2 6 3" xfId="16691"/>
    <cellStyle name="Normal 7 2 2 2 6 4" xfId="23181"/>
    <cellStyle name="Normal 7 2 2 2 6 5" xfId="36161"/>
    <cellStyle name="Normal 7 2 2 2 6 6" xfId="52390"/>
    <cellStyle name="Normal 7 2 2 2 7" xfId="6953"/>
    <cellStyle name="Normal 7 2 2 2 7 2" xfId="26426"/>
    <cellStyle name="Normal 7 2 2 2 7 3" xfId="39406"/>
    <cellStyle name="Normal 7 2 2 2 7 4" xfId="55635"/>
    <cellStyle name="Normal 7 2 2 2 8" xfId="13446"/>
    <cellStyle name="Normal 7 2 2 2 8 2" xfId="49145"/>
    <cellStyle name="Normal 7 2 2 2 9" xfId="19936"/>
    <cellStyle name="Normal 7 2 2 3" xfId="748"/>
    <cellStyle name="Normal 7 2 2 3 10" xfId="46271"/>
    <cellStyle name="Normal 7 2 2 3 2" xfId="1687"/>
    <cellStyle name="Normal 7 2 2 3 2 2" xfId="3354"/>
    <cellStyle name="Normal 7 2 2 3 2 2 2" xfId="6599"/>
    <cellStyle name="Normal 7 2 2 3 2 2 2 2" xfId="13131"/>
    <cellStyle name="Normal 7 2 2 3 2 2 2 2 2" xfId="32604"/>
    <cellStyle name="Normal 7 2 2 3 2 2 2 2 3" xfId="45584"/>
    <cellStyle name="Normal 7 2 2 3 2 2 2 2 4" xfId="61813"/>
    <cellStyle name="Normal 7 2 2 3 2 2 2 3" xfId="19624"/>
    <cellStyle name="Normal 7 2 2 3 2 2 2 4" xfId="26114"/>
    <cellStyle name="Normal 7 2 2 3 2 2 2 5" xfId="39094"/>
    <cellStyle name="Normal 7 2 2 3 2 2 2 6" xfId="55323"/>
    <cellStyle name="Normal 7 2 2 3 2 2 3" xfId="9886"/>
    <cellStyle name="Normal 7 2 2 3 2 2 3 2" xfId="29359"/>
    <cellStyle name="Normal 7 2 2 3 2 2 3 3" xfId="42339"/>
    <cellStyle name="Normal 7 2 2 3 2 2 3 4" xfId="58568"/>
    <cellStyle name="Normal 7 2 2 3 2 2 4" xfId="16379"/>
    <cellStyle name="Normal 7 2 2 3 2 2 4 2" xfId="52078"/>
    <cellStyle name="Normal 7 2 2 3 2 2 5" xfId="22869"/>
    <cellStyle name="Normal 7 2 2 3 2 2 6" xfId="35849"/>
    <cellStyle name="Normal 7 2 2 3 2 2 7" xfId="48832"/>
    <cellStyle name="Normal 7 2 2 3 2 3" xfId="4976"/>
    <cellStyle name="Normal 7 2 2 3 2 3 2" xfId="11508"/>
    <cellStyle name="Normal 7 2 2 3 2 3 2 2" xfId="30981"/>
    <cellStyle name="Normal 7 2 2 3 2 3 2 3" xfId="43961"/>
    <cellStyle name="Normal 7 2 2 3 2 3 2 4" xfId="60190"/>
    <cellStyle name="Normal 7 2 2 3 2 3 3" xfId="18001"/>
    <cellStyle name="Normal 7 2 2 3 2 3 4" xfId="24491"/>
    <cellStyle name="Normal 7 2 2 3 2 3 5" xfId="37471"/>
    <cellStyle name="Normal 7 2 2 3 2 3 6" xfId="53700"/>
    <cellStyle name="Normal 7 2 2 3 2 4" xfId="8263"/>
    <cellStyle name="Normal 7 2 2 3 2 4 2" xfId="27736"/>
    <cellStyle name="Normal 7 2 2 3 2 4 3" xfId="40716"/>
    <cellStyle name="Normal 7 2 2 3 2 4 4" xfId="56945"/>
    <cellStyle name="Normal 7 2 2 3 2 5" xfId="14756"/>
    <cellStyle name="Normal 7 2 2 3 2 5 2" xfId="50455"/>
    <cellStyle name="Normal 7 2 2 3 2 6" xfId="21246"/>
    <cellStyle name="Normal 7 2 2 3 2 7" xfId="34226"/>
    <cellStyle name="Normal 7 2 2 3 2 8" xfId="47209"/>
    <cellStyle name="Normal 7 2 2 3 3" xfId="1224"/>
    <cellStyle name="Normal 7 2 2 3 3 2" xfId="2891"/>
    <cellStyle name="Normal 7 2 2 3 3 2 2" xfId="6136"/>
    <cellStyle name="Normal 7 2 2 3 3 2 2 2" xfId="12668"/>
    <cellStyle name="Normal 7 2 2 3 3 2 2 2 2" xfId="32141"/>
    <cellStyle name="Normal 7 2 2 3 3 2 2 2 3" xfId="45121"/>
    <cellStyle name="Normal 7 2 2 3 3 2 2 2 4" xfId="61350"/>
    <cellStyle name="Normal 7 2 2 3 3 2 2 3" xfId="19161"/>
    <cellStyle name="Normal 7 2 2 3 3 2 2 4" xfId="25651"/>
    <cellStyle name="Normal 7 2 2 3 3 2 2 5" xfId="38631"/>
    <cellStyle name="Normal 7 2 2 3 3 2 2 6" xfId="54860"/>
    <cellStyle name="Normal 7 2 2 3 3 2 3" xfId="9423"/>
    <cellStyle name="Normal 7 2 2 3 3 2 3 2" xfId="28896"/>
    <cellStyle name="Normal 7 2 2 3 3 2 3 3" xfId="41876"/>
    <cellStyle name="Normal 7 2 2 3 3 2 3 4" xfId="58105"/>
    <cellStyle name="Normal 7 2 2 3 3 2 4" xfId="15916"/>
    <cellStyle name="Normal 7 2 2 3 3 2 4 2" xfId="51615"/>
    <cellStyle name="Normal 7 2 2 3 3 2 5" xfId="22406"/>
    <cellStyle name="Normal 7 2 2 3 3 2 6" xfId="35386"/>
    <cellStyle name="Normal 7 2 2 3 3 2 7" xfId="48369"/>
    <cellStyle name="Normal 7 2 2 3 3 3" xfId="4513"/>
    <cellStyle name="Normal 7 2 2 3 3 3 2" xfId="11045"/>
    <cellStyle name="Normal 7 2 2 3 3 3 2 2" xfId="30518"/>
    <cellStyle name="Normal 7 2 2 3 3 3 2 3" xfId="43498"/>
    <cellStyle name="Normal 7 2 2 3 3 3 2 4" xfId="59727"/>
    <cellStyle name="Normal 7 2 2 3 3 3 3" xfId="17538"/>
    <cellStyle name="Normal 7 2 2 3 3 3 4" xfId="24028"/>
    <cellStyle name="Normal 7 2 2 3 3 3 5" xfId="37008"/>
    <cellStyle name="Normal 7 2 2 3 3 3 6" xfId="53237"/>
    <cellStyle name="Normal 7 2 2 3 3 4" xfId="7800"/>
    <cellStyle name="Normal 7 2 2 3 3 4 2" xfId="27273"/>
    <cellStyle name="Normal 7 2 2 3 3 4 3" xfId="40253"/>
    <cellStyle name="Normal 7 2 2 3 3 4 4" xfId="56482"/>
    <cellStyle name="Normal 7 2 2 3 3 5" xfId="14293"/>
    <cellStyle name="Normal 7 2 2 3 3 5 2" xfId="49992"/>
    <cellStyle name="Normal 7 2 2 3 3 6" xfId="20783"/>
    <cellStyle name="Normal 7 2 2 3 3 7" xfId="33763"/>
    <cellStyle name="Normal 7 2 2 3 3 8" xfId="46746"/>
    <cellStyle name="Normal 7 2 2 3 4" xfId="2416"/>
    <cellStyle name="Normal 7 2 2 3 4 2" xfId="5661"/>
    <cellStyle name="Normal 7 2 2 3 4 2 2" xfId="12193"/>
    <cellStyle name="Normal 7 2 2 3 4 2 2 2" xfId="31666"/>
    <cellStyle name="Normal 7 2 2 3 4 2 2 3" xfId="44646"/>
    <cellStyle name="Normal 7 2 2 3 4 2 2 4" xfId="60875"/>
    <cellStyle name="Normal 7 2 2 3 4 2 3" xfId="18686"/>
    <cellStyle name="Normal 7 2 2 3 4 2 4" xfId="25176"/>
    <cellStyle name="Normal 7 2 2 3 4 2 5" xfId="38156"/>
    <cellStyle name="Normal 7 2 2 3 4 2 6" xfId="54385"/>
    <cellStyle name="Normal 7 2 2 3 4 3" xfId="8948"/>
    <cellStyle name="Normal 7 2 2 3 4 3 2" xfId="28421"/>
    <cellStyle name="Normal 7 2 2 3 4 3 3" xfId="41401"/>
    <cellStyle name="Normal 7 2 2 3 4 3 4" xfId="57630"/>
    <cellStyle name="Normal 7 2 2 3 4 4" xfId="15441"/>
    <cellStyle name="Normal 7 2 2 3 4 4 2" xfId="51140"/>
    <cellStyle name="Normal 7 2 2 3 4 5" xfId="21931"/>
    <cellStyle name="Normal 7 2 2 3 4 6" xfId="34911"/>
    <cellStyle name="Normal 7 2 2 3 4 7" xfId="47894"/>
    <cellStyle name="Normal 7 2 2 3 5" xfId="4038"/>
    <cellStyle name="Normal 7 2 2 3 5 2" xfId="10570"/>
    <cellStyle name="Normal 7 2 2 3 5 2 2" xfId="30043"/>
    <cellStyle name="Normal 7 2 2 3 5 2 3" xfId="43023"/>
    <cellStyle name="Normal 7 2 2 3 5 2 4" xfId="59252"/>
    <cellStyle name="Normal 7 2 2 3 5 3" xfId="17063"/>
    <cellStyle name="Normal 7 2 2 3 5 4" xfId="23553"/>
    <cellStyle name="Normal 7 2 2 3 5 5" xfId="36533"/>
    <cellStyle name="Normal 7 2 2 3 5 6" xfId="52762"/>
    <cellStyle name="Normal 7 2 2 3 6" xfId="7325"/>
    <cellStyle name="Normal 7 2 2 3 6 2" xfId="26798"/>
    <cellStyle name="Normal 7 2 2 3 6 3" xfId="39778"/>
    <cellStyle name="Normal 7 2 2 3 6 4" xfId="56007"/>
    <cellStyle name="Normal 7 2 2 3 7" xfId="13818"/>
    <cellStyle name="Normal 7 2 2 3 7 2" xfId="49517"/>
    <cellStyle name="Normal 7 2 2 3 8" xfId="20308"/>
    <cellStyle name="Normal 7 2 2 3 9" xfId="33288"/>
    <cellStyle name="Normal 7 2 2 4" xfId="518"/>
    <cellStyle name="Normal 7 2 2 4 2" xfId="1467"/>
    <cellStyle name="Normal 7 2 2 4 2 2" xfId="3134"/>
    <cellStyle name="Normal 7 2 2 4 2 2 2" xfId="6379"/>
    <cellStyle name="Normal 7 2 2 4 2 2 2 2" xfId="12911"/>
    <cellStyle name="Normal 7 2 2 4 2 2 2 2 2" xfId="32384"/>
    <cellStyle name="Normal 7 2 2 4 2 2 2 2 3" xfId="45364"/>
    <cellStyle name="Normal 7 2 2 4 2 2 2 2 4" xfId="61593"/>
    <cellStyle name="Normal 7 2 2 4 2 2 2 3" xfId="19404"/>
    <cellStyle name="Normal 7 2 2 4 2 2 2 4" xfId="25894"/>
    <cellStyle name="Normal 7 2 2 4 2 2 2 5" xfId="38874"/>
    <cellStyle name="Normal 7 2 2 4 2 2 2 6" xfId="55103"/>
    <cellStyle name="Normal 7 2 2 4 2 2 3" xfId="9666"/>
    <cellStyle name="Normal 7 2 2 4 2 2 3 2" xfId="29139"/>
    <cellStyle name="Normal 7 2 2 4 2 2 3 3" xfId="42119"/>
    <cellStyle name="Normal 7 2 2 4 2 2 3 4" xfId="58348"/>
    <cellStyle name="Normal 7 2 2 4 2 2 4" xfId="16159"/>
    <cellStyle name="Normal 7 2 2 4 2 2 4 2" xfId="51858"/>
    <cellStyle name="Normal 7 2 2 4 2 2 5" xfId="22649"/>
    <cellStyle name="Normal 7 2 2 4 2 2 6" xfId="35629"/>
    <cellStyle name="Normal 7 2 2 4 2 2 7" xfId="48612"/>
    <cellStyle name="Normal 7 2 2 4 2 3" xfId="4756"/>
    <cellStyle name="Normal 7 2 2 4 2 3 2" xfId="11288"/>
    <cellStyle name="Normal 7 2 2 4 2 3 2 2" xfId="30761"/>
    <cellStyle name="Normal 7 2 2 4 2 3 2 3" xfId="43741"/>
    <cellStyle name="Normal 7 2 2 4 2 3 2 4" xfId="59970"/>
    <cellStyle name="Normal 7 2 2 4 2 3 3" xfId="17781"/>
    <cellStyle name="Normal 7 2 2 4 2 3 4" xfId="24271"/>
    <cellStyle name="Normal 7 2 2 4 2 3 5" xfId="37251"/>
    <cellStyle name="Normal 7 2 2 4 2 3 6" xfId="53480"/>
    <cellStyle name="Normal 7 2 2 4 2 4" xfId="8043"/>
    <cellStyle name="Normal 7 2 2 4 2 4 2" xfId="27516"/>
    <cellStyle name="Normal 7 2 2 4 2 4 3" xfId="40496"/>
    <cellStyle name="Normal 7 2 2 4 2 4 4" xfId="56725"/>
    <cellStyle name="Normal 7 2 2 4 2 5" xfId="14536"/>
    <cellStyle name="Normal 7 2 2 4 2 5 2" xfId="50235"/>
    <cellStyle name="Normal 7 2 2 4 2 6" xfId="21026"/>
    <cellStyle name="Normal 7 2 2 4 2 7" xfId="34006"/>
    <cellStyle name="Normal 7 2 2 4 2 8" xfId="46989"/>
    <cellStyle name="Normal 7 2 2 4 3" xfId="2186"/>
    <cellStyle name="Normal 7 2 2 4 3 2" xfId="5431"/>
    <cellStyle name="Normal 7 2 2 4 3 2 2" xfId="11963"/>
    <cellStyle name="Normal 7 2 2 4 3 2 2 2" xfId="31436"/>
    <cellStyle name="Normal 7 2 2 4 3 2 2 3" xfId="44416"/>
    <cellStyle name="Normal 7 2 2 4 3 2 2 4" xfId="60645"/>
    <cellStyle name="Normal 7 2 2 4 3 2 3" xfId="18456"/>
    <cellStyle name="Normal 7 2 2 4 3 2 4" xfId="24946"/>
    <cellStyle name="Normal 7 2 2 4 3 2 5" xfId="37926"/>
    <cellStyle name="Normal 7 2 2 4 3 2 6" xfId="54155"/>
    <cellStyle name="Normal 7 2 2 4 3 3" xfId="8718"/>
    <cellStyle name="Normal 7 2 2 4 3 3 2" xfId="28191"/>
    <cellStyle name="Normal 7 2 2 4 3 3 3" xfId="41171"/>
    <cellStyle name="Normal 7 2 2 4 3 3 4" xfId="57400"/>
    <cellStyle name="Normal 7 2 2 4 3 4" xfId="15211"/>
    <cellStyle name="Normal 7 2 2 4 3 4 2" xfId="50910"/>
    <cellStyle name="Normal 7 2 2 4 3 5" xfId="21701"/>
    <cellStyle name="Normal 7 2 2 4 3 6" xfId="34681"/>
    <cellStyle name="Normal 7 2 2 4 3 7" xfId="47664"/>
    <cellStyle name="Normal 7 2 2 4 4" xfId="3808"/>
    <cellStyle name="Normal 7 2 2 4 4 2" xfId="10340"/>
    <cellStyle name="Normal 7 2 2 4 4 2 2" xfId="29813"/>
    <cellStyle name="Normal 7 2 2 4 4 2 3" xfId="42793"/>
    <cellStyle name="Normal 7 2 2 4 4 2 4" xfId="59022"/>
    <cellStyle name="Normal 7 2 2 4 4 3" xfId="16833"/>
    <cellStyle name="Normal 7 2 2 4 4 4" xfId="23323"/>
    <cellStyle name="Normal 7 2 2 4 4 5" xfId="36303"/>
    <cellStyle name="Normal 7 2 2 4 4 6" xfId="52532"/>
    <cellStyle name="Normal 7 2 2 4 5" xfId="7095"/>
    <cellStyle name="Normal 7 2 2 4 5 2" xfId="26568"/>
    <cellStyle name="Normal 7 2 2 4 5 3" xfId="39548"/>
    <cellStyle name="Normal 7 2 2 4 5 4" xfId="55777"/>
    <cellStyle name="Normal 7 2 2 4 6" xfId="13588"/>
    <cellStyle name="Normal 7 2 2 4 6 2" xfId="49287"/>
    <cellStyle name="Normal 7 2 2 4 7" xfId="20078"/>
    <cellStyle name="Normal 7 2 2 4 8" xfId="33058"/>
    <cellStyle name="Normal 7 2 2 4 9" xfId="46041"/>
    <cellStyle name="Normal 7 2 2 5" xfId="1004"/>
    <cellStyle name="Normal 7 2 2 5 2" xfId="2671"/>
    <cellStyle name="Normal 7 2 2 5 2 2" xfId="5916"/>
    <cellStyle name="Normal 7 2 2 5 2 2 2" xfId="12448"/>
    <cellStyle name="Normal 7 2 2 5 2 2 2 2" xfId="31921"/>
    <cellStyle name="Normal 7 2 2 5 2 2 2 3" xfId="44901"/>
    <cellStyle name="Normal 7 2 2 5 2 2 2 4" xfId="61130"/>
    <cellStyle name="Normal 7 2 2 5 2 2 3" xfId="18941"/>
    <cellStyle name="Normal 7 2 2 5 2 2 4" xfId="25431"/>
    <cellStyle name="Normal 7 2 2 5 2 2 5" xfId="38411"/>
    <cellStyle name="Normal 7 2 2 5 2 2 6" xfId="54640"/>
    <cellStyle name="Normal 7 2 2 5 2 3" xfId="9203"/>
    <cellStyle name="Normal 7 2 2 5 2 3 2" xfId="28676"/>
    <cellStyle name="Normal 7 2 2 5 2 3 3" xfId="41656"/>
    <cellStyle name="Normal 7 2 2 5 2 3 4" xfId="57885"/>
    <cellStyle name="Normal 7 2 2 5 2 4" xfId="15696"/>
    <cellStyle name="Normal 7 2 2 5 2 4 2" xfId="51395"/>
    <cellStyle name="Normal 7 2 2 5 2 5" xfId="22186"/>
    <cellStyle name="Normal 7 2 2 5 2 6" xfId="35166"/>
    <cellStyle name="Normal 7 2 2 5 2 7" xfId="48149"/>
    <cellStyle name="Normal 7 2 2 5 3" xfId="4293"/>
    <cellStyle name="Normal 7 2 2 5 3 2" xfId="10825"/>
    <cellStyle name="Normal 7 2 2 5 3 2 2" xfId="30298"/>
    <cellStyle name="Normal 7 2 2 5 3 2 3" xfId="43278"/>
    <cellStyle name="Normal 7 2 2 5 3 2 4" xfId="59507"/>
    <cellStyle name="Normal 7 2 2 5 3 3" xfId="17318"/>
    <cellStyle name="Normal 7 2 2 5 3 4" xfId="23808"/>
    <cellStyle name="Normal 7 2 2 5 3 5" xfId="36788"/>
    <cellStyle name="Normal 7 2 2 5 3 6" xfId="53017"/>
    <cellStyle name="Normal 7 2 2 5 4" xfId="7580"/>
    <cellStyle name="Normal 7 2 2 5 4 2" xfId="27053"/>
    <cellStyle name="Normal 7 2 2 5 4 3" xfId="40033"/>
    <cellStyle name="Normal 7 2 2 5 4 4" xfId="56262"/>
    <cellStyle name="Normal 7 2 2 5 5" xfId="14073"/>
    <cellStyle name="Normal 7 2 2 5 5 2" xfId="49772"/>
    <cellStyle name="Normal 7 2 2 5 6" xfId="20563"/>
    <cellStyle name="Normal 7 2 2 5 7" xfId="33543"/>
    <cellStyle name="Normal 7 2 2 5 8" xfId="46526"/>
    <cellStyle name="Normal 7 2 2 6" xfId="1957"/>
    <cellStyle name="Normal 7 2 2 6 2" xfId="5202"/>
    <cellStyle name="Normal 7 2 2 6 2 2" xfId="11734"/>
    <cellStyle name="Normal 7 2 2 6 2 2 2" xfId="31207"/>
    <cellStyle name="Normal 7 2 2 6 2 2 3" xfId="44187"/>
    <cellStyle name="Normal 7 2 2 6 2 2 4" xfId="60416"/>
    <cellStyle name="Normal 7 2 2 6 2 3" xfId="18227"/>
    <cellStyle name="Normal 7 2 2 6 2 4" xfId="24717"/>
    <cellStyle name="Normal 7 2 2 6 2 5" xfId="37697"/>
    <cellStyle name="Normal 7 2 2 6 2 6" xfId="53926"/>
    <cellStyle name="Normal 7 2 2 6 3" xfId="8489"/>
    <cellStyle name="Normal 7 2 2 6 3 2" xfId="27962"/>
    <cellStyle name="Normal 7 2 2 6 3 3" xfId="40942"/>
    <cellStyle name="Normal 7 2 2 6 3 4" xfId="57171"/>
    <cellStyle name="Normal 7 2 2 6 4" xfId="14982"/>
    <cellStyle name="Normal 7 2 2 6 4 2" xfId="50681"/>
    <cellStyle name="Normal 7 2 2 6 5" xfId="21472"/>
    <cellStyle name="Normal 7 2 2 6 6" xfId="34452"/>
    <cellStyle name="Normal 7 2 2 6 7" xfId="47435"/>
    <cellStyle name="Normal 7 2 2 7" xfId="3578"/>
    <cellStyle name="Normal 7 2 2 7 2" xfId="10110"/>
    <cellStyle name="Normal 7 2 2 7 2 2" xfId="29583"/>
    <cellStyle name="Normal 7 2 2 7 2 3" xfId="42563"/>
    <cellStyle name="Normal 7 2 2 7 2 4" xfId="58792"/>
    <cellStyle name="Normal 7 2 2 7 3" xfId="16603"/>
    <cellStyle name="Normal 7 2 2 7 4" xfId="23093"/>
    <cellStyle name="Normal 7 2 2 7 5" xfId="36073"/>
    <cellStyle name="Normal 7 2 2 7 6" xfId="52302"/>
    <cellStyle name="Normal 7 2 2 8" xfId="6865"/>
    <cellStyle name="Normal 7 2 2 8 2" xfId="26338"/>
    <cellStyle name="Normal 7 2 2 8 3" xfId="39318"/>
    <cellStyle name="Normal 7 2 2 8 4" xfId="55547"/>
    <cellStyle name="Normal 7 2 2 9" xfId="13358"/>
    <cellStyle name="Normal 7 2 2 9 2" xfId="49057"/>
    <cellStyle name="Normal 7 2 3" xfId="240"/>
    <cellStyle name="Normal 7 2 3 10" xfId="32784"/>
    <cellStyle name="Normal 7 2 3 11" xfId="45767"/>
    <cellStyle name="Normal 7 2 3 12" xfId="62008"/>
    <cellStyle name="Normal 7 2 3 2" xfId="704"/>
    <cellStyle name="Normal 7 2 3 2 10" xfId="46227"/>
    <cellStyle name="Normal 7 2 3 2 2" xfId="1643"/>
    <cellStyle name="Normal 7 2 3 2 2 2" xfId="3310"/>
    <cellStyle name="Normal 7 2 3 2 2 2 2" xfId="6555"/>
    <cellStyle name="Normal 7 2 3 2 2 2 2 2" xfId="13087"/>
    <cellStyle name="Normal 7 2 3 2 2 2 2 2 2" xfId="32560"/>
    <cellStyle name="Normal 7 2 3 2 2 2 2 2 3" xfId="45540"/>
    <cellStyle name="Normal 7 2 3 2 2 2 2 2 4" xfId="61769"/>
    <cellStyle name="Normal 7 2 3 2 2 2 2 3" xfId="19580"/>
    <cellStyle name="Normal 7 2 3 2 2 2 2 4" xfId="26070"/>
    <cellStyle name="Normal 7 2 3 2 2 2 2 5" xfId="39050"/>
    <cellStyle name="Normal 7 2 3 2 2 2 2 6" xfId="55279"/>
    <cellStyle name="Normal 7 2 3 2 2 2 3" xfId="9842"/>
    <cellStyle name="Normal 7 2 3 2 2 2 3 2" xfId="29315"/>
    <cellStyle name="Normal 7 2 3 2 2 2 3 3" xfId="42295"/>
    <cellStyle name="Normal 7 2 3 2 2 2 3 4" xfId="58524"/>
    <cellStyle name="Normal 7 2 3 2 2 2 4" xfId="16335"/>
    <cellStyle name="Normal 7 2 3 2 2 2 4 2" xfId="52034"/>
    <cellStyle name="Normal 7 2 3 2 2 2 5" xfId="22825"/>
    <cellStyle name="Normal 7 2 3 2 2 2 6" xfId="35805"/>
    <cellStyle name="Normal 7 2 3 2 2 2 7" xfId="48788"/>
    <cellStyle name="Normal 7 2 3 2 2 3" xfId="4932"/>
    <cellStyle name="Normal 7 2 3 2 2 3 2" xfId="11464"/>
    <cellStyle name="Normal 7 2 3 2 2 3 2 2" xfId="30937"/>
    <cellStyle name="Normal 7 2 3 2 2 3 2 3" xfId="43917"/>
    <cellStyle name="Normal 7 2 3 2 2 3 2 4" xfId="60146"/>
    <cellStyle name="Normal 7 2 3 2 2 3 3" xfId="17957"/>
    <cellStyle name="Normal 7 2 3 2 2 3 4" xfId="24447"/>
    <cellStyle name="Normal 7 2 3 2 2 3 5" xfId="37427"/>
    <cellStyle name="Normal 7 2 3 2 2 3 6" xfId="53656"/>
    <cellStyle name="Normal 7 2 3 2 2 4" xfId="8219"/>
    <cellStyle name="Normal 7 2 3 2 2 4 2" xfId="27692"/>
    <cellStyle name="Normal 7 2 3 2 2 4 3" xfId="40672"/>
    <cellStyle name="Normal 7 2 3 2 2 4 4" xfId="56901"/>
    <cellStyle name="Normal 7 2 3 2 2 5" xfId="14712"/>
    <cellStyle name="Normal 7 2 3 2 2 5 2" xfId="50411"/>
    <cellStyle name="Normal 7 2 3 2 2 6" xfId="21202"/>
    <cellStyle name="Normal 7 2 3 2 2 7" xfId="34182"/>
    <cellStyle name="Normal 7 2 3 2 2 8" xfId="47165"/>
    <cellStyle name="Normal 7 2 3 2 3" xfId="1180"/>
    <cellStyle name="Normal 7 2 3 2 3 2" xfId="2847"/>
    <cellStyle name="Normal 7 2 3 2 3 2 2" xfId="6092"/>
    <cellStyle name="Normal 7 2 3 2 3 2 2 2" xfId="12624"/>
    <cellStyle name="Normal 7 2 3 2 3 2 2 2 2" xfId="32097"/>
    <cellStyle name="Normal 7 2 3 2 3 2 2 2 3" xfId="45077"/>
    <cellStyle name="Normal 7 2 3 2 3 2 2 2 4" xfId="61306"/>
    <cellStyle name="Normal 7 2 3 2 3 2 2 3" xfId="19117"/>
    <cellStyle name="Normal 7 2 3 2 3 2 2 4" xfId="25607"/>
    <cellStyle name="Normal 7 2 3 2 3 2 2 5" xfId="38587"/>
    <cellStyle name="Normal 7 2 3 2 3 2 2 6" xfId="54816"/>
    <cellStyle name="Normal 7 2 3 2 3 2 3" xfId="9379"/>
    <cellStyle name="Normal 7 2 3 2 3 2 3 2" xfId="28852"/>
    <cellStyle name="Normal 7 2 3 2 3 2 3 3" xfId="41832"/>
    <cellStyle name="Normal 7 2 3 2 3 2 3 4" xfId="58061"/>
    <cellStyle name="Normal 7 2 3 2 3 2 4" xfId="15872"/>
    <cellStyle name="Normal 7 2 3 2 3 2 4 2" xfId="51571"/>
    <cellStyle name="Normal 7 2 3 2 3 2 5" xfId="22362"/>
    <cellStyle name="Normal 7 2 3 2 3 2 6" xfId="35342"/>
    <cellStyle name="Normal 7 2 3 2 3 2 7" xfId="48325"/>
    <cellStyle name="Normal 7 2 3 2 3 3" xfId="4469"/>
    <cellStyle name="Normal 7 2 3 2 3 3 2" xfId="11001"/>
    <cellStyle name="Normal 7 2 3 2 3 3 2 2" xfId="30474"/>
    <cellStyle name="Normal 7 2 3 2 3 3 2 3" xfId="43454"/>
    <cellStyle name="Normal 7 2 3 2 3 3 2 4" xfId="59683"/>
    <cellStyle name="Normal 7 2 3 2 3 3 3" xfId="17494"/>
    <cellStyle name="Normal 7 2 3 2 3 3 4" xfId="23984"/>
    <cellStyle name="Normal 7 2 3 2 3 3 5" xfId="36964"/>
    <cellStyle name="Normal 7 2 3 2 3 3 6" xfId="53193"/>
    <cellStyle name="Normal 7 2 3 2 3 4" xfId="7756"/>
    <cellStyle name="Normal 7 2 3 2 3 4 2" xfId="27229"/>
    <cellStyle name="Normal 7 2 3 2 3 4 3" xfId="40209"/>
    <cellStyle name="Normal 7 2 3 2 3 4 4" xfId="56438"/>
    <cellStyle name="Normal 7 2 3 2 3 5" xfId="14249"/>
    <cellStyle name="Normal 7 2 3 2 3 5 2" xfId="49948"/>
    <cellStyle name="Normal 7 2 3 2 3 6" xfId="20739"/>
    <cellStyle name="Normal 7 2 3 2 3 7" xfId="33719"/>
    <cellStyle name="Normal 7 2 3 2 3 8" xfId="46702"/>
    <cellStyle name="Normal 7 2 3 2 4" xfId="2372"/>
    <cellStyle name="Normal 7 2 3 2 4 2" xfId="5617"/>
    <cellStyle name="Normal 7 2 3 2 4 2 2" xfId="12149"/>
    <cellStyle name="Normal 7 2 3 2 4 2 2 2" xfId="31622"/>
    <cellStyle name="Normal 7 2 3 2 4 2 2 3" xfId="44602"/>
    <cellStyle name="Normal 7 2 3 2 4 2 2 4" xfId="60831"/>
    <cellStyle name="Normal 7 2 3 2 4 2 3" xfId="18642"/>
    <cellStyle name="Normal 7 2 3 2 4 2 4" xfId="25132"/>
    <cellStyle name="Normal 7 2 3 2 4 2 5" xfId="38112"/>
    <cellStyle name="Normal 7 2 3 2 4 2 6" xfId="54341"/>
    <cellStyle name="Normal 7 2 3 2 4 3" xfId="8904"/>
    <cellStyle name="Normal 7 2 3 2 4 3 2" xfId="28377"/>
    <cellStyle name="Normal 7 2 3 2 4 3 3" xfId="41357"/>
    <cellStyle name="Normal 7 2 3 2 4 3 4" xfId="57586"/>
    <cellStyle name="Normal 7 2 3 2 4 4" xfId="15397"/>
    <cellStyle name="Normal 7 2 3 2 4 4 2" xfId="51096"/>
    <cellStyle name="Normal 7 2 3 2 4 5" xfId="21887"/>
    <cellStyle name="Normal 7 2 3 2 4 6" xfId="34867"/>
    <cellStyle name="Normal 7 2 3 2 4 7" xfId="47850"/>
    <cellStyle name="Normal 7 2 3 2 5" xfId="3994"/>
    <cellStyle name="Normal 7 2 3 2 5 2" xfId="10526"/>
    <cellStyle name="Normal 7 2 3 2 5 2 2" xfId="29999"/>
    <cellStyle name="Normal 7 2 3 2 5 2 3" xfId="42979"/>
    <cellStyle name="Normal 7 2 3 2 5 2 4" xfId="59208"/>
    <cellStyle name="Normal 7 2 3 2 5 3" xfId="17019"/>
    <cellStyle name="Normal 7 2 3 2 5 4" xfId="23509"/>
    <cellStyle name="Normal 7 2 3 2 5 5" xfId="36489"/>
    <cellStyle name="Normal 7 2 3 2 5 6" xfId="52718"/>
    <cellStyle name="Normal 7 2 3 2 6" xfId="7281"/>
    <cellStyle name="Normal 7 2 3 2 6 2" xfId="26754"/>
    <cellStyle name="Normal 7 2 3 2 6 3" xfId="39734"/>
    <cellStyle name="Normal 7 2 3 2 6 4" xfId="55963"/>
    <cellStyle name="Normal 7 2 3 2 7" xfId="13774"/>
    <cellStyle name="Normal 7 2 3 2 7 2" xfId="49473"/>
    <cellStyle name="Normal 7 2 3 2 8" xfId="20264"/>
    <cellStyle name="Normal 7 2 3 2 9" xfId="33244"/>
    <cellStyle name="Normal 7 2 3 3" xfId="474"/>
    <cellStyle name="Normal 7 2 3 3 2" xfId="1423"/>
    <cellStyle name="Normal 7 2 3 3 2 2" xfId="3090"/>
    <cellStyle name="Normal 7 2 3 3 2 2 2" xfId="6335"/>
    <cellStyle name="Normal 7 2 3 3 2 2 2 2" xfId="12867"/>
    <cellStyle name="Normal 7 2 3 3 2 2 2 2 2" xfId="32340"/>
    <cellStyle name="Normal 7 2 3 3 2 2 2 2 3" xfId="45320"/>
    <cellStyle name="Normal 7 2 3 3 2 2 2 2 4" xfId="61549"/>
    <cellStyle name="Normal 7 2 3 3 2 2 2 3" xfId="19360"/>
    <cellStyle name="Normal 7 2 3 3 2 2 2 4" xfId="25850"/>
    <cellStyle name="Normal 7 2 3 3 2 2 2 5" xfId="38830"/>
    <cellStyle name="Normal 7 2 3 3 2 2 2 6" xfId="55059"/>
    <cellStyle name="Normal 7 2 3 3 2 2 3" xfId="9622"/>
    <cellStyle name="Normal 7 2 3 3 2 2 3 2" xfId="29095"/>
    <cellStyle name="Normal 7 2 3 3 2 2 3 3" xfId="42075"/>
    <cellStyle name="Normal 7 2 3 3 2 2 3 4" xfId="58304"/>
    <cellStyle name="Normal 7 2 3 3 2 2 4" xfId="16115"/>
    <cellStyle name="Normal 7 2 3 3 2 2 4 2" xfId="51814"/>
    <cellStyle name="Normal 7 2 3 3 2 2 5" xfId="22605"/>
    <cellStyle name="Normal 7 2 3 3 2 2 6" xfId="35585"/>
    <cellStyle name="Normal 7 2 3 3 2 2 7" xfId="48568"/>
    <cellStyle name="Normal 7 2 3 3 2 3" xfId="4712"/>
    <cellStyle name="Normal 7 2 3 3 2 3 2" xfId="11244"/>
    <cellStyle name="Normal 7 2 3 3 2 3 2 2" xfId="30717"/>
    <cellStyle name="Normal 7 2 3 3 2 3 2 3" xfId="43697"/>
    <cellStyle name="Normal 7 2 3 3 2 3 2 4" xfId="59926"/>
    <cellStyle name="Normal 7 2 3 3 2 3 3" xfId="17737"/>
    <cellStyle name="Normal 7 2 3 3 2 3 4" xfId="24227"/>
    <cellStyle name="Normal 7 2 3 3 2 3 5" xfId="37207"/>
    <cellStyle name="Normal 7 2 3 3 2 3 6" xfId="53436"/>
    <cellStyle name="Normal 7 2 3 3 2 4" xfId="7999"/>
    <cellStyle name="Normal 7 2 3 3 2 4 2" xfId="27472"/>
    <cellStyle name="Normal 7 2 3 3 2 4 3" xfId="40452"/>
    <cellStyle name="Normal 7 2 3 3 2 4 4" xfId="56681"/>
    <cellStyle name="Normal 7 2 3 3 2 5" xfId="14492"/>
    <cellStyle name="Normal 7 2 3 3 2 5 2" xfId="50191"/>
    <cellStyle name="Normal 7 2 3 3 2 6" xfId="20982"/>
    <cellStyle name="Normal 7 2 3 3 2 7" xfId="33962"/>
    <cellStyle name="Normal 7 2 3 3 2 8" xfId="46945"/>
    <cellStyle name="Normal 7 2 3 3 3" xfId="2142"/>
    <cellStyle name="Normal 7 2 3 3 3 2" xfId="5387"/>
    <cellStyle name="Normal 7 2 3 3 3 2 2" xfId="11919"/>
    <cellStyle name="Normal 7 2 3 3 3 2 2 2" xfId="31392"/>
    <cellStyle name="Normal 7 2 3 3 3 2 2 3" xfId="44372"/>
    <cellStyle name="Normal 7 2 3 3 3 2 2 4" xfId="60601"/>
    <cellStyle name="Normal 7 2 3 3 3 2 3" xfId="18412"/>
    <cellStyle name="Normal 7 2 3 3 3 2 4" xfId="24902"/>
    <cellStyle name="Normal 7 2 3 3 3 2 5" xfId="37882"/>
    <cellStyle name="Normal 7 2 3 3 3 2 6" xfId="54111"/>
    <cellStyle name="Normal 7 2 3 3 3 3" xfId="8674"/>
    <cellStyle name="Normal 7 2 3 3 3 3 2" xfId="28147"/>
    <cellStyle name="Normal 7 2 3 3 3 3 3" xfId="41127"/>
    <cellStyle name="Normal 7 2 3 3 3 3 4" xfId="57356"/>
    <cellStyle name="Normal 7 2 3 3 3 4" xfId="15167"/>
    <cellStyle name="Normal 7 2 3 3 3 4 2" xfId="50866"/>
    <cellStyle name="Normal 7 2 3 3 3 5" xfId="21657"/>
    <cellStyle name="Normal 7 2 3 3 3 6" xfId="34637"/>
    <cellStyle name="Normal 7 2 3 3 3 7" xfId="47620"/>
    <cellStyle name="Normal 7 2 3 3 4" xfId="3764"/>
    <cellStyle name="Normal 7 2 3 3 4 2" xfId="10296"/>
    <cellStyle name="Normal 7 2 3 3 4 2 2" xfId="29769"/>
    <cellStyle name="Normal 7 2 3 3 4 2 3" xfId="42749"/>
    <cellStyle name="Normal 7 2 3 3 4 2 4" xfId="58978"/>
    <cellStyle name="Normal 7 2 3 3 4 3" xfId="16789"/>
    <cellStyle name="Normal 7 2 3 3 4 4" xfId="23279"/>
    <cellStyle name="Normal 7 2 3 3 4 5" xfId="36259"/>
    <cellStyle name="Normal 7 2 3 3 4 6" xfId="52488"/>
    <cellStyle name="Normal 7 2 3 3 5" xfId="7051"/>
    <cellStyle name="Normal 7 2 3 3 5 2" xfId="26524"/>
    <cellStyle name="Normal 7 2 3 3 5 3" xfId="39504"/>
    <cellStyle name="Normal 7 2 3 3 5 4" xfId="55733"/>
    <cellStyle name="Normal 7 2 3 3 6" xfId="13544"/>
    <cellStyle name="Normal 7 2 3 3 6 2" xfId="49243"/>
    <cellStyle name="Normal 7 2 3 3 7" xfId="20034"/>
    <cellStyle name="Normal 7 2 3 3 8" xfId="33014"/>
    <cellStyle name="Normal 7 2 3 3 9" xfId="45997"/>
    <cellStyle name="Normal 7 2 3 4" xfId="960"/>
    <cellStyle name="Normal 7 2 3 4 2" xfId="2627"/>
    <cellStyle name="Normal 7 2 3 4 2 2" xfId="5872"/>
    <cellStyle name="Normal 7 2 3 4 2 2 2" xfId="12404"/>
    <cellStyle name="Normal 7 2 3 4 2 2 2 2" xfId="31877"/>
    <cellStyle name="Normal 7 2 3 4 2 2 2 3" xfId="44857"/>
    <cellStyle name="Normal 7 2 3 4 2 2 2 4" xfId="61086"/>
    <cellStyle name="Normal 7 2 3 4 2 2 3" xfId="18897"/>
    <cellStyle name="Normal 7 2 3 4 2 2 4" xfId="25387"/>
    <cellStyle name="Normal 7 2 3 4 2 2 5" xfId="38367"/>
    <cellStyle name="Normal 7 2 3 4 2 2 6" xfId="54596"/>
    <cellStyle name="Normal 7 2 3 4 2 3" xfId="9159"/>
    <cellStyle name="Normal 7 2 3 4 2 3 2" xfId="28632"/>
    <cellStyle name="Normal 7 2 3 4 2 3 3" xfId="41612"/>
    <cellStyle name="Normal 7 2 3 4 2 3 4" xfId="57841"/>
    <cellStyle name="Normal 7 2 3 4 2 4" xfId="15652"/>
    <cellStyle name="Normal 7 2 3 4 2 4 2" xfId="51351"/>
    <cellStyle name="Normal 7 2 3 4 2 5" xfId="22142"/>
    <cellStyle name="Normal 7 2 3 4 2 6" xfId="35122"/>
    <cellStyle name="Normal 7 2 3 4 2 7" xfId="48105"/>
    <cellStyle name="Normal 7 2 3 4 3" xfId="4249"/>
    <cellStyle name="Normal 7 2 3 4 3 2" xfId="10781"/>
    <cellStyle name="Normal 7 2 3 4 3 2 2" xfId="30254"/>
    <cellStyle name="Normal 7 2 3 4 3 2 3" xfId="43234"/>
    <cellStyle name="Normal 7 2 3 4 3 2 4" xfId="59463"/>
    <cellStyle name="Normal 7 2 3 4 3 3" xfId="17274"/>
    <cellStyle name="Normal 7 2 3 4 3 4" xfId="23764"/>
    <cellStyle name="Normal 7 2 3 4 3 5" xfId="36744"/>
    <cellStyle name="Normal 7 2 3 4 3 6" xfId="52973"/>
    <cellStyle name="Normal 7 2 3 4 4" xfId="7536"/>
    <cellStyle name="Normal 7 2 3 4 4 2" xfId="27009"/>
    <cellStyle name="Normal 7 2 3 4 4 3" xfId="39989"/>
    <cellStyle name="Normal 7 2 3 4 4 4" xfId="56218"/>
    <cellStyle name="Normal 7 2 3 4 5" xfId="14029"/>
    <cellStyle name="Normal 7 2 3 4 5 2" xfId="49728"/>
    <cellStyle name="Normal 7 2 3 4 6" xfId="20519"/>
    <cellStyle name="Normal 7 2 3 4 7" xfId="33499"/>
    <cellStyle name="Normal 7 2 3 4 8" xfId="46482"/>
    <cellStyle name="Normal 7 2 3 5" xfId="1913"/>
    <cellStyle name="Normal 7 2 3 5 2" xfId="5158"/>
    <cellStyle name="Normal 7 2 3 5 2 2" xfId="11690"/>
    <cellStyle name="Normal 7 2 3 5 2 2 2" xfId="31163"/>
    <cellStyle name="Normal 7 2 3 5 2 2 3" xfId="44143"/>
    <cellStyle name="Normal 7 2 3 5 2 2 4" xfId="60372"/>
    <cellStyle name="Normal 7 2 3 5 2 3" xfId="18183"/>
    <cellStyle name="Normal 7 2 3 5 2 4" xfId="24673"/>
    <cellStyle name="Normal 7 2 3 5 2 5" xfId="37653"/>
    <cellStyle name="Normal 7 2 3 5 2 6" xfId="53882"/>
    <cellStyle name="Normal 7 2 3 5 3" xfId="8445"/>
    <cellStyle name="Normal 7 2 3 5 3 2" xfId="27918"/>
    <cellStyle name="Normal 7 2 3 5 3 3" xfId="40898"/>
    <cellStyle name="Normal 7 2 3 5 3 4" xfId="57127"/>
    <cellStyle name="Normal 7 2 3 5 4" xfId="14938"/>
    <cellStyle name="Normal 7 2 3 5 4 2" xfId="50637"/>
    <cellStyle name="Normal 7 2 3 5 5" xfId="21428"/>
    <cellStyle name="Normal 7 2 3 5 6" xfId="34408"/>
    <cellStyle name="Normal 7 2 3 5 7" xfId="47391"/>
    <cellStyle name="Normal 7 2 3 6" xfId="3534"/>
    <cellStyle name="Normal 7 2 3 6 2" xfId="10066"/>
    <cellStyle name="Normal 7 2 3 6 2 2" xfId="29539"/>
    <cellStyle name="Normal 7 2 3 6 2 3" xfId="42519"/>
    <cellStyle name="Normal 7 2 3 6 2 4" xfId="58748"/>
    <cellStyle name="Normal 7 2 3 6 3" xfId="16559"/>
    <cellStyle name="Normal 7 2 3 6 4" xfId="23049"/>
    <cellStyle name="Normal 7 2 3 6 5" xfId="36029"/>
    <cellStyle name="Normal 7 2 3 6 6" xfId="52258"/>
    <cellStyle name="Normal 7 2 3 7" xfId="6821"/>
    <cellStyle name="Normal 7 2 3 7 2" xfId="26294"/>
    <cellStyle name="Normal 7 2 3 7 3" xfId="39274"/>
    <cellStyle name="Normal 7 2 3 7 4" xfId="55503"/>
    <cellStyle name="Normal 7 2 3 8" xfId="13314"/>
    <cellStyle name="Normal 7 2 3 8 2" xfId="49013"/>
    <cellStyle name="Normal 7 2 3 9" xfId="19804"/>
    <cellStyle name="Normal 7 2 4" xfId="328"/>
    <cellStyle name="Normal 7 2 4 10" xfId="32872"/>
    <cellStyle name="Normal 7 2 4 11" xfId="45855"/>
    <cellStyle name="Normal 7 2 4 2" xfId="792"/>
    <cellStyle name="Normal 7 2 4 2 10" xfId="46315"/>
    <cellStyle name="Normal 7 2 4 2 2" xfId="1731"/>
    <cellStyle name="Normal 7 2 4 2 2 2" xfId="3398"/>
    <cellStyle name="Normal 7 2 4 2 2 2 2" xfId="6643"/>
    <cellStyle name="Normal 7 2 4 2 2 2 2 2" xfId="13175"/>
    <cellStyle name="Normal 7 2 4 2 2 2 2 2 2" xfId="32648"/>
    <cellStyle name="Normal 7 2 4 2 2 2 2 2 3" xfId="45628"/>
    <cellStyle name="Normal 7 2 4 2 2 2 2 2 4" xfId="61857"/>
    <cellStyle name="Normal 7 2 4 2 2 2 2 3" xfId="19668"/>
    <cellStyle name="Normal 7 2 4 2 2 2 2 4" xfId="26158"/>
    <cellStyle name="Normal 7 2 4 2 2 2 2 5" xfId="39138"/>
    <cellStyle name="Normal 7 2 4 2 2 2 2 6" xfId="55367"/>
    <cellStyle name="Normal 7 2 4 2 2 2 3" xfId="9930"/>
    <cellStyle name="Normal 7 2 4 2 2 2 3 2" xfId="29403"/>
    <cellStyle name="Normal 7 2 4 2 2 2 3 3" xfId="42383"/>
    <cellStyle name="Normal 7 2 4 2 2 2 3 4" xfId="58612"/>
    <cellStyle name="Normal 7 2 4 2 2 2 4" xfId="16423"/>
    <cellStyle name="Normal 7 2 4 2 2 2 4 2" xfId="52122"/>
    <cellStyle name="Normal 7 2 4 2 2 2 5" xfId="22913"/>
    <cellStyle name="Normal 7 2 4 2 2 2 6" xfId="35893"/>
    <cellStyle name="Normal 7 2 4 2 2 2 7" xfId="48876"/>
    <cellStyle name="Normal 7 2 4 2 2 3" xfId="5020"/>
    <cellStyle name="Normal 7 2 4 2 2 3 2" xfId="11552"/>
    <cellStyle name="Normal 7 2 4 2 2 3 2 2" xfId="31025"/>
    <cellStyle name="Normal 7 2 4 2 2 3 2 3" xfId="44005"/>
    <cellStyle name="Normal 7 2 4 2 2 3 2 4" xfId="60234"/>
    <cellStyle name="Normal 7 2 4 2 2 3 3" xfId="18045"/>
    <cellStyle name="Normal 7 2 4 2 2 3 4" xfId="24535"/>
    <cellStyle name="Normal 7 2 4 2 2 3 5" xfId="37515"/>
    <cellStyle name="Normal 7 2 4 2 2 3 6" xfId="53744"/>
    <cellStyle name="Normal 7 2 4 2 2 4" xfId="8307"/>
    <cellStyle name="Normal 7 2 4 2 2 4 2" xfId="27780"/>
    <cellStyle name="Normal 7 2 4 2 2 4 3" xfId="40760"/>
    <cellStyle name="Normal 7 2 4 2 2 4 4" xfId="56989"/>
    <cellStyle name="Normal 7 2 4 2 2 5" xfId="14800"/>
    <cellStyle name="Normal 7 2 4 2 2 5 2" xfId="50499"/>
    <cellStyle name="Normal 7 2 4 2 2 6" xfId="21290"/>
    <cellStyle name="Normal 7 2 4 2 2 7" xfId="34270"/>
    <cellStyle name="Normal 7 2 4 2 2 8" xfId="47253"/>
    <cellStyle name="Normal 7 2 4 2 3" xfId="1268"/>
    <cellStyle name="Normal 7 2 4 2 3 2" xfId="2935"/>
    <cellStyle name="Normal 7 2 4 2 3 2 2" xfId="6180"/>
    <cellStyle name="Normal 7 2 4 2 3 2 2 2" xfId="12712"/>
    <cellStyle name="Normal 7 2 4 2 3 2 2 2 2" xfId="32185"/>
    <cellStyle name="Normal 7 2 4 2 3 2 2 2 3" xfId="45165"/>
    <cellStyle name="Normal 7 2 4 2 3 2 2 2 4" xfId="61394"/>
    <cellStyle name="Normal 7 2 4 2 3 2 2 3" xfId="19205"/>
    <cellStyle name="Normal 7 2 4 2 3 2 2 4" xfId="25695"/>
    <cellStyle name="Normal 7 2 4 2 3 2 2 5" xfId="38675"/>
    <cellStyle name="Normal 7 2 4 2 3 2 2 6" xfId="54904"/>
    <cellStyle name="Normal 7 2 4 2 3 2 3" xfId="9467"/>
    <cellStyle name="Normal 7 2 4 2 3 2 3 2" xfId="28940"/>
    <cellStyle name="Normal 7 2 4 2 3 2 3 3" xfId="41920"/>
    <cellStyle name="Normal 7 2 4 2 3 2 3 4" xfId="58149"/>
    <cellStyle name="Normal 7 2 4 2 3 2 4" xfId="15960"/>
    <cellStyle name="Normal 7 2 4 2 3 2 4 2" xfId="51659"/>
    <cellStyle name="Normal 7 2 4 2 3 2 5" xfId="22450"/>
    <cellStyle name="Normal 7 2 4 2 3 2 6" xfId="35430"/>
    <cellStyle name="Normal 7 2 4 2 3 2 7" xfId="48413"/>
    <cellStyle name="Normal 7 2 4 2 3 3" xfId="4557"/>
    <cellStyle name="Normal 7 2 4 2 3 3 2" xfId="11089"/>
    <cellStyle name="Normal 7 2 4 2 3 3 2 2" xfId="30562"/>
    <cellStyle name="Normal 7 2 4 2 3 3 2 3" xfId="43542"/>
    <cellStyle name="Normal 7 2 4 2 3 3 2 4" xfId="59771"/>
    <cellStyle name="Normal 7 2 4 2 3 3 3" xfId="17582"/>
    <cellStyle name="Normal 7 2 4 2 3 3 4" xfId="24072"/>
    <cellStyle name="Normal 7 2 4 2 3 3 5" xfId="37052"/>
    <cellStyle name="Normal 7 2 4 2 3 3 6" xfId="53281"/>
    <cellStyle name="Normal 7 2 4 2 3 4" xfId="7844"/>
    <cellStyle name="Normal 7 2 4 2 3 4 2" xfId="27317"/>
    <cellStyle name="Normal 7 2 4 2 3 4 3" xfId="40297"/>
    <cellStyle name="Normal 7 2 4 2 3 4 4" xfId="56526"/>
    <cellStyle name="Normal 7 2 4 2 3 5" xfId="14337"/>
    <cellStyle name="Normal 7 2 4 2 3 5 2" xfId="50036"/>
    <cellStyle name="Normal 7 2 4 2 3 6" xfId="20827"/>
    <cellStyle name="Normal 7 2 4 2 3 7" xfId="33807"/>
    <cellStyle name="Normal 7 2 4 2 3 8" xfId="46790"/>
    <cellStyle name="Normal 7 2 4 2 4" xfId="2460"/>
    <cellStyle name="Normal 7 2 4 2 4 2" xfId="5705"/>
    <cellStyle name="Normal 7 2 4 2 4 2 2" xfId="12237"/>
    <cellStyle name="Normal 7 2 4 2 4 2 2 2" xfId="31710"/>
    <cellStyle name="Normal 7 2 4 2 4 2 2 3" xfId="44690"/>
    <cellStyle name="Normal 7 2 4 2 4 2 2 4" xfId="60919"/>
    <cellStyle name="Normal 7 2 4 2 4 2 3" xfId="18730"/>
    <cellStyle name="Normal 7 2 4 2 4 2 4" xfId="25220"/>
    <cellStyle name="Normal 7 2 4 2 4 2 5" xfId="38200"/>
    <cellStyle name="Normal 7 2 4 2 4 2 6" xfId="54429"/>
    <cellStyle name="Normal 7 2 4 2 4 3" xfId="8992"/>
    <cellStyle name="Normal 7 2 4 2 4 3 2" xfId="28465"/>
    <cellStyle name="Normal 7 2 4 2 4 3 3" xfId="41445"/>
    <cellStyle name="Normal 7 2 4 2 4 3 4" xfId="57674"/>
    <cellStyle name="Normal 7 2 4 2 4 4" xfId="15485"/>
    <cellStyle name="Normal 7 2 4 2 4 4 2" xfId="51184"/>
    <cellStyle name="Normal 7 2 4 2 4 5" xfId="21975"/>
    <cellStyle name="Normal 7 2 4 2 4 6" xfId="34955"/>
    <cellStyle name="Normal 7 2 4 2 4 7" xfId="47938"/>
    <cellStyle name="Normal 7 2 4 2 5" xfId="4082"/>
    <cellStyle name="Normal 7 2 4 2 5 2" xfId="10614"/>
    <cellStyle name="Normal 7 2 4 2 5 2 2" xfId="30087"/>
    <cellStyle name="Normal 7 2 4 2 5 2 3" xfId="43067"/>
    <cellStyle name="Normal 7 2 4 2 5 2 4" xfId="59296"/>
    <cellStyle name="Normal 7 2 4 2 5 3" xfId="17107"/>
    <cellStyle name="Normal 7 2 4 2 5 4" xfId="23597"/>
    <cellStyle name="Normal 7 2 4 2 5 5" xfId="36577"/>
    <cellStyle name="Normal 7 2 4 2 5 6" xfId="52806"/>
    <cellStyle name="Normal 7 2 4 2 6" xfId="7369"/>
    <cellStyle name="Normal 7 2 4 2 6 2" xfId="26842"/>
    <cellStyle name="Normal 7 2 4 2 6 3" xfId="39822"/>
    <cellStyle name="Normal 7 2 4 2 6 4" xfId="56051"/>
    <cellStyle name="Normal 7 2 4 2 7" xfId="13862"/>
    <cellStyle name="Normal 7 2 4 2 7 2" xfId="49561"/>
    <cellStyle name="Normal 7 2 4 2 8" xfId="20352"/>
    <cellStyle name="Normal 7 2 4 2 9" xfId="33332"/>
    <cellStyle name="Normal 7 2 4 3" xfId="562"/>
    <cellStyle name="Normal 7 2 4 3 2" xfId="1511"/>
    <cellStyle name="Normal 7 2 4 3 2 2" xfId="3178"/>
    <cellStyle name="Normal 7 2 4 3 2 2 2" xfId="6423"/>
    <cellStyle name="Normal 7 2 4 3 2 2 2 2" xfId="12955"/>
    <cellStyle name="Normal 7 2 4 3 2 2 2 2 2" xfId="32428"/>
    <cellStyle name="Normal 7 2 4 3 2 2 2 2 3" xfId="45408"/>
    <cellStyle name="Normal 7 2 4 3 2 2 2 2 4" xfId="61637"/>
    <cellStyle name="Normal 7 2 4 3 2 2 2 3" xfId="19448"/>
    <cellStyle name="Normal 7 2 4 3 2 2 2 4" xfId="25938"/>
    <cellStyle name="Normal 7 2 4 3 2 2 2 5" xfId="38918"/>
    <cellStyle name="Normal 7 2 4 3 2 2 2 6" xfId="55147"/>
    <cellStyle name="Normal 7 2 4 3 2 2 3" xfId="9710"/>
    <cellStyle name="Normal 7 2 4 3 2 2 3 2" xfId="29183"/>
    <cellStyle name="Normal 7 2 4 3 2 2 3 3" xfId="42163"/>
    <cellStyle name="Normal 7 2 4 3 2 2 3 4" xfId="58392"/>
    <cellStyle name="Normal 7 2 4 3 2 2 4" xfId="16203"/>
    <cellStyle name="Normal 7 2 4 3 2 2 4 2" xfId="51902"/>
    <cellStyle name="Normal 7 2 4 3 2 2 5" xfId="22693"/>
    <cellStyle name="Normal 7 2 4 3 2 2 6" xfId="35673"/>
    <cellStyle name="Normal 7 2 4 3 2 2 7" xfId="48656"/>
    <cellStyle name="Normal 7 2 4 3 2 3" xfId="4800"/>
    <cellStyle name="Normal 7 2 4 3 2 3 2" xfId="11332"/>
    <cellStyle name="Normal 7 2 4 3 2 3 2 2" xfId="30805"/>
    <cellStyle name="Normal 7 2 4 3 2 3 2 3" xfId="43785"/>
    <cellStyle name="Normal 7 2 4 3 2 3 2 4" xfId="60014"/>
    <cellStyle name="Normal 7 2 4 3 2 3 3" xfId="17825"/>
    <cellStyle name="Normal 7 2 4 3 2 3 4" xfId="24315"/>
    <cellStyle name="Normal 7 2 4 3 2 3 5" xfId="37295"/>
    <cellStyle name="Normal 7 2 4 3 2 3 6" xfId="53524"/>
    <cellStyle name="Normal 7 2 4 3 2 4" xfId="8087"/>
    <cellStyle name="Normal 7 2 4 3 2 4 2" xfId="27560"/>
    <cellStyle name="Normal 7 2 4 3 2 4 3" xfId="40540"/>
    <cellStyle name="Normal 7 2 4 3 2 4 4" xfId="56769"/>
    <cellStyle name="Normal 7 2 4 3 2 5" xfId="14580"/>
    <cellStyle name="Normal 7 2 4 3 2 5 2" xfId="50279"/>
    <cellStyle name="Normal 7 2 4 3 2 6" xfId="21070"/>
    <cellStyle name="Normal 7 2 4 3 2 7" xfId="34050"/>
    <cellStyle name="Normal 7 2 4 3 2 8" xfId="47033"/>
    <cellStyle name="Normal 7 2 4 3 3" xfId="2230"/>
    <cellStyle name="Normal 7 2 4 3 3 2" xfId="5475"/>
    <cellStyle name="Normal 7 2 4 3 3 2 2" xfId="12007"/>
    <cellStyle name="Normal 7 2 4 3 3 2 2 2" xfId="31480"/>
    <cellStyle name="Normal 7 2 4 3 3 2 2 3" xfId="44460"/>
    <cellStyle name="Normal 7 2 4 3 3 2 2 4" xfId="60689"/>
    <cellStyle name="Normal 7 2 4 3 3 2 3" xfId="18500"/>
    <cellStyle name="Normal 7 2 4 3 3 2 4" xfId="24990"/>
    <cellStyle name="Normal 7 2 4 3 3 2 5" xfId="37970"/>
    <cellStyle name="Normal 7 2 4 3 3 2 6" xfId="54199"/>
    <cellStyle name="Normal 7 2 4 3 3 3" xfId="8762"/>
    <cellStyle name="Normal 7 2 4 3 3 3 2" xfId="28235"/>
    <cellStyle name="Normal 7 2 4 3 3 3 3" xfId="41215"/>
    <cellStyle name="Normal 7 2 4 3 3 3 4" xfId="57444"/>
    <cellStyle name="Normal 7 2 4 3 3 4" xfId="15255"/>
    <cellStyle name="Normal 7 2 4 3 3 4 2" xfId="50954"/>
    <cellStyle name="Normal 7 2 4 3 3 5" xfId="21745"/>
    <cellStyle name="Normal 7 2 4 3 3 6" xfId="34725"/>
    <cellStyle name="Normal 7 2 4 3 3 7" xfId="47708"/>
    <cellStyle name="Normal 7 2 4 3 4" xfId="3852"/>
    <cellStyle name="Normal 7 2 4 3 4 2" xfId="10384"/>
    <cellStyle name="Normal 7 2 4 3 4 2 2" xfId="29857"/>
    <cellStyle name="Normal 7 2 4 3 4 2 3" xfId="42837"/>
    <cellStyle name="Normal 7 2 4 3 4 2 4" xfId="59066"/>
    <cellStyle name="Normal 7 2 4 3 4 3" xfId="16877"/>
    <cellStyle name="Normal 7 2 4 3 4 4" xfId="23367"/>
    <cellStyle name="Normal 7 2 4 3 4 5" xfId="36347"/>
    <cellStyle name="Normal 7 2 4 3 4 6" xfId="52576"/>
    <cellStyle name="Normal 7 2 4 3 5" xfId="7139"/>
    <cellStyle name="Normal 7 2 4 3 5 2" xfId="26612"/>
    <cellStyle name="Normal 7 2 4 3 5 3" xfId="39592"/>
    <cellStyle name="Normal 7 2 4 3 5 4" xfId="55821"/>
    <cellStyle name="Normal 7 2 4 3 6" xfId="13632"/>
    <cellStyle name="Normal 7 2 4 3 6 2" xfId="49331"/>
    <cellStyle name="Normal 7 2 4 3 7" xfId="20122"/>
    <cellStyle name="Normal 7 2 4 3 8" xfId="33102"/>
    <cellStyle name="Normal 7 2 4 3 9" xfId="46085"/>
    <cellStyle name="Normal 7 2 4 4" xfId="1048"/>
    <cellStyle name="Normal 7 2 4 4 2" xfId="2715"/>
    <cellStyle name="Normal 7 2 4 4 2 2" xfId="5960"/>
    <cellStyle name="Normal 7 2 4 4 2 2 2" xfId="12492"/>
    <cellStyle name="Normal 7 2 4 4 2 2 2 2" xfId="31965"/>
    <cellStyle name="Normal 7 2 4 4 2 2 2 3" xfId="44945"/>
    <cellStyle name="Normal 7 2 4 4 2 2 2 4" xfId="61174"/>
    <cellStyle name="Normal 7 2 4 4 2 2 3" xfId="18985"/>
    <cellStyle name="Normal 7 2 4 4 2 2 4" xfId="25475"/>
    <cellStyle name="Normal 7 2 4 4 2 2 5" xfId="38455"/>
    <cellStyle name="Normal 7 2 4 4 2 2 6" xfId="54684"/>
    <cellStyle name="Normal 7 2 4 4 2 3" xfId="9247"/>
    <cellStyle name="Normal 7 2 4 4 2 3 2" xfId="28720"/>
    <cellStyle name="Normal 7 2 4 4 2 3 3" xfId="41700"/>
    <cellStyle name="Normal 7 2 4 4 2 3 4" xfId="57929"/>
    <cellStyle name="Normal 7 2 4 4 2 4" xfId="15740"/>
    <cellStyle name="Normal 7 2 4 4 2 4 2" xfId="51439"/>
    <cellStyle name="Normal 7 2 4 4 2 5" xfId="22230"/>
    <cellStyle name="Normal 7 2 4 4 2 6" xfId="35210"/>
    <cellStyle name="Normal 7 2 4 4 2 7" xfId="48193"/>
    <cellStyle name="Normal 7 2 4 4 3" xfId="4337"/>
    <cellStyle name="Normal 7 2 4 4 3 2" xfId="10869"/>
    <cellStyle name="Normal 7 2 4 4 3 2 2" xfId="30342"/>
    <cellStyle name="Normal 7 2 4 4 3 2 3" xfId="43322"/>
    <cellStyle name="Normal 7 2 4 4 3 2 4" xfId="59551"/>
    <cellStyle name="Normal 7 2 4 4 3 3" xfId="17362"/>
    <cellStyle name="Normal 7 2 4 4 3 4" xfId="23852"/>
    <cellStyle name="Normal 7 2 4 4 3 5" xfId="36832"/>
    <cellStyle name="Normal 7 2 4 4 3 6" xfId="53061"/>
    <cellStyle name="Normal 7 2 4 4 4" xfId="7624"/>
    <cellStyle name="Normal 7 2 4 4 4 2" xfId="27097"/>
    <cellStyle name="Normal 7 2 4 4 4 3" xfId="40077"/>
    <cellStyle name="Normal 7 2 4 4 4 4" xfId="56306"/>
    <cellStyle name="Normal 7 2 4 4 5" xfId="14117"/>
    <cellStyle name="Normal 7 2 4 4 5 2" xfId="49816"/>
    <cellStyle name="Normal 7 2 4 4 6" xfId="20607"/>
    <cellStyle name="Normal 7 2 4 4 7" xfId="33587"/>
    <cellStyle name="Normal 7 2 4 4 8" xfId="46570"/>
    <cellStyle name="Normal 7 2 4 5" xfId="2001"/>
    <cellStyle name="Normal 7 2 4 5 2" xfId="5246"/>
    <cellStyle name="Normal 7 2 4 5 2 2" xfId="11778"/>
    <cellStyle name="Normal 7 2 4 5 2 2 2" xfId="31251"/>
    <cellStyle name="Normal 7 2 4 5 2 2 3" xfId="44231"/>
    <cellStyle name="Normal 7 2 4 5 2 2 4" xfId="60460"/>
    <cellStyle name="Normal 7 2 4 5 2 3" xfId="18271"/>
    <cellStyle name="Normal 7 2 4 5 2 4" xfId="24761"/>
    <cellStyle name="Normal 7 2 4 5 2 5" xfId="37741"/>
    <cellStyle name="Normal 7 2 4 5 2 6" xfId="53970"/>
    <cellStyle name="Normal 7 2 4 5 3" xfId="8533"/>
    <cellStyle name="Normal 7 2 4 5 3 2" xfId="28006"/>
    <cellStyle name="Normal 7 2 4 5 3 3" xfId="40986"/>
    <cellStyle name="Normal 7 2 4 5 3 4" xfId="57215"/>
    <cellStyle name="Normal 7 2 4 5 4" xfId="15026"/>
    <cellStyle name="Normal 7 2 4 5 4 2" xfId="50725"/>
    <cellStyle name="Normal 7 2 4 5 5" xfId="21516"/>
    <cellStyle name="Normal 7 2 4 5 6" xfId="34496"/>
    <cellStyle name="Normal 7 2 4 5 7" xfId="47479"/>
    <cellStyle name="Normal 7 2 4 6" xfId="3622"/>
    <cellStyle name="Normal 7 2 4 6 2" xfId="10154"/>
    <cellStyle name="Normal 7 2 4 6 2 2" xfId="29627"/>
    <cellStyle name="Normal 7 2 4 6 2 3" xfId="42607"/>
    <cellStyle name="Normal 7 2 4 6 2 4" xfId="58836"/>
    <cellStyle name="Normal 7 2 4 6 3" xfId="16647"/>
    <cellStyle name="Normal 7 2 4 6 4" xfId="23137"/>
    <cellStyle name="Normal 7 2 4 6 5" xfId="36117"/>
    <cellStyle name="Normal 7 2 4 6 6" xfId="52346"/>
    <cellStyle name="Normal 7 2 4 7" xfId="6909"/>
    <cellStyle name="Normal 7 2 4 7 2" xfId="26382"/>
    <cellStyle name="Normal 7 2 4 7 3" xfId="39362"/>
    <cellStyle name="Normal 7 2 4 7 4" xfId="55591"/>
    <cellStyle name="Normal 7 2 4 8" xfId="13402"/>
    <cellStyle name="Normal 7 2 4 8 2" xfId="49101"/>
    <cellStyle name="Normal 7 2 4 9" xfId="19892"/>
    <cellStyle name="Normal 7 2 5" xfId="660"/>
    <cellStyle name="Normal 7 2 5 10" xfId="46183"/>
    <cellStyle name="Normal 7 2 5 2" xfId="1599"/>
    <cellStyle name="Normal 7 2 5 2 2" xfId="3266"/>
    <cellStyle name="Normal 7 2 5 2 2 2" xfId="6511"/>
    <cellStyle name="Normal 7 2 5 2 2 2 2" xfId="13043"/>
    <cellStyle name="Normal 7 2 5 2 2 2 2 2" xfId="32516"/>
    <cellStyle name="Normal 7 2 5 2 2 2 2 3" xfId="45496"/>
    <cellStyle name="Normal 7 2 5 2 2 2 2 4" xfId="61725"/>
    <cellStyle name="Normal 7 2 5 2 2 2 3" xfId="19536"/>
    <cellStyle name="Normal 7 2 5 2 2 2 4" xfId="26026"/>
    <cellStyle name="Normal 7 2 5 2 2 2 5" xfId="39006"/>
    <cellStyle name="Normal 7 2 5 2 2 2 6" xfId="55235"/>
    <cellStyle name="Normal 7 2 5 2 2 3" xfId="9798"/>
    <cellStyle name="Normal 7 2 5 2 2 3 2" xfId="29271"/>
    <cellStyle name="Normal 7 2 5 2 2 3 3" xfId="42251"/>
    <cellStyle name="Normal 7 2 5 2 2 3 4" xfId="58480"/>
    <cellStyle name="Normal 7 2 5 2 2 4" xfId="16291"/>
    <cellStyle name="Normal 7 2 5 2 2 4 2" xfId="51990"/>
    <cellStyle name="Normal 7 2 5 2 2 5" xfId="22781"/>
    <cellStyle name="Normal 7 2 5 2 2 6" xfId="35761"/>
    <cellStyle name="Normal 7 2 5 2 2 7" xfId="48744"/>
    <cellStyle name="Normal 7 2 5 2 3" xfId="4888"/>
    <cellStyle name="Normal 7 2 5 2 3 2" xfId="11420"/>
    <cellStyle name="Normal 7 2 5 2 3 2 2" xfId="30893"/>
    <cellStyle name="Normal 7 2 5 2 3 2 3" xfId="43873"/>
    <cellStyle name="Normal 7 2 5 2 3 2 4" xfId="60102"/>
    <cellStyle name="Normal 7 2 5 2 3 3" xfId="17913"/>
    <cellStyle name="Normal 7 2 5 2 3 4" xfId="24403"/>
    <cellStyle name="Normal 7 2 5 2 3 5" xfId="37383"/>
    <cellStyle name="Normal 7 2 5 2 3 6" xfId="53612"/>
    <cellStyle name="Normal 7 2 5 2 4" xfId="8175"/>
    <cellStyle name="Normal 7 2 5 2 4 2" xfId="27648"/>
    <cellStyle name="Normal 7 2 5 2 4 3" xfId="40628"/>
    <cellStyle name="Normal 7 2 5 2 4 4" xfId="56857"/>
    <cellStyle name="Normal 7 2 5 2 5" xfId="14668"/>
    <cellStyle name="Normal 7 2 5 2 5 2" xfId="50367"/>
    <cellStyle name="Normal 7 2 5 2 6" xfId="21158"/>
    <cellStyle name="Normal 7 2 5 2 7" xfId="34138"/>
    <cellStyle name="Normal 7 2 5 2 8" xfId="47121"/>
    <cellStyle name="Normal 7 2 5 3" xfId="1136"/>
    <cellStyle name="Normal 7 2 5 3 2" xfId="2803"/>
    <cellStyle name="Normal 7 2 5 3 2 2" xfId="6048"/>
    <cellStyle name="Normal 7 2 5 3 2 2 2" xfId="12580"/>
    <cellStyle name="Normal 7 2 5 3 2 2 2 2" xfId="32053"/>
    <cellStyle name="Normal 7 2 5 3 2 2 2 3" xfId="45033"/>
    <cellStyle name="Normal 7 2 5 3 2 2 2 4" xfId="61262"/>
    <cellStyle name="Normal 7 2 5 3 2 2 3" xfId="19073"/>
    <cellStyle name="Normal 7 2 5 3 2 2 4" xfId="25563"/>
    <cellStyle name="Normal 7 2 5 3 2 2 5" xfId="38543"/>
    <cellStyle name="Normal 7 2 5 3 2 2 6" xfId="54772"/>
    <cellStyle name="Normal 7 2 5 3 2 3" xfId="9335"/>
    <cellStyle name="Normal 7 2 5 3 2 3 2" xfId="28808"/>
    <cellStyle name="Normal 7 2 5 3 2 3 3" xfId="41788"/>
    <cellStyle name="Normal 7 2 5 3 2 3 4" xfId="58017"/>
    <cellStyle name="Normal 7 2 5 3 2 4" xfId="15828"/>
    <cellStyle name="Normal 7 2 5 3 2 4 2" xfId="51527"/>
    <cellStyle name="Normal 7 2 5 3 2 5" xfId="22318"/>
    <cellStyle name="Normal 7 2 5 3 2 6" xfId="35298"/>
    <cellStyle name="Normal 7 2 5 3 2 7" xfId="48281"/>
    <cellStyle name="Normal 7 2 5 3 3" xfId="4425"/>
    <cellStyle name="Normal 7 2 5 3 3 2" xfId="10957"/>
    <cellStyle name="Normal 7 2 5 3 3 2 2" xfId="30430"/>
    <cellStyle name="Normal 7 2 5 3 3 2 3" xfId="43410"/>
    <cellStyle name="Normal 7 2 5 3 3 2 4" xfId="59639"/>
    <cellStyle name="Normal 7 2 5 3 3 3" xfId="17450"/>
    <cellStyle name="Normal 7 2 5 3 3 4" xfId="23940"/>
    <cellStyle name="Normal 7 2 5 3 3 5" xfId="36920"/>
    <cellStyle name="Normal 7 2 5 3 3 6" xfId="53149"/>
    <cellStyle name="Normal 7 2 5 3 4" xfId="7712"/>
    <cellStyle name="Normal 7 2 5 3 4 2" xfId="27185"/>
    <cellStyle name="Normal 7 2 5 3 4 3" xfId="40165"/>
    <cellStyle name="Normal 7 2 5 3 4 4" xfId="56394"/>
    <cellStyle name="Normal 7 2 5 3 5" xfId="14205"/>
    <cellStyle name="Normal 7 2 5 3 5 2" xfId="49904"/>
    <cellStyle name="Normal 7 2 5 3 6" xfId="20695"/>
    <cellStyle name="Normal 7 2 5 3 7" xfId="33675"/>
    <cellStyle name="Normal 7 2 5 3 8" xfId="46658"/>
    <cellStyle name="Normal 7 2 5 4" xfId="2328"/>
    <cellStyle name="Normal 7 2 5 4 2" xfId="5573"/>
    <cellStyle name="Normal 7 2 5 4 2 2" xfId="12105"/>
    <cellStyle name="Normal 7 2 5 4 2 2 2" xfId="31578"/>
    <cellStyle name="Normal 7 2 5 4 2 2 3" xfId="44558"/>
    <cellStyle name="Normal 7 2 5 4 2 2 4" xfId="60787"/>
    <cellStyle name="Normal 7 2 5 4 2 3" xfId="18598"/>
    <cellStyle name="Normal 7 2 5 4 2 4" xfId="25088"/>
    <cellStyle name="Normal 7 2 5 4 2 5" xfId="38068"/>
    <cellStyle name="Normal 7 2 5 4 2 6" xfId="54297"/>
    <cellStyle name="Normal 7 2 5 4 3" xfId="8860"/>
    <cellStyle name="Normal 7 2 5 4 3 2" xfId="28333"/>
    <cellStyle name="Normal 7 2 5 4 3 3" xfId="41313"/>
    <cellStyle name="Normal 7 2 5 4 3 4" xfId="57542"/>
    <cellStyle name="Normal 7 2 5 4 4" xfId="15353"/>
    <cellStyle name="Normal 7 2 5 4 4 2" xfId="51052"/>
    <cellStyle name="Normal 7 2 5 4 5" xfId="21843"/>
    <cellStyle name="Normal 7 2 5 4 6" xfId="34823"/>
    <cellStyle name="Normal 7 2 5 4 7" xfId="47806"/>
    <cellStyle name="Normal 7 2 5 5" xfId="3950"/>
    <cellStyle name="Normal 7 2 5 5 2" xfId="10482"/>
    <cellStyle name="Normal 7 2 5 5 2 2" xfId="29955"/>
    <cellStyle name="Normal 7 2 5 5 2 3" xfId="42935"/>
    <cellStyle name="Normal 7 2 5 5 2 4" xfId="59164"/>
    <cellStyle name="Normal 7 2 5 5 3" xfId="16975"/>
    <cellStyle name="Normal 7 2 5 5 4" xfId="23465"/>
    <cellStyle name="Normal 7 2 5 5 5" xfId="36445"/>
    <cellStyle name="Normal 7 2 5 5 6" xfId="52674"/>
    <cellStyle name="Normal 7 2 5 6" xfId="7237"/>
    <cellStyle name="Normal 7 2 5 6 2" xfId="26710"/>
    <cellStyle name="Normal 7 2 5 6 3" xfId="39690"/>
    <cellStyle name="Normal 7 2 5 6 4" xfId="55919"/>
    <cellStyle name="Normal 7 2 5 7" xfId="13730"/>
    <cellStyle name="Normal 7 2 5 7 2" xfId="49429"/>
    <cellStyle name="Normal 7 2 5 8" xfId="20220"/>
    <cellStyle name="Normal 7 2 5 9" xfId="33200"/>
    <cellStyle name="Normal 7 2 6" xfId="430"/>
    <cellStyle name="Normal 7 2 6 2" xfId="1379"/>
    <cellStyle name="Normal 7 2 6 2 2" xfId="3046"/>
    <cellStyle name="Normal 7 2 6 2 2 2" xfId="6291"/>
    <cellStyle name="Normal 7 2 6 2 2 2 2" xfId="12823"/>
    <cellStyle name="Normal 7 2 6 2 2 2 2 2" xfId="32296"/>
    <cellStyle name="Normal 7 2 6 2 2 2 2 3" xfId="45276"/>
    <cellStyle name="Normal 7 2 6 2 2 2 2 4" xfId="61505"/>
    <cellStyle name="Normal 7 2 6 2 2 2 3" xfId="19316"/>
    <cellStyle name="Normal 7 2 6 2 2 2 4" xfId="25806"/>
    <cellStyle name="Normal 7 2 6 2 2 2 5" xfId="38786"/>
    <cellStyle name="Normal 7 2 6 2 2 2 6" xfId="55015"/>
    <cellStyle name="Normal 7 2 6 2 2 3" xfId="9578"/>
    <cellStyle name="Normal 7 2 6 2 2 3 2" xfId="29051"/>
    <cellStyle name="Normal 7 2 6 2 2 3 3" xfId="42031"/>
    <cellStyle name="Normal 7 2 6 2 2 3 4" xfId="58260"/>
    <cellStyle name="Normal 7 2 6 2 2 4" xfId="16071"/>
    <cellStyle name="Normal 7 2 6 2 2 4 2" xfId="51770"/>
    <cellStyle name="Normal 7 2 6 2 2 5" xfId="22561"/>
    <cellStyle name="Normal 7 2 6 2 2 6" xfId="35541"/>
    <cellStyle name="Normal 7 2 6 2 2 7" xfId="48524"/>
    <cellStyle name="Normal 7 2 6 2 3" xfId="4668"/>
    <cellStyle name="Normal 7 2 6 2 3 2" xfId="11200"/>
    <cellStyle name="Normal 7 2 6 2 3 2 2" xfId="30673"/>
    <cellStyle name="Normal 7 2 6 2 3 2 3" xfId="43653"/>
    <cellStyle name="Normal 7 2 6 2 3 2 4" xfId="59882"/>
    <cellStyle name="Normal 7 2 6 2 3 3" xfId="17693"/>
    <cellStyle name="Normal 7 2 6 2 3 4" xfId="24183"/>
    <cellStyle name="Normal 7 2 6 2 3 5" xfId="37163"/>
    <cellStyle name="Normal 7 2 6 2 3 6" xfId="53392"/>
    <cellStyle name="Normal 7 2 6 2 4" xfId="7955"/>
    <cellStyle name="Normal 7 2 6 2 4 2" xfId="27428"/>
    <cellStyle name="Normal 7 2 6 2 4 3" xfId="40408"/>
    <cellStyle name="Normal 7 2 6 2 4 4" xfId="56637"/>
    <cellStyle name="Normal 7 2 6 2 5" xfId="14448"/>
    <cellStyle name="Normal 7 2 6 2 5 2" xfId="50147"/>
    <cellStyle name="Normal 7 2 6 2 6" xfId="20938"/>
    <cellStyle name="Normal 7 2 6 2 7" xfId="33918"/>
    <cellStyle name="Normal 7 2 6 2 8" xfId="46901"/>
    <cellStyle name="Normal 7 2 6 3" xfId="2098"/>
    <cellStyle name="Normal 7 2 6 3 2" xfId="5343"/>
    <cellStyle name="Normal 7 2 6 3 2 2" xfId="11875"/>
    <cellStyle name="Normal 7 2 6 3 2 2 2" xfId="31348"/>
    <cellStyle name="Normal 7 2 6 3 2 2 3" xfId="44328"/>
    <cellStyle name="Normal 7 2 6 3 2 2 4" xfId="60557"/>
    <cellStyle name="Normal 7 2 6 3 2 3" xfId="18368"/>
    <cellStyle name="Normal 7 2 6 3 2 4" xfId="24858"/>
    <cellStyle name="Normal 7 2 6 3 2 5" xfId="37838"/>
    <cellStyle name="Normal 7 2 6 3 2 6" xfId="54067"/>
    <cellStyle name="Normal 7 2 6 3 3" xfId="8630"/>
    <cellStyle name="Normal 7 2 6 3 3 2" xfId="28103"/>
    <cellStyle name="Normal 7 2 6 3 3 3" xfId="41083"/>
    <cellStyle name="Normal 7 2 6 3 3 4" xfId="57312"/>
    <cellStyle name="Normal 7 2 6 3 4" xfId="15123"/>
    <cellStyle name="Normal 7 2 6 3 4 2" xfId="50822"/>
    <cellStyle name="Normal 7 2 6 3 5" xfId="21613"/>
    <cellStyle name="Normal 7 2 6 3 6" xfId="34593"/>
    <cellStyle name="Normal 7 2 6 3 7" xfId="47576"/>
    <cellStyle name="Normal 7 2 6 4" xfId="3720"/>
    <cellStyle name="Normal 7 2 6 4 2" xfId="10252"/>
    <cellStyle name="Normal 7 2 6 4 2 2" xfId="29725"/>
    <cellStyle name="Normal 7 2 6 4 2 3" xfId="42705"/>
    <cellStyle name="Normal 7 2 6 4 2 4" xfId="58934"/>
    <cellStyle name="Normal 7 2 6 4 3" xfId="16745"/>
    <cellStyle name="Normal 7 2 6 4 4" xfId="23235"/>
    <cellStyle name="Normal 7 2 6 4 5" xfId="36215"/>
    <cellStyle name="Normal 7 2 6 4 6" xfId="52444"/>
    <cellStyle name="Normal 7 2 6 5" xfId="7007"/>
    <cellStyle name="Normal 7 2 6 5 2" xfId="26480"/>
    <cellStyle name="Normal 7 2 6 5 3" xfId="39460"/>
    <cellStyle name="Normal 7 2 6 5 4" xfId="55689"/>
    <cellStyle name="Normal 7 2 6 6" xfId="13500"/>
    <cellStyle name="Normal 7 2 6 6 2" xfId="49199"/>
    <cellStyle name="Normal 7 2 6 7" xfId="19990"/>
    <cellStyle name="Normal 7 2 6 8" xfId="32970"/>
    <cellStyle name="Normal 7 2 6 9" xfId="45953"/>
    <cellStyle name="Normal 7 2 7" xfId="916"/>
    <cellStyle name="Normal 7 2 7 2" xfId="2583"/>
    <cellStyle name="Normal 7 2 7 2 2" xfId="5828"/>
    <cellStyle name="Normal 7 2 7 2 2 2" xfId="12360"/>
    <cellStyle name="Normal 7 2 7 2 2 2 2" xfId="31833"/>
    <cellStyle name="Normal 7 2 7 2 2 2 3" xfId="44813"/>
    <cellStyle name="Normal 7 2 7 2 2 2 4" xfId="61042"/>
    <cellStyle name="Normal 7 2 7 2 2 3" xfId="18853"/>
    <cellStyle name="Normal 7 2 7 2 2 4" xfId="25343"/>
    <cellStyle name="Normal 7 2 7 2 2 5" xfId="38323"/>
    <cellStyle name="Normal 7 2 7 2 2 6" xfId="54552"/>
    <cellStyle name="Normal 7 2 7 2 3" xfId="9115"/>
    <cellStyle name="Normal 7 2 7 2 3 2" xfId="28588"/>
    <cellStyle name="Normal 7 2 7 2 3 3" xfId="41568"/>
    <cellStyle name="Normal 7 2 7 2 3 4" xfId="57797"/>
    <cellStyle name="Normal 7 2 7 2 4" xfId="15608"/>
    <cellStyle name="Normal 7 2 7 2 4 2" xfId="51307"/>
    <cellStyle name="Normal 7 2 7 2 5" xfId="22098"/>
    <cellStyle name="Normal 7 2 7 2 6" xfId="35078"/>
    <cellStyle name="Normal 7 2 7 2 7" xfId="48061"/>
    <cellStyle name="Normal 7 2 7 3" xfId="4205"/>
    <cellStyle name="Normal 7 2 7 3 2" xfId="10737"/>
    <cellStyle name="Normal 7 2 7 3 2 2" xfId="30210"/>
    <cellStyle name="Normal 7 2 7 3 2 3" xfId="43190"/>
    <cellStyle name="Normal 7 2 7 3 2 4" xfId="59419"/>
    <cellStyle name="Normal 7 2 7 3 3" xfId="17230"/>
    <cellStyle name="Normal 7 2 7 3 4" xfId="23720"/>
    <cellStyle name="Normal 7 2 7 3 5" xfId="36700"/>
    <cellStyle name="Normal 7 2 7 3 6" xfId="52929"/>
    <cellStyle name="Normal 7 2 7 4" xfId="7492"/>
    <cellStyle name="Normal 7 2 7 4 2" xfId="26965"/>
    <cellStyle name="Normal 7 2 7 4 3" xfId="39945"/>
    <cellStyle name="Normal 7 2 7 4 4" xfId="56174"/>
    <cellStyle name="Normal 7 2 7 5" xfId="13985"/>
    <cellStyle name="Normal 7 2 7 5 2" xfId="49684"/>
    <cellStyle name="Normal 7 2 7 6" xfId="20475"/>
    <cellStyle name="Normal 7 2 7 7" xfId="33455"/>
    <cellStyle name="Normal 7 2 7 8" xfId="46438"/>
    <cellStyle name="Normal 7 2 8" xfId="1869"/>
    <cellStyle name="Normal 7 2 8 2" xfId="5114"/>
    <cellStyle name="Normal 7 2 8 2 2" xfId="11646"/>
    <cellStyle name="Normal 7 2 8 2 2 2" xfId="31119"/>
    <cellStyle name="Normal 7 2 8 2 2 3" xfId="44099"/>
    <cellStyle name="Normal 7 2 8 2 2 4" xfId="60328"/>
    <cellStyle name="Normal 7 2 8 2 3" xfId="18139"/>
    <cellStyle name="Normal 7 2 8 2 4" xfId="24629"/>
    <cellStyle name="Normal 7 2 8 2 5" xfId="37609"/>
    <cellStyle name="Normal 7 2 8 2 6" xfId="53838"/>
    <cellStyle name="Normal 7 2 8 3" xfId="8401"/>
    <cellStyle name="Normal 7 2 8 3 2" xfId="27874"/>
    <cellStyle name="Normal 7 2 8 3 3" xfId="40854"/>
    <cellStyle name="Normal 7 2 8 3 4" xfId="57083"/>
    <cellStyle name="Normal 7 2 8 4" xfId="14894"/>
    <cellStyle name="Normal 7 2 8 4 2" xfId="50593"/>
    <cellStyle name="Normal 7 2 8 5" xfId="21384"/>
    <cellStyle name="Normal 7 2 8 6" xfId="34364"/>
    <cellStyle name="Normal 7 2 8 7" xfId="47347"/>
    <cellStyle name="Normal 7 2 9" xfId="3490"/>
    <cellStyle name="Normal 7 2 9 2" xfId="10022"/>
    <cellStyle name="Normal 7 2 9 2 2" xfId="29495"/>
    <cellStyle name="Normal 7 2 9 2 3" xfId="42475"/>
    <cellStyle name="Normal 7 2 9 2 4" xfId="58704"/>
    <cellStyle name="Normal 7 2 9 3" xfId="16515"/>
    <cellStyle name="Normal 7 2 9 4" xfId="23005"/>
    <cellStyle name="Normal 7 2 9 5" xfId="35985"/>
    <cellStyle name="Normal 7 2 9 6" xfId="52214"/>
    <cellStyle name="Normal 7 3" xfId="262"/>
    <cellStyle name="Normal 7 3 10" xfId="19826"/>
    <cellStyle name="Normal 7 3 11" xfId="32806"/>
    <cellStyle name="Normal 7 3 12" xfId="45789"/>
    <cellStyle name="Normal 7 3 13" xfId="61972"/>
    <cellStyle name="Normal 7 3 2" xfId="350"/>
    <cellStyle name="Normal 7 3 2 10" xfId="32894"/>
    <cellStyle name="Normal 7 3 2 11" xfId="45877"/>
    <cellStyle name="Normal 7 3 2 12" xfId="61980"/>
    <cellStyle name="Normal 7 3 2 2" xfId="814"/>
    <cellStyle name="Normal 7 3 2 2 10" xfId="46337"/>
    <cellStyle name="Normal 7 3 2 2 11" xfId="61997"/>
    <cellStyle name="Normal 7 3 2 2 2" xfId="1753"/>
    <cellStyle name="Normal 7 3 2 2 2 2" xfId="3420"/>
    <cellStyle name="Normal 7 3 2 2 2 2 2" xfId="6665"/>
    <cellStyle name="Normal 7 3 2 2 2 2 2 2" xfId="13197"/>
    <cellStyle name="Normal 7 3 2 2 2 2 2 2 2" xfId="32670"/>
    <cellStyle name="Normal 7 3 2 2 2 2 2 2 3" xfId="45650"/>
    <cellStyle name="Normal 7 3 2 2 2 2 2 2 4" xfId="61879"/>
    <cellStyle name="Normal 7 3 2 2 2 2 2 3" xfId="19690"/>
    <cellStyle name="Normal 7 3 2 2 2 2 2 4" xfId="26180"/>
    <cellStyle name="Normal 7 3 2 2 2 2 2 5" xfId="39160"/>
    <cellStyle name="Normal 7 3 2 2 2 2 2 6" xfId="55389"/>
    <cellStyle name="Normal 7 3 2 2 2 2 3" xfId="9952"/>
    <cellStyle name="Normal 7 3 2 2 2 2 3 2" xfId="29425"/>
    <cellStyle name="Normal 7 3 2 2 2 2 3 3" xfId="42405"/>
    <cellStyle name="Normal 7 3 2 2 2 2 3 4" xfId="58634"/>
    <cellStyle name="Normal 7 3 2 2 2 2 4" xfId="16445"/>
    <cellStyle name="Normal 7 3 2 2 2 2 4 2" xfId="52144"/>
    <cellStyle name="Normal 7 3 2 2 2 2 5" xfId="22935"/>
    <cellStyle name="Normal 7 3 2 2 2 2 6" xfId="35915"/>
    <cellStyle name="Normal 7 3 2 2 2 2 7" xfId="48898"/>
    <cellStyle name="Normal 7 3 2 2 2 3" xfId="5042"/>
    <cellStyle name="Normal 7 3 2 2 2 3 2" xfId="11574"/>
    <cellStyle name="Normal 7 3 2 2 2 3 2 2" xfId="31047"/>
    <cellStyle name="Normal 7 3 2 2 2 3 2 3" xfId="44027"/>
    <cellStyle name="Normal 7 3 2 2 2 3 2 4" xfId="60256"/>
    <cellStyle name="Normal 7 3 2 2 2 3 3" xfId="18067"/>
    <cellStyle name="Normal 7 3 2 2 2 3 4" xfId="24557"/>
    <cellStyle name="Normal 7 3 2 2 2 3 5" xfId="37537"/>
    <cellStyle name="Normal 7 3 2 2 2 3 6" xfId="53766"/>
    <cellStyle name="Normal 7 3 2 2 2 4" xfId="8329"/>
    <cellStyle name="Normal 7 3 2 2 2 4 2" xfId="27802"/>
    <cellStyle name="Normal 7 3 2 2 2 4 3" xfId="40782"/>
    <cellStyle name="Normal 7 3 2 2 2 4 4" xfId="57011"/>
    <cellStyle name="Normal 7 3 2 2 2 5" xfId="14822"/>
    <cellStyle name="Normal 7 3 2 2 2 5 2" xfId="50521"/>
    <cellStyle name="Normal 7 3 2 2 2 6" xfId="21312"/>
    <cellStyle name="Normal 7 3 2 2 2 7" xfId="34292"/>
    <cellStyle name="Normal 7 3 2 2 2 8" xfId="47275"/>
    <cellStyle name="Normal 7 3 2 2 3" xfId="1290"/>
    <cellStyle name="Normal 7 3 2 2 3 2" xfId="2957"/>
    <cellStyle name="Normal 7 3 2 2 3 2 2" xfId="6202"/>
    <cellStyle name="Normal 7 3 2 2 3 2 2 2" xfId="12734"/>
    <cellStyle name="Normal 7 3 2 2 3 2 2 2 2" xfId="32207"/>
    <cellStyle name="Normal 7 3 2 2 3 2 2 2 3" xfId="45187"/>
    <cellStyle name="Normal 7 3 2 2 3 2 2 2 4" xfId="61416"/>
    <cellStyle name="Normal 7 3 2 2 3 2 2 3" xfId="19227"/>
    <cellStyle name="Normal 7 3 2 2 3 2 2 4" xfId="25717"/>
    <cellStyle name="Normal 7 3 2 2 3 2 2 5" xfId="38697"/>
    <cellStyle name="Normal 7 3 2 2 3 2 2 6" xfId="54926"/>
    <cellStyle name="Normal 7 3 2 2 3 2 3" xfId="9489"/>
    <cellStyle name="Normal 7 3 2 2 3 2 3 2" xfId="28962"/>
    <cellStyle name="Normal 7 3 2 2 3 2 3 3" xfId="41942"/>
    <cellStyle name="Normal 7 3 2 2 3 2 3 4" xfId="58171"/>
    <cellStyle name="Normal 7 3 2 2 3 2 4" xfId="15982"/>
    <cellStyle name="Normal 7 3 2 2 3 2 4 2" xfId="51681"/>
    <cellStyle name="Normal 7 3 2 2 3 2 5" xfId="22472"/>
    <cellStyle name="Normal 7 3 2 2 3 2 6" xfId="35452"/>
    <cellStyle name="Normal 7 3 2 2 3 2 7" xfId="48435"/>
    <cellStyle name="Normal 7 3 2 2 3 3" xfId="4579"/>
    <cellStyle name="Normal 7 3 2 2 3 3 2" xfId="11111"/>
    <cellStyle name="Normal 7 3 2 2 3 3 2 2" xfId="30584"/>
    <cellStyle name="Normal 7 3 2 2 3 3 2 3" xfId="43564"/>
    <cellStyle name="Normal 7 3 2 2 3 3 2 4" xfId="59793"/>
    <cellStyle name="Normal 7 3 2 2 3 3 3" xfId="17604"/>
    <cellStyle name="Normal 7 3 2 2 3 3 4" xfId="24094"/>
    <cellStyle name="Normal 7 3 2 2 3 3 5" xfId="37074"/>
    <cellStyle name="Normal 7 3 2 2 3 3 6" xfId="53303"/>
    <cellStyle name="Normal 7 3 2 2 3 4" xfId="7866"/>
    <cellStyle name="Normal 7 3 2 2 3 4 2" xfId="27339"/>
    <cellStyle name="Normal 7 3 2 2 3 4 3" xfId="40319"/>
    <cellStyle name="Normal 7 3 2 2 3 4 4" xfId="56548"/>
    <cellStyle name="Normal 7 3 2 2 3 5" xfId="14359"/>
    <cellStyle name="Normal 7 3 2 2 3 5 2" xfId="50058"/>
    <cellStyle name="Normal 7 3 2 2 3 6" xfId="20849"/>
    <cellStyle name="Normal 7 3 2 2 3 7" xfId="33829"/>
    <cellStyle name="Normal 7 3 2 2 3 8" xfId="46812"/>
    <cellStyle name="Normal 7 3 2 2 4" xfId="2482"/>
    <cellStyle name="Normal 7 3 2 2 4 2" xfId="5727"/>
    <cellStyle name="Normal 7 3 2 2 4 2 2" xfId="12259"/>
    <cellStyle name="Normal 7 3 2 2 4 2 2 2" xfId="31732"/>
    <cellStyle name="Normal 7 3 2 2 4 2 2 3" xfId="44712"/>
    <cellStyle name="Normal 7 3 2 2 4 2 2 4" xfId="60941"/>
    <cellStyle name="Normal 7 3 2 2 4 2 3" xfId="18752"/>
    <cellStyle name="Normal 7 3 2 2 4 2 4" xfId="25242"/>
    <cellStyle name="Normal 7 3 2 2 4 2 5" xfId="38222"/>
    <cellStyle name="Normal 7 3 2 2 4 2 6" xfId="54451"/>
    <cellStyle name="Normal 7 3 2 2 4 3" xfId="9014"/>
    <cellStyle name="Normal 7 3 2 2 4 3 2" xfId="28487"/>
    <cellStyle name="Normal 7 3 2 2 4 3 3" xfId="41467"/>
    <cellStyle name="Normal 7 3 2 2 4 3 4" xfId="57696"/>
    <cellStyle name="Normal 7 3 2 2 4 4" xfId="15507"/>
    <cellStyle name="Normal 7 3 2 2 4 4 2" xfId="51206"/>
    <cellStyle name="Normal 7 3 2 2 4 5" xfId="21997"/>
    <cellStyle name="Normal 7 3 2 2 4 6" xfId="34977"/>
    <cellStyle name="Normal 7 3 2 2 4 7" xfId="47960"/>
    <cellStyle name="Normal 7 3 2 2 5" xfId="4104"/>
    <cellStyle name="Normal 7 3 2 2 5 2" xfId="10636"/>
    <cellStyle name="Normal 7 3 2 2 5 2 2" xfId="30109"/>
    <cellStyle name="Normal 7 3 2 2 5 2 3" xfId="43089"/>
    <cellStyle name="Normal 7 3 2 2 5 2 4" xfId="59318"/>
    <cellStyle name="Normal 7 3 2 2 5 3" xfId="17129"/>
    <cellStyle name="Normal 7 3 2 2 5 4" xfId="23619"/>
    <cellStyle name="Normal 7 3 2 2 5 5" xfId="36599"/>
    <cellStyle name="Normal 7 3 2 2 5 6" xfId="52828"/>
    <cellStyle name="Normal 7 3 2 2 6" xfId="7391"/>
    <cellStyle name="Normal 7 3 2 2 6 2" xfId="26864"/>
    <cellStyle name="Normal 7 3 2 2 6 3" xfId="39844"/>
    <cellStyle name="Normal 7 3 2 2 6 4" xfId="56073"/>
    <cellStyle name="Normal 7 3 2 2 7" xfId="13884"/>
    <cellStyle name="Normal 7 3 2 2 7 2" xfId="49583"/>
    <cellStyle name="Normal 7 3 2 2 8" xfId="20374"/>
    <cellStyle name="Normal 7 3 2 2 9" xfId="33354"/>
    <cellStyle name="Normal 7 3 2 3" xfId="584"/>
    <cellStyle name="Normal 7 3 2 3 10" xfId="62016"/>
    <cellStyle name="Normal 7 3 2 3 2" xfId="1533"/>
    <cellStyle name="Normal 7 3 2 3 2 2" xfId="3200"/>
    <cellStyle name="Normal 7 3 2 3 2 2 2" xfId="6445"/>
    <cellStyle name="Normal 7 3 2 3 2 2 2 2" xfId="12977"/>
    <cellStyle name="Normal 7 3 2 3 2 2 2 2 2" xfId="32450"/>
    <cellStyle name="Normal 7 3 2 3 2 2 2 2 3" xfId="45430"/>
    <cellStyle name="Normal 7 3 2 3 2 2 2 2 4" xfId="61659"/>
    <cellStyle name="Normal 7 3 2 3 2 2 2 3" xfId="19470"/>
    <cellStyle name="Normal 7 3 2 3 2 2 2 4" xfId="25960"/>
    <cellStyle name="Normal 7 3 2 3 2 2 2 5" xfId="38940"/>
    <cellStyle name="Normal 7 3 2 3 2 2 2 6" xfId="55169"/>
    <cellStyle name="Normal 7 3 2 3 2 2 3" xfId="9732"/>
    <cellStyle name="Normal 7 3 2 3 2 2 3 2" xfId="29205"/>
    <cellStyle name="Normal 7 3 2 3 2 2 3 3" xfId="42185"/>
    <cellStyle name="Normal 7 3 2 3 2 2 3 4" xfId="58414"/>
    <cellStyle name="Normal 7 3 2 3 2 2 4" xfId="16225"/>
    <cellStyle name="Normal 7 3 2 3 2 2 4 2" xfId="51924"/>
    <cellStyle name="Normal 7 3 2 3 2 2 5" xfId="22715"/>
    <cellStyle name="Normal 7 3 2 3 2 2 6" xfId="35695"/>
    <cellStyle name="Normal 7 3 2 3 2 2 7" xfId="48678"/>
    <cellStyle name="Normal 7 3 2 3 2 3" xfId="4822"/>
    <cellStyle name="Normal 7 3 2 3 2 3 2" xfId="11354"/>
    <cellStyle name="Normal 7 3 2 3 2 3 2 2" xfId="30827"/>
    <cellStyle name="Normal 7 3 2 3 2 3 2 3" xfId="43807"/>
    <cellStyle name="Normal 7 3 2 3 2 3 2 4" xfId="60036"/>
    <cellStyle name="Normal 7 3 2 3 2 3 3" xfId="17847"/>
    <cellStyle name="Normal 7 3 2 3 2 3 4" xfId="24337"/>
    <cellStyle name="Normal 7 3 2 3 2 3 5" xfId="37317"/>
    <cellStyle name="Normal 7 3 2 3 2 3 6" xfId="53546"/>
    <cellStyle name="Normal 7 3 2 3 2 4" xfId="8109"/>
    <cellStyle name="Normal 7 3 2 3 2 4 2" xfId="27582"/>
    <cellStyle name="Normal 7 3 2 3 2 4 3" xfId="40562"/>
    <cellStyle name="Normal 7 3 2 3 2 4 4" xfId="56791"/>
    <cellStyle name="Normal 7 3 2 3 2 5" xfId="14602"/>
    <cellStyle name="Normal 7 3 2 3 2 5 2" xfId="50301"/>
    <cellStyle name="Normal 7 3 2 3 2 6" xfId="21092"/>
    <cellStyle name="Normal 7 3 2 3 2 7" xfId="34072"/>
    <cellStyle name="Normal 7 3 2 3 2 8" xfId="47055"/>
    <cellStyle name="Normal 7 3 2 3 3" xfId="2252"/>
    <cellStyle name="Normal 7 3 2 3 3 2" xfId="5497"/>
    <cellStyle name="Normal 7 3 2 3 3 2 2" xfId="12029"/>
    <cellStyle name="Normal 7 3 2 3 3 2 2 2" xfId="31502"/>
    <cellStyle name="Normal 7 3 2 3 3 2 2 3" xfId="44482"/>
    <cellStyle name="Normal 7 3 2 3 3 2 2 4" xfId="60711"/>
    <cellStyle name="Normal 7 3 2 3 3 2 3" xfId="18522"/>
    <cellStyle name="Normal 7 3 2 3 3 2 4" xfId="25012"/>
    <cellStyle name="Normal 7 3 2 3 3 2 5" xfId="37992"/>
    <cellStyle name="Normal 7 3 2 3 3 2 6" xfId="54221"/>
    <cellStyle name="Normal 7 3 2 3 3 3" xfId="8784"/>
    <cellStyle name="Normal 7 3 2 3 3 3 2" xfId="28257"/>
    <cellStyle name="Normal 7 3 2 3 3 3 3" xfId="41237"/>
    <cellStyle name="Normal 7 3 2 3 3 3 4" xfId="57466"/>
    <cellStyle name="Normal 7 3 2 3 3 4" xfId="15277"/>
    <cellStyle name="Normal 7 3 2 3 3 4 2" xfId="50976"/>
    <cellStyle name="Normal 7 3 2 3 3 5" xfId="21767"/>
    <cellStyle name="Normal 7 3 2 3 3 6" xfId="34747"/>
    <cellStyle name="Normal 7 3 2 3 3 7" xfId="47730"/>
    <cellStyle name="Normal 7 3 2 3 4" xfId="3874"/>
    <cellStyle name="Normal 7 3 2 3 4 2" xfId="10406"/>
    <cellStyle name="Normal 7 3 2 3 4 2 2" xfId="29879"/>
    <cellStyle name="Normal 7 3 2 3 4 2 3" xfId="42859"/>
    <cellStyle name="Normal 7 3 2 3 4 2 4" xfId="59088"/>
    <cellStyle name="Normal 7 3 2 3 4 3" xfId="16899"/>
    <cellStyle name="Normal 7 3 2 3 4 4" xfId="23389"/>
    <cellStyle name="Normal 7 3 2 3 4 5" xfId="36369"/>
    <cellStyle name="Normal 7 3 2 3 4 6" xfId="52598"/>
    <cellStyle name="Normal 7 3 2 3 5" xfId="7161"/>
    <cellStyle name="Normal 7 3 2 3 5 2" xfId="26634"/>
    <cellStyle name="Normal 7 3 2 3 5 3" xfId="39614"/>
    <cellStyle name="Normal 7 3 2 3 5 4" xfId="55843"/>
    <cellStyle name="Normal 7 3 2 3 6" xfId="13654"/>
    <cellStyle name="Normal 7 3 2 3 6 2" xfId="49353"/>
    <cellStyle name="Normal 7 3 2 3 7" xfId="20144"/>
    <cellStyle name="Normal 7 3 2 3 8" xfId="33124"/>
    <cellStyle name="Normal 7 3 2 3 9" xfId="46107"/>
    <cellStyle name="Normal 7 3 2 4" xfId="1070"/>
    <cellStyle name="Normal 7 3 2 4 2" xfId="2737"/>
    <cellStyle name="Normal 7 3 2 4 2 2" xfId="5982"/>
    <cellStyle name="Normal 7 3 2 4 2 2 2" xfId="12514"/>
    <cellStyle name="Normal 7 3 2 4 2 2 2 2" xfId="31987"/>
    <cellStyle name="Normal 7 3 2 4 2 2 2 3" xfId="44967"/>
    <cellStyle name="Normal 7 3 2 4 2 2 2 4" xfId="61196"/>
    <cellStyle name="Normal 7 3 2 4 2 2 3" xfId="19007"/>
    <cellStyle name="Normal 7 3 2 4 2 2 4" xfId="25497"/>
    <cellStyle name="Normal 7 3 2 4 2 2 5" xfId="38477"/>
    <cellStyle name="Normal 7 3 2 4 2 2 6" xfId="54706"/>
    <cellStyle name="Normal 7 3 2 4 2 3" xfId="9269"/>
    <cellStyle name="Normal 7 3 2 4 2 3 2" xfId="28742"/>
    <cellStyle name="Normal 7 3 2 4 2 3 3" xfId="41722"/>
    <cellStyle name="Normal 7 3 2 4 2 3 4" xfId="57951"/>
    <cellStyle name="Normal 7 3 2 4 2 4" xfId="15762"/>
    <cellStyle name="Normal 7 3 2 4 2 4 2" xfId="51461"/>
    <cellStyle name="Normal 7 3 2 4 2 5" xfId="22252"/>
    <cellStyle name="Normal 7 3 2 4 2 6" xfId="35232"/>
    <cellStyle name="Normal 7 3 2 4 2 7" xfId="48215"/>
    <cellStyle name="Normal 7 3 2 4 3" xfId="4359"/>
    <cellStyle name="Normal 7 3 2 4 3 2" xfId="10891"/>
    <cellStyle name="Normal 7 3 2 4 3 2 2" xfId="30364"/>
    <cellStyle name="Normal 7 3 2 4 3 2 3" xfId="43344"/>
    <cellStyle name="Normal 7 3 2 4 3 2 4" xfId="59573"/>
    <cellStyle name="Normal 7 3 2 4 3 3" xfId="17384"/>
    <cellStyle name="Normal 7 3 2 4 3 4" xfId="23874"/>
    <cellStyle name="Normal 7 3 2 4 3 5" xfId="36854"/>
    <cellStyle name="Normal 7 3 2 4 3 6" xfId="53083"/>
    <cellStyle name="Normal 7 3 2 4 4" xfId="7646"/>
    <cellStyle name="Normal 7 3 2 4 4 2" xfId="27119"/>
    <cellStyle name="Normal 7 3 2 4 4 3" xfId="40099"/>
    <cellStyle name="Normal 7 3 2 4 4 4" xfId="56328"/>
    <cellStyle name="Normal 7 3 2 4 5" xfId="14139"/>
    <cellStyle name="Normal 7 3 2 4 5 2" xfId="49838"/>
    <cellStyle name="Normal 7 3 2 4 6" xfId="20629"/>
    <cellStyle name="Normal 7 3 2 4 7" xfId="33609"/>
    <cellStyle name="Normal 7 3 2 4 8" xfId="46592"/>
    <cellStyle name="Normal 7 3 2 5" xfId="2023"/>
    <cellStyle name="Normal 7 3 2 5 2" xfId="5268"/>
    <cellStyle name="Normal 7 3 2 5 2 2" xfId="11800"/>
    <cellStyle name="Normal 7 3 2 5 2 2 2" xfId="31273"/>
    <cellStyle name="Normal 7 3 2 5 2 2 3" xfId="44253"/>
    <cellStyle name="Normal 7 3 2 5 2 2 4" xfId="60482"/>
    <cellStyle name="Normal 7 3 2 5 2 3" xfId="18293"/>
    <cellStyle name="Normal 7 3 2 5 2 4" xfId="24783"/>
    <cellStyle name="Normal 7 3 2 5 2 5" xfId="37763"/>
    <cellStyle name="Normal 7 3 2 5 2 6" xfId="53992"/>
    <cellStyle name="Normal 7 3 2 5 3" xfId="8555"/>
    <cellStyle name="Normal 7 3 2 5 3 2" xfId="28028"/>
    <cellStyle name="Normal 7 3 2 5 3 3" xfId="41008"/>
    <cellStyle name="Normal 7 3 2 5 3 4" xfId="57237"/>
    <cellStyle name="Normal 7 3 2 5 4" xfId="15048"/>
    <cellStyle name="Normal 7 3 2 5 4 2" xfId="50747"/>
    <cellStyle name="Normal 7 3 2 5 5" xfId="21538"/>
    <cellStyle name="Normal 7 3 2 5 6" xfId="34518"/>
    <cellStyle name="Normal 7 3 2 5 7" xfId="47501"/>
    <cellStyle name="Normal 7 3 2 6" xfId="3644"/>
    <cellStyle name="Normal 7 3 2 6 2" xfId="10176"/>
    <cellStyle name="Normal 7 3 2 6 2 2" xfId="29649"/>
    <cellStyle name="Normal 7 3 2 6 2 3" xfId="42629"/>
    <cellStyle name="Normal 7 3 2 6 2 4" xfId="58858"/>
    <cellStyle name="Normal 7 3 2 6 3" xfId="16669"/>
    <cellStyle name="Normal 7 3 2 6 4" xfId="23159"/>
    <cellStyle name="Normal 7 3 2 6 5" xfId="36139"/>
    <cellStyle name="Normal 7 3 2 6 6" xfId="52368"/>
    <cellStyle name="Normal 7 3 2 7" xfId="6931"/>
    <cellStyle name="Normal 7 3 2 7 2" xfId="26404"/>
    <cellStyle name="Normal 7 3 2 7 3" xfId="39384"/>
    <cellStyle name="Normal 7 3 2 7 4" xfId="55613"/>
    <cellStyle name="Normal 7 3 2 8" xfId="13424"/>
    <cellStyle name="Normal 7 3 2 8 2" xfId="49123"/>
    <cellStyle name="Normal 7 3 2 9" xfId="19914"/>
    <cellStyle name="Normal 7 3 3" xfId="726"/>
    <cellStyle name="Normal 7 3 3 10" xfId="46249"/>
    <cellStyle name="Normal 7 3 3 2" xfId="1665"/>
    <cellStyle name="Normal 7 3 3 2 2" xfId="3332"/>
    <cellStyle name="Normal 7 3 3 2 2 2" xfId="6577"/>
    <cellStyle name="Normal 7 3 3 2 2 2 2" xfId="13109"/>
    <cellStyle name="Normal 7 3 3 2 2 2 2 2" xfId="32582"/>
    <cellStyle name="Normal 7 3 3 2 2 2 2 3" xfId="45562"/>
    <cellStyle name="Normal 7 3 3 2 2 2 2 4" xfId="61791"/>
    <cellStyle name="Normal 7 3 3 2 2 2 3" xfId="19602"/>
    <cellStyle name="Normal 7 3 3 2 2 2 4" xfId="26092"/>
    <cellStyle name="Normal 7 3 3 2 2 2 5" xfId="39072"/>
    <cellStyle name="Normal 7 3 3 2 2 2 6" xfId="55301"/>
    <cellStyle name="Normal 7 3 3 2 2 3" xfId="9864"/>
    <cellStyle name="Normal 7 3 3 2 2 3 2" xfId="29337"/>
    <cellStyle name="Normal 7 3 3 2 2 3 3" xfId="42317"/>
    <cellStyle name="Normal 7 3 3 2 2 3 4" xfId="58546"/>
    <cellStyle name="Normal 7 3 3 2 2 4" xfId="16357"/>
    <cellStyle name="Normal 7 3 3 2 2 4 2" xfId="52056"/>
    <cellStyle name="Normal 7 3 3 2 2 5" xfId="22847"/>
    <cellStyle name="Normal 7 3 3 2 2 6" xfId="35827"/>
    <cellStyle name="Normal 7 3 3 2 2 7" xfId="48810"/>
    <cellStyle name="Normal 7 3 3 2 3" xfId="4954"/>
    <cellStyle name="Normal 7 3 3 2 3 2" xfId="11486"/>
    <cellStyle name="Normal 7 3 3 2 3 2 2" xfId="30959"/>
    <cellStyle name="Normal 7 3 3 2 3 2 3" xfId="43939"/>
    <cellStyle name="Normal 7 3 3 2 3 2 4" xfId="60168"/>
    <cellStyle name="Normal 7 3 3 2 3 3" xfId="17979"/>
    <cellStyle name="Normal 7 3 3 2 3 4" xfId="24469"/>
    <cellStyle name="Normal 7 3 3 2 3 5" xfId="37449"/>
    <cellStyle name="Normal 7 3 3 2 3 6" xfId="53678"/>
    <cellStyle name="Normal 7 3 3 2 4" xfId="8241"/>
    <cellStyle name="Normal 7 3 3 2 4 2" xfId="27714"/>
    <cellStyle name="Normal 7 3 3 2 4 3" xfId="40694"/>
    <cellStyle name="Normal 7 3 3 2 4 4" xfId="56923"/>
    <cellStyle name="Normal 7 3 3 2 5" xfId="14734"/>
    <cellStyle name="Normal 7 3 3 2 5 2" xfId="50433"/>
    <cellStyle name="Normal 7 3 3 2 6" xfId="21224"/>
    <cellStyle name="Normal 7 3 3 2 7" xfId="34204"/>
    <cellStyle name="Normal 7 3 3 2 8" xfId="47187"/>
    <cellStyle name="Normal 7 3 3 3" xfId="1202"/>
    <cellStyle name="Normal 7 3 3 3 2" xfId="2869"/>
    <cellStyle name="Normal 7 3 3 3 2 2" xfId="6114"/>
    <cellStyle name="Normal 7 3 3 3 2 2 2" xfId="12646"/>
    <cellStyle name="Normal 7 3 3 3 2 2 2 2" xfId="32119"/>
    <cellStyle name="Normal 7 3 3 3 2 2 2 3" xfId="45099"/>
    <cellStyle name="Normal 7 3 3 3 2 2 2 4" xfId="61328"/>
    <cellStyle name="Normal 7 3 3 3 2 2 3" xfId="19139"/>
    <cellStyle name="Normal 7 3 3 3 2 2 4" xfId="25629"/>
    <cellStyle name="Normal 7 3 3 3 2 2 5" xfId="38609"/>
    <cellStyle name="Normal 7 3 3 3 2 2 6" xfId="54838"/>
    <cellStyle name="Normal 7 3 3 3 2 3" xfId="9401"/>
    <cellStyle name="Normal 7 3 3 3 2 3 2" xfId="28874"/>
    <cellStyle name="Normal 7 3 3 3 2 3 3" xfId="41854"/>
    <cellStyle name="Normal 7 3 3 3 2 3 4" xfId="58083"/>
    <cellStyle name="Normal 7 3 3 3 2 4" xfId="15894"/>
    <cellStyle name="Normal 7 3 3 3 2 4 2" xfId="51593"/>
    <cellStyle name="Normal 7 3 3 3 2 5" xfId="22384"/>
    <cellStyle name="Normal 7 3 3 3 2 6" xfId="35364"/>
    <cellStyle name="Normal 7 3 3 3 2 7" xfId="48347"/>
    <cellStyle name="Normal 7 3 3 3 3" xfId="4491"/>
    <cellStyle name="Normal 7 3 3 3 3 2" xfId="11023"/>
    <cellStyle name="Normal 7 3 3 3 3 2 2" xfId="30496"/>
    <cellStyle name="Normal 7 3 3 3 3 2 3" xfId="43476"/>
    <cellStyle name="Normal 7 3 3 3 3 2 4" xfId="59705"/>
    <cellStyle name="Normal 7 3 3 3 3 3" xfId="17516"/>
    <cellStyle name="Normal 7 3 3 3 3 4" xfId="24006"/>
    <cellStyle name="Normal 7 3 3 3 3 5" xfId="36986"/>
    <cellStyle name="Normal 7 3 3 3 3 6" xfId="53215"/>
    <cellStyle name="Normal 7 3 3 3 4" xfId="7778"/>
    <cellStyle name="Normal 7 3 3 3 4 2" xfId="27251"/>
    <cellStyle name="Normal 7 3 3 3 4 3" xfId="40231"/>
    <cellStyle name="Normal 7 3 3 3 4 4" xfId="56460"/>
    <cellStyle name="Normal 7 3 3 3 5" xfId="14271"/>
    <cellStyle name="Normal 7 3 3 3 5 2" xfId="49970"/>
    <cellStyle name="Normal 7 3 3 3 6" xfId="20761"/>
    <cellStyle name="Normal 7 3 3 3 7" xfId="33741"/>
    <cellStyle name="Normal 7 3 3 3 8" xfId="46724"/>
    <cellStyle name="Normal 7 3 3 4" xfId="2394"/>
    <cellStyle name="Normal 7 3 3 4 2" xfId="5639"/>
    <cellStyle name="Normal 7 3 3 4 2 2" xfId="12171"/>
    <cellStyle name="Normal 7 3 3 4 2 2 2" xfId="31644"/>
    <cellStyle name="Normal 7 3 3 4 2 2 3" xfId="44624"/>
    <cellStyle name="Normal 7 3 3 4 2 2 4" xfId="60853"/>
    <cellStyle name="Normal 7 3 3 4 2 3" xfId="18664"/>
    <cellStyle name="Normal 7 3 3 4 2 4" xfId="25154"/>
    <cellStyle name="Normal 7 3 3 4 2 5" xfId="38134"/>
    <cellStyle name="Normal 7 3 3 4 2 6" xfId="54363"/>
    <cellStyle name="Normal 7 3 3 4 3" xfId="8926"/>
    <cellStyle name="Normal 7 3 3 4 3 2" xfId="28399"/>
    <cellStyle name="Normal 7 3 3 4 3 3" xfId="41379"/>
    <cellStyle name="Normal 7 3 3 4 3 4" xfId="57608"/>
    <cellStyle name="Normal 7 3 3 4 4" xfId="15419"/>
    <cellStyle name="Normal 7 3 3 4 4 2" xfId="51118"/>
    <cellStyle name="Normal 7 3 3 4 5" xfId="21909"/>
    <cellStyle name="Normal 7 3 3 4 6" xfId="34889"/>
    <cellStyle name="Normal 7 3 3 4 7" xfId="47872"/>
    <cellStyle name="Normal 7 3 3 5" xfId="4016"/>
    <cellStyle name="Normal 7 3 3 5 2" xfId="10548"/>
    <cellStyle name="Normal 7 3 3 5 2 2" xfId="30021"/>
    <cellStyle name="Normal 7 3 3 5 2 3" xfId="43001"/>
    <cellStyle name="Normal 7 3 3 5 2 4" xfId="59230"/>
    <cellStyle name="Normal 7 3 3 5 3" xfId="17041"/>
    <cellStyle name="Normal 7 3 3 5 4" xfId="23531"/>
    <cellStyle name="Normal 7 3 3 5 5" xfId="36511"/>
    <cellStyle name="Normal 7 3 3 5 6" xfId="52740"/>
    <cellStyle name="Normal 7 3 3 6" xfId="7303"/>
    <cellStyle name="Normal 7 3 3 6 2" xfId="26776"/>
    <cellStyle name="Normal 7 3 3 6 3" xfId="39756"/>
    <cellStyle name="Normal 7 3 3 6 4" xfId="55985"/>
    <cellStyle name="Normal 7 3 3 7" xfId="13796"/>
    <cellStyle name="Normal 7 3 3 7 2" xfId="49495"/>
    <cellStyle name="Normal 7 3 3 8" xfId="20286"/>
    <cellStyle name="Normal 7 3 3 9" xfId="33266"/>
    <cellStyle name="Normal 7 3 4" xfId="496"/>
    <cellStyle name="Normal 7 3 4 2" xfId="1445"/>
    <cellStyle name="Normal 7 3 4 2 2" xfId="3112"/>
    <cellStyle name="Normal 7 3 4 2 2 2" xfId="6357"/>
    <cellStyle name="Normal 7 3 4 2 2 2 2" xfId="12889"/>
    <cellStyle name="Normal 7 3 4 2 2 2 2 2" xfId="32362"/>
    <cellStyle name="Normal 7 3 4 2 2 2 2 3" xfId="45342"/>
    <cellStyle name="Normal 7 3 4 2 2 2 2 4" xfId="61571"/>
    <cellStyle name="Normal 7 3 4 2 2 2 3" xfId="19382"/>
    <cellStyle name="Normal 7 3 4 2 2 2 4" xfId="25872"/>
    <cellStyle name="Normal 7 3 4 2 2 2 5" xfId="38852"/>
    <cellStyle name="Normal 7 3 4 2 2 2 6" xfId="55081"/>
    <cellStyle name="Normal 7 3 4 2 2 3" xfId="9644"/>
    <cellStyle name="Normal 7 3 4 2 2 3 2" xfId="29117"/>
    <cellStyle name="Normal 7 3 4 2 2 3 3" xfId="42097"/>
    <cellStyle name="Normal 7 3 4 2 2 3 4" xfId="58326"/>
    <cellStyle name="Normal 7 3 4 2 2 4" xfId="16137"/>
    <cellStyle name="Normal 7 3 4 2 2 4 2" xfId="51836"/>
    <cellStyle name="Normal 7 3 4 2 2 5" xfId="22627"/>
    <cellStyle name="Normal 7 3 4 2 2 6" xfId="35607"/>
    <cellStyle name="Normal 7 3 4 2 2 7" xfId="48590"/>
    <cellStyle name="Normal 7 3 4 2 3" xfId="4734"/>
    <cellStyle name="Normal 7 3 4 2 3 2" xfId="11266"/>
    <cellStyle name="Normal 7 3 4 2 3 2 2" xfId="30739"/>
    <cellStyle name="Normal 7 3 4 2 3 2 3" xfId="43719"/>
    <cellStyle name="Normal 7 3 4 2 3 2 4" xfId="59948"/>
    <cellStyle name="Normal 7 3 4 2 3 3" xfId="17759"/>
    <cellStyle name="Normal 7 3 4 2 3 4" xfId="24249"/>
    <cellStyle name="Normal 7 3 4 2 3 5" xfId="37229"/>
    <cellStyle name="Normal 7 3 4 2 3 6" xfId="53458"/>
    <cellStyle name="Normal 7 3 4 2 4" xfId="8021"/>
    <cellStyle name="Normal 7 3 4 2 4 2" xfId="27494"/>
    <cellStyle name="Normal 7 3 4 2 4 3" xfId="40474"/>
    <cellStyle name="Normal 7 3 4 2 4 4" xfId="56703"/>
    <cellStyle name="Normal 7 3 4 2 5" xfId="14514"/>
    <cellStyle name="Normal 7 3 4 2 5 2" xfId="50213"/>
    <cellStyle name="Normal 7 3 4 2 6" xfId="21004"/>
    <cellStyle name="Normal 7 3 4 2 7" xfId="33984"/>
    <cellStyle name="Normal 7 3 4 2 8" xfId="46967"/>
    <cellStyle name="Normal 7 3 4 3" xfId="2164"/>
    <cellStyle name="Normal 7 3 4 3 2" xfId="5409"/>
    <cellStyle name="Normal 7 3 4 3 2 2" xfId="11941"/>
    <cellStyle name="Normal 7 3 4 3 2 2 2" xfId="31414"/>
    <cellStyle name="Normal 7 3 4 3 2 2 3" xfId="44394"/>
    <cellStyle name="Normal 7 3 4 3 2 2 4" xfId="60623"/>
    <cellStyle name="Normal 7 3 4 3 2 3" xfId="18434"/>
    <cellStyle name="Normal 7 3 4 3 2 4" xfId="24924"/>
    <cellStyle name="Normal 7 3 4 3 2 5" xfId="37904"/>
    <cellStyle name="Normal 7 3 4 3 2 6" xfId="54133"/>
    <cellStyle name="Normal 7 3 4 3 3" xfId="8696"/>
    <cellStyle name="Normal 7 3 4 3 3 2" xfId="28169"/>
    <cellStyle name="Normal 7 3 4 3 3 3" xfId="41149"/>
    <cellStyle name="Normal 7 3 4 3 3 4" xfId="57378"/>
    <cellStyle name="Normal 7 3 4 3 4" xfId="15189"/>
    <cellStyle name="Normal 7 3 4 3 4 2" xfId="50888"/>
    <cellStyle name="Normal 7 3 4 3 5" xfId="21679"/>
    <cellStyle name="Normal 7 3 4 3 6" xfId="34659"/>
    <cellStyle name="Normal 7 3 4 3 7" xfId="47642"/>
    <cellStyle name="Normal 7 3 4 4" xfId="3786"/>
    <cellStyle name="Normal 7 3 4 4 2" xfId="10318"/>
    <cellStyle name="Normal 7 3 4 4 2 2" xfId="29791"/>
    <cellStyle name="Normal 7 3 4 4 2 3" xfId="42771"/>
    <cellStyle name="Normal 7 3 4 4 2 4" xfId="59000"/>
    <cellStyle name="Normal 7 3 4 4 3" xfId="16811"/>
    <cellStyle name="Normal 7 3 4 4 4" xfId="23301"/>
    <cellStyle name="Normal 7 3 4 4 5" xfId="36281"/>
    <cellStyle name="Normal 7 3 4 4 6" xfId="52510"/>
    <cellStyle name="Normal 7 3 4 5" xfId="7073"/>
    <cellStyle name="Normal 7 3 4 5 2" xfId="26546"/>
    <cellStyle name="Normal 7 3 4 5 3" xfId="39526"/>
    <cellStyle name="Normal 7 3 4 5 4" xfId="55755"/>
    <cellStyle name="Normal 7 3 4 6" xfId="13566"/>
    <cellStyle name="Normal 7 3 4 6 2" xfId="49265"/>
    <cellStyle name="Normal 7 3 4 7" xfId="20056"/>
    <cellStyle name="Normal 7 3 4 8" xfId="33036"/>
    <cellStyle name="Normal 7 3 4 9" xfId="46019"/>
    <cellStyle name="Normal 7 3 5" xfId="982"/>
    <cellStyle name="Normal 7 3 5 2" xfId="2649"/>
    <cellStyle name="Normal 7 3 5 2 2" xfId="5894"/>
    <cellStyle name="Normal 7 3 5 2 2 2" xfId="12426"/>
    <cellStyle name="Normal 7 3 5 2 2 2 2" xfId="31899"/>
    <cellStyle name="Normal 7 3 5 2 2 2 3" xfId="44879"/>
    <cellStyle name="Normal 7 3 5 2 2 2 4" xfId="61108"/>
    <cellStyle name="Normal 7 3 5 2 2 3" xfId="18919"/>
    <cellStyle name="Normal 7 3 5 2 2 4" xfId="25409"/>
    <cellStyle name="Normal 7 3 5 2 2 5" xfId="38389"/>
    <cellStyle name="Normal 7 3 5 2 2 6" xfId="54618"/>
    <cellStyle name="Normal 7 3 5 2 3" xfId="9181"/>
    <cellStyle name="Normal 7 3 5 2 3 2" xfId="28654"/>
    <cellStyle name="Normal 7 3 5 2 3 3" xfId="41634"/>
    <cellStyle name="Normal 7 3 5 2 3 4" xfId="57863"/>
    <cellStyle name="Normal 7 3 5 2 4" xfId="15674"/>
    <cellStyle name="Normal 7 3 5 2 4 2" xfId="51373"/>
    <cellStyle name="Normal 7 3 5 2 5" xfId="22164"/>
    <cellStyle name="Normal 7 3 5 2 6" xfId="35144"/>
    <cellStyle name="Normal 7 3 5 2 7" xfId="48127"/>
    <cellStyle name="Normal 7 3 5 3" xfId="4271"/>
    <cellStyle name="Normal 7 3 5 3 2" xfId="10803"/>
    <cellStyle name="Normal 7 3 5 3 2 2" xfId="30276"/>
    <cellStyle name="Normal 7 3 5 3 2 3" xfId="43256"/>
    <cellStyle name="Normal 7 3 5 3 2 4" xfId="59485"/>
    <cellStyle name="Normal 7 3 5 3 3" xfId="17296"/>
    <cellStyle name="Normal 7 3 5 3 4" xfId="23786"/>
    <cellStyle name="Normal 7 3 5 3 5" xfId="36766"/>
    <cellStyle name="Normal 7 3 5 3 6" xfId="52995"/>
    <cellStyle name="Normal 7 3 5 4" xfId="7558"/>
    <cellStyle name="Normal 7 3 5 4 2" xfId="27031"/>
    <cellStyle name="Normal 7 3 5 4 3" xfId="40011"/>
    <cellStyle name="Normal 7 3 5 4 4" xfId="56240"/>
    <cellStyle name="Normal 7 3 5 5" xfId="14051"/>
    <cellStyle name="Normal 7 3 5 5 2" xfId="49750"/>
    <cellStyle name="Normal 7 3 5 6" xfId="20541"/>
    <cellStyle name="Normal 7 3 5 7" xfId="33521"/>
    <cellStyle name="Normal 7 3 5 8" xfId="46504"/>
    <cellStyle name="Normal 7 3 6" xfId="1935"/>
    <cellStyle name="Normal 7 3 6 2" xfId="5180"/>
    <cellStyle name="Normal 7 3 6 2 2" xfId="11712"/>
    <cellStyle name="Normal 7 3 6 2 2 2" xfId="31185"/>
    <cellStyle name="Normal 7 3 6 2 2 3" xfId="44165"/>
    <cellStyle name="Normal 7 3 6 2 2 4" xfId="60394"/>
    <cellStyle name="Normal 7 3 6 2 3" xfId="18205"/>
    <cellStyle name="Normal 7 3 6 2 4" xfId="24695"/>
    <cellStyle name="Normal 7 3 6 2 5" xfId="37675"/>
    <cellStyle name="Normal 7 3 6 2 6" xfId="53904"/>
    <cellStyle name="Normal 7 3 6 3" xfId="8467"/>
    <cellStyle name="Normal 7 3 6 3 2" xfId="27940"/>
    <cellStyle name="Normal 7 3 6 3 3" xfId="40920"/>
    <cellStyle name="Normal 7 3 6 3 4" xfId="57149"/>
    <cellStyle name="Normal 7 3 6 4" xfId="14960"/>
    <cellStyle name="Normal 7 3 6 4 2" xfId="50659"/>
    <cellStyle name="Normal 7 3 6 5" xfId="21450"/>
    <cellStyle name="Normal 7 3 6 6" xfId="34430"/>
    <cellStyle name="Normal 7 3 6 7" xfId="47413"/>
    <cellStyle name="Normal 7 3 7" xfId="3556"/>
    <cellStyle name="Normal 7 3 7 2" xfId="10088"/>
    <cellStyle name="Normal 7 3 7 2 2" xfId="29561"/>
    <cellStyle name="Normal 7 3 7 2 3" xfId="42541"/>
    <cellStyle name="Normal 7 3 7 2 4" xfId="58770"/>
    <cellStyle name="Normal 7 3 7 3" xfId="16581"/>
    <cellStyle name="Normal 7 3 7 4" xfId="23071"/>
    <cellStyle name="Normal 7 3 7 5" xfId="36051"/>
    <cellStyle name="Normal 7 3 7 6" xfId="52280"/>
    <cellStyle name="Normal 7 3 8" xfId="6843"/>
    <cellStyle name="Normal 7 3 8 2" xfId="26316"/>
    <cellStyle name="Normal 7 3 8 3" xfId="39296"/>
    <cellStyle name="Normal 7 3 8 4" xfId="55525"/>
    <cellStyle name="Normal 7 3 9" xfId="13336"/>
    <cellStyle name="Normal 7 3 9 2" xfId="49035"/>
    <cellStyle name="Normal 7 4" xfId="218"/>
    <cellStyle name="Normal 7 4 10" xfId="32762"/>
    <cellStyle name="Normal 7 4 11" xfId="45745"/>
    <cellStyle name="Normal 7 4 12" xfId="62067"/>
    <cellStyle name="Normal 7 4 2" xfId="682"/>
    <cellStyle name="Normal 7 4 2 10" xfId="46205"/>
    <cellStyle name="Normal 7 4 2 2" xfId="1621"/>
    <cellStyle name="Normal 7 4 2 2 2" xfId="3288"/>
    <cellStyle name="Normal 7 4 2 2 2 2" xfId="6533"/>
    <cellStyle name="Normal 7 4 2 2 2 2 2" xfId="13065"/>
    <cellStyle name="Normal 7 4 2 2 2 2 2 2" xfId="32538"/>
    <cellStyle name="Normal 7 4 2 2 2 2 2 3" xfId="45518"/>
    <cellStyle name="Normal 7 4 2 2 2 2 2 4" xfId="61747"/>
    <cellStyle name="Normal 7 4 2 2 2 2 3" xfId="19558"/>
    <cellStyle name="Normal 7 4 2 2 2 2 4" xfId="26048"/>
    <cellStyle name="Normal 7 4 2 2 2 2 5" xfId="39028"/>
    <cellStyle name="Normal 7 4 2 2 2 2 6" xfId="55257"/>
    <cellStyle name="Normal 7 4 2 2 2 3" xfId="9820"/>
    <cellStyle name="Normal 7 4 2 2 2 3 2" xfId="29293"/>
    <cellStyle name="Normal 7 4 2 2 2 3 3" xfId="42273"/>
    <cellStyle name="Normal 7 4 2 2 2 3 4" xfId="58502"/>
    <cellStyle name="Normal 7 4 2 2 2 4" xfId="16313"/>
    <cellStyle name="Normal 7 4 2 2 2 4 2" xfId="52012"/>
    <cellStyle name="Normal 7 4 2 2 2 5" xfId="22803"/>
    <cellStyle name="Normal 7 4 2 2 2 6" xfId="35783"/>
    <cellStyle name="Normal 7 4 2 2 2 7" xfId="48766"/>
    <cellStyle name="Normal 7 4 2 2 3" xfId="4910"/>
    <cellStyle name="Normal 7 4 2 2 3 2" xfId="11442"/>
    <cellStyle name="Normal 7 4 2 2 3 2 2" xfId="30915"/>
    <cellStyle name="Normal 7 4 2 2 3 2 3" xfId="43895"/>
    <cellStyle name="Normal 7 4 2 2 3 2 4" xfId="60124"/>
    <cellStyle name="Normal 7 4 2 2 3 3" xfId="17935"/>
    <cellStyle name="Normal 7 4 2 2 3 4" xfId="24425"/>
    <cellStyle name="Normal 7 4 2 2 3 5" xfId="37405"/>
    <cellStyle name="Normal 7 4 2 2 3 6" xfId="53634"/>
    <cellStyle name="Normal 7 4 2 2 4" xfId="8197"/>
    <cellStyle name="Normal 7 4 2 2 4 2" xfId="27670"/>
    <cellStyle name="Normal 7 4 2 2 4 3" xfId="40650"/>
    <cellStyle name="Normal 7 4 2 2 4 4" xfId="56879"/>
    <cellStyle name="Normal 7 4 2 2 5" xfId="14690"/>
    <cellStyle name="Normal 7 4 2 2 5 2" xfId="50389"/>
    <cellStyle name="Normal 7 4 2 2 6" xfId="21180"/>
    <cellStyle name="Normal 7 4 2 2 7" xfId="34160"/>
    <cellStyle name="Normal 7 4 2 2 8" xfId="47143"/>
    <cellStyle name="Normal 7 4 2 3" xfId="1158"/>
    <cellStyle name="Normal 7 4 2 3 2" xfId="2825"/>
    <cellStyle name="Normal 7 4 2 3 2 2" xfId="6070"/>
    <cellStyle name="Normal 7 4 2 3 2 2 2" xfId="12602"/>
    <cellStyle name="Normal 7 4 2 3 2 2 2 2" xfId="32075"/>
    <cellStyle name="Normal 7 4 2 3 2 2 2 3" xfId="45055"/>
    <cellStyle name="Normal 7 4 2 3 2 2 2 4" xfId="61284"/>
    <cellStyle name="Normal 7 4 2 3 2 2 3" xfId="19095"/>
    <cellStyle name="Normal 7 4 2 3 2 2 4" xfId="25585"/>
    <cellStyle name="Normal 7 4 2 3 2 2 5" xfId="38565"/>
    <cellStyle name="Normal 7 4 2 3 2 2 6" xfId="54794"/>
    <cellStyle name="Normal 7 4 2 3 2 3" xfId="9357"/>
    <cellStyle name="Normal 7 4 2 3 2 3 2" xfId="28830"/>
    <cellStyle name="Normal 7 4 2 3 2 3 3" xfId="41810"/>
    <cellStyle name="Normal 7 4 2 3 2 3 4" xfId="58039"/>
    <cellStyle name="Normal 7 4 2 3 2 4" xfId="15850"/>
    <cellStyle name="Normal 7 4 2 3 2 4 2" xfId="51549"/>
    <cellStyle name="Normal 7 4 2 3 2 5" xfId="22340"/>
    <cellStyle name="Normal 7 4 2 3 2 6" xfId="35320"/>
    <cellStyle name="Normal 7 4 2 3 2 7" xfId="48303"/>
    <cellStyle name="Normal 7 4 2 3 3" xfId="4447"/>
    <cellStyle name="Normal 7 4 2 3 3 2" xfId="10979"/>
    <cellStyle name="Normal 7 4 2 3 3 2 2" xfId="30452"/>
    <cellStyle name="Normal 7 4 2 3 3 2 3" xfId="43432"/>
    <cellStyle name="Normal 7 4 2 3 3 2 4" xfId="59661"/>
    <cellStyle name="Normal 7 4 2 3 3 3" xfId="17472"/>
    <cellStyle name="Normal 7 4 2 3 3 4" xfId="23962"/>
    <cellStyle name="Normal 7 4 2 3 3 5" xfId="36942"/>
    <cellStyle name="Normal 7 4 2 3 3 6" xfId="53171"/>
    <cellStyle name="Normal 7 4 2 3 4" xfId="7734"/>
    <cellStyle name="Normal 7 4 2 3 4 2" xfId="27207"/>
    <cellStyle name="Normal 7 4 2 3 4 3" xfId="40187"/>
    <cellStyle name="Normal 7 4 2 3 4 4" xfId="56416"/>
    <cellStyle name="Normal 7 4 2 3 5" xfId="14227"/>
    <cellStyle name="Normal 7 4 2 3 5 2" xfId="49926"/>
    <cellStyle name="Normal 7 4 2 3 6" xfId="20717"/>
    <cellStyle name="Normal 7 4 2 3 7" xfId="33697"/>
    <cellStyle name="Normal 7 4 2 3 8" xfId="46680"/>
    <cellStyle name="Normal 7 4 2 4" xfId="2350"/>
    <cellStyle name="Normal 7 4 2 4 2" xfId="5595"/>
    <cellStyle name="Normal 7 4 2 4 2 2" xfId="12127"/>
    <cellStyle name="Normal 7 4 2 4 2 2 2" xfId="31600"/>
    <cellStyle name="Normal 7 4 2 4 2 2 3" xfId="44580"/>
    <cellStyle name="Normal 7 4 2 4 2 2 4" xfId="60809"/>
    <cellStyle name="Normal 7 4 2 4 2 3" xfId="18620"/>
    <cellStyle name="Normal 7 4 2 4 2 4" xfId="25110"/>
    <cellStyle name="Normal 7 4 2 4 2 5" xfId="38090"/>
    <cellStyle name="Normal 7 4 2 4 2 6" xfId="54319"/>
    <cellStyle name="Normal 7 4 2 4 3" xfId="8882"/>
    <cellStyle name="Normal 7 4 2 4 3 2" xfId="28355"/>
    <cellStyle name="Normal 7 4 2 4 3 3" xfId="41335"/>
    <cellStyle name="Normal 7 4 2 4 3 4" xfId="57564"/>
    <cellStyle name="Normal 7 4 2 4 4" xfId="15375"/>
    <cellStyle name="Normal 7 4 2 4 4 2" xfId="51074"/>
    <cellStyle name="Normal 7 4 2 4 5" xfId="21865"/>
    <cellStyle name="Normal 7 4 2 4 6" xfId="34845"/>
    <cellStyle name="Normal 7 4 2 4 7" xfId="47828"/>
    <cellStyle name="Normal 7 4 2 5" xfId="3972"/>
    <cellStyle name="Normal 7 4 2 5 2" xfId="10504"/>
    <cellStyle name="Normal 7 4 2 5 2 2" xfId="29977"/>
    <cellStyle name="Normal 7 4 2 5 2 3" xfId="42957"/>
    <cellStyle name="Normal 7 4 2 5 2 4" xfId="59186"/>
    <cellStyle name="Normal 7 4 2 5 3" xfId="16997"/>
    <cellStyle name="Normal 7 4 2 5 4" xfId="23487"/>
    <cellStyle name="Normal 7 4 2 5 5" xfId="36467"/>
    <cellStyle name="Normal 7 4 2 5 6" xfId="52696"/>
    <cellStyle name="Normal 7 4 2 6" xfId="7259"/>
    <cellStyle name="Normal 7 4 2 6 2" xfId="26732"/>
    <cellStyle name="Normal 7 4 2 6 3" xfId="39712"/>
    <cellStyle name="Normal 7 4 2 6 4" xfId="55941"/>
    <cellStyle name="Normal 7 4 2 7" xfId="13752"/>
    <cellStyle name="Normal 7 4 2 7 2" xfId="49451"/>
    <cellStyle name="Normal 7 4 2 8" xfId="20242"/>
    <cellStyle name="Normal 7 4 2 9" xfId="33222"/>
    <cellStyle name="Normal 7 4 3" xfId="452"/>
    <cellStyle name="Normal 7 4 3 2" xfId="1401"/>
    <cellStyle name="Normal 7 4 3 2 2" xfId="3068"/>
    <cellStyle name="Normal 7 4 3 2 2 2" xfId="6313"/>
    <cellStyle name="Normal 7 4 3 2 2 2 2" xfId="12845"/>
    <cellStyle name="Normal 7 4 3 2 2 2 2 2" xfId="32318"/>
    <cellStyle name="Normal 7 4 3 2 2 2 2 3" xfId="45298"/>
    <cellStyle name="Normal 7 4 3 2 2 2 2 4" xfId="61527"/>
    <cellStyle name="Normal 7 4 3 2 2 2 3" xfId="19338"/>
    <cellStyle name="Normal 7 4 3 2 2 2 4" xfId="25828"/>
    <cellStyle name="Normal 7 4 3 2 2 2 5" xfId="38808"/>
    <cellStyle name="Normal 7 4 3 2 2 2 6" xfId="55037"/>
    <cellStyle name="Normal 7 4 3 2 2 3" xfId="9600"/>
    <cellStyle name="Normal 7 4 3 2 2 3 2" xfId="29073"/>
    <cellStyle name="Normal 7 4 3 2 2 3 3" xfId="42053"/>
    <cellStyle name="Normal 7 4 3 2 2 3 4" xfId="58282"/>
    <cellStyle name="Normal 7 4 3 2 2 4" xfId="16093"/>
    <cellStyle name="Normal 7 4 3 2 2 4 2" xfId="51792"/>
    <cellStyle name="Normal 7 4 3 2 2 5" xfId="22583"/>
    <cellStyle name="Normal 7 4 3 2 2 6" xfId="35563"/>
    <cellStyle name="Normal 7 4 3 2 2 7" xfId="48546"/>
    <cellStyle name="Normal 7 4 3 2 3" xfId="4690"/>
    <cellStyle name="Normal 7 4 3 2 3 2" xfId="11222"/>
    <cellStyle name="Normal 7 4 3 2 3 2 2" xfId="30695"/>
    <cellStyle name="Normal 7 4 3 2 3 2 3" xfId="43675"/>
    <cellStyle name="Normal 7 4 3 2 3 2 4" xfId="59904"/>
    <cellStyle name="Normal 7 4 3 2 3 3" xfId="17715"/>
    <cellStyle name="Normal 7 4 3 2 3 4" xfId="24205"/>
    <cellStyle name="Normal 7 4 3 2 3 5" xfId="37185"/>
    <cellStyle name="Normal 7 4 3 2 3 6" xfId="53414"/>
    <cellStyle name="Normal 7 4 3 2 4" xfId="7977"/>
    <cellStyle name="Normal 7 4 3 2 4 2" xfId="27450"/>
    <cellStyle name="Normal 7 4 3 2 4 3" xfId="40430"/>
    <cellStyle name="Normal 7 4 3 2 4 4" xfId="56659"/>
    <cellStyle name="Normal 7 4 3 2 5" xfId="14470"/>
    <cellStyle name="Normal 7 4 3 2 5 2" xfId="50169"/>
    <cellStyle name="Normal 7 4 3 2 6" xfId="20960"/>
    <cellStyle name="Normal 7 4 3 2 7" xfId="33940"/>
    <cellStyle name="Normal 7 4 3 2 8" xfId="46923"/>
    <cellStyle name="Normal 7 4 3 3" xfId="2120"/>
    <cellStyle name="Normal 7 4 3 3 2" xfId="5365"/>
    <cellStyle name="Normal 7 4 3 3 2 2" xfId="11897"/>
    <cellStyle name="Normal 7 4 3 3 2 2 2" xfId="31370"/>
    <cellStyle name="Normal 7 4 3 3 2 2 3" xfId="44350"/>
    <cellStyle name="Normal 7 4 3 3 2 2 4" xfId="60579"/>
    <cellStyle name="Normal 7 4 3 3 2 3" xfId="18390"/>
    <cellStyle name="Normal 7 4 3 3 2 4" xfId="24880"/>
    <cellStyle name="Normal 7 4 3 3 2 5" xfId="37860"/>
    <cellStyle name="Normal 7 4 3 3 2 6" xfId="54089"/>
    <cellStyle name="Normal 7 4 3 3 3" xfId="8652"/>
    <cellStyle name="Normal 7 4 3 3 3 2" xfId="28125"/>
    <cellStyle name="Normal 7 4 3 3 3 3" xfId="41105"/>
    <cellStyle name="Normal 7 4 3 3 3 4" xfId="57334"/>
    <cellStyle name="Normal 7 4 3 3 4" xfId="15145"/>
    <cellStyle name="Normal 7 4 3 3 4 2" xfId="50844"/>
    <cellStyle name="Normal 7 4 3 3 5" xfId="21635"/>
    <cellStyle name="Normal 7 4 3 3 6" xfId="34615"/>
    <cellStyle name="Normal 7 4 3 3 7" xfId="47598"/>
    <cellStyle name="Normal 7 4 3 4" xfId="3742"/>
    <cellStyle name="Normal 7 4 3 4 2" xfId="10274"/>
    <cellStyle name="Normal 7 4 3 4 2 2" xfId="29747"/>
    <cellStyle name="Normal 7 4 3 4 2 3" xfId="42727"/>
    <cellStyle name="Normal 7 4 3 4 2 4" xfId="58956"/>
    <cellStyle name="Normal 7 4 3 4 3" xfId="16767"/>
    <cellStyle name="Normal 7 4 3 4 4" xfId="23257"/>
    <cellStyle name="Normal 7 4 3 4 5" xfId="36237"/>
    <cellStyle name="Normal 7 4 3 4 6" xfId="52466"/>
    <cellStyle name="Normal 7 4 3 5" xfId="7029"/>
    <cellStyle name="Normal 7 4 3 5 2" xfId="26502"/>
    <cellStyle name="Normal 7 4 3 5 3" xfId="39482"/>
    <cellStyle name="Normal 7 4 3 5 4" xfId="55711"/>
    <cellStyle name="Normal 7 4 3 6" xfId="13522"/>
    <cellStyle name="Normal 7 4 3 6 2" xfId="49221"/>
    <cellStyle name="Normal 7 4 3 7" xfId="20012"/>
    <cellStyle name="Normal 7 4 3 8" xfId="32992"/>
    <cellStyle name="Normal 7 4 3 9" xfId="45975"/>
    <cellStyle name="Normal 7 4 4" xfId="938"/>
    <cellStyle name="Normal 7 4 4 2" xfId="2605"/>
    <cellStyle name="Normal 7 4 4 2 2" xfId="5850"/>
    <cellStyle name="Normal 7 4 4 2 2 2" xfId="12382"/>
    <cellStyle name="Normal 7 4 4 2 2 2 2" xfId="31855"/>
    <cellStyle name="Normal 7 4 4 2 2 2 3" xfId="44835"/>
    <cellStyle name="Normal 7 4 4 2 2 2 4" xfId="61064"/>
    <cellStyle name="Normal 7 4 4 2 2 3" xfId="18875"/>
    <cellStyle name="Normal 7 4 4 2 2 4" xfId="25365"/>
    <cellStyle name="Normal 7 4 4 2 2 5" xfId="38345"/>
    <cellStyle name="Normal 7 4 4 2 2 6" xfId="54574"/>
    <cellStyle name="Normal 7 4 4 2 3" xfId="9137"/>
    <cellStyle name="Normal 7 4 4 2 3 2" xfId="28610"/>
    <cellStyle name="Normal 7 4 4 2 3 3" xfId="41590"/>
    <cellStyle name="Normal 7 4 4 2 3 4" xfId="57819"/>
    <cellStyle name="Normal 7 4 4 2 4" xfId="15630"/>
    <cellStyle name="Normal 7 4 4 2 4 2" xfId="51329"/>
    <cellStyle name="Normal 7 4 4 2 5" xfId="22120"/>
    <cellStyle name="Normal 7 4 4 2 6" xfId="35100"/>
    <cellStyle name="Normal 7 4 4 2 7" xfId="48083"/>
    <cellStyle name="Normal 7 4 4 3" xfId="4227"/>
    <cellStyle name="Normal 7 4 4 3 2" xfId="10759"/>
    <cellStyle name="Normal 7 4 4 3 2 2" xfId="30232"/>
    <cellStyle name="Normal 7 4 4 3 2 3" xfId="43212"/>
    <cellStyle name="Normal 7 4 4 3 2 4" xfId="59441"/>
    <cellStyle name="Normal 7 4 4 3 3" xfId="17252"/>
    <cellStyle name="Normal 7 4 4 3 4" xfId="23742"/>
    <cellStyle name="Normal 7 4 4 3 5" xfId="36722"/>
    <cellStyle name="Normal 7 4 4 3 6" xfId="52951"/>
    <cellStyle name="Normal 7 4 4 4" xfId="7514"/>
    <cellStyle name="Normal 7 4 4 4 2" xfId="26987"/>
    <cellStyle name="Normal 7 4 4 4 3" xfId="39967"/>
    <cellStyle name="Normal 7 4 4 4 4" xfId="56196"/>
    <cellStyle name="Normal 7 4 4 5" xfId="14007"/>
    <cellStyle name="Normal 7 4 4 5 2" xfId="49706"/>
    <cellStyle name="Normal 7 4 4 6" xfId="20497"/>
    <cellStyle name="Normal 7 4 4 7" xfId="33477"/>
    <cellStyle name="Normal 7 4 4 8" xfId="46460"/>
    <cellStyle name="Normal 7 4 5" xfId="1891"/>
    <cellStyle name="Normal 7 4 5 2" xfId="5136"/>
    <cellStyle name="Normal 7 4 5 2 2" xfId="11668"/>
    <cellStyle name="Normal 7 4 5 2 2 2" xfId="31141"/>
    <cellStyle name="Normal 7 4 5 2 2 3" xfId="44121"/>
    <cellStyle name="Normal 7 4 5 2 2 4" xfId="60350"/>
    <cellStyle name="Normal 7 4 5 2 3" xfId="18161"/>
    <cellStyle name="Normal 7 4 5 2 4" xfId="24651"/>
    <cellStyle name="Normal 7 4 5 2 5" xfId="37631"/>
    <cellStyle name="Normal 7 4 5 2 6" xfId="53860"/>
    <cellStyle name="Normal 7 4 5 3" xfId="8423"/>
    <cellStyle name="Normal 7 4 5 3 2" xfId="27896"/>
    <cellStyle name="Normal 7 4 5 3 3" xfId="40876"/>
    <cellStyle name="Normal 7 4 5 3 4" xfId="57105"/>
    <cellStyle name="Normal 7 4 5 4" xfId="14916"/>
    <cellStyle name="Normal 7 4 5 4 2" xfId="50615"/>
    <cellStyle name="Normal 7 4 5 5" xfId="21406"/>
    <cellStyle name="Normal 7 4 5 6" xfId="34386"/>
    <cellStyle name="Normal 7 4 5 7" xfId="47369"/>
    <cellStyle name="Normal 7 4 6" xfId="3512"/>
    <cellStyle name="Normal 7 4 6 2" xfId="10044"/>
    <cellStyle name="Normal 7 4 6 2 2" xfId="29517"/>
    <cellStyle name="Normal 7 4 6 2 3" xfId="42497"/>
    <cellStyle name="Normal 7 4 6 2 4" xfId="58726"/>
    <cellStyle name="Normal 7 4 6 3" xfId="16537"/>
    <cellStyle name="Normal 7 4 6 4" xfId="23027"/>
    <cellStyle name="Normal 7 4 6 5" xfId="36007"/>
    <cellStyle name="Normal 7 4 6 6" xfId="52236"/>
    <cellStyle name="Normal 7 4 7" xfId="6799"/>
    <cellStyle name="Normal 7 4 7 2" xfId="26272"/>
    <cellStyle name="Normal 7 4 7 3" xfId="39252"/>
    <cellStyle name="Normal 7 4 7 4" xfId="55481"/>
    <cellStyle name="Normal 7 4 8" xfId="13292"/>
    <cellStyle name="Normal 7 4 8 2" xfId="48991"/>
    <cellStyle name="Normal 7 4 9" xfId="19782"/>
    <cellStyle name="Normal 7 5" xfId="306"/>
    <cellStyle name="Normal 7 5 10" xfId="32850"/>
    <cellStyle name="Normal 7 5 11" xfId="45833"/>
    <cellStyle name="Normal 7 5 2" xfId="770"/>
    <cellStyle name="Normal 7 5 2 10" xfId="46293"/>
    <cellStyle name="Normal 7 5 2 2" xfId="1709"/>
    <cellStyle name="Normal 7 5 2 2 2" xfId="3376"/>
    <cellStyle name="Normal 7 5 2 2 2 2" xfId="6621"/>
    <cellStyle name="Normal 7 5 2 2 2 2 2" xfId="13153"/>
    <cellStyle name="Normal 7 5 2 2 2 2 2 2" xfId="32626"/>
    <cellStyle name="Normal 7 5 2 2 2 2 2 3" xfId="45606"/>
    <cellStyle name="Normal 7 5 2 2 2 2 2 4" xfId="61835"/>
    <cellStyle name="Normal 7 5 2 2 2 2 3" xfId="19646"/>
    <cellStyle name="Normal 7 5 2 2 2 2 4" xfId="26136"/>
    <cellStyle name="Normal 7 5 2 2 2 2 5" xfId="39116"/>
    <cellStyle name="Normal 7 5 2 2 2 2 6" xfId="55345"/>
    <cellStyle name="Normal 7 5 2 2 2 3" xfId="9908"/>
    <cellStyle name="Normal 7 5 2 2 2 3 2" xfId="29381"/>
    <cellStyle name="Normal 7 5 2 2 2 3 3" xfId="42361"/>
    <cellStyle name="Normal 7 5 2 2 2 3 4" xfId="58590"/>
    <cellStyle name="Normal 7 5 2 2 2 4" xfId="16401"/>
    <cellStyle name="Normal 7 5 2 2 2 4 2" xfId="52100"/>
    <cellStyle name="Normal 7 5 2 2 2 5" xfId="22891"/>
    <cellStyle name="Normal 7 5 2 2 2 6" xfId="35871"/>
    <cellStyle name="Normal 7 5 2 2 2 7" xfId="48854"/>
    <cellStyle name="Normal 7 5 2 2 3" xfId="4998"/>
    <cellStyle name="Normal 7 5 2 2 3 2" xfId="11530"/>
    <cellStyle name="Normal 7 5 2 2 3 2 2" xfId="31003"/>
    <cellStyle name="Normal 7 5 2 2 3 2 3" xfId="43983"/>
    <cellStyle name="Normal 7 5 2 2 3 2 4" xfId="60212"/>
    <cellStyle name="Normal 7 5 2 2 3 3" xfId="18023"/>
    <cellStyle name="Normal 7 5 2 2 3 4" xfId="24513"/>
    <cellStyle name="Normal 7 5 2 2 3 5" xfId="37493"/>
    <cellStyle name="Normal 7 5 2 2 3 6" xfId="53722"/>
    <cellStyle name="Normal 7 5 2 2 4" xfId="8285"/>
    <cellStyle name="Normal 7 5 2 2 4 2" xfId="27758"/>
    <cellStyle name="Normal 7 5 2 2 4 3" xfId="40738"/>
    <cellStyle name="Normal 7 5 2 2 4 4" xfId="56967"/>
    <cellStyle name="Normal 7 5 2 2 5" xfId="14778"/>
    <cellStyle name="Normal 7 5 2 2 5 2" xfId="50477"/>
    <cellStyle name="Normal 7 5 2 2 6" xfId="21268"/>
    <cellStyle name="Normal 7 5 2 2 7" xfId="34248"/>
    <cellStyle name="Normal 7 5 2 2 8" xfId="47231"/>
    <cellStyle name="Normal 7 5 2 3" xfId="1246"/>
    <cellStyle name="Normal 7 5 2 3 2" xfId="2913"/>
    <cellStyle name="Normal 7 5 2 3 2 2" xfId="6158"/>
    <cellStyle name="Normal 7 5 2 3 2 2 2" xfId="12690"/>
    <cellStyle name="Normal 7 5 2 3 2 2 2 2" xfId="32163"/>
    <cellStyle name="Normal 7 5 2 3 2 2 2 3" xfId="45143"/>
    <cellStyle name="Normal 7 5 2 3 2 2 2 4" xfId="61372"/>
    <cellStyle name="Normal 7 5 2 3 2 2 3" xfId="19183"/>
    <cellStyle name="Normal 7 5 2 3 2 2 4" xfId="25673"/>
    <cellStyle name="Normal 7 5 2 3 2 2 5" xfId="38653"/>
    <cellStyle name="Normal 7 5 2 3 2 2 6" xfId="54882"/>
    <cellStyle name="Normal 7 5 2 3 2 3" xfId="9445"/>
    <cellStyle name="Normal 7 5 2 3 2 3 2" xfId="28918"/>
    <cellStyle name="Normal 7 5 2 3 2 3 3" xfId="41898"/>
    <cellStyle name="Normal 7 5 2 3 2 3 4" xfId="58127"/>
    <cellStyle name="Normal 7 5 2 3 2 4" xfId="15938"/>
    <cellStyle name="Normal 7 5 2 3 2 4 2" xfId="51637"/>
    <cellStyle name="Normal 7 5 2 3 2 5" xfId="22428"/>
    <cellStyle name="Normal 7 5 2 3 2 6" xfId="35408"/>
    <cellStyle name="Normal 7 5 2 3 2 7" xfId="48391"/>
    <cellStyle name="Normal 7 5 2 3 3" xfId="4535"/>
    <cellStyle name="Normal 7 5 2 3 3 2" xfId="11067"/>
    <cellStyle name="Normal 7 5 2 3 3 2 2" xfId="30540"/>
    <cellStyle name="Normal 7 5 2 3 3 2 3" xfId="43520"/>
    <cellStyle name="Normal 7 5 2 3 3 2 4" xfId="59749"/>
    <cellStyle name="Normal 7 5 2 3 3 3" xfId="17560"/>
    <cellStyle name="Normal 7 5 2 3 3 4" xfId="24050"/>
    <cellStyle name="Normal 7 5 2 3 3 5" xfId="37030"/>
    <cellStyle name="Normal 7 5 2 3 3 6" xfId="53259"/>
    <cellStyle name="Normal 7 5 2 3 4" xfId="7822"/>
    <cellStyle name="Normal 7 5 2 3 4 2" xfId="27295"/>
    <cellStyle name="Normal 7 5 2 3 4 3" xfId="40275"/>
    <cellStyle name="Normal 7 5 2 3 4 4" xfId="56504"/>
    <cellStyle name="Normal 7 5 2 3 5" xfId="14315"/>
    <cellStyle name="Normal 7 5 2 3 5 2" xfId="50014"/>
    <cellStyle name="Normal 7 5 2 3 6" xfId="20805"/>
    <cellStyle name="Normal 7 5 2 3 7" xfId="33785"/>
    <cellStyle name="Normal 7 5 2 3 8" xfId="46768"/>
    <cellStyle name="Normal 7 5 2 4" xfId="2438"/>
    <cellStyle name="Normal 7 5 2 4 2" xfId="5683"/>
    <cellStyle name="Normal 7 5 2 4 2 2" xfId="12215"/>
    <cellStyle name="Normal 7 5 2 4 2 2 2" xfId="31688"/>
    <cellStyle name="Normal 7 5 2 4 2 2 3" xfId="44668"/>
    <cellStyle name="Normal 7 5 2 4 2 2 4" xfId="60897"/>
    <cellStyle name="Normal 7 5 2 4 2 3" xfId="18708"/>
    <cellStyle name="Normal 7 5 2 4 2 4" xfId="25198"/>
    <cellStyle name="Normal 7 5 2 4 2 5" xfId="38178"/>
    <cellStyle name="Normal 7 5 2 4 2 6" xfId="54407"/>
    <cellStyle name="Normal 7 5 2 4 3" xfId="8970"/>
    <cellStyle name="Normal 7 5 2 4 3 2" xfId="28443"/>
    <cellStyle name="Normal 7 5 2 4 3 3" xfId="41423"/>
    <cellStyle name="Normal 7 5 2 4 3 4" xfId="57652"/>
    <cellStyle name="Normal 7 5 2 4 4" xfId="15463"/>
    <cellStyle name="Normal 7 5 2 4 4 2" xfId="51162"/>
    <cellStyle name="Normal 7 5 2 4 5" xfId="21953"/>
    <cellStyle name="Normal 7 5 2 4 6" xfId="34933"/>
    <cellStyle name="Normal 7 5 2 4 7" xfId="47916"/>
    <cellStyle name="Normal 7 5 2 5" xfId="4060"/>
    <cellStyle name="Normal 7 5 2 5 2" xfId="10592"/>
    <cellStyle name="Normal 7 5 2 5 2 2" xfId="30065"/>
    <cellStyle name="Normal 7 5 2 5 2 3" xfId="43045"/>
    <cellStyle name="Normal 7 5 2 5 2 4" xfId="59274"/>
    <cellStyle name="Normal 7 5 2 5 3" xfId="17085"/>
    <cellStyle name="Normal 7 5 2 5 4" xfId="23575"/>
    <cellStyle name="Normal 7 5 2 5 5" xfId="36555"/>
    <cellStyle name="Normal 7 5 2 5 6" xfId="52784"/>
    <cellStyle name="Normal 7 5 2 6" xfId="7347"/>
    <cellStyle name="Normal 7 5 2 6 2" xfId="26820"/>
    <cellStyle name="Normal 7 5 2 6 3" xfId="39800"/>
    <cellStyle name="Normal 7 5 2 6 4" xfId="56029"/>
    <cellStyle name="Normal 7 5 2 7" xfId="13840"/>
    <cellStyle name="Normal 7 5 2 7 2" xfId="49539"/>
    <cellStyle name="Normal 7 5 2 8" xfId="20330"/>
    <cellStyle name="Normal 7 5 2 9" xfId="33310"/>
    <cellStyle name="Normal 7 5 3" xfId="540"/>
    <cellStyle name="Normal 7 5 3 2" xfId="1489"/>
    <cellStyle name="Normal 7 5 3 2 2" xfId="3156"/>
    <cellStyle name="Normal 7 5 3 2 2 2" xfId="6401"/>
    <cellStyle name="Normal 7 5 3 2 2 2 2" xfId="12933"/>
    <cellStyle name="Normal 7 5 3 2 2 2 2 2" xfId="32406"/>
    <cellStyle name="Normal 7 5 3 2 2 2 2 3" xfId="45386"/>
    <cellStyle name="Normal 7 5 3 2 2 2 2 4" xfId="61615"/>
    <cellStyle name="Normal 7 5 3 2 2 2 3" xfId="19426"/>
    <cellStyle name="Normal 7 5 3 2 2 2 4" xfId="25916"/>
    <cellStyle name="Normal 7 5 3 2 2 2 5" xfId="38896"/>
    <cellStyle name="Normal 7 5 3 2 2 2 6" xfId="55125"/>
    <cellStyle name="Normal 7 5 3 2 2 3" xfId="9688"/>
    <cellStyle name="Normal 7 5 3 2 2 3 2" xfId="29161"/>
    <cellStyle name="Normal 7 5 3 2 2 3 3" xfId="42141"/>
    <cellStyle name="Normal 7 5 3 2 2 3 4" xfId="58370"/>
    <cellStyle name="Normal 7 5 3 2 2 4" xfId="16181"/>
    <cellStyle name="Normal 7 5 3 2 2 4 2" xfId="51880"/>
    <cellStyle name="Normal 7 5 3 2 2 5" xfId="22671"/>
    <cellStyle name="Normal 7 5 3 2 2 6" xfId="35651"/>
    <cellStyle name="Normal 7 5 3 2 2 7" xfId="48634"/>
    <cellStyle name="Normal 7 5 3 2 3" xfId="4778"/>
    <cellStyle name="Normal 7 5 3 2 3 2" xfId="11310"/>
    <cellStyle name="Normal 7 5 3 2 3 2 2" xfId="30783"/>
    <cellStyle name="Normal 7 5 3 2 3 2 3" xfId="43763"/>
    <cellStyle name="Normal 7 5 3 2 3 2 4" xfId="59992"/>
    <cellStyle name="Normal 7 5 3 2 3 3" xfId="17803"/>
    <cellStyle name="Normal 7 5 3 2 3 4" xfId="24293"/>
    <cellStyle name="Normal 7 5 3 2 3 5" xfId="37273"/>
    <cellStyle name="Normal 7 5 3 2 3 6" xfId="53502"/>
    <cellStyle name="Normal 7 5 3 2 4" xfId="8065"/>
    <cellStyle name="Normal 7 5 3 2 4 2" xfId="27538"/>
    <cellStyle name="Normal 7 5 3 2 4 3" xfId="40518"/>
    <cellStyle name="Normal 7 5 3 2 4 4" xfId="56747"/>
    <cellStyle name="Normal 7 5 3 2 5" xfId="14558"/>
    <cellStyle name="Normal 7 5 3 2 5 2" xfId="50257"/>
    <cellStyle name="Normal 7 5 3 2 6" xfId="21048"/>
    <cellStyle name="Normal 7 5 3 2 7" xfId="34028"/>
    <cellStyle name="Normal 7 5 3 2 8" xfId="47011"/>
    <cellStyle name="Normal 7 5 3 3" xfId="2208"/>
    <cellStyle name="Normal 7 5 3 3 2" xfId="5453"/>
    <cellStyle name="Normal 7 5 3 3 2 2" xfId="11985"/>
    <cellStyle name="Normal 7 5 3 3 2 2 2" xfId="31458"/>
    <cellStyle name="Normal 7 5 3 3 2 2 3" xfId="44438"/>
    <cellStyle name="Normal 7 5 3 3 2 2 4" xfId="60667"/>
    <cellStyle name="Normal 7 5 3 3 2 3" xfId="18478"/>
    <cellStyle name="Normal 7 5 3 3 2 4" xfId="24968"/>
    <cellStyle name="Normal 7 5 3 3 2 5" xfId="37948"/>
    <cellStyle name="Normal 7 5 3 3 2 6" xfId="54177"/>
    <cellStyle name="Normal 7 5 3 3 3" xfId="8740"/>
    <cellStyle name="Normal 7 5 3 3 3 2" xfId="28213"/>
    <cellStyle name="Normal 7 5 3 3 3 3" xfId="41193"/>
    <cellStyle name="Normal 7 5 3 3 3 4" xfId="57422"/>
    <cellStyle name="Normal 7 5 3 3 4" xfId="15233"/>
    <cellStyle name="Normal 7 5 3 3 4 2" xfId="50932"/>
    <cellStyle name="Normal 7 5 3 3 5" xfId="21723"/>
    <cellStyle name="Normal 7 5 3 3 6" xfId="34703"/>
    <cellStyle name="Normal 7 5 3 3 7" xfId="47686"/>
    <cellStyle name="Normal 7 5 3 4" xfId="3830"/>
    <cellStyle name="Normal 7 5 3 4 2" xfId="10362"/>
    <cellStyle name="Normal 7 5 3 4 2 2" xfId="29835"/>
    <cellStyle name="Normal 7 5 3 4 2 3" xfId="42815"/>
    <cellStyle name="Normal 7 5 3 4 2 4" xfId="59044"/>
    <cellStyle name="Normal 7 5 3 4 3" xfId="16855"/>
    <cellStyle name="Normal 7 5 3 4 4" xfId="23345"/>
    <cellStyle name="Normal 7 5 3 4 5" xfId="36325"/>
    <cellStyle name="Normal 7 5 3 4 6" xfId="52554"/>
    <cellStyle name="Normal 7 5 3 5" xfId="7117"/>
    <cellStyle name="Normal 7 5 3 5 2" xfId="26590"/>
    <cellStyle name="Normal 7 5 3 5 3" xfId="39570"/>
    <cellStyle name="Normal 7 5 3 5 4" xfId="55799"/>
    <cellStyle name="Normal 7 5 3 6" xfId="13610"/>
    <cellStyle name="Normal 7 5 3 6 2" xfId="49309"/>
    <cellStyle name="Normal 7 5 3 7" xfId="20100"/>
    <cellStyle name="Normal 7 5 3 8" xfId="33080"/>
    <cellStyle name="Normal 7 5 3 9" xfId="46063"/>
    <cellStyle name="Normal 7 5 4" xfId="1026"/>
    <cellStyle name="Normal 7 5 4 2" xfId="2693"/>
    <cellStyle name="Normal 7 5 4 2 2" xfId="5938"/>
    <cellStyle name="Normal 7 5 4 2 2 2" xfId="12470"/>
    <cellStyle name="Normal 7 5 4 2 2 2 2" xfId="31943"/>
    <cellStyle name="Normal 7 5 4 2 2 2 3" xfId="44923"/>
    <cellStyle name="Normal 7 5 4 2 2 2 4" xfId="61152"/>
    <cellStyle name="Normal 7 5 4 2 2 3" xfId="18963"/>
    <cellStyle name="Normal 7 5 4 2 2 4" xfId="25453"/>
    <cellStyle name="Normal 7 5 4 2 2 5" xfId="38433"/>
    <cellStyle name="Normal 7 5 4 2 2 6" xfId="54662"/>
    <cellStyle name="Normal 7 5 4 2 3" xfId="9225"/>
    <cellStyle name="Normal 7 5 4 2 3 2" xfId="28698"/>
    <cellStyle name="Normal 7 5 4 2 3 3" xfId="41678"/>
    <cellStyle name="Normal 7 5 4 2 3 4" xfId="57907"/>
    <cellStyle name="Normal 7 5 4 2 4" xfId="15718"/>
    <cellStyle name="Normal 7 5 4 2 4 2" xfId="51417"/>
    <cellStyle name="Normal 7 5 4 2 5" xfId="22208"/>
    <cellStyle name="Normal 7 5 4 2 6" xfId="35188"/>
    <cellStyle name="Normal 7 5 4 2 7" xfId="48171"/>
    <cellStyle name="Normal 7 5 4 3" xfId="4315"/>
    <cellStyle name="Normal 7 5 4 3 2" xfId="10847"/>
    <cellStyle name="Normal 7 5 4 3 2 2" xfId="30320"/>
    <cellStyle name="Normal 7 5 4 3 2 3" xfId="43300"/>
    <cellStyle name="Normal 7 5 4 3 2 4" xfId="59529"/>
    <cellStyle name="Normal 7 5 4 3 3" xfId="17340"/>
    <cellStyle name="Normal 7 5 4 3 4" xfId="23830"/>
    <cellStyle name="Normal 7 5 4 3 5" xfId="36810"/>
    <cellStyle name="Normal 7 5 4 3 6" xfId="53039"/>
    <cellStyle name="Normal 7 5 4 4" xfId="7602"/>
    <cellStyle name="Normal 7 5 4 4 2" xfId="27075"/>
    <cellStyle name="Normal 7 5 4 4 3" xfId="40055"/>
    <cellStyle name="Normal 7 5 4 4 4" xfId="56284"/>
    <cellStyle name="Normal 7 5 4 5" xfId="14095"/>
    <cellStyle name="Normal 7 5 4 5 2" xfId="49794"/>
    <cellStyle name="Normal 7 5 4 6" xfId="20585"/>
    <cellStyle name="Normal 7 5 4 7" xfId="33565"/>
    <cellStyle name="Normal 7 5 4 8" xfId="46548"/>
    <cellStyle name="Normal 7 5 5" xfId="1979"/>
    <cellStyle name="Normal 7 5 5 2" xfId="5224"/>
    <cellStyle name="Normal 7 5 5 2 2" xfId="11756"/>
    <cellStyle name="Normal 7 5 5 2 2 2" xfId="31229"/>
    <cellStyle name="Normal 7 5 5 2 2 3" xfId="44209"/>
    <cellStyle name="Normal 7 5 5 2 2 4" xfId="60438"/>
    <cellStyle name="Normal 7 5 5 2 3" xfId="18249"/>
    <cellStyle name="Normal 7 5 5 2 4" xfId="24739"/>
    <cellStyle name="Normal 7 5 5 2 5" xfId="37719"/>
    <cellStyle name="Normal 7 5 5 2 6" xfId="53948"/>
    <cellStyle name="Normal 7 5 5 3" xfId="8511"/>
    <cellStyle name="Normal 7 5 5 3 2" xfId="27984"/>
    <cellStyle name="Normal 7 5 5 3 3" xfId="40964"/>
    <cellStyle name="Normal 7 5 5 3 4" xfId="57193"/>
    <cellStyle name="Normal 7 5 5 4" xfId="15004"/>
    <cellStyle name="Normal 7 5 5 4 2" xfId="50703"/>
    <cellStyle name="Normal 7 5 5 5" xfId="21494"/>
    <cellStyle name="Normal 7 5 5 6" xfId="34474"/>
    <cellStyle name="Normal 7 5 5 7" xfId="47457"/>
    <cellStyle name="Normal 7 5 6" xfId="3600"/>
    <cellStyle name="Normal 7 5 6 2" xfId="10132"/>
    <cellStyle name="Normal 7 5 6 2 2" xfId="29605"/>
    <cellStyle name="Normal 7 5 6 2 3" xfId="42585"/>
    <cellStyle name="Normal 7 5 6 2 4" xfId="58814"/>
    <cellStyle name="Normal 7 5 6 3" xfId="16625"/>
    <cellStyle name="Normal 7 5 6 4" xfId="23115"/>
    <cellStyle name="Normal 7 5 6 5" xfId="36095"/>
    <cellStyle name="Normal 7 5 6 6" xfId="52324"/>
    <cellStyle name="Normal 7 5 7" xfId="6887"/>
    <cellStyle name="Normal 7 5 7 2" xfId="26360"/>
    <cellStyle name="Normal 7 5 7 3" xfId="39340"/>
    <cellStyle name="Normal 7 5 7 4" xfId="55569"/>
    <cellStyle name="Normal 7 5 8" xfId="13380"/>
    <cellStyle name="Normal 7 5 8 2" xfId="49079"/>
    <cellStyle name="Normal 7 5 9" xfId="19870"/>
    <cellStyle name="Normal 7 6" xfId="638"/>
    <cellStyle name="Normal 7 6 10" xfId="46161"/>
    <cellStyle name="Normal 7 6 2" xfId="1357"/>
    <cellStyle name="Normal 7 6 2 2" xfId="3024"/>
    <cellStyle name="Normal 7 6 2 2 2" xfId="6269"/>
    <cellStyle name="Normal 7 6 2 2 2 2" xfId="12801"/>
    <cellStyle name="Normal 7 6 2 2 2 2 2" xfId="32274"/>
    <cellStyle name="Normal 7 6 2 2 2 2 3" xfId="45254"/>
    <cellStyle name="Normal 7 6 2 2 2 2 4" xfId="61483"/>
    <cellStyle name="Normal 7 6 2 2 2 3" xfId="19294"/>
    <cellStyle name="Normal 7 6 2 2 2 4" xfId="25784"/>
    <cellStyle name="Normal 7 6 2 2 2 5" xfId="38764"/>
    <cellStyle name="Normal 7 6 2 2 2 6" xfId="54993"/>
    <cellStyle name="Normal 7 6 2 2 3" xfId="9556"/>
    <cellStyle name="Normal 7 6 2 2 3 2" xfId="29029"/>
    <cellStyle name="Normal 7 6 2 2 3 3" xfId="42009"/>
    <cellStyle name="Normal 7 6 2 2 3 4" xfId="58238"/>
    <cellStyle name="Normal 7 6 2 2 4" xfId="16049"/>
    <cellStyle name="Normal 7 6 2 2 4 2" xfId="51748"/>
    <cellStyle name="Normal 7 6 2 2 5" xfId="22539"/>
    <cellStyle name="Normal 7 6 2 2 6" xfId="35519"/>
    <cellStyle name="Normal 7 6 2 2 7" xfId="48502"/>
    <cellStyle name="Normal 7 6 2 3" xfId="4646"/>
    <cellStyle name="Normal 7 6 2 3 2" xfId="11178"/>
    <cellStyle name="Normal 7 6 2 3 2 2" xfId="30651"/>
    <cellStyle name="Normal 7 6 2 3 2 3" xfId="43631"/>
    <cellStyle name="Normal 7 6 2 3 2 4" xfId="59860"/>
    <cellStyle name="Normal 7 6 2 3 3" xfId="17671"/>
    <cellStyle name="Normal 7 6 2 3 4" xfId="24161"/>
    <cellStyle name="Normal 7 6 2 3 5" xfId="37141"/>
    <cellStyle name="Normal 7 6 2 3 6" xfId="53370"/>
    <cellStyle name="Normal 7 6 2 4" xfId="7933"/>
    <cellStyle name="Normal 7 6 2 4 2" xfId="27406"/>
    <cellStyle name="Normal 7 6 2 4 3" xfId="40386"/>
    <cellStyle name="Normal 7 6 2 4 4" xfId="56615"/>
    <cellStyle name="Normal 7 6 2 5" xfId="14426"/>
    <cellStyle name="Normal 7 6 2 5 2" xfId="50125"/>
    <cellStyle name="Normal 7 6 2 6" xfId="20916"/>
    <cellStyle name="Normal 7 6 2 7" xfId="33896"/>
    <cellStyle name="Normal 7 6 2 8" xfId="46879"/>
    <cellStyle name="Normal 7 6 3" xfId="893"/>
    <cellStyle name="Normal 7 6 3 2" xfId="2561"/>
    <cellStyle name="Normal 7 6 3 2 2" xfId="5806"/>
    <cellStyle name="Normal 7 6 3 2 2 2" xfId="12338"/>
    <cellStyle name="Normal 7 6 3 2 2 2 2" xfId="31811"/>
    <cellStyle name="Normal 7 6 3 2 2 2 3" xfId="44791"/>
    <cellStyle name="Normal 7 6 3 2 2 2 4" xfId="61020"/>
    <cellStyle name="Normal 7 6 3 2 2 3" xfId="18831"/>
    <cellStyle name="Normal 7 6 3 2 2 4" xfId="25321"/>
    <cellStyle name="Normal 7 6 3 2 2 5" xfId="38301"/>
    <cellStyle name="Normal 7 6 3 2 2 6" xfId="54530"/>
    <cellStyle name="Normal 7 6 3 2 3" xfId="9093"/>
    <cellStyle name="Normal 7 6 3 2 3 2" xfId="28566"/>
    <cellStyle name="Normal 7 6 3 2 3 3" xfId="41546"/>
    <cellStyle name="Normal 7 6 3 2 3 4" xfId="57775"/>
    <cellStyle name="Normal 7 6 3 2 4" xfId="15586"/>
    <cellStyle name="Normal 7 6 3 2 4 2" xfId="51285"/>
    <cellStyle name="Normal 7 6 3 2 5" xfId="22076"/>
    <cellStyle name="Normal 7 6 3 2 6" xfId="35056"/>
    <cellStyle name="Normal 7 6 3 2 7" xfId="48039"/>
    <cellStyle name="Normal 7 6 3 3" xfId="4183"/>
    <cellStyle name="Normal 7 6 3 3 2" xfId="10715"/>
    <cellStyle name="Normal 7 6 3 3 2 2" xfId="30188"/>
    <cellStyle name="Normal 7 6 3 3 2 3" xfId="43168"/>
    <cellStyle name="Normal 7 6 3 3 2 4" xfId="59397"/>
    <cellStyle name="Normal 7 6 3 3 3" xfId="17208"/>
    <cellStyle name="Normal 7 6 3 3 4" xfId="23698"/>
    <cellStyle name="Normal 7 6 3 3 5" xfId="36678"/>
    <cellStyle name="Normal 7 6 3 3 6" xfId="52907"/>
    <cellStyle name="Normal 7 6 3 4" xfId="7470"/>
    <cellStyle name="Normal 7 6 3 4 2" xfId="26943"/>
    <cellStyle name="Normal 7 6 3 4 3" xfId="39923"/>
    <cellStyle name="Normal 7 6 3 4 4" xfId="56152"/>
    <cellStyle name="Normal 7 6 3 5" xfId="13963"/>
    <cellStyle name="Normal 7 6 3 5 2" xfId="49662"/>
    <cellStyle name="Normal 7 6 3 6" xfId="20453"/>
    <cellStyle name="Normal 7 6 3 7" xfId="33433"/>
    <cellStyle name="Normal 7 6 3 8" xfId="46416"/>
    <cellStyle name="Normal 7 6 4" xfId="2306"/>
    <cellStyle name="Normal 7 6 4 2" xfId="5551"/>
    <cellStyle name="Normal 7 6 4 2 2" xfId="12083"/>
    <cellStyle name="Normal 7 6 4 2 2 2" xfId="31556"/>
    <cellStyle name="Normal 7 6 4 2 2 3" xfId="44536"/>
    <cellStyle name="Normal 7 6 4 2 2 4" xfId="60765"/>
    <cellStyle name="Normal 7 6 4 2 3" xfId="18576"/>
    <cellStyle name="Normal 7 6 4 2 4" xfId="25066"/>
    <cellStyle name="Normal 7 6 4 2 5" xfId="38046"/>
    <cellStyle name="Normal 7 6 4 2 6" xfId="54275"/>
    <cellStyle name="Normal 7 6 4 3" xfId="8838"/>
    <cellStyle name="Normal 7 6 4 3 2" xfId="28311"/>
    <cellStyle name="Normal 7 6 4 3 3" xfId="41291"/>
    <cellStyle name="Normal 7 6 4 3 4" xfId="57520"/>
    <cellStyle name="Normal 7 6 4 4" xfId="15331"/>
    <cellStyle name="Normal 7 6 4 4 2" xfId="51030"/>
    <cellStyle name="Normal 7 6 4 5" xfId="21821"/>
    <cellStyle name="Normal 7 6 4 6" xfId="34801"/>
    <cellStyle name="Normal 7 6 4 7" xfId="47784"/>
    <cellStyle name="Normal 7 6 5" xfId="3928"/>
    <cellStyle name="Normal 7 6 5 2" xfId="10460"/>
    <cellStyle name="Normal 7 6 5 2 2" xfId="29933"/>
    <cellStyle name="Normal 7 6 5 2 3" xfId="42913"/>
    <cellStyle name="Normal 7 6 5 2 4" xfId="59142"/>
    <cellStyle name="Normal 7 6 5 3" xfId="16953"/>
    <cellStyle name="Normal 7 6 5 4" xfId="23443"/>
    <cellStyle name="Normal 7 6 5 5" xfId="36423"/>
    <cellStyle name="Normal 7 6 5 6" xfId="52652"/>
    <cellStyle name="Normal 7 6 6" xfId="7215"/>
    <cellStyle name="Normal 7 6 6 2" xfId="26688"/>
    <cellStyle name="Normal 7 6 6 3" xfId="39668"/>
    <cellStyle name="Normal 7 6 6 4" xfId="55897"/>
    <cellStyle name="Normal 7 6 7" xfId="13708"/>
    <cellStyle name="Normal 7 6 7 2" xfId="49407"/>
    <cellStyle name="Normal 7 6 8" xfId="20198"/>
    <cellStyle name="Normal 7 6 9" xfId="33178"/>
    <cellStyle name="Normal 7 7" xfId="408"/>
    <cellStyle name="Normal 7 7 10" xfId="45931"/>
    <cellStyle name="Normal 7 7 2" xfId="1577"/>
    <cellStyle name="Normal 7 7 2 2" xfId="3244"/>
    <cellStyle name="Normal 7 7 2 2 2" xfId="6489"/>
    <cellStyle name="Normal 7 7 2 2 2 2" xfId="13021"/>
    <cellStyle name="Normal 7 7 2 2 2 2 2" xfId="32494"/>
    <cellStyle name="Normal 7 7 2 2 2 2 3" xfId="45474"/>
    <cellStyle name="Normal 7 7 2 2 2 2 4" xfId="61703"/>
    <cellStyle name="Normal 7 7 2 2 2 3" xfId="19514"/>
    <cellStyle name="Normal 7 7 2 2 2 4" xfId="26004"/>
    <cellStyle name="Normal 7 7 2 2 2 5" xfId="38984"/>
    <cellStyle name="Normal 7 7 2 2 2 6" xfId="55213"/>
    <cellStyle name="Normal 7 7 2 2 3" xfId="9776"/>
    <cellStyle name="Normal 7 7 2 2 3 2" xfId="29249"/>
    <cellStyle name="Normal 7 7 2 2 3 3" xfId="42229"/>
    <cellStyle name="Normal 7 7 2 2 3 4" xfId="58458"/>
    <cellStyle name="Normal 7 7 2 2 4" xfId="16269"/>
    <cellStyle name="Normal 7 7 2 2 4 2" xfId="51968"/>
    <cellStyle name="Normal 7 7 2 2 5" xfId="22759"/>
    <cellStyle name="Normal 7 7 2 2 6" xfId="35739"/>
    <cellStyle name="Normal 7 7 2 2 7" xfId="48722"/>
    <cellStyle name="Normal 7 7 2 3" xfId="4866"/>
    <cellStyle name="Normal 7 7 2 3 2" xfId="11398"/>
    <cellStyle name="Normal 7 7 2 3 2 2" xfId="30871"/>
    <cellStyle name="Normal 7 7 2 3 2 3" xfId="43851"/>
    <cellStyle name="Normal 7 7 2 3 2 4" xfId="60080"/>
    <cellStyle name="Normal 7 7 2 3 3" xfId="17891"/>
    <cellStyle name="Normal 7 7 2 3 4" xfId="24381"/>
    <cellStyle name="Normal 7 7 2 3 5" xfId="37361"/>
    <cellStyle name="Normal 7 7 2 3 6" xfId="53590"/>
    <cellStyle name="Normal 7 7 2 4" xfId="8153"/>
    <cellStyle name="Normal 7 7 2 4 2" xfId="27626"/>
    <cellStyle name="Normal 7 7 2 4 3" xfId="40606"/>
    <cellStyle name="Normal 7 7 2 4 4" xfId="56835"/>
    <cellStyle name="Normal 7 7 2 5" xfId="14646"/>
    <cellStyle name="Normal 7 7 2 5 2" xfId="50345"/>
    <cellStyle name="Normal 7 7 2 6" xfId="21136"/>
    <cellStyle name="Normal 7 7 2 7" xfId="34116"/>
    <cellStyle name="Normal 7 7 2 8" xfId="47099"/>
    <cellStyle name="Normal 7 7 3" xfId="1114"/>
    <cellStyle name="Normal 7 7 3 2" xfId="2781"/>
    <cellStyle name="Normal 7 7 3 2 2" xfId="6026"/>
    <cellStyle name="Normal 7 7 3 2 2 2" xfId="12558"/>
    <cellStyle name="Normal 7 7 3 2 2 2 2" xfId="32031"/>
    <cellStyle name="Normal 7 7 3 2 2 2 3" xfId="45011"/>
    <cellStyle name="Normal 7 7 3 2 2 2 4" xfId="61240"/>
    <cellStyle name="Normal 7 7 3 2 2 3" xfId="19051"/>
    <cellStyle name="Normal 7 7 3 2 2 4" xfId="25541"/>
    <cellStyle name="Normal 7 7 3 2 2 5" xfId="38521"/>
    <cellStyle name="Normal 7 7 3 2 2 6" xfId="54750"/>
    <cellStyle name="Normal 7 7 3 2 3" xfId="9313"/>
    <cellStyle name="Normal 7 7 3 2 3 2" xfId="28786"/>
    <cellStyle name="Normal 7 7 3 2 3 3" xfId="41766"/>
    <cellStyle name="Normal 7 7 3 2 3 4" xfId="57995"/>
    <cellStyle name="Normal 7 7 3 2 4" xfId="15806"/>
    <cellStyle name="Normal 7 7 3 2 4 2" xfId="51505"/>
    <cellStyle name="Normal 7 7 3 2 5" xfId="22296"/>
    <cellStyle name="Normal 7 7 3 2 6" xfId="35276"/>
    <cellStyle name="Normal 7 7 3 2 7" xfId="48259"/>
    <cellStyle name="Normal 7 7 3 3" xfId="4403"/>
    <cellStyle name="Normal 7 7 3 3 2" xfId="10935"/>
    <cellStyle name="Normal 7 7 3 3 2 2" xfId="30408"/>
    <cellStyle name="Normal 7 7 3 3 2 3" xfId="43388"/>
    <cellStyle name="Normal 7 7 3 3 2 4" xfId="59617"/>
    <cellStyle name="Normal 7 7 3 3 3" xfId="17428"/>
    <cellStyle name="Normal 7 7 3 3 4" xfId="23918"/>
    <cellStyle name="Normal 7 7 3 3 5" xfId="36898"/>
    <cellStyle name="Normal 7 7 3 3 6" xfId="53127"/>
    <cellStyle name="Normal 7 7 3 4" xfId="7690"/>
    <cellStyle name="Normal 7 7 3 4 2" xfId="27163"/>
    <cellStyle name="Normal 7 7 3 4 3" xfId="40143"/>
    <cellStyle name="Normal 7 7 3 4 4" xfId="56372"/>
    <cellStyle name="Normal 7 7 3 5" xfId="14183"/>
    <cellStyle name="Normal 7 7 3 5 2" xfId="49882"/>
    <cellStyle name="Normal 7 7 3 6" xfId="20673"/>
    <cellStyle name="Normal 7 7 3 7" xfId="33653"/>
    <cellStyle name="Normal 7 7 3 8" xfId="46636"/>
    <cellStyle name="Normal 7 7 4" xfId="2076"/>
    <cellStyle name="Normal 7 7 4 2" xfId="5321"/>
    <cellStyle name="Normal 7 7 4 2 2" xfId="11853"/>
    <cellStyle name="Normal 7 7 4 2 2 2" xfId="31326"/>
    <cellStyle name="Normal 7 7 4 2 2 3" xfId="44306"/>
    <cellStyle name="Normal 7 7 4 2 2 4" xfId="60535"/>
    <cellStyle name="Normal 7 7 4 2 3" xfId="18346"/>
    <cellStyle name="Normal 7 7 4 2 4" xfId="24836"/>
    <cellStyle name="Normal 7 7 4 2 5" xfId="37816"/>
    <cellStyle name="Normal 7 7 4 2 6" xfId="54045"/>
    <cellStyle name="Normal 7 7 4 3" xfId="8608"/>
    <cellStyle name="Normal 7 7 4 3 2" xfId="28081"/>
    <cellStyle name="Normal 7 7 4 3 3" xfId="41061"/>
    <cellStyle name="Normal 7 7 4 3 4" xfId="57290"/>
    <cellStyle name="Normal 7 7 4 4" xfId="15101"/>
    <cellStyle name="Normal 7 7 4 4 2" xfId="50800"/>
    <cellStyle name="Normal 7 7 4 5" xfId="21591"/>
    <cellStyle name="Normal 7 7 4 6" xfId="34571"/>
    <cellStyle name="Normal 7 7 4 7" xfId="47554"/>
    <cellStyle name="Normal 7 7 5" xfId="3698"/>
    <cellStyle name="Normal 7 7 5 2" xfId="10230"/>
    <cellStyle name="Normal 7 7 5 2 2" xfId="29703"/>
    <cellStyle name="Normal 7 7 5 2 3" xfId="42683"/>
    <cellStyle name="Normal 7 7 5 2 4" xfId="58912"/>
    <cellStyle name="Normal 7 7 5 3" xfId="16723"/>
    <cellStyle name="Normal 7 7 5 4" xfId="23213"/>
    <cellStyle name="Normal 7 7 5 5" xfId="36193"/>
    <cellStyle name="Normal 7 7 5 6" xfId="52422"/>
    <cellStyle name="Normal 7 7 6" xfId="6985"/>
    <cellStyle name="Normal 7 7 6 2" xfId="26458"/>
    <cellStyle name="Normal 7 7 6 3" xfId="39438"/>
    <cellStyle name="Normal 7 7 6 4" xfId="55667"/>
    <cellStyle name="Normal 7 7 7" xfId="13478"/>
    <cellStyle name="Normal 7 7 7 2" xfId="49177"/>
    <cellStyle name="Normal 7 7 8" xfId="19968"/>
    <cellStyle name="Normal 7 7 9" xfId="32948"/>
    <cellStyle name="Normal 7 8" xfId="1334"/>
    <cellStyle name="Normal 7 8 2" xfId="3001"/>
    <cellStyle name="Normal 7 8 2 2" xfId="6246"/>
    <cellStyle name="Normal 7 8 2 2 2" xfId="12778"/>
    <cellStyle name="Normal 7 8 2 2 2 2" xfId="32251"/>
    <cellStyle name="Normal 7 8 2 2 2 3" xfId="45231"/>
    <cellStyle name="Normal 7 8 2 2 2 4" xfId="61460"/>
    <cellStyle name="Normal 7 8 2 2 3" xfId="19271"/>
    <cellStyle name="Normal 7 8 2 2 4" xfId="25761"/>
    <cellStyle name="Normal 7 8 2 2 5" xfId="38741"/>
    <cellStyle name="Normal 7 8 2 2 6" xfId="54970"/>
    <cellStyle name="Normal 7 8 2 3" xfId="9533"/>
    <cellStyle name="Normal 7 8 2 3 2" xfId="29006"/>
    <cellStyle name="Normal 7 8 2 3 3" xfId="41986"/>
    <cellStyle name="Normal 7 8 2 3 4" xfId="58215"/>
    <cellStyle name="Normal 7 8 2 4" xfId="16026"/>
    <cellStyle name="Normal 7 8 2 4 2" xfId="51725"/>
    <cellStyle name="Normal 7 8 2 5" xfId="22516"/>
    <cellStyle name="Normal 7 8 2 6" xfId="35496"/>
    <cellStyle name="Normal 7 8 2 7" xfId="48479"/>
    <cellStyle name="Normal 7 8 3" xfId="4623"/>
    <cellStyle name="Normal 7 8 3 2" xfId="11155"/>
    <cellStyle name="Normal 7 8 3 2 2" xfId="30628"/>
    <cellStyle name="Normal 7 8 3 2 3" xfId="43608"/>
    <cellStyle name="Normal 7 8 3 2 4" xfId="59837"/>
    <cellStyle name="Normal 7 8 3 3" xfId="17648"/>
    <cellStyle name="Normal 7 8 3 4" xfId="24138"/>
    <cellStyle name="Normal 7 8 3 5" xfId="37118"/>
    <cellStyle name="Normal 7 8 3 6" xfId="53347"/>
    <cellStyle name="Normal 7 8 4" xfId="7910"/>
    <cellStyle name="Normal 7 8 4 2" xfId="27383"/>
    <cellStyle name="Normal 7 8 4 3" xfId="40363"/>
    <cellStyle name="Normal 7 8 4 4" xfId="56592"/>
    <cellStyle name="Normal 7 8 5" xfId="14403"/>
    <cellStyle name="Normal 7 8 5 2" xfId="50102"/>
    <cellStyle name="Normal 7 8 6" xfId="20893"/>
    <cellStyle name="Normal 7 8 7" xfId="33873"/>
    <cellStyle name="Normal 7 8 8" xfId="46856"/>
    <cellStyle name="Normal 7 9" xfId="870"/>
    <cellStyle name="Normal 7 9 2" xfId="2538"/>
    <cellStyle name="Normal 7 9 2 2" xfId="5783"/>
    <cellStyle name="Normal 7 9 2 2 2" xfId="12315"/>
    <cellStyle name="Normal 7 9 2 2 2 2" xfId="31788"/>
    <cellStyle name="Normal 7 9 2 2 2 3" xfId="44768"/>
    <cellStyle name="Normal 7 9 2 2 2 4" xfId="60997"/>
    <cellStyle name="Normal 7 9 2 2 3" xfId="18808"/>
    <cellStyle name="Normal 7 9 2 2 4" xfId="25298"/>
    <cellStyle name="Normal 7 9 2 2 5" xfId="38278"/>
    <cellStyle name="Normal 7 9 2 2 6" xfId="54507"/>
    <cellStyle name="Normal 7 9 2 3" xfId="9070"/>
    <cellStyle name="Normal 7 9 2 3 2" xfId="28543"/>
    <cellStyle name="Normal 7 9 2 3 3" xfId="41523"/>
    <cellStyle name="Normal 7 9 2 3 4" xfId="57752"/>
    <cellStyle name="Normal 7 9 2 4" xfId="15563"/>
    <cellStyle name="Normal 7 9 2 4 2" xfId="51262"/>
    <cellStyle name="Normal 7 9 2 5" xfId="22053"/>
    <cellStyle name="Normal 7 9 2 6" xfId="35033"/>
    <cellStyle name="Normal 7 9 2 7" xfId="48016"/>
    <cellStyle name="Normal 7 9 3" xfId="4160"/>
    <cellStyle name="Normal 7 9 3 2" xfId="10692"/>
    <cellStyle name="Normal 7 9 3 2 2" xfId="30165"/>
    <cellStyle name="Normal 7 9 3 2 3" xfId="43145"/>
    <cellStyle name="Normal 7 9 3 2 4" xfId="59374"/>
    <cellStyle name="Normal 7 9 3 3" xfId="17185"/>
    <cellStyle name="Normal 7 9 3 4" xfId="23675"/>
    <cellStyle name="Normal 7 9 3 5" xfId="36655"/>
    <cellStyle name="Normal 7 9 3 6" xfId="52884"/>
    <cellStyle name="Normal 7 9 4" xfId="7447"/>
    <cellStyle name="Normal 7 9 4 2" xfId="26920"/>
    <cellStyle name="Normal 7 9 4 3" xfId="39900"/>
    <cellStyle name="Normal 7 9 4 4" xfId="56129"/>
    <cellStyle name="Normal 7 9 5" xfId="13940"/>
    <cellStyle name="Normal 7 9 5 2" xfId="49639"/>
    <cellStyle name="Normal 7 9 6" xfId="20430"/>
    <cellStyle name="Normal 7 9 7" xfId="33410"/>
    <cellStyle name="Normal 7 9 8" xfId="46393"/>
    <cellStyle name="Normal 8" xfId="374"/>
    <cellStyle name="Normal 8 10" xfId="45901"/>
    <cellStyle name="Normal 8 11" xfId="61963"/>
    <cellStyle name="Normal 8 2" xfId="838"/>
    <cellStyle name="Normal 8 2 2" xfId="2506"/>
    <cellStyle name="Normal 8 2 2 2" xfId="5751"/>
    <cellStyle name="Normal 8 2 2 2 2" xfId="12283"/>
    <cellStyle name="Normal 8 2 2 2 2 2" xfId="31756"/>
    <cellStyle name="Normal 8 2 2 2 2 3" xfId="44736"/>
    <cellStyle name="Normal 8 2 2 2 2 4" xfId="60965"/>
    <cellStyle name="Normal 8 2 2 2 3" xfId="18776"/>
    <cellStyle name="Normal 8 2 2 2 4" xfId="25266"/>
    <cellStyle name="Normal 8 2 2 2 5" xfId="38246"/>
    <cellStyle name="Normal 8 2 2 2 6" xfId="54475"/>
    <cellStyle name="Normal 8 2 2 3" xfId="9038"/>
    <cellStyle name="Normal 8 2 2 3 2" xfId="28511"/>
    <cellStyle name="Normal 8 2 2 3 3" xfId="41491"/>
    <cellStyle name="Normal 8 2 2 3 4" xfId="57720"/>
    <cellStyle name="Normal 8 2 2 4" xfId="15531"/>
    <cellStyle name="Normal 8 2 2 4 2" xfId="51230"/>
    <cellStyle name="Normal 8 2 2 5" xfId="22021"/>
    <cellStyle name="Normal 8 2 2 6" xfId="35001"/>
    <cellStyle name="Normal 8 2 2 7" xfId="47984"/>
    <cellStyle name="Normal 8 2 2 8" xfId="61988"/>
    <cellStyle name="Normal 8 2 3" xfId="4128"/>
    <cellStyle name="Normal 8 2 3 2" xfId="10660"/>
    <cellStyle name="Normal 8 2 3 2 2" xfId="30133"/>
    <cellStyle name="Normal 8 2 3 2 3" xfId="43113"/>
    <cellStyle name="Normal 8 2 3 2 4" xfId="59342"/>
    <cellStyle name="Normal 8 2 3 3" xfId="17153"/>
    <cellStyle name="Normal 8 2 3 4" xfId="23643"/>
    <cellStyle name="Normal 8 2 3 5" xfId="36623"/>
    <cellStyle name="Normal 8 2 3 6" xfId="52852"/>
    <cellStyle name="Normal 8 2 3 7" xfId="62007"/>
    <cellStyle name="Normal 8 2 4" xfId="7415"/>
    <cellStyle name="Normal 8 2 4 2" xfId="26888"/>
    <cellStyle name="Normal 8 2 4 3" xfId="39868"/>
    <cellStyle name="Normal 8 2 4 4" xfId="56097"/>
    <cellStyle name="Normal 8 2 5" xfId="13908"/>
    <cellStyle name="Normal 8 2 5 2" xfId="49607"/>
    <cellStyle name="Normal 8 2 6" xfId="20398"/>
    <cellStyle name="Normal 8 2 7" xfId="33378"/>
    <cellStyle name="Normal 8 2 8" xfId="46361"/>
    <cellStyle name="Normal 8 2 9" xfId="61966"/>
    <cellStyle name="Normal 8 3" xfId="608"/>
    <cellStyle name="Normal 8 3 2" xfId="2276"/>
    <cellStyle name="Normal 8 3 2 2" xfId="5521"/>
    <cellStyle name="Normal 8 3 2 2 2" xfId="12053"/>
    <cellStyle name="Normal 8 3 2 2 2 2" xfId="31526"/>
    <cellStyle name="Normal 8 3 2 2 2 3" xfId="44506"/>
    <cellStyle name="Normal 8 3 2 2 2 4" xfId="60735"/>
    <cellStyle name="Normal 8 3 2 2 3" xfId="18546"/>
    <cellStyle name="Normal 8 3 2 2 4" xfId="25036"/>
    <cellStyle name="Normal 8 3 2 2 5" xfId="38016"/>
    <cellStyle name="Normal 8 3 2 2 6" xfId="54245"/>
    <cellStyle name="Normal 8 3 2 3" xfId="8808"/>
    <cellStyle name="Normal 8 3 2 3 2" xfId="28281"/>
    <cellStyle name="Normal 8 3 2 3 3" xfId="41261"/>
    <cellStyle name="Normal 8 3 2 3 4" xfId="57490"/>
    <cellStyle name="Normal 8 3 2 4" xfId="15301"/>
    <cellStyle name="Normal 8 3 2 4 2" xfId="51000"/>
    <cellStyle name="Normal 8 3 2 5" xfId="21791"/>
    <cellStyle name="Normal 8 3 2 6" xfId="34771"/>
    <cellStyle name="Normal 8 3 2 7" xfId="47754"/>
    <cellStyle name="Normal 8 3 3" xfId="3898"/>
    <cellStyle name="Normal 8 3 3 2" xfId="10430"/>
    <cellStyle name="Normal 8 3 3 2 2" xfId="29903"/>
    <cellStyle name="Normal 8 3 3 2 3" xfId="42883"/>
    <cellStyle name="Normal 8 3 3 2 4" xfId="59112"/>
    <cellStyle name="Normal 8 3 3 3" xfId="16923"/>
    <cellStyle name="Normal 8 3 3 4" xfId="23413"/>
    <cellStyle name="Normal 8 3 3 5" xfId="36393"/>
    <cellStyle name="Normal 8 3 3 6" xfId="52622"/>
    <cellStyle name="Normal 8 3 4" xfId="7185"/>
    <cellStyle name="Normal 8 3 4 2" xfId="26658"/>
    <cellStyle name="Normal 8 3 4 3" xfId="39638"/>
    <cellStyle name="Normal 8 3 4 4" xfId="55867"/>
    <cellStyle name="Normal 8 3 5" xfId="13678"/>
    <cellStyle name="Normal 8 3 5 2" xfId="49377"/>
    <cellStyle name="Normal 8 3 6" xfId="20168"/>
    <cellStyle name="Normal 8 3 7" xfId="33148"/>
    <cellStyle name="Normal 8 3 8" xfId="46131"/>
    <cellStyle name="Normal 8 3 9" xfId="61987"/>
    <cellStyle name="Normal 8 4" xfId="2047"/>
    <cellStyle name="Normal 8 4 2" xfId="5292"/>
    <cellStyle name="Normal 8 4 2 2" xfId="11824"/>
    <cellStyle name="Normal 8 4 2 2 2" xfId="31297"/>
    <cellStyle name="Normal 8 4 2 2 3" xfId="44277"/>
    <cellStyle name="Normal 8 4 2 2 4" xfId="60506"/>
    <cellStyle name="Normal 8 4 2 3" xfId="18317"/>
    <cellStyle name="Normal 8 4 2 4" xfId="24807"/>
    <cellStyle name="Normal 8 4 2 5" xfId="37787"/>
    <cellStyle name="Normal 8 4 2 6" xfId="54016"/>
    <cellStyle name="Normal 8 4 3" xfId="8579"/>
    <cellStyle name="Normal 8 4 3 2" xfId="28052"/>
    <cellStyle name="Normal 8 4 3 3" xfId="41032"/>
    <cellStyle name="Normal 8 4 3 4" xfId="57261"/>
    <cellStyle name="Normal 8 4 4" xfId="15072"/>
    <cellStyle name="Normal 8 4 4 2" xfId="50771"/>
    <cellStyle name="Normal 8 4 5" xfId="21562"/>
    <cellStyle name="Normal 8 4 6" xfId="34542"/>
    <cellStyle name="Normal 8 4 7" xfId="47525"/>
    <cellStyle name="Normal 8 4 8" xfId="62006"/>
    <cellStyle name="Normal 8 5" xfId="3668"/>
    <cellStyle name="Normal 8 5 2" xfId="10200"/>
    <cellStyle name="Normal 8 5 2 2" xfId="29673"/>
    <cellStyle name="Normal 8 5 2 3" xfId="42653"/>
    <cellStyle name="Normal 8 5 2 4" xfId="58882"/>
    <cellStyle name="Normal 8 5 3" xfId="16693"/>
    <cellStyle name="Normal 8 5 4" xfId="23183"/>
    <cellStyle name="Normal 8 5 5" xfId="36163"/>
    <cellStyle name="Normal 8 5 6" xfId="52392"/>
    <cellStyle name="Normal 8 6" xfId="6955"/>
    <cellStyle name="Normal 8 6 2" xfId="26428"/>
    <cellStyle name="Normal 8 6 3" xfId="39408"/>
    <cellStyle name="Normal 8 6 4" xfId="55637"/>
    <cellStyle name="Normal 8 7" xfId="13448"/>
    <cellStyle name="Normal 8 7 2" xfId="49147"/>
    <cellStyle name="Normal 8 8" xfId="19938"/>
    <cellStyle name="Normal 8 9" xfId="32918"/>
    <cellStyle name="Normal 9" xfId="380"/>
    <cellStyle name="Normal 9 10" xfId="45903"/>
    <cellStyle name="Normal 9 11" xfId="61965"/>
    <cellStyle name="Normal 9 2" xfId="840"/>
    <cellStyle name="Normal 9 2 2" xfId="2508"/>
    <cellStyle name="Normal 9 2 2 2" xfId="5753"/>
    <cellStyle name="Normal 9 2 2 2 2" xfId="12285"/>
    <cellStyle name="Normal 9 2 2 2 2 2" xfId="31758"/>
    <cellStyle name="Normal 9 2 2 2 2 3" xfId="44738"/>
    <cellStyle name="Normal 9 2 2 2 2 4" xfId="60967"/>
    <cellStyle name="Normal 9 2 2 2 3" xfId="18778"/>
    <cellStyle name="Normal 9 2 2 2 4" xfId="25268"/>
    <cellStyle name="Normal 9 2 2 2 5" xfId="38248"/>
    <cellStyle name="Normal 9 2 2 2 6" xfId="54477"/>
    <cellStyle name="Normal 9 2 2 3" xfId="9040"/>
    <cellStyle name="Normal 9 2 2 3 2" xfId="28513"/>
    <cellStyle name="Normal 9 2 2 3 3" xfId="41493"/>
    <cellStyle name="Normal 9 2 2 3 4" xfId="57722"/>
    <cellStyle name="Normal 9 2 2 4" xfId="15533"/>
    <cellStyle name="Normal 9 2 2 4 2" xfId="51232"/>
    <cellStyle name="Normal 9 2 2 5" xfId="22023"/>
    <cellStyle name="Normal 9 2 2 6" xfId="35003"/>
    <cellStyle name="Normal 9 2 2 7" xfId="47986"/>
    <cellStyle name="Normal 9 2 2 8" xfId="61990"/>
    <cellStyle name="Normal 9 2 3" xfId="4130"/>
    <cellStyle name="Normal 9 2 3 2" xfId="10662"/>
    <cellStyle name="Normal 9 2 3 2 2" xfId="30135"/>
    <cellStyle name="Normal 9 2 3 2 3" xfId="43115"/>
    <cellStyle name="Normal 9 2 3 2 4" xfId="59344"/>
    <cellStyle name="Normal 9 2 3 3" xfId="17155"/>
    <cellStyle name="Normal 9 2 3 4" xfId="23645"/>
    <cellStyle name="Normal 9 2 3 5" xfId="36625"/>
    <cellStyle name="Normal 9 2 3 6" xfId="52854"/>
    <cellStyle name="Normal 9 2 3 7" xfId="62009"/>
    <cellStyle name="Normal 9 2 4" xfId="7417"/>
    <cellStyle name="Normal 9 2 4 2" xfId="26890"/>
    <cellStyle name="Normal 9 2 4 3" xfId="39870"/>
    <cellStyle name="Normal 9 2 4 4" xfId="56099"/>
    <cellStyle name="Normal 9 2 5" xfId="13910"/>
    <cellStyle name="Normal 9 2 5 2" xfId="49609"/>
    <cellStyle name="Normal 9 2 6" xfId="20400"/>
    <cellStyle name="Normal 9 2 7" xfId="33380"/>
    <cellStyle name="Normal 9 2 8" xfId="46363"/>
    <cellStyle name="Normal 9 2 9" xfId="61974"/>
    <cellStyle name="Normal 9 3" xfId="610"/>
    <cellStyle name="Normal 9 3 2" xfId="2278"/>
    <cellStyle name="Normal 9 3 2 2" xfId="5523"/>
    <cellStyle name="Normal 9 3 2 2 2" xfId="12055"/>
    <cellStyle name="Normal 9 3 2 2 2 2" xfId="31528"/>
    <cellStyle name="Normal 9 3 2 2 2 3" xfId="44508"/>
    <cellStyle name="Normal 9 3 2 2 2 4" xfId="60737"/>
    <cellStyle name="Normal 9 3 2 2 3" xfId="18548"/>
    <cellStyle name="Normal 9 3 2 2 4" xfId="25038"/>
    <cellStyle name="Normal 9 3 2 2 5" xfId="38018"/>
    <cellStyle name="Normal 9 3 2 2 6" xfId="54247"/>
    <cellStyle name="Normal 9 3 2 2 7" xfId="61998"/>
    <cellStyle name="Normal 9 3 2 3" xfId="8810"/>
    <cellStyle name="Normal 9 3 2 3 2" xfId="28283"/>
    <cellStyle name="Normal 9 3 2 3 3" xfId="41263"/>
    <cellStyle name="Normal 9 3 2 3 4" xfId="57492"/>
    <cellStyle name="Normal 9 3 2 3 5" xfId="62017"/>
    <cellStyle name="Normal 9 3 2 4" xfId="15303"/>
    <cellStyle name="Normal 9 3 2 4 2" xfId="51002"/>
    <cellStyle name="Normal 9 3 2 5" xfId="21793"/>
    <cellStyle name="Normal 9 3 2 6" xfId="34773"/>
    <cellStyle name="Normal 9 3 2 7" xfId="47756"/>
    <cellStyle name="Normal 9 3 2 8" xfId="61981"/>
    <cellStyle name="Normal 9 3 3" xfId="3900"/>
    <cellStyle name="Normal 9 3 3 2" xfId="10432"/>
    <cellStyle name="Normal 9 3 3 2 2" xfId="29905"/>
    <cellStyle name="Normal 9 3 3 2 3" xfId="42885"/>
    <cellStyle name="Normal 9 3 3 2 4" xfId="59114"/>
    <cellStyle name="Normal 9 3 3 3" xfId="16925"/>
    <cellStyle name="Normal 9 3 3 4" xfId="23415"/>
    <cellStyle name="Normal 9 3 3 5" xfId="36395"/>
    <cellStyle name="Normal 9 3 3 6" xfId="52624"/>
    <cellStyle name="Normal 9 3 4" xfId="7187"/>
    <cellStyle name="Normal 9 3 4 2" xfId="26660"/>
    <cellStyle name="Normal 9 3 4 3" xfId="39640"/>
    <cellStyle name="Normal 9 3 4 4" xfId="55869"/>
    <cellStyle name="Normal 9 3 5" xfId="13680"/>
    <cellStyle name="Normal 9 3 5 2" xfId="49379"/>
    <cellStyle name="Normal 9 3 6" xfId="20170"/>
    <cellStyle name="Normal 9 3 7" xfId="33150"/>
    <cellStyle name="Normal 9 3 8" xfId="46133"/>
    <cellStyle name="Normal 9 3 9" xfId="61973"/>
    <cellStyle name="Normal 9 4" xfId="2048"/>
    <cellStyle name="Normal 9 4 2" xfId="5293"/>
    <cellStyle name="Normal 9 4 2 2" xfId="11825"/>
    <cellStyle name="Normal 9 4 2 2 2" xfId="31298"/>
    <cellStyle name="Normal 9 4 2 2 3" xfId="44278"/>
    <cellStyle name="Normal 9 4 2 2 4" xfId="60507"/>
    <cellStyle name="Normal 9 4 2 3" xfId="18318"/>
    <cellStyle name="Normal 9 4 2 4" xfId="24808"/>
    <cellStyle name="Normal 9 4 2 5" xfId="37788"/>
    <cellStyle name="Normal 9 4 2 6" xfId="54017"/>
    <cellStyle name="Normal 9 4 3" xfId="8580"/>
    <cellStyle name="Normal 9 4 3 2" xfId="28053"/>
    <cellStyle name="Normal 9 4 3 3" xfId="41033"/>
    <cellStyle name="Normal 9 4 3 4" xfId="57262"/>
    <cellStyle name="Normal 9 4 4" xfId="15073"/>
    <cellStyle name="Normal 9 4 4 2" xfId="50772"/>
    <cellStyle name="Normal 9 4 5" xfId="21563"/>
    <cellStyle name="Normal 9 4 6" xfId="34543"/>
    <cellStyle name="Normal 9 4 7" xfId="47526"/>
    <cellStyle name="Normal 9 4 8" xfId="62069"/>
    <cellStyle name="Normal 9 5" xfId="3670"/>
    <cellStyle name="Normal 9 5 2" xfId="10202"/>
    <cellStyle name="Normal 9 5 2 2" xfId="29675"/>
    <cellStyle name="Normal 9 5 2 3" xfId="42655"/>
    <cellStyle name="Normal 9 5 2 4" xfId="58884"/>
    <cellStyle name="Normal 9 5 3" xfId="16695"/>
    <cellStyle name="Normal 9 5 4" xfId="23185"/>
    <cellStyle name="Normal 9 5 5" xfId="36165"/>
    <cellStyle name="Normal 9 5 6" xfId="52394"/>
    <cellStyle name="Normal 9 6" xfId="6957"/>
    <cellStyle name="Normal 9 6 2" xfId="26430"/>
    <cellStyle name="Normal 9 6 3" xfId="39410"/>
    <cellStyle name="Normal 9 6 4" xfId="55639"/>
    <cellStyle name="Normal 9 7" xfId="13450"/>
    <cellStyle name="Normal 9 7 2" xfId="49149"/>
    <cellStyle name="Normal 9 8" xfId="19940"/>
    <cellStyle name="Normal 9 9" xfId="32920"/>
    <cellStyle name="Note" xfId="62033" builtinId="10" customBuiltin="1"/>
    <cellStyle name="Output" xfId="62028" builtinId="21" customBuiltin="1"/>
    <cellStyle name="Satisfaisant 2" xfId="115"/>
    <cellStyle name="Satisfaisant 3" xfId="133"/>
    <cellStyle name="Satisfaisant 4" xfId="1816"/>
    <cellStyle name="Satisfaisant 5" xfId="6725"/>
    <cellStyle name="Satisfaisant 6" xfId="72"/>
    <cellStyle name="Sortie 2" xfId="116"/>
    <cellStyle name="Sortie 3" xfId="137"/>
    <cellStyle name="Sortie 4" xfId="1817"/>
    <cellStyle name="Sortie 5" xfId="6726"/>
    <cellStyle name="Sortie 6" xfId="73"/>
    <cellStyle name="Texte explicatif 2" xfId="117"/>
    <cellStyle name="Texte explicatif 3" xfId="143"/>
    <cellStyle name="Texte explicatif 4" xfId="1818"/>
    <cellStyle name="Texte explicatif 5" xfId="6727"/>
    <cellStyle name="Texte explicatif 6" xfId="4"/>
    <cellStyle name="Texte explicatif 7" xfId="74"/>
    <cellStyle name="Title" xfId="62019" builtinId="15" customBuiltin="1"/>
    <cellStyle name="Titre 2" xfId="118"/>
    <cellStyle name="Titre 3" xfId="128"/>
    <cellStyle name="Titre 4" xfId="1819"/>
    <cellStyle name="Titre 5" xfId="6728"/>
    <cellStyle name="Titre 6" xfId="75"/>
    <cellStyle name="Titre 1 2" xfId="119"/>
    <cellStyle name="Titre 1 3" xfId="129"/>
    <cellStyle name="Titre 1 4" xfId="1820"/>
    <cellStyle name="Titre 1 5" xfId="6729"/>
    <cellStyle name="Titre 1 6" xfId="76"/>
    <cellStyle name="Titre 2 2" xfId="120"/>
    <cellStyle name="Titre 2 3" xfId="130"/>
    <cellStyle name="Titre 2 4" xfId="1821"/>
    <cellStyle name="Titre 2 5" xfId="6730"/>
    <cellStyle name="Titre 2 6" xfId="77"/>
    <cellStyle name="Titre 3 2" xfId="121"/>
    <cellStyle name="Titre 3 3" xfId="131"/>
    <cellStyle name="Titre 3 4" xfId="1822"/>
    <cellStyle name="Titre 3 5" xfId="6731"/>
    <cellStyle name="Titre 3 6" xfId="78"/>
    <cellStyle name="Titre 4 2" xfId="122"/>
    <cellStyle name="Titre 4 3" xfId="132"/>
    <cellStyle name="Titre 4 4" xfId="1823"/>
    <cellStyle name="Titre 4 5" xfId="6732"/>
    <cellStyle name="Titre 4 6" xfId="79"/>
    <cellStyle name="Total" xfId="62035" builtinId="25" customBuiltin="1"/>
    <cellStyle name="Total 2" xfId="123"/>
    <cellStyle name="Total 3" xfId="144"/>
    <cellStyle name="Total 4" xfId="1824"/>
    <cellStyle name="Total 5" xfId="6733"/>
    <cellStyle name="Total 6" xfId="80"/>
    <cellStyle name="Vérification 2" xfId="124"/>
    <cellStyle name="Vérification 3" xfId="140"/>
    <cellStyle name="Vérification 4" xfId="1825"/>
    <cellStyle name="Vérification 5" xfId="6734"/>
    <cellStyle name="Vérification 6" xfId="81"/>
    <cellStyle name="Warning Text" xfId="62032" builtinId="11" customBuiltin="1"/>
  </cellStyles>
  <dxfs count="0"/>
  <tableStyles count="0" defaultTableStyle="TableStyleMedium2" defaultPivotStyle="PivotStyleMedium9"/>
  <colors>
    <mruColors>
      <color rgb="FFFFFFCC"/>
      <color rgb="FFFFFF00"/>
      <color rgb="FFCC6600"/>
      <color rgb="FF0070C0"/>
      <color rgb="FFFFCC66"/>
      <color rgb="FFFF66CC"/>
      <color rgb="FFF513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21"/>
  <sheetViews>
    <sheetView tabSelected="1" workbookViewId="0">
      <selection activeCell="B17" sqref="B17"/>
    </sheetView>
  </sheetViews>
  <sheetFormatPr defaultColWidth="11.42578125" defaultRowHeight="15" x14ac:dyDescent="0.25"/>
  <cols>
    <col min="1" max="1" width="88.140625" style="286" customWidth="1"/>
    <col min="2" max="2" width="16.140625" style="286" customWidth="1"/>
    <col min="3" max="3" width="30.42578125" style="286" customWidth="1"/>
    <col min="4" max="16384" width="11.42578125" style="286"/>
  </cols>
  <sheetData>
    <row r="1" spans="1:3" ht="15.75" x14ac:dyDescent="0.25">
      <c r="A1" s="2" t="s">
        <v>1082</v>
      </c>
    </row>
    <row r="2" spans="1:3" ht="31.5" x14ac:dyDescent="0.25">
      <c r="A2" s="355" t="s">
        <v>1061</v>
      </c>
    </row>
    <row r="3" spans="1:3" x14ac:dyDescent="0.25">
      <c r="A3" s="1" t="s">
        <v>1062</v>
      </c>
    </row>
    <row r="4" spans="1:3" x14ac:dyDescent="0.25">
      <c r="A4" s="1"/>
    </row>
    <row r="5" spans="1:3" ht="77.25" x14ac:dyDescent="0.25">
      <c r="A5" s="356" t="s">
        <v>1128</v>
      </c>
    </row>
    <row r="6" spans="1:3" x14ac:dyDescent="0.25">
      <c r="A6" s="356"/>
    </row>
    <row r="7" spans="1:3" x14ac:dyDescent="0.25">
      <c r="A7" s="5" t="s">
        <v>1063</v>
      </c>
      <c r="B7" s="3" t="s">
        <v>1064</v>
      </c>
    </row>
    <row r="8" spans="1:3" x14ac:dyDescent="0.25">
      <c r="A8" s="1"/>
    </row>
    <row r="9" spans="1:3" x14ac:dyDescent="0.25">
      <c r="A9" s="5" t="s">
        <v>1065</v>
      </c>
      <c r="B9" s="3" t="s">
        <v>1066</v>
      </c>
    </row>
    <row r="10" spans="1:3" x14ac:dyDescent="0.25">
      <c r="A10" s="5"/>
      <c r="B10" s="3"/>
    </row>
    <row r="11" spans="1:3" x14ac:dyDescent="0.25">
      <c r="A11" s="5"/>
      <c r="B11" s="268" t="s">
        <v>1067</v>
      </c>
      <c r="C11" s="268" t="s">
        <v>1068</v>
      </c>
    </row>
    <row r="12" spans="1:3" x14ac:dyDescent="0.25">
      <c r="A12" s="5"/>
      <c r="B12" s="20" t="s">
        <v>1069</v>
      </c>
      <c r="C12" s="20" t="s">
        <v>1070</v>
      </c>
    </row>
    <row r="13" spans="1:3" x14ac:dyDescent="0.25">
      <c r="A13" s="5"/>
      <c r="B13" s="1" t="s">
        <v>1071</v>
      </c>
      <c r="C13" s="1" t="s">
        <v>1072</v>
      </c>
    </row>
    <row r="14" spans="1:3" x14ac:dyDescent="0.25">
      <c r="B14" s="1"/>
      <c r="C14" s="1"/>
    </row>
    <row r="15" spans="1:3" x14ac:dyDescent="0.25">
      <c r="B15" s="1" t="s">
        <v>1073</v>
      </c>
      <c r="C15" s="1" t="s">
        <v>1074</v>
      </c>
    </row>
    <row r="16" spans="1:3" x14ac:dyDescent="0.25">
      <c r="B16" s="1" t="s">
        <v>1075</v>
      </c>
      <c r="C16" s="1" t="s">
        <v>1076</v>
      </c>
    </row>
    <row r="17" spans="1:3" x14ac:dyDescent="0.25">
      <c r="A17" s="1" t="s">
        <v>1077</v>
      </c>
      <c r="B17" s="1"/>
      <c r="C17" s="1"/>
    </row>
    <row r="18" spans="1:3" x14ac:dyDescent="0.25">
      <c r="A18" s="1"/>
      <c r="B18" s="1"/>
      <c r="C18" s="1"/>
    </row>
    <row r="19" spans="1:3" x14ac:dyDescent="0.25">
      <c r="A19" s="5" t="s">
        <v>1078</v>
      </c>
      <c r="B19" s="3" t="s">
        <v>1079</v>
      </c>
    </row>
    <row r="21" spans="1:3" x14ac:dyDescent="0.25">
      <c r="A21" s="5" t="s">
        <v>1080</v>
      </c>
      <c r="B21" s="3" t="s">
        <v>1081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DE282"/>
  <sheetViews>
    <sheetView topLeftCell="A76" zoomScale="90" zoomScaleNormal="90" workbookViewId="0">
      <pane xSplit="2" topLeftCell="C1" activePane="topRight" state="frozen"/>
      <selection pane="topRight" activeCell="C9" sqref="C9"/>
    </sheetView>
  </sheetViews>
  <sheetFormatPr defaultColWidth="11.42578125" defaultRowHeight="12.75" x14ac:dyDescent="0.2"/>
  <cols>
    <col min="1" max="1" width="8.5703125" style="28" customWidth="1"/>
    <col min="2" max="2" width="38.140625" style="33" customWidth="1"/>
    <col min="3" max="3" width="55" style="33" customWidth="1"/>
    <col min="4" max="4" width="3.85546875" style="33" customWidth="1"/>
    <col min="5" max="5" width="16.7109375" style="33" customWidth="1"/>
    <col min="6" max="39" width="11.42578125" style="33"/>
    <col min="40" max="40" width="27.85546875" style="33" customWidth="1"/>
    <col min="41" max="41" width="17.28515625" style="33" customWidth="1"/>
    <col min="42" max="16384" width="11.42578125" style="33"/>
  </cols>
  <sheetData>
    <row r="1" spans="1:48" x14ac:dyDescent="0.2">
      <c r="A1" s="36" t="s">
        <v>987</v>
      </c>
      <c r="AN1" s="33" t="s">
        <v>988</v>
      </c>
      <c r="AP1" s="28"/>
      <c r="AQ1" s="28"/>
      <c r="AR1" s="28"/>
      <c r="AS1" s="28"/>
      <c r="AT1" s="28"/>
      <c r="AU1" s="28"/>
      <c r="AV1" s="28"/>
    </row>
    <row r="2" spans="1:48" x14ac:dyDescent="0.2">
      <c r="A2" s="36"/>
      <c r="AP2" s="28"/>
      <c r="AQ2" s="28"/>
      <c r="AR2" s="28"/>
      <c r="AS2" s="28"/>
      <c r="AT2" s="28"/>
      <c r="AU2" s="28"/>
      <c r="AV2" s="28"/>
    </row>
    <row r="3" spans="1:48" x14ac:dyDescent="0.2">
      <c r="A3" s="28" t="s">
        <v>960</v>
      </c>
      <c r="AP3" s="28"/>
      <c r="AQ3" s="28"/>
      <c r="AR3" s="28"/>
      <c r="AS3" s="28"/>
      <c r="AT3" s="28"/>
      <c r="AU3" s="28"/>
      <c r="AV3" s="28"/>
    </row>
    <row r="4" spans="1:48" x14ac:dyDescent="0.2">
      <c r="A4" s="318" t="s">
        <v>961</v>
      </c>
      <c r="B4" s="319" t="s">
        <v>962</v>
      </c>
      <c r="C4" s="33" t="s">
        <v>989</v>
      </c>
      <c r="F4" s="144" t="s">
        <v>2</v>
      </c>
      <c r="G4" s="6" t="s">
        <v>3</v>
      </c>
      <c r="H4" s="6" t="s">
        <v>4</v>
      </c>
      <c r="I4" s="6" t="s">
        <v>5</v>
      </c>
      <c r="J4" s="6" t="s">
        <v>6</v>
      </c>
      <c r="K4" s="6" t="s">
        <v>7</v>
      </c>
      <c r="L4" s="6" t="s">
        <v>8</v>
      </c>
      <c r="M4" s="6" t="s">
        <v>9</v>
      </c>
      <c r="N4" s="6" t="s">
        <v>10</v>
      </c>
      <c r="O4" s="6" t="s">
        <v>11</v>
      </c>
      <c r="P4" s="6" t="s">
        <v>12</v>
      </c>
      <c r="Q4" s="6" t="s">
        <v>13</v>
      </c>
      <c r="R4" s="6" t="s">
        <v>14</v>
      </c>
      <c r="S4" s="6" t="s">
        <v>15</v>
      </c>
      <c r="T4" s="6" t="s">
        <v>16</v>
      </c>
      <c r="U4" s="6" t="s">
        <v>17</v>
      </c>
      <c r="V4" s="6" t="s">
        <v>18</v>
      </c>
      <c r="W4" s="6" t="s">
        <v>19</v>
      </c>
      <c r="X4" s="6" t="s">
        <v>20</v>
      </c>
      <c r="Y4" s="6" t="s">
        <v>21</v>
      </c>
      <c r="Z4" s="6" t="s">
        <v>22</v>
      </c>
      <c r="AA4" s="145" t="s">
        <v>23</v>
      </c>
      <c r="AB4" s="6" t="s">
        <v>24</v>
      </c>
      <c r="AC4" s="6" t="s">
        <v>25</v>
      </c>
      <c r="AD4" s="6" t="s">
        <v>26</v>
      </c>
      <c r="AE4" s="6" t="s">
        <v>27</v>
      </c>
      <c r="AF4" s="6" t="s">
        <v>28</v>
      </c>
      <c r="AG4" s="6" t="s">
        <v>29</v>
      </c>
      <c r="AH4" s="6" t="s">
        <v>30</v>
      </c>
      <c r="AI4" s="6" t="s">
        <v>31</v>
      </c>
      <c r="AJ4" s="6" t="s">
        <v>32</v>
      </c>
      <c r="AK4" s="6" t="s">
        <v>33</v>
      </c>
      <c r="AL4" s="6" t="s">
        <v>34</v>
      </c>
      <c r="AP4" s="28"/>
      <c r="AQ4" s="28"/>
      <c r="AR4" s="28"/>
      <c r="AS4" s="28"/>
      <c r="AT4" s="28"/>
      <c r="AU4" s="28"/>
      <c r="AV4" s="28"/>
    </row>
    <row r="5" spans="1:48" s="320" customFormat="1" x14ac:dyDescent="0.2">
      <c r="C5" s="60" t="s">
        <v>990</v>
      </c>
      <c r="E5" s="321" t="s">
        <v>51</v>
      </c>
      <c r="F5" s="322">
        <v>1196474</v>
      </c>
      <c r="G5" s="323">
        <v>602970</v>
      </c>
      <c r="H5" s="323">
        <v>593179</v>
      </c>
      <c r="I5" s="323">
        <v>1951779</v>
      </c>
      <c r="J5" s="323">
        <v>1174815</v>
      </c>
      <c r="K5" s="323">
        <v>630405</v>
      </c>
      <c r="L5" s="323">
        <v>599156</v>
      </c>
      <c r="M5" s="323">
        <v>1245083</v>
      </c>
      <c r="N5" s="323">
        <v>2693144</v>
      </c>
      <c r="O5" s="323">
        <v>1505370</v>
      </c>
      <c r="P5" s="323">
        <v>2905907</v>
      </c>
      <c r="Q5" s="323">
        <v>833166</v>
      </c>
      <c r="R5" s="323">
        <v>2750667</v>
      </c>
      <c r="S5" s="323">
        <v>1962351</v>
      </c>
      <c r="T5" s="323">
        <v>3168430</v>
      </c>
      <c r="U5" s="323">
        <v>4064566</v>
      </c>
      <c r="V5" s="323">
        <v>5184336</v>
      </c>
      <c r="W5" s="323">
        <v>1091832</v>
      </c>
      <c r="X5" s="323">
        <v>1110910</v>
      </c>
      <c r="Y5" s="323">
        <v>904436</v>
      </c>
      <c r="Z5" s="323">
        <v>1264840</v>
      </c>
      <c r="AA5" s="324">
        <v>2000764</v>
      </c>
      <c r="AB5" s="323">
        <v>1394786</v>
      </c>
      <c r="AC5" s="323">
        <v>3880865</v>
      </c>
      <c r="AD5" s="323">
        <v>1020173</v>
      </c>
      <c r="AE5" s="323">
        <v>1219685</v>
      </c>
      <c r="AF5" s="323">
        <v>934684</v>
      </c>
      <c r="AG5" s="323">
        <v>1445022</v>
      </c>
      <c r="AH5" s="323">
        <v>1167654</v>
      </c>
      <c r="AI5" s="323">
        <v>883005</v>
      </c>
      <c r="AJ5" s="323">
        <v>1032508</v>
      </c>
      <c r="AK5" s="323">
        <v>1209932</v>
      </c>
      <c r="AL5" s="323">
        <v>414118</v>
      </c>
      <c r="AM5" s="325"/>
      <c r="AN5" s="326">
        <v>54037012</v>
      </c>
      <c r="AO5" s="323"/>
      <c r="AP5" s="327"/>
      <c r="AQ5" s="327"/>
      <c r="AR5" s="327"/>
      <c r="AS5" s="327"/>
      <c r="AT5" s="327"/>
      <c r="AU5" s="325"/>
      <c r="AV5" s="325"/>
    </row>
    <row r="6" spans="1:48" s="28" customFormat="1" x14ac:dyDescent="0.2">
      <c r="C6" s="52" t="s">
        <v>991</v>
      </c>
      <c r="AN6" s="71"/>
      <c r="AP6" s="328"/>
      <c r="AQ6" s="328"/>
      <c r="AR6" s="328"/>
      <c r="AS6" s="328"/>
      <c r="AT6" s="328"/>
    </row>
    <row r="7" spans="1:48" s="28" customFormat="1" x14ac:dyDescent="0.2">
      <c r="C7" s="8" t="s">
        <v>38</v>
      </c>
      <c r="E7" s="28" t="s">
        <v>731</v>
      </c>
      <c r="F7" s="70">
        <v>11.834523499999998</v>
      </c>
      <c r="G7" s="70">
        <v>0.58564654271363636</v>
      </c>
      <c r="H7" s="70">
        <v>0.4321092027545454</v>
      </c>
      <c r="I7" s="70">
        <v>1.9437836832121211</v>
      </c>
      <c r="J7" s="70">
        <v>0.98691670034848489</v>
      </c>
      <c r="K7" s="70">
        <v>1.2783603211924242</v>
      </c>
      <c r="L7" s="70">
        <v>0.50454691019696962</v>
      </c>
      <c r="M7" s="70">
        <v>4.1306863472242421</v>
      </c>
      <c r="N7" s="70">
        <v>1.5280192570924243</v>
      </c>
      <c r="O7" s="70">
        <v>0.72407554584848499</v>
      </c>
      <c r="P7" s="70">
        <v>2.6304520872030301</v>
      </c>
      <c r="Q7" s="70">
        <v>1.8577442526530303</v>
      </c>
      <c r="R7" s="70">
        <v>3.1837947162045452</v>
      </c>
      <c r="S7" s="70">
        <v>1.5918253372818185</v>
      </c>
      <c r="T7" s="70">
        <v>3.3066615678545457</v>
      </c>
      <c r="U7" s="70">
        <v>2.5750559870939393</v>
      </c>
      <c r="V7" s="70">
        <v>3.2701968154333336</v>
      </c>
      <c r="W7" s="70">
        <v>0.93919915431969692</v>
      </c>
      <c r="X7" s="70">
        <v>1.1394047507181817</v>
      </c>
      <c r="Y7" s="70">
        <v>2.3190559787560603</v>
      </c>
      <c r="Z7" s="70">
        <v>0.29155304643636365</v>
      </c>
      <c r="AA7" s="70">
        <v>1.9996455510439393</v>
      </c>
      <c r="AB7" s="70">
        <v>0.35682323470606064</v>
      </c>
      <c r="AC7" s="70">
        <v>2.8489941627651518</v>
      </c>
      <c r="AD7" s="70">
        <v>1.4448653228848485</v>
      </c>
      <c r="AE7" s="70">
        <v>0.88544150194696958</v>
      </c>
      <c r="AF7" s="70">
        <v>0.37551737755606057</v>
      </c>
      <c r="AG7" s="70">
        <v>0.58706959859090913</v>
      </c>
      <c r="AH7" s="70">
        <v>0.39701439327575755</v>
      </c>
      <c r="AI7" s="70">
        <v>2.524853988072727</v>
      </c>
      <c r="AJ7" s="70">
        <v>1.6349315259287875</v>
      </c>
      <c r="AK7" s="70">
        <v>1.7339215421424241</v>
      </c>
      <c r="AL7" s="70">
        <v>0.44362611371666666</v>
      </c>
      <c r="AN7" s="329">
        <f>SUM(F7:AL7)</f>
        <v>62.28631601716819</v>
      </c>
      <c r="AO7" s="72"/>
      <c r="AP7" s="72"/>
      <c r="AQ7" s="72"/>
      <c r="AR7" s="72"/>
      <c r="AS7" s="72"/>
      <c r="AT7" s="72"/>
    </row>
    <row r="8" spans="1:48" s="28" customFormat="1" x14ac:dyDescent="0.2">
      <c r="C8" s="8" t="s">
        <v>992</v>
      </c>
      <c r="E8" s="28" t="s">
        <v>993</v>
      </c>
      <c r="F8" s="72">
        <f>F7*1000000/(F5/100)</f>
        <v>989.1166460783935</v>
      </c>
      <c r="G8" s="72">
        <f>G7*1000000/(G5/100)</f>
        <v>97.126978574993188</v>
      </c>
      <c r="H8" s="72">
        <f t="shared" ref="H8:AN8" si="0">H7*1000000/(H5/100)</f>
        <v>72.84634195656713</v>
      </c>
      <c r="I8" s="72">
        <f t="shared" si="0"/>
        <v>99.590357474494866</v>
      </c>
      <c r="J8" s="72">
        <f t="shared" si="0"/>
        <v>84.006137166148278</v>
      </c>
      <c r="K8" s="72">
        <f t="shared" si="0"/>
        <v>202.78397557005798</v>
      </c>
      <c r="L8" s="72">
        <f t="shared" si="0"/>
        <v>84.209606546036355</v>
      </c>
      <c r="M8" s="72">
        <f t="shared" si="0"/>
        <v>331.75991859371965</v>
      </c>
      <c r="N8" s="72">
        <f t="shared" si="0"/>
        <v>56.73737672743917</v>
      </c>
      <c r="O8" s="72">
        <f t="shared" si="0"/>
        <v>48.099506822142395</v>
      </c>
      <c r="P8" s="72">
        <f t="shared" si="0"/>
        <v>90.520862753110478</v>
      </c>
      <c r="Q8" s="72">
        <f t="shared" si="0"/>
        <v>222.97408351433333</v>
      </c>
      <c r="R8" s="72">
        <f t="shared" si="0"/>
        <v>115.74627958253564</v>
      </c>
      <c r="S8" s="72">
        <f t="shared" si="0"/>
        <v>81.118277886158936</v>
      </c>
      <c r="T8" s="72">
        <f t="shared" si="0"/>
        <v>104.36277802743143</v>
      </c>
      <c r="U8" s="72">
        <f t="shared" si="0"/>
        <v>63.353774722662621</v>
      </c>
      <c r="V8" s="72">
        <f t="shared" si="0"/>
        <v>63.078411882125955</v>
      </c>
      <c r="W8" s="72">
        <f t="shared" si="0"/>
        <v>86.020482484457034</v>
      </c>
      <c r="X8" s="72">
        <f t="shared" si="0"/>
        <v>102.56499182815725</v>
      </c>
      <c r="Y8" s="72">
        <f t="shared" si="0"/>
        <v>256.40907468920523</v>
      </c>
      <c r="Z8" s="72">
        <f t="shared" si="0"/>
        <v>23.050587144331587</v>
      </c>
      <c r="AA8" s="72">
        <f t="shared" si="0"/>
        <v>99.944098906414723</v>
      </c>
      <c r="AB8" s="72">
        <f t="shared" si="0"/>
        <v>25.582651009263117</v>
      </c>
      <c r="AC8" s="72">
        <f t="shared" si="0"/>
        <v>73.411318424246957</v>
      </c>
      <c r="AD8" s="72">
        <f t="shared" si="0"/>
        <v>141.62944156381798</v>
      </c>
      <c r="AE8" s="72">
        <f t="shared" si="0"/>
        <v>72.595916318309193</v>
      </c>
      <c r="AF8" s="72">
        <f t="shared" si="0"/>
        <v>40.175864522775669</v>
      </c>
      <c r="AG8" s="72">
        <f t="shared" si="0"/>
        <v>40.627035338625241</v>
      </c>
      <c r="AH8" s="72">
        <f t="shared" si="0"/>
        <v>34.001030551495347</v>
      </c>
      <c r="AI8" s="72">
        <f t="shared" si="0"/>
        <v>285.93880986775014</v>
      </c>
      <c r="AJ8" s="72">
        <f t="shared" si="0"/>
        <v>158.34565213332851</v>
      </c>
      <c r="AK8" s="72">
        <f t="shared" si="0"/>
        <v>143.30735463996524</v>
      </c>
      <c r="AL8" s="72">
        <f t="shared" si="0"/>
        <v>107.12553275072965</v>
      </c>
      <c r="AM8" s="72"/>
      <c r="AN8" s="72">
        <f t="shared" si="0"/>
        <v>115.26602547374046</v>
      </c>
      <c r="AO8" s="72"/>
      <c r="AP8" s="72"/>
      <c r="AQ8" s="72"/>
      <c r="AR8" s="72"/>
      <c r="AS8" s="72"/>
      <c r="AT8" s="72"/>
    </row>
    <row r="9" spans="1:48" s="28" customFormat="1" x14ac:dyDescent="0.2">
      <c r="C9" s="52" t="s">
        <v>994</v>
      </c>
      <c r="AP9" s="328"/>
      <c r="AQ9" s="328"/>
      <c r="AR9" s="328"/>
      <c r="AS9" s="328"/>
      <c r="AT9" s="328"/>
    </row>
    <row r="10" spans="1:48" s="28" customFormat="1" x14ac:dyDescent="0.2">
      <c r="C10" s="8" t="s">
        <v>38</v>
      </c>
      <c r="E10" s="28" t="s">
        <v>731</v>
      </c>
      <c r="F10" s="70">
        <v>13.77</v>
      </c>
      <c r="G10" s="70">
        <v>0.71</v>
      </c>
      <c r="H10" s="70">
        <v>0.5</v>
      </c>
      <c r="I10" s="70">
        <v>2.16</v>
      </c>
      <c r="J10" s="70">
        <v>1.1100000000000001</v>
      </c>
      <c r="K10" s="70">
        <v>1.35</v>
      </c>
      <c r="L10" s="70">
        <v>0.55000000000000004</v>
      </c>
      <c r="M10" s="70">
        <v>4.4000000000000004</v>
      </c>
      <c r="N10" s="70">
        <v>1.61</v>
      </c>
      <c r="O10" s="70">
        <v>0.78</v>
      </c>
      <c r="P10" s="70">
        <v>2.82</v>
      </c>
      <c r="Q10" s="70">
        <v>2.17</v>
      </c>
      <c r="R10" s="70">
        <v>4.0999999999999996</v>
      </c>
      <c r="S10" s="70">
        <v>2.08</v>
      </c>
      <c r="T10" s="70">
        <v>4.2</v>
      </c>
      <c r="U10" s="70">
        <v>3.03</v>
      </c>
      <c r="V10" s="70">
        <v>3.66</v>
      </c>
      <c r="W10" s="70">
        <v>1.08</v>
      </c>
      <c r="X10" s="70">
        <v>1.52</v>
      </c>
      <c r="Y10" s="70">
        <v>2.93</v>
      </c>
      <c r="Z10" s="70">
        <v>0.38</v>
      </c>
      <c r="AA10" s="70">
        <v>2.64</v>
      </c>
      <c r="AB10" s="70">
        <v>0.43</v>
      </c>
      <c r="AC10" s="70">
        <v>3.91</v>
      </c>
      <c r="AD10" s="70">
        <v>1.9</v>
      </c>
      <c r="AE10" s="70">
        <v>1.07</v>
      </c>
      <c r="AF10" s="70">
        <v>0.52</v>
      </c>
      <c r="AG10" s="70">
        <v>0.72</v>
      </c>
      <c r="AH10" s="70">
        <v>0.44</v>
      </c>
      <c r="AI10" s="70">
        <v>3.01</v>
      </c>
      <c r="AJ10" s="70">
        <v>2.58</v>
      </c>
      <c r="AK10" s="70">
        <v>2.33</v>
      </c>
      <c r="AL10" s="70">
        <v>0.59</v>
      </c>
      <c r="AN10" s="329">
        <f>SUM(F10:AL10)</f>
        <v>75.050000000000011</v>
      </c>
      <c r="AO10" s="72"/>
      <c r="AP10" s="72"/>
      <c r="AQ10" s="72"/>
      <c r="AR10" s="72"/>
      <c r="AS10" s="72"/>
      <c r="AT10" s="72"/>
    </row>
    <row r="11" spans="1:48" s="28" customFormat="1" x14ac:dyDescent="0.2">
      <c r="C11" s="8" t="s">
        <v>992</v>
      </c>
      <c r="E11" s="28" t="s">
        <v>993</v>
      </c>
      <c r="F11" s="72">
        <f>F10*1000000/(F5/100)</f>
        <v>1150.8816739853937</v>
      </c>
      <c r="G11" s="72">
        <f t="shared" ref="G11:AN11" si="1">G10*1000000/(G5/100)</f>
        <v>117.7504685141881</v>
      </c>
      <c r="H11" s="72">
        <f t="shared" si="1"/>
        <v>84.29158820524664</v>
      </c>
      <c r="I11" s="72">
        <f t="shared" si="1"/>
        <v>110.66826725771719</v>
      </c>
      <c r="J11" s="72">
        <f t="shared" si="1"/>
        <v>94.482961147074221</v>
      </c>
      <c r="K11" s="72">
        <f t="shared" si="1"/>
        <v>214.14804768363194</v>
      </c>
      <c r="L11" s="72">
        <f t="shared" si="1"/>
        <v>91.79579274846617</v>
      </c>
      <c r="M11" s="72">
        <f t="shared" si="1"/>
        <v>353.39009527878864</v>
      </c>
      <c r="N11" s="72">
        <f t="shared" si="1"/>
        <v>59.781430179745314</v>
      </c>
      <c r="O11" s="72">
        <f t="shared" si="1"/>
        <v>51.814504075410028</v>
      </c>
      <c r="P11" s="72">
        <f t="shared" si="1"/>
        <v>97.043711309412174</v>
      </c>
      <c r="Q11" s="72">
        <f t="shared" si="1"/>
        <v>260.45229882160339</v>
      </c>
      <c r="R11" s="72">
        <f t="shared" si="1"/>
        <v>149.05475653723261</v>
      </c>
      <c r="S11" s="72">
        <f t="shared" si="1"/>
        <v>105.99530868840489</v>
      </c>
      <c r="T11" s="72">
        <f t="shared" si="1"/>
        <v>132.55776520232419</v>
      </c>
      <c r="U11" s="72">
        <f t="shared" si="1"/>
        <v>74.546704371389211</v>
      </c>
      <c r="V11" s="72">
        <f t="shared" si="1"/>
        <v>70.597276102474837</v>
      </c>
      <c r="W11" s="72">
        <f t="shared" si="1"/>
        <v>98.916316795990596</v>
      </c>
      <c r="X11" s="72">
        <f t="shared" si="1"/>
        <v>136.82476528251613</v>
      </c>
      <c r="Y11" s="72">
        <f t="shared" si="1"/>
        <v>323.95879863251793</v>
      </c>
      <c r="Z11" s="72">
        <f t="shared" si="1"/>
        <v>30.043325638025365</v>
      </c>
      <c r="AA11" s="72">
        <f t="shared" si="1"/>
        <v>131.94959525461275</v>
      </c>
      <c r="AB11" s="72">
        <f t="shared" si="1"/>
        <v>30.829102098816591</v>
      </c>
      <c r="AC11" s="72">
        <f t="shared" si="1"/>
        <v>100.750734694456</v>
      </c>
      <c r="AD11" s="72">
        <f t="shared" si="1"/>
        <v>186.24292154369897</v>
      </c>
      <c r="AE11" s="72">
        <f t="shared" si="1"/>
        <v>87.727569003472212</v>
      </c>
      <c r="AF11" s="72">
        <f t="shared" si="1"/>
        <v>55.633775693175444</v>
      </c>
      <c r="AG11" s="72">
        <f t="shared" si="1"/>
        <v>49.826231019320126</v>
      </c>
      <c r="AH11" s="72">
        <f t="shared" si="1"/>
        <v>37.682395641174523</v>
      </c>
      <c r="AI11" s="72">
        <f t="shared" si="1"/>
        <v>340.88142196250305</v>
      </c>
      <c r="AJ11" s="72">
        <f t="shared" si="1"/>
        <v>249.87699853173049</v>
      </c>
      <c r="AK11" s="72">
        <f t="shared" si="1"/>
        <v>192.57280574445505</v>
      </c>
      <c r="AL11" s="72">
        <f t="shared" si="1"/>
        <v>142.47146948454304</v>
      </c>
      <c r="AM11" s="72"/>
      <c r="AN11" s="72">
        <f t="shared" si="1"/>
        <v>138.88628779104221</v>
      </c>
      <c r="AO11" s="72"/>
      <c r="AP11" s="72"/>
      <c r="AQ11" s="72"/>
      <c r="AR11" s="72"/>
      <c r="AS11" s="72"/>
      <c r="AT11" s="72"/>
    </row>
    <row r="12" spans="1:48" s="28" customFormat="1" x14ac:dyDescent="0.2">
      <c r="C12" s="8" t="s">
        <v>995</v>
      </c>
      <c r="E12" s="28" t="s">
        <v>996</v>
      </c>
      <c r="F12" s="330">
        <f t="shared" ref="F12:AL12" si="2">(F10-F7)/F7*100</f>
        <v>16.354494543020699</v>
      </c>
      <c r="G12" s="330">
        <f t="shared" si="2"/>
        <v>21.233533917943525</v>
      </c>
      <c r="H12" s="330">
        <f t="shared" si="2"/>
        <v>15.711490709449013</v>
      </c>
      <c r="I12" s="330">
        <f t="shared" si="2"/>
        <v>11.123476272348345</v>
      </c>
      <c r="J12" s="330">
        <f t="shared" si="2"/>
        <v>12.471498314706189</v>
      </c>
      <c r="K12" s="330">
        <f t="shared" si="2"/>
        <v>5.6040286623377158</v>
      </c>
      <c r="L12" s="330">
        <f t="shared" si="2"/>
        <v>9.0086945107415346</v>
      </c>
      <c r="M12" s="330">
        <f t="shared" si="2"/>
        <v>6.5198281868274242</v>
      </c>
      <c r="N12" s="330">
        <f t="shared" si="2"/>
        <v>5.3651642495378011</v>
      </c>
      <c r="O12" s="330">
        <f t="shared" si="2"/>
        <v>7.7235662041288426</v>
      </c>
      <c r="P12" s="330">
        <f t="shared" si="2"/>
        <v>7.2059063048176153</v>
      </c>
      <c r="Q12" s="330">
        <f t="shared" si="2"/>
        <v>16.808327997841445</v>
      </c>
      <c r="R12" s="330">
        <f t="shared" si="2"/>
        <v>28.777146941423347</v>
      </c>
      <c r="S12" s="330">
        <f t="shared" si="2"/>
        <v>30.667602235291884</v>
      </c>
      <c r="T12" s="330">
        <f t="shared" si="2"/>
        <v>27.016324888823668</v>
      </c>
      <c r="U12" s="330">
        <f t="shared" si="2"/>
        <v>17.667344523234394</v>
      </c>
      <c r="V12" s="330">
        <f t="shared" si="2"/>
        <v>11.919869248451143</v>
      </c>
      <c r="W12" s="330">
        <f t="shared" si="2"/>
        <v>14.991585653874589</v>
      </c>
      <c r="X12" s="330">
        <f t="shared" si="2"/>
        <v>33.402989503240541</v>
      </c>
      <c r="Y12" s="330">
        <f t="shared" si="2"/>
        <v>26.344513752171249</v>
      </c>
      <c r="Z12" s="330">
        <f t="shared" si="2"/>
        <v>30.33648752593</v>
      </c>
      <c r="AA12" s="330">
        <f t="shared" si="2"/>
        <v>32.023397777758966</v>
      </c>
      <c r="AB12" s="330">
        <f t="shared" si="2"/>
        <v>20.507847633358288</v>
      </c>
      <c r="AC12" s="330">
        <f t="shared" si="2"/>
        <v>37.241418431165421</v>
      </c>
      <c r="AD12" s="330">
        <f t="shared" si="2"/>
        <v>31.500145370394794</v>
      </c>
      <c r="AE12" s="330">
        <f t="shared" si="2"/>
        <v>20.843669248302749</v>
      </c>
      <c r="AF12" s="330">
        <f t="shared" si="2"/>
        <v>38.475615531898995</v>
      </c>
      <c r="AG12" s="330">
        <f t="shared" si="2"/>
        <v>22.643039552406027</v>
      </c>
      <c r="AH12" s="330">
        <f t="shared" si="2"/>
        <v>10.827216204825497</v>
      </c>
      <c r="AI12" s="330">
        <f t="shared" si="2"/>
        <v>19.21481456825132</v>
      </c>
      <c r="AJ12" s="330">
        <f t="shared" si="2"/>
        <v>57.80477402772749</v>
      </c>
      <c r="AK12" s="330">
        <f t="shared" si="2"/>
        <v>34.377475760585142</v>
      </c>
      <c r="AL12" s="330">
        <f t="shared" si="2"/>
        <v>32.994876035818486</v>
      </c>
      <c r="AM12" s="331"/>
      <c r="AN12" s="330">
        <f>(AN10-AN7)/AN7*100</f>
        <v>20.491955214229918</v>
      </c>
      <c r="AO12" s="72"/>
      <c r="AP12" s="72"/>
      <c r="AQ12" s="72"/>
      <c r="AR12" s="72"/>
      <c r="AS12" s="72"/>
      <c r="AT12" s="72"/>
    </row>
    <row r="13" spans="1:48" s="28" customFormat="1" x14ac:dyDescent="0.2">
      <c r="C13" s="2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72"/>
      <c r="AP13" s="72"/>
      <c r="AQ13" s="72"/>
      <c r="AR13" s="72"/>
      <c r="AS13" s="72"/>
      <c r="AT13" s="72"/>
    </row>
    <row r="14" spans="1:48" x14ac:dyDescent="0.2">
      <c r="A14" s="318" t="s">
        <v>963</v>
      </c>
      <c r="B14" s="332" t="s">
        <v>964</v>
      </c>
      <c r="C14" s="33" t="s">
        <v>997</v>
      </c>
      <c r="AP14" s="28"/>
      <c r="AQ14" s="28"/>
      <c r="AR14" s="28"/>
      <c r="AS14" s="28"/>
      <c r="AT14" s="28"/>
      <c r="AU14" s="28"/>
      <c r="AV14" s="28"/>
    </row>
    <row r="15" spans="1:48" x14ac:dyDescent="0.2">
      <c r="A15" s="318" t="s">
        <v>965</v>
      </c>
      <c r="B15" s="319" t="s">
        <v>966</v>
      </c>
      <c r="C15" s="33" t="s">
        <v>998</v>
      </c>
    </row>
    <row r="16" spans="1:48" x14ac:dyDescent="0.2">
      <c r="A16" s="318"/>
      <c r="B16" s="319"/>
      <c r="C16" s="33" t="s">
        <v>999</v>
      </c>
    </row>
    <row r="17" spans="1:109" x14ac:dyDescent="0.2">
      <c r="A17" s="318"/>
      <c r="B17" s="319"/>
      <c r="C17" s="33" t="s">
        <v>1000</v>
      </c>
      <c r="E17" s="33" t="s">
        <v>51</v>
      </c>
      <c r="F17" s="333">
        <f>1475*F8^(-0.6)*F7*1000000/1000</f>
        <v>278480.17951289011</v>
      </c>
      <c r="G17" s="333">
        <f t="shared" ref="G17:AL17" si="3">1475*G8^(-0.6)*G7*1000000/1000</f>
        <v>55465.59507732476</v>
      </c>
      <c r="H17" s="333">
        <f t="shared" si="3"/>
        <v>48634.10041222068</v>
      </c>
      <c r="I17" s="333">
        <f t="shared" si="3"/>
        <v>181346.66688739439</v>
      </c>
      <c r="J17" s="333">
        <f t="shared" si="3"/>
        <v>101973.1674282545</v>
      </c>
      <c r="K17" s="333">
        <f t="shared" si="3"/>
        <v>77843.996172910207</v>
      </c>
      <c r="L17" s="333">
        <f t="shared" si="3"/>
        <v>52056.694565485857</v>
      </c>
      <c r="M17" s="333">
        <f t="shared" si="3"/>
        <v>187206.0543945012</v>
      </c>
      <c r="N17" s="333">
        <f t="shared" si="3"/>
        <v>199801.75404686297</v>
      </c>
      <c r="O17" s="333">
        <f t="shared" si="3"/>
        <v>104542.17384983801</v>
      </c>
      <c r="P17" s="333">
        <f t="shared" si="3"/>
        <v>259880.20774176784</v>
      </c>
      <c r="Q17" s="333">
        <f t="shared" si="3"/>
        <v>106862.49608768249</v>
      </c>
      <c r="R17" s="333">
        <f t="shared" si="3"/>
        <v>271414.38006332947</v>
      </c>
      <c r="S17" s="333">
        <f t="shared" si="3"/>
        <v>167963.99671562063</v>
      </c>
      <c r="T17" s="333">
        <f t="shared" si="3"/>
        <v>299953.8146623582</v>
      </c>
      <c r="U17" s="333">
        <f t="shared" si="3"/>
        <v>315148.46684227377</v>
      </c>
      <c r="V17" s="333">
        <f t="shared" si="3"/>
        <v>401270.71077918378</v>
      </c>
      <c r="W17" s="333">
        <f t="shared" si="3"/>
        <v>95672.822972226451</v>
      </c>
      <c r="X17" s="333">
        <f t="shared" si="3"/>
        <v>104440.88815464142</v>
      </c>
      <c r="Y17" s="333">
        <f t="shared" si="3"/>
        <v>122671.37055246125</v>
      </c>
      <c r="Z17" s="333">
        <f t="shared" si="3"/>
        <v>65448.607179873063</v>
      </c>
      <c r="AA17" s="333">
        <f t="shared" si="3"/>
        <v>186161.87629883146</v>
      </c>
      <c r="AB17" s="333">
        <f t="shared" si="3"/>
        <v>75245.029778450538</v>
      </c>
      <c r="AC17" s="333">
        <f t="shared" si="3"/>
        <v>319172.72055317782</v>
      </c>
      <c r="AD17" s="333">
        <f t="shared" si="3"/>
        <v>109125.75531149952</v>
      </c>
      <c r="AE17" s="333">
        <f t="shared" si="3"/>
        <v>99862.993335834908</v>
      </c>
      <c r="AF17" s="333">
        <f t="shared" si="3"/>
        <v>60400.832030202735</v>
      </c>
      <c r="AG17" s="333">
        <f t="shared" si="3"/>
        <v>93797.774072760265</v>
      </c>
      <c r="AH17" s="333">
        <f t="shared" si="3"/>
        <v>70583.473043540856</v>
      </c>
      <c r="AI17" s="333">
        <f t="shared" si="3"/>
        <v>125102.04965518456</v>
      </c>
      <c r="AJ17" s="333">
        <f t="shared" si="3"/>
        <v>115485.6180207525</v>
      </c>
      <c r="AK17" s="333">
        <f t="shared" si="3"/>
        <v>130035.03383995351</v>
      </c>
      <c r="AL17" s="333">
        <f t="shared" si="3"/>
        <v>39616.246576282967</v>
      </c>
    </row>
    <row r="18" spans="1:109" x14ac:dyDescent="0.2">
      <c r="A18" s="318"/>
      <c r="B18" s="319"/>
      <c r="C18" s="33" t="s">
        <v>1001</v>
      </c>
      <c r="F18" s="333">
        <f>1475*F11^(-0.6)*F10*1000000/1000</f>
        <v>295874.51278116769</v>
      </c>
      <c r="G18" s="333">
        <f t="shared" ref="G18:AL18" si="4">1475*G11^(-0.6)*G10*1000000/1000</f>
        <v>59906.339411020512</v>
      </c>
      <c r="H18" s="333">
        <f t="shared" si="4"/>
        <v>51557.456326988889</v>
      </c>
      <c r="I18" s="333">
        <f t="shared" si="4"/>
        <v>189161.13244846222</v>
      </c>
      <c r="J18" s="333">
        <f t="shared" si="4"/>
        <v>106881.58894946217</v>
      </c>
      <c r="K18" s="333">
        <f t="shared" si="4"/>
        <v>79560.465807399858</v>
      </c>
      <c r="L18" s="333">
        <f t="shared" si="4"/>
        <v>53884.150908404627</v>
      </c>
      <c r="M18" s="333">
        <f t="shared" si="4"/>
        <v>191995.9523254885</v>
      </c>
      <c r="N18" s="333">
        <f t="shared" si="4"/>
        <v>204022.5239763672</v>
      </c>
      <c r="O18" s="333">
        <f t="shared" si="4"/>
        <v>107700.02782927379</v>
      </c>
      <c r="P18" s="333">
        <f t="shared" si="4"/>
        <v>267214.91194720368</v>
      </c>
      <c r="Q18" s="333">
        <f t="shared" si="4"/>
        <v>113714.23582087549</v>
      </c>
      <c r="R18" s="333">
        <f t="shared" si="4"/>
        <v>300309.01763690409</v>
      </c>
      <c r="S18" s="333">
        <f t="shared" si="4"/>
        <v>186931.8779039582</v>
      </c>
      <c r="T18" s="333">
        <f t="shared" si="4"/>
        <v>330064.03646709351</v>
      </c>
      <c r="U18" s="333">
        <f t="shared" si="4"/>
        <v>336339.27190351591</v>
      </c>
      <c r="V18" s="333">
        <f t="shared" si="4"/>
        <v>419759.31152136088</v>
      </c>
      <c r="W18" s="333">
        <f t="shared" si="4"/>
        <v>101170.76029719932</v>
      </c>
      <c r="X18" s="333">
        <f t="shared" si="4"/>
        <v>117202.47453378886</v>
      </c>
      <c r="Y18" s="333">
        <f t="shared" si="4"/>
        <v>134699.43461026461</v>
      </c>
      <c r="Z18" s="333">
        <f t="shared" si="4"/>
        <v>72765.717138335807</v>
      </c>
      <c r="AA18" s="333">
        <f t="shared" si="4"/>
        <v>208042.04290237313</v>
      </c>
      <c r="AB18" s="333">
        <f t="shared" si="4"/>
        <v>81074.43863560028</v>
      </c>
      <c r="AC18" s="333">
        <f t="shared" si="4"/>
        <v>362259.551114748</v>
      </c>
      <c r="AD18" s="333">
        <f t="shared" si="4"/>
        <v>121758.07011821889</v>
      </c>
      <c r="AE18" s="333">
        <f t="shared" si="4"/>
        <v>107719.45341269897</v>
      </c>
      <c r="AF18" s="333">
        <f t="shared" si="4"/>
        <v>68800.602720908806</v>
      </c>
      <c r="AG18" s="333">
        <f t="shared" si="4"/>
        <v>101777.01148269883</v>
      </c>
      <c r="AH18" s="333">
        <f t="shared" si="4"/>
        <v>73546.429520416787</v>
      </c>
      <c r="AI18" s="333">
        <f t="shared" si="4"/>
        <v>134213.59711075402</v>
      </c>
      <c r="AJ18" s="333">
        <f t="shared" si="4"/>
        <v>138604.0619269626</v>
      </c>
      <c r="AK18" s="333">
        <f t="shared" si="4"/>
        <v>146349.40682762105</v>
      </c>
      <c r="AL18" s="333">
        <f t="shared" si="4"/>
        <v>44402.486378222304</v>
      </c>
    </row>
    <row r="19" spans="1:109" x14ac:dyDescent="0.2">
      <c r="A19" s="318"/>
      <c r="B19" s="319"/>
      <c r="C19" s="33" t="s">
        <v>1002</v>
      </c>
      <c r="E19" s="33" t="s">
        <v>51</v>
      </c>
      <c r="F19" s="333">
        <v>589451.5</v>
      </c>
      <c r="G19" s="333">
        <v>397958.16666666663</v>
      </c>
      <c r="H19" s="333">
        <v>457165.83333333337</v>
      </c>
      <c r="I19" s="333">
        <v>1349435</v>
      </c>
      <c r="J19" s="333">
        <v>841375.16666666674</v>
      </c>
      <c r="K19" s="333">
        <v>407853.16666666663</v>
      </c>
      <c r="L19" s="333">
        <v>458140.5</v>
      </c>
      <c r="M19" s="333">
        <v>833532</v>
      </c>
      <c r="N19" s="333">
        <v>1639344.1666666667</v>
      </c>
      <c r="O19" s="333">
        <v>764535</v>
      </c>
      <c r="P19" s="333">
        <v>1421227.1666666665</v>
      </c>
      <c r="Q19" s="333">
        <v>323015.5</v>
      </c>
      <c r="R19" s="333">
        <v>1702467.1666666667</v>
      </c>
      <c r="S19" s="333">
        <v>1219781.3333333335</v>
      </c>
      <c r="T19" s="333">
        <v>2171138</v>
      </c>
      <c r="U19" s="333">
        <v>2416718.6666666665</v>
      </c>
      <c r="V19" s="333">
        <v>2955753</v>
      </c>
      <c r="W19" s="333">
        <v>463549.33333333331</v>
      </c>
      <c r="X19" s="333">
        <v>256854</v>
      </c>
      <c r="Y19" s="333">
        <v>393761</v>
      </c>
      <c r="Z19" s="333">
        <v>407295.33333333331</v>
      </c>
      <c r="AA19" s="333">
        <v>589663</v>
      </c>
      <c r="AB19" s="333">
        <v>788752.5</v>
      </c>
      <c r="AC19" s="333">
        <v>1942530.8333333335</v>
      </c>
      <c r="AD19" s="333">
        <v>139916.83333333334</v>
      </c>
      <c r="AE19" s="333">
        <v>661701</v>
      </c>
      <c r="AF19" s="333">
        <v>213544</v>
      </c>
      <c r="AG19" s="333">
        <v>569323.83333333337</v>
      </c>
      <c r="AH19" s="333">
        <v>589906.66666666663</v>
      </c>
      <c r="AI19" s="333">
        <v>194142.33333333331</v>
      </c>
      <c r="AJ19" s="333">
        <v>201170.16666666669</v>
      </c>
      <c r="AK19" s="333">
        <v>218991.83333333331</v>
      </c>
      <c r="AL19" s="333">
        <v>97248.833333333343</v>
      </c>
    </row>
    <row r="20" spans="1:109" x14ac:dyDescent="0.2">
      <c r="A20" s="318"/>
      <c r="B20" s="319"/>
      <c r="C20" s="33" t="s">
        <v>1003</v>
      </c>
      <c r="E20" s="33" t="s">
        <v>51</v>
      </c>
      <c r="F20" s="333">
        <f t="shared" ref="F20:AL20" si="5">F19-(F18-F17)</f>
        <v>572057.16673172242</v>
      </c>
      <c r="G20" s="333">
        <f t="shared" si="5"/>
        <v>393517.42233297089</v>
      </c>
      <c r="H20" s="333">
        <f t="shared" si="5"/>
        <v>454242.47741856519</v>
      </c>
      <c r="I20" s="333">
        <f t="shared" si="5"/>
        <v>1341620.5344389321</v>
      </c>
      <c r="J20" s="333">
        <f t="shared" si="5"/>
        <v>836466.74514545908</v>
      </c>
      <c r="K20" s="333">
        <f t="shared" si="5"/>
        <v>406136.69703217701</v>
      </c>
      <c r="L20" s="333">
        <f t="shared" si="5"/>
        <v>456313.0436570812</v>
      </c>
      <c r="M20" s="333">
        <f t="shared" si="5"/>
        <v>828742.1020690127</v>
      </c>
      <c r="N20" s="333">
        <f t="shared" si="5"/>
        <v>1635123.3967371625</v>
      </c>
      <c r="O20" s="333">
        <f t="shared" si="5"/>
        <v>761377.14602056425</v>
      </c>
      <c r="P20" s="333">
        <f t="shared" si="5"/>
        <v>1413892.4624612306</v>
      </c>
      <c r="Q20" s="333">
        <f t="shared" si="5"/>
        <v>316163.76026680699</v>
      </c>
      <c r="R20" s="333">
        <f t="shared" si="5"/>
        <v>1673572.5290930921</v>
      </c>
      <c r="S20" s="333">
        <f t="shared" si="5"/>
        <v>1200813.4521449958</v>
      </c>
      <c r="T20" s="333">
        <f t="shared" si="5"/>
        <v>2141027.7781952647</v>
      </c>
      <c r="U20" s="333">
        <f t="shared" si="5"/>
        <v>2395527.8616054244</v>
      </c>
      <c r="V20" s="333">
        <f t="shared" si="5"/>
        <v>2937264.3992578229</v>
      </c>
      <c r="W20" s="333">
        <f t="shared" si="5"/>
        <v>458051.39600836043</v>
      </c>
      <c r="X20" s="333">
        <f t="shared" si="5"/>
        <v>244092.41362085257</v>
      </c>
      <c r="Y20" s="333">
        <f t="shared" si="5"/>
        <v>381732.93594219664</v>
      </c>
      <c r="Z20" s="333">
        <f t="shared" si="5"/>
        <v>399978.22337487055</v>
      </c>
      <c r="AA20" s="333">
        <f t="shared" si="5"/>
        <v>567782.8333964583</v>
      </c>
      <c r="AB20" s="333">
        <f t="shared" si="5"/>
        <v>782923.09114285023</v>
      </c>
      <c r="AC20" s="333">
        <f t="shared" si="5"/>
        <v>1899444.0027717634</v>
      </c>
      <c r="AD20" s="333">
        <f t="shared" si="5"/>
        <v>127284.51852661397</v>
      </c>
      <c r="AE20" s="333">
        <f t="shared" si="5"/>
        <v>653844.53992313589</v>
      </c>
      <c r="AF20" s="333">
        <f t="shared" si="5"/>
        <v>205144.22930929394</v>
      </c>
      <c r="AG20" s="333">
        <f t="shared" si="5"/>
        <v>561344.59592339478</v>
      </c>
      <c r="AH20" s="333">
        <f t="shared" si="5"/>
        <v>586943.7101897907</v>
      </c>
      <c r="AI20" s="333">
        <f t="shared" si="5"/>
        <v>185030.78587776385</v>
      </c>
      <c r="AJ20" s="333">
        <f t="shared" si="5"/>
        <v>178051.72276045659</v>
      </c>
      <c r="AK20" s="333">
        <f t="shared" si="5"/>
        <v>202677.46034566578</v>
      </c>
      <c r="AL20" s="333">
        <f t="shared" si="5"/>
        <v>92462.593531393999</v>
      </c>
    </row>
    <row r="21" spans="1:109" ht="30.75" customHeight="1" x14ac:dyDescent="0.2">
      <c r="A21" s="318" t="s">
        <v>967</v>
      </c>
      <c r="B21" s="319" t="s">
        <v>968</v>
      </c>
      <c r="C21" s="334" t="s">
        <v>1004</v>
      </c>
      <c r="F21" s="25"/>
      <c r="G21" s="25"/>
      <c r="H21" s="25"/>
      <c r="I21" s="25"/>
      <c r="J21" s="25"/>
    </row>
    <row r="22" spans="1:109" x14ac:dyDescent="0.2">
      <c r="A22" s="318"/>
      <c r="F22" s="25"/>
      <c r="G22" s="25"/>
      <c r="H22" s="25"/>
      <c r="I22" s="25"/>
      <c r="J22" s="25"/>
    </row>
    <row r="23" spans="1:109" ht="51" x14ac:dyDescent="0.2">
      <c r="A23" s="318" t="s">
        <v>969</v>
      </c>
      <c r="B23" s="5" t="s">
        <v>1005</v>
      </c>
      <c r="C23" s="334" t="s">
        <v>1006</v>
      </c>
      <c r="F23" s="25"/>
      <c r="G23" s="25"/>
      <c r="H23" s="25"/>
      <c r="I23" s="25"/>
      <c r="J23" s="25"/>
    </row>
    <row r="24" spans="1:109" x14ac:dyDescent="0.2">
      <c r="F24" s="144" t="s">
        <v>2</v>
      </c>
      <c r="G24" s="6" t="s">
        <v>3</v>
      </c>
      <c r="H24" s="6" t="s">
        <v>4</v>
      </c>
      <c r="I24" s="6" t="s">
        <v>5</v>
      </c>
      <c r="J24" s="6" t="s">
        <v>6</v>
      </c>
      <c r="K24" s="6" t="s">
        <v>7</v>
      </c>
      <c r="L24" s="6" t="s">
        <v>8</v>
      </c>
      <c r="M24" s="6" t="s">
        <v>9</v>
      </c>
      <c r="N24" s="6" t="s">
        <v>10</v>
      </c>
      <c r="O24" s="6" t="s">
        <v>11</v>
      </c>
      <c r="P24" s="6" t="s">
        <v>12</v>
      </c>
      <c r="Q24" s="6" t="s">
        <v>13</v>
      </c>
      <c r="R24" s="6" t="s">
        <v>14</v>
      </c>
      <c r="S24" s="6" t="s">
        <v>15</v>
      </c>
      <c r="T24" s="6" t="s">
        <v>16</v>
      </c>
      <c r="U24" s="6" t="s">
        <v>17</v>
      </c>
      <c r="V24" s="6" t="s">
        <v>18</v>
      </c>
      <c r="W24" s="6" t="s">
        <v>19</v>
      </c>
      <c r="X24" s="6" t="s">
        <v>20</v>
      </c>
      <c r="Y24" s="6" t="s">
        <v>21</v>
      </c>
      <c r="Z24" s="6" t="s">
        <v>22</v>
      </c>
      <c r="AA24" s="145" t="s">
        <v>23</v>
      </c>
      <c r="AB24" s="6" t="s">
        <v>24</v>
      </c>
      <c r="AC24" s="6" t="s">
        <v>25</v>
      </c>
      <c r="AD24" s="6" t="s">
        <v>26</v>
      </c>
      <c r="AE24" s="6" t="s">
        <v>27</v>
      </c>
      <c r="AF24" s="6" t="s">
        <v>28</v>
      </c>
      <c r="AG24" s="6" t="s">
        <v>29</v>
      </c>
      <c r="AH24" s="6" t="s">
        <v>30</v>
      </c>
      <c r="AI24" s="6" t="s">
        <v>31</v>
      </c>
      <c r="AJ24" s="6" t="s">
        <v>32</v>
      </c>
      <c r="AK24" s="6" t="s">
        <v>33</v>
      </c>
      <c r="AL24" s="6" t="s">
        <v>34</v>
      </c>
    </row>
    <row r="25" spans="1:109" x14ac:dyDescent="0.2">
      <c r="C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row>
    <row r="26" spans="1:109" x14ac:dyDescent="0.2">
      <c r="C26" s="20" t="s">
        <v>1007</v>
      </c>
      <c r="E26" s="20" t="s">
        <v>1008</v>
      </c>
      <c r="F26" s="46">
        <v>783.60688455871991</v>
      </c>
      <c r="G26" s="46">
        <v>806.52048117720176</v>
      </c>
      <c r="H26" s="46">
        <v>368.56179269743257</v>
      </c>
      <c r="I26" s="46">
        <v>821.11669885368372</v>
      </c>
      <c r="J26" s="46">
        <v>614.07590973819515</v>
      </c>
      <c r="K26" s="46">
        <v>295.10211215151401</v>
      </c>
      <c r="L26" s="46">
        <v>594.09964238671455</v>
      </c>
      <c r="M26" s="46">
        <v>786.9714991508032</v>
      </c>
      <c r="N26" s="46">
        <v>378.95609234529701</v>
      </c>
      <c r="O26" s="46">
        <v>370.13117274849634</v>
      </c>
      <c r="P26" s="46">
        <v>292.41090190828049</v>
      </c>
      <c r="Q26" s="46">
        <v>668.35952153100982</v>
      </c>
      <c r="R26" s="46">
        <v>342.13737155504714</v>
      </c>
      <c r="S26" s="46">
        <v>371.17811309523188</v>
      </c>
      <c r="T26" s="46">
        <v>464.29962078090466</v>
      </c>
      <c r="U26" s="46">
        <v>416.81127520316812</v>
      </c>
      <c r="V26" s="46">
        <v>393.84247829969604</v>
      </c>
      <c r="W26" s="46">
        <v>232.43022425692968</v>
      </c>
      <c r="X26" s="46">
        <v>297.78546006551659</v>
      </c>
      <c r="Y26" s="46">
        <v>369.41237774315636</v>
      </c>
      <c r="Z26" s="46">
        <v>436.40659047619499</v>
      </c>
      <c r="AA26" s="46">
        <v>270.74490659200956</v>
      </c>
      <c r="AB26" s="46">
        <v>150.27859671937836</v>
      </c>
      <c r="AC26" s="46">
        <v>694.53761373967757</v>
      </c>
      <c r="AD26" s="46">
        <v>225.88469282460002</v>
      </c>
      <c r="AE26" s="46">
        <v>824.29154122214175</v>
      </c>
      <c r="AF26" s="46">
        <v>236.13958231846101</v>
      </c>
      <c r="AG26" s="46">
        <v>314.4693943701098</v>
      </c>
      <c r="AH26" s="46">
        <v>160.6668405079408</v>
      </c>
      <c r="AI26" s="46">
        <v>101.16189970451687</v>
      </c>
      <c r="AJ26" s="46">
        <v>716.72317307923345</v>
      </c>
      <c r="AK26" s="46">
        <v>100.25960747645345</v>
      </c>
      <c r="AL26" s="46">
        <v>104.70411200010302</v>
      </c>
      <c r="AQ26" s="40" t="s">
        <v>1009</v>
      </c>
      <c r="BY26" s="40" t="s">
        <v>1010</v>
      </c>
    </row>
    <row r="27" spans="1:109" x14ac:dyDescent="0.2">
      <c r="AQ27" s="144" t="s">
        <v>2</v>
      </c>
      <c r="AR27" s="6" t="s">
        <v>3</v>
      </c>
      <c r="AS27" s="6" t="s">
        <v>4</v>
      </c>
      <c r="AT27" s="6" t="s">
        <v>5</v>
      </c>
      <c r="AU27" s="6" t="s">
        <v>6</v>
      </c>
      <c r="AV27" s="6" t="s">
        <v>7</v>
      </c>
      <c r="AW27" s="6" t="s">
        <v>8</v>
      </c>
      <c r="AX27" s="6" t="s">
        <v>9</v>
      </c>
      <c r="AY27" s="6" t="s">
        <v>10</v>
      </c>
      <c r="AZ27" s="6" t="s">
        <v>11</v>
      </c>
      <c r="BA27" s="6" t="s">
        <v>12</v>
      </c>
      <c r="BB27" s="6" t="s">
        <v>13</v>
      </c>
      <c r="BC27" s="6" t="s">
        <v>14</v>
      </c>
      <c r="BD27" s="6" t="s">
        <v>15</v>
      </c>
      <c r="BE27" s="6" t="s">
        <v>16</v>
      </c>
      <c r="BF27" s="6" t="s">
        <v>17</v>
      </c>
      <c r="BG27" s="6" t="s">
        <v>18</v>
      </c>
      <c r="BH27" s="6" t="s">
        <v>19</v>
      </c>
      <c r="BI27" s="6" t="s">
        <v>20</v>
      </c>
      <c r="BJ27" s="6" t="s">
        <v>21</v>
      </c>
      <c r="BK27" s="6" t="s">
        <v>22</v>
      </c>
      <c r="BL27" s="145" t="s">
        <v>23</v>
      </c>
      <c r="BM27" s="6" t="s">
        <v>24</v>
      </c>
      <c r="BN27" s="6" t="s">
        <v>25</v>
      </c>
      <c r="BO27" s="6" t="s">
        <v>26</v>
      </c>
      <c r="BP27" s="6" t="s">
        <v>27</v>
      </c>
      <c r="BQ27" s="6" t="s">
        <v>28</v>
      </c>
      <c r="BR27" s="6" t="s">
        <v>29</v>
      </c>
      <c r="BS27" s="6" t="s">
        <v>30</v>
      </c>
      <c r="BT27" s="6" t="s">
        <v>31</v>
      </c>
      <c r="BU27" s="6" t="s">
        <v>32</v>
      </c>
      <c r="BV27" s="6" t="s">
        <v>33</v>
      </c>
      <c r="BW27" s="6" t="s">
        <v>34</v>
      </c>
      <c r="BY27" s="144" t="s">
        <v>2</v>
      </c>
      <c r="BZ27" s="6" t="s">
        <v>3</v>
      </c>
      <c r="CA27" s="6" t="s">
        <v>4</v>
      </c>
      <c r="CB27" s="6" t="s">
        <v>5</v>
      </c>
      <c r="CC27" s="6" t="s">
        <v>6</v>
      </c>
      <c r="CD27" s="6" t="s">
        <v>7</v>
      </c>
      <c r="CE27" s="6" t="s">
        <v>8</v>
      </c>
      <c r="CF27" s="6" t="s">
        <v>9</v>
      </c>
      <c r="CG27" s="6" t="s">
        <v>10</v>
      </c>
      <c r="CH27" s="6" t="s">
        <v>11</v>
      </c>
      <c r="CI27" s="6" t="s">
        <v>12</v>
      </c>
      <c r="CJ27" s="6" t="s">
        <v>13</v>
      </c>
      <c r="CK27" s="6" t="s">
        <v>14</v>
      </c>
      <c r="CL27" s="6" t="s">
        <v>15</v>
      </c>
      <c r="CM27" s="6" t="s">
        <v>16</v>
      </c>
      <c r="CN27" s="6" t="s">
        <v>17</v>
      </c>
      <c r="CO27" s="6" t="s">
        <v>18</v>
      </c>
      <c r="CP27" s="6" t="s">
        <v>19</v>
      </c>
      <c r="CQ27" s="6" t="s">
        <v>20</v>
      </c>
      <c r="CR27" s="6" t="s">
        <v>21</v>
      </c>
      <c r="CS27" s="6" t="s">
        <v>22</v>
      </c>
      <c r="CT27" s="145" t="s">
        <v>23</v>
      </c>
      <c r="CU27" s="6" t="s">
        <v>24</v>
      </c>
      <c r="CV27" s="6" t="s">
        <v>25</v>
      </c>
      <c r="CW27" s="6" t="s">
        <v>26</v>
      </c>
      <c r="CX27" s="6" t="s">
        <v>27</v>
      </c>
      <c r="CY27" s="6" t="s">
        <v>28</v>
      </c>
      <c r="CZ27" s="6" t="s">
        <v>29</v>
      </c>
      <c r="DA27" s="6" t="s">
        <v>30</v>
      </c>
      <c r="DB27" s="6" t="s">
        <v>31</v>
      </c>
      <c r="DC27" s="6" t="s">
        <v>32</v>
      </c>
      <c r="DD27" s="6" t="s">
        <v>33</v>
      </c>
      <c r="DE27" s="6" t="s">
        <v>34</v>
      </c>
    </row>
    <row r="28" spans="1:109" x14ac:dyDescent="0.2">
      <c r="F28" s="144" t="s">
        <v>2</v>
      </c>
      <c r="G28" s="6" t="s">
        <v>3</v>
      </c>
      <c r="H28" s="6" t="s">
        <v>4</v>
      </c>
      <c r="I28" s="6" t="s">
        <v>5</v>
      </c>
      <c r="J28" s="6" t="s">
        <v>6</v>
      </c>
      <c r="K28" s="6" t="s">
        <v>7</v>
      </c>
      <c r="L28" s="6" t="s">
        <v>8</v>
      </c>
      <c r="M28" s="6" t="s">
        <v>9</v>
      </c>
      <c r="N28" s="6" t="s">
        <v>10</v>
      </c>
      <c r="O28" s="6" t="s">
        <v>11</v>
      </c>
      <c r="P28" s="6" t="s">
        <v>12</v>
      </c>
      <c r="Q28" s="6" t="s">
        <v>13</v>
      </c>
      <c r="R28" s="6" t="s">
        <v>14</v>
      </c>
      <c r="S28" s="6" t="s">
        <v>15</v>
      </c>
      <c r="T28" s="6" t="s">
        <v>16</v>
      </c>
      <c r="U28" s="6" t="s">
        <v>17</v>
      </c>
      <c r="V28" s="6" t="s">
        <v>18</v>
      </c>
      <c r="W28" s="6" t="s">
        <v>19</v>
      </c>
      <c r="X28" s="6" t="s">
        <v>20</v>
      </c>
      <c r="Y28" s="6" t="s">
        <v>21</v>
      </c>
      <c r="Z28" s="6" t="s">
        <v>22</v>
      </c>
      <c r="AA28" s="145" t="s">
        <v>23</v>
      </c>
      <c r="AB28" s="6" t="s">
        <v>24</v>
      </c>
      <c r="AC28" s="6" t="s">
        <v>25</v>
      </c>
      <c r="AD28" s="6" t="s">
        <v>26</v>
      </c>
      <c r="AE28" s="6" t="s">
        <v>27</v>
      </c>
      <c r="AF28" s="6" t="s">
        <v>28</v>
      </c>
      <c r="AG28" s="6" t="s">
        <v>29</v>
      </c>
      <c r="AH28" s="6" t="s">
        <v>30</v>
      </c>
      <c r="AI28" s="6" t="s">
        <v>31</v>
      </c>
      <c r="AJ28" s="6" t="s">
        <v>32</v>
      </c>
      <c r="AK28" s="6" t="s">
        <v>33</v>
      </c>
      <c r="AL28" s="6" t="s">
        <v>34</v>
      </c>
      <c r="AQ28" s="40" t="s">
        <v>66</v>
      </c>
      <c r="BY28" s="33" t="s">
        <v>976</v>
      </c>
    </row>
    <row r="29" spans="1:109" s="290" customFormat="1" x14ac:dyDescent="0.2">
      <c r="A29" s="8"/>
      <c r="B29" s="287" t="s">
        <v>86</v>
      </c>
      <c r="C29" s="289" t="s">
        <v>125</v>
      </c>
      <c r="E29" s="284"/>
      <c r="F29" s="335">
        <v>1604</v>
      </c>
      <c r="G29" s="335">
        <v>1018.3</v>
      </c>
      <c r="H29" s="335">
        <v>1591.9626166666667</v>
      </c>
      <c r="I29" s="335">
        <v>4609.2209000000003</v>
      </c>
      <c r="J29" s="335">
        <v>1286.1758833333331</v>
      </c>
      <c r="K29" s="335">
        <v>943.29869999999994</v>
      </c>
      <c r="L29" s="335">
        <v>275.13483333333329</v>
      </c>
      <c r="M29" s="335">
        <v>2165</v>
      </c>
      <c r="N29" s="335">
        <v>3581.8251166666669</v>
      </c>
      <c r="O29" s="335">
        <v>1037.3657999999998</v>
      </c>
      <c r="P29" s="335">
        <v>1750.0897166666666</v>
      </c>
      <c r="Q29" s="335">
        <v>310.21626666666668</v>
      </c>
      <c r="R29" s="335">
        <v>2135.9335833333334</v>
      </c>
      <c r="S29" s="335">
        <v>1811.2822333333334</v>
      </c>
      <c r="T29" s="335">
        <v>2859.7737333333334</v>
      </c>
      <c r="U29" s="335">
        <v>4818.0720000000001</v>
      </c>
      <c r="V29" s="335">
        <v>1379.7095833333333</v>
      </c>
      <c r="W29" s="335">
        <v>193.63911666666664</v>
      </c>
      <c r="X29" s="335">
        <v>31.252033333333333</v>
      </c>
      <c r="Y29" s="335">
        <v>286.69633333333331</v>
      </c>
      <c r="Z29" s="335">
        <v>70.449200000000005</v>
      </c>
      <c r="AA29" s="335">
        <v>352.94791666666669</v>
      </c>
      <c r="AB29" s="335">
        <v>70</v>
      </c>
      <c r="AC29" s="335">
        <v>2371.3371666666667</v>
      </c>
      <c r="AD29" s="335">
        <v>34.101883333333333</v>
      </c>
      <c r="AE29" s="335">
        <v>54.637083333333344</v>
      </c>
      <c r="AF29" s="335">
        <v>16.96415</v>
      </c>
      <c r="AG29" s="335">
        <v>195.57704999999999</v>
      </c>
      <c r="AH29" s="335">
        <v>38.713200000000001</v>
      </c>
      <c r="AI29" s="335">
        <v>122.09733333333332</v>
      </c>
      <c r="AJ29" s="335">
        <v>43.387833333333298</v>
      </c>
      <c r="AK29" s="335">
        <v>175.64416666666699</v>
      </c>
      <c r="AL29" s="335">
        <v>2.5537666666666667</v>
      </c>
      <c r="AN29" s="37" t="s">
        <v>86</v>
      </c>
      <c r="AO29" s="38" t="s">
        <v>167</v>
      </c>
      <c r="AP29" s="50">
        <v>1.95</v>
      </c>
      <c r="AQ29" s="336">
        <f t="shared" ref="AQ29:AQ50" si="6">F29*$AP29/100</f>
        <v>31.277999999999999</v>
      </c>
      <c r="AR29" s="336">
        <f t="shared" ref="AR29:BG44" si="7">G29*$AP29/100</f>
        <v>19.856849999999998</v>
      </c>
      <c r="AS29" s="336">
        <f t="shared" si="7"/>
        <v>31.043271024999999</v>
      </c>
      <c r="AT29" s="336">
        <f t="shared" si="7"/>
        <v>89.87980755000001</v>
      </c>
      <c r="AU29" s="336">
        <f t="shared" si="7"/>
        <v>25.080429724999995</v>
      </c>
      <c r="AV29" s="336">
        <f t="shared" si="7"/>
        <v>18.394324649999998</v>
      </c>
      <c r="AW29" s="336">
        <f t="shared" si="7"/>
        <v>5.365129249999999</v>
      </c>
      <c r="AX29" s="336">
        <f t="shared" si="7"/>
        <v>42.217500000000001</v>
      </c>
      <c r="AY29" s="336">
        <f t="shared" si="7"/>
        <v>69.845589774999993</v>
      </c>
      <c r="AZ29" s="336">
        <f t="shared" si="7"/>
        <v>20.228633099999996</v>
      </c>
      <c r="BA29" s="336">
        <f t="shared" si="7"/>
        <v>34.126749474999997</v>
      </c>
      <c r="BB29" s="336">
        <f t="shared" si="7"/>
        <v>6.0492172000000002</v>
      </c>
      <c r="BC29" s="336">
        <f t="shared" si="7"/>
        <v>41.650704875000002</v>
      </c>
      <c r="BD29" s="336">
        <f t="shared" si="7"/>
        <v>35.320003550000003</v>
      </c>
      <c r="BE29" s="336">
        <f t="shared" si="7"/>
        <v>55.765587800000006</v>
      </c>
      <c r="BF29" s="336">
        <f t="shared" si="7"/>
        <v>93.952404000000001</v>
      </c>
      <c r="BG29" s="336">
        <f t="shared" si="7"/>
        <v>26.904336874999998</v>
      </c>
      <c r="BH29" s="336">
        <f t="shared" ref="BH29:BW44" si="8">W29*$AP29/100</f>
        <v>3.7759627749999991</v>
      </c>
      <c r="BI29" s="336">
        <f t="shared" si="8"/>
        <v>0.60941465000000006</v>
      </c>
      <c r="BJ29" s="336">
        <f t="shared" si="8"/>
        <v>5.5905784999999995</v>
      </c>
      <c r="BK29" s="336">
        <f t="shared" si="8"/>
        <v>1.3737594000000002</v>
      </c>
      <c r="BL29" s="336">
        <f t="shared" si="8"/>
        <v>6.8824843750000007</v>
      </c>
      <c r="BM29" s="336">
        <f t="shared" si="8"/>
        <v>1.365</v>
      </c>
      <c r="BN29" s="336">
        <f t="shared" si="8"/>
        <v>46.241074749999996</v>
      </c>
      <c r="BO29" s="336">
        <f t="shared" si="8"/>
        <v>0.664986725</v>
      </c>
      <c r="BP29" s="336">
        <f t="shared" si="8"/>
        <v>1.0654231250000001</v>
      </c>
      <c r="BQ29" s="336">
        <f t="shared" si="8"/>
        <v>0.33080092499999997</v>
      </c>
      <c r="BR29" s="336">
        <f t="shared" si="8"/>
        <v>3.8137524749999994</v>
      </c>
      <c r="BS29" s="336">
        <f t="shared" si="8"/>
        <v>0.75490740000000001</v>
      </c>
      <c r="BT29" s="336">
        <f t="shared" si="8"/>
        <v>2.3808979999999997</v>
      </c>
      <c r="BU29" s="336">
        <f t="shared" si="8"/>
        <v>0.84606274999999931</v>
      </c>
      <c r="BV29" s="336">
        <f t="shared" si="8"/>
        <v>3.4250612500000064</v>
      </c>
      <c r="BW29" s="336">
        <f t="shared" si="8"/>
        <v>4.9798450000000001E-2</v>
      </c>
      <c r="BX29" s="336"/>
      <c r="BY29" s="284">
        <f>AQ29/AQ$65</f>
        <v>0.46133052251241574</v>
      </c>
      <c r="BZ29" s="284">
        <f t="shared" ref="BZ29:CO44" si="9">AR29/AR$65</f>
        <v>0.49999370613860733</v>
      </c>
      <c r="CA29" s="284">
        <f t="shared" si="9"/>
        <v>0.50364747872757842</v>
      </c>
      <c r="CB29" s="284">
        <f t="shared" si="9"/>
        <v>0.50219325934282</v>
      </c>
      <c r="CC29" s="284">
        <f t="shared" si="9"/>
        <v>0.39837217322451168</v>
      </c>
      <c r="CD29" s="284">
        <f t="shared" si="9"/>
        <v>0.45351039782905034</v>
      </c>
      <c r="CE29" s="284">
        <f t="shared" si="9"/>
        <v>0.18426715206389743</v>
      </c>
      <c r="CF29" s="284">
        <f t="shared" si="9"/>
        <v>0.44203652977267449</v>
      </c>
      <c r="CG29" s="284">
        <f t="shared" si="9"/>
        <v>0.35864355259304942</v>
      </c>
      <c r="CH29" s="284">
        <f t="shared" si="9"/>
        <v>0.33162620833557366</v>
      </c>
      <c r="CI29" s="284">
        <f t="shared" si="9"/>
        <v>0.33973653963084</v>
      </c>
      <c r="CJ29" s="284">
        <f t="shared" si="9"/>
        <v>0.16828172029568439</v>
      </c>
      <c r="CK29" s="284">
        <f t="shared" si="9"/>
        <v>0.22222450465126203</v>
      </c>
      <c r="CL29" s="284">
        <f t="shared" si="9"/>
        <v>0.30230775988165998</v>
      </c>
      <c r="CM29" s="284">
        <f t="shared" si="9"/>
        <v>0.28615844243231853</v>
      </c>
      <c r="CN29" s="284">
        <f t="shared" si="9"/>
        <v>0.42679273407087481</v>
      </c>
      <c r="CO29" s="284">
        <f t="shared" si="9"/>
        <v>0.21479060234998679</v>
      </c>
      <c r="CP29" s="284">
        <f t="shared" ref="CP29:DE44" si="10">BH29/BH$65</f>
        <v>0.20794678126319846</v>
      </c>
      <c r="CQ29" s="284">
        <f t="shared" si="10"/>
        <v>0.10896103118351678</v>
      </c>
      <c r="CR29" s="284">
        <f t="shared" si="10"/>
        <v>0.20237732601824032</v>
      </c>
      <c r="CS29" s="284">
        <f t="shared" si="10"/>
        <v>0.17190719650380376</v>
      </c>
      <c r="CT29" s="284">
        <f t="shared" si="10"/>
        <v>0.23000195065299597</v>
      </c>
      <c r="CU29" s="284">
        <f t="shared" si="10"/>
        <v>3.8662559377655323E-2</v>
      </c>
      <c r="CV29" s="284">
        <f t="shared" si="10"/>
        <v>0.34436038323589846</v>
      </c>
      <c r="CW29" s="284">
        <f t="shared" si="10"/>
        <v>8.8506260648392718E-2</v>
      </c>
      <c r="CX29" s="284">
        <f t="shared" si="10"/>
        <v>3.1186046293507921E-2</v>
      </c>
      <c r="CY29" s="284">
        <f t="shared" si="10"/>
        <v>1.4982126353675721E-2</v>
      </c>
      <c r="CZ29" s="284">
        <f t="shared" si="10"/>
        <v>0.13939790549031797</v>
      </c>
      <c r="DA29" s="284">
        <f t="shared" si="10"/>
        <v>6.0996707376927077E-2</v>
      </c>
      <c r="DB29" s="284">
        <f t="shared" si="10"/>
        <v>0.3629233866778252</v>
      </c>
      <c r="DC29" s="284">
        <f t="shared" si="10"/>
        <v>0.23887714569005278</v>
      </c>
      <c r="DD29" s="284">
        <f t="shared" si="10"/>
        <v>0.52855625250218929</v>
      </c>
      <c r="DE29" s="284">
        <f t="shared" si="10"/>
        <v>0.10233548436255203</v>
      </c>
    </row>
    <row r="30" spans="1:109" s="290" customFormat="1" x14ac:dyDescent="0.2">
      <c r="A30" s="8"/>
      <c r="B30" s="287" t="s">
        <v>88</v>
      </c>
      <c r="C30" s="289" t="s">
        <v>125</v>
      </c>
      <c r="E30" s="284"/>
      <c r="F30" s="335">
        <v>3.9163666666666668</v>
      </c>
      <c r="G30" s="335">
        <v>0.33616666666666667</v>
      </c>
      <c r="H30" s="335">
        <v>16.824883333333336</v>
      </c>
      <c r="I30" s="335">
        <v>4.0034333333333327</v>
      </c>
      <c r="J30" s="335">
        <v>1.8806333333333332</v>
      </c>
      <c r="K30" s="335">
        <v>0.317</v>
      </c>
      <c r="L30" s="335">
        <v>5.3999999999999999E-2</v>
      </c>
      <c r="M30" s="335">
        <v>0.85431666666666672</v>
      </c>
      <c r="N30" s="335">
        <v>3.0706333333333329</v>
      </c>
      <c r="O30" s="335">
        <v>4.9397500000000001</v>
      </c>
      <c r="P30" s="335">
        <v>6.1599833333333329</v>
      </c>
      <c r="Q30" s="335">
        <v>0.71428333333333338</v>
      </c>
      <c r="R30" s="335">
        <v>2.2505000000000002</v>
      </c>
      <c r="S30" s="335">
        <v>2.8356999999999997</v>
      </c>
      <c r="T30" s="335">
        <v>8.1066500000000001</v>
      </c>
      <c r="U30" s="335">
        <v>27.153733333333335</v>
      </c>
      <c r="V30" s="335">
        <v>27.688066666666661</v>
      </c>
      <c r="W30" s="335">
        <v>5.3233999999999995</v>
      </c>
      <c r="X30" s="335">
        <v>0.51591666666666669</v>
      </c>
      <c r="Y30" s="335">
        <v>2.985066666666667</v>
      </c>
      <c r="Z30" s="335">
        <v>0.92110000000000003</v>
      </c>
      <c r="AA30" s="335">
        <v>5.3435666666666668</v>
      </c>
      <c r="AB30" s="335">
        <v>7.9799500000000014</v>
      </c>
      <c r="AC30" s="335">
        <v>1.5588666666666668</v>
      </c>
      <c r="AD30" s="335">
        <v>0.28200000000000003</v>
      </c>
      <c r="AE30" s="335">
        <v>0.15736666666666668</v>
      </c>
      <c r="AF30" s="335">
        <v>0.43080000000000007</v>
      </c>
      <c r="AG30" s="335">
        <v>0.8371833333333335</v>
      </c>
      <c r="AH30" s="335">
        <v>4.6175666666666668</v>
      </c>
      <c r="AI30" s="335">
        <v>0.38501666666666662</v>
      </c>
      <c r="AJ30" s="335">
        <v>6.9433333333333333E-2</v>
      </c>
      <c r="AK30" s="335">
        <v>7.1333333333333318E-2</v>
      </c>
      <c r="AL30" s="335">
        <v>0.37450000000000006</v>
      </c>
      <c r="AN30" s="37" t="s">
        <v>88</v>
      </c>
      <c r="AO30" s="38" t="s">
        <v>167</v>
      </c>
      <c r="AP30" s="50">
        <v>1.76</v>
      </c>
      <c r="AQ30" s="336">
        <f t="shared" si="6"/>
        <v>6.8928053333333336E-2</v>
      </c>
      <c r="AR30" s="336">
        <f t="shared" si="7"/>
        <v>5.9165333333333339E-3</v>
      </c>
      <c r="AS30" s="336">
        <f t="shared" si="7"/>
        <v>0.29611794666666674</v>
      </c>
      <c r="AT30" s="336">
        <f t="shared" si="7"/>
        <v>7.0460426666666659E-2</v>
      </c>
      <c r="AU30" s="336">
        <f t="shared" si="7"/>
        <v>3.3099146666666662E-2</v>
      </c>
      <c r="AV30" s="336">
        <f t="shared" si="7"/>
        <v>5.5791999999999994E-3</v>
      </c>
      <c r="AW30" s="336">
        <f t="shared" si="7"/>
        <v>9.5040000000000001E-4</v>
      </c>
      <c r="AX30" s="336">
        <f t="shared" si="7"/>
        <v>1.5035973333333334E-2</v>
      </c>
      <c r="AY30" s="336">
        <f t="shared" si="7"/>
        <v>5.404314666666666E-2</v>
      </c>
      <c r="AZ30" s="336">
        <f t="shared" si="7"/>
        <v>8.6939600000000006E-2</v>
      </c>
      <c r="BA30" s="336">
        <f t="shared" si="7"/>
        <v>0.10841570666666665</v>
      </c>
      <c r="BB30" s="336">
        <f t="shared" si="7"/>
        <v>1.2571386666666668E-2</v>
      </c>
      <c r="BC30" s="336">
        <f t="shared" si="7"/>
        <v>3.9608800000000007E-2</v>
      </c>
      <c r="BD30" s="336">
        <f t="shared" si="7"/>
        <v>4.9908319999999992E-2</v>
      </c>
      <c r="BE30" s="336">
        <f t="shared" si="7"/>
        <v>0.14267704</v>
      </c>
      <c r="BF30" s="336">
        <f t="shared" si="7"/>
        <v>0.47790570666666665</v>
      </c>
      <c r="BG30" s="336">
        <f t="shared" si="7"/>
        <v>0.4873099733333332</v>
      </c>
      <c r="BH30" s="336">
        <f t="shared" si="8"/>
        <v>9.3691839999999985E-2</v>
      </c>
      <c r="BI30" s="336">
        <f t="shared" si="8"/>
        <v>9.0801333333333338E-3</v>
      </c>
      <c r="BJ30" s="336">
        <f t="shared" si="8"/>
        <v>5.253717333333334E-2</v>
      </c>
      <c r="BK30" s="336">
        <f t="shared" si="8"/>
        <v>1.6211360000000001E-2</v>
      </c>
      <c r="BL30" s="336">
        <f t="shared" si="8"/>
        <v>9.4046773333333333E-2</v>
      </c>
      <c r="BM30" s="336">
        <f t="shared" si="8"/>
        <v>0.14044712000000004</v>
      </c>
      <c r="BN30" s="336">
        <f t="shared" si="8"/>
        <v>2.7436053333333335E-2</v>
      </c>
      <c r="BO30" s="336">
        <f t="shared" si="8"/>
        <v>4.9632000000000001E-3</v>
      </c>
      <c r="BP30" s="336">
        <f t="shared" si="8"/>
        <v>2.7696533333333336E-3</v>
      </c>
      <c r="BQ30" s="336">
        <f t="shared" si="8"/>
        <v>7.5820800000000015E-3</v>
      </c>
      <c r="BR30" s="336">
        <f t="shared" si="8"/>
        <v>1.4734426666666668E-2</v>
      </c>
      <c r="BS30" s="336">
        <f t="shared" si="8"/>
        <v>8.1269173333333333E-2</v>
      </c>
      <c r="BT30" s="336">
        <f t="shared" si="8"/>
        <v>6.7762933333333332E-3</v>
      </c>
      <c r="BU30" s="336">
        <f t="shared" si="8"/>
        <v>1.2220266666666667E-3</v>
      </c>
      <c r="BV30" s="336">
        <f t="shared" si="8"/>
        <v>1.2554666666666663E-3</v>
      </c>
      <c r="BW30" s="336">
        <f t="shared" si="8"/>
        <v>6.5912000000000019E-3</v>
      </c>
      <c r="BX30" s="336"/>
      <c r="BY30" s="284">
        <f t="shared" ref="BY30:CN59" si="11">AQ30/AQ$65</f>
        <v>1.0166447618143849E-3</v>
      </c>
      <c r="BZ30" s="284">
        <f t="shared" si="9"/>
        <v>1.4897777990093808E-4</v>
      </c>
      <c r="CA30" s="284">
        <f t="shared" si="9"/>
        <v>4.8042313944477201E-3</v>
      </c>
      <c r="CB30" s="284">
        <f t="shared" si="9"/>
        <v>3.9368966497546843E-4</v>
      </c>
      <c r="CC30" s="284">
        <f t="shared" si="9"/>
        <v>5.2573975542107075E-4</v>
      </c>
      <c r="CD30" s="284">
        <f t="shared" si="9"/>
        <v>1.3755466752446592E-4</v>
      </c>
      <c r="CE30" s="284">
        <f t="shared" si="9"/>
        <v>3.2641804728474742E-5</v>
      </c>
      <c r="CF30" s="284">
        <f t="shared" si="9"/>
        <v>1.5743351629113851E-4</v>
      </c>
      <c r="CG30" s="284">
        <f t="shared" si="9"/>
        <v>2.7750107309965153E-4</v>
      </c>
      <c r="CH30" s="284">
        <f t="shared" si="9"/>
        <v>1.4252791950738108E-3</v>
      </c>
      <c r="CI30" s="284">
        <f t="shared" si="9"/>
        <v>1.0792934454993395E-3</v>
      </c>
      <c r="CJ30" s="284">
        <f t="shared" si="9"/>
        <v>3.4972038609704678E-4</v>
      </c>
      <c r="CK30" s="284">
        <f t="shared" si="9"/>
        <v>2.113300599893127E-4</v>
      </c>
      <c r="CL30" s="284">
        <f t="shared" si="9"/>
        <v>4.2717075034543828E-4</v>
      </c>
      <c r="CM30" s="284">
        <f t="shared" si="9"/>
        <v>7.321403960392507E-4</v>
      </c>
      <c r="CN30" s="284">
        <f t="shared" si="9"/>
        <v>2.1709575752456548E-3</v>
      </c>
      <c r="CO30" s="284">
        <f t="shared" si="9"/>
        <v>3.890436073177613E-3</v>
      </c>
      <c r="CP30" s="284">
        <f t="shared" si="10"/>
        <v>5.1597215649528188E-3</v>
      </c>
      <c r="CQ30" s="284">
        <f t="shared" si="10"/>
        <v>1.6234934478254232E-3</v>
      </c>
      <c r="CR30" s="284">
        <f t="shared" si="10"/>
        <v>1.9018304913805976E-3</v>
      </c>
      <c r="CS30" s="284">
        <f t="shared" si="10"/>
        <v>2.0286299399399224E-3</v>
      </c>
      <c r="CT30" s="284">
        <f t="shared" si="10"/>
        <v>3.1428972651008497E-3</v>
      </c>
      <c r="CU30" s="284">
        <f t="shared" si="10"/>
        <v>3.9780550303448233E-3</v>
      </c>
      <c r="CV30" s="284">
        <f t="shared" si="10"/>
        <v>2.0431812823181012E-4</v>
      </c>
      <c r="CW30" s="284">
        <f t="shared" si="10"/>
        <v>6.6057600300231971E-4</v>
      </c>
      <c r="CX30" s="284">
        <f t="shared" si="10"/>
        <v>8.1070642304954525E-5</v>
      </c>
      <c r="CY30" s="284">
        <f t="shared" si="10"/>
        <v>3.4339589764955357E-4</v>
      </c>
      <c r="CZ30" s="284">
        <f t="shared" si="10"/>
        <v>5.3856358780442909E-4</v>
      </c>
      <c r="DA30" s="284">
        <f t="shared" si="10"/>
        <v>6.5665696012227439E-3</v>
      </c>
      <c r="DB30" s="284">
        <f t="shared" si="10"/>
        <v>1.0329192286505774E-3</v>
      </c>
      <c r="DC30" s="284">
        <f t="shared" si="10"/>
        <v>3.4502670409548603E-4</v>
      </c>
      <c r="DD30" s="284">
        <f t="shared" si="10"/>
        <v>1.9374390938986776E-4</v>
      </c>
      <c r="DE30" s="284">
        <f t="shared" si="10"/>
        <v>1.3544872270732384E-2</v>
      </c>
    </row>
    <row r="31" spans="1:109" s="290" customFormat="1" x14ac:dyDescent="0.2">
      <c r="A31" s="8"/>
      <c r="B31" s="287" t="s">
        <v>89</v>
      </c>
      <c r="C31" s="289" t="s">
        <v>125</v>
      </c>
      <c r="E31" s="284"/>
      <c r="F31" s="335">
        <v>506.49891666666701</v>
      </c>
      <c r="G31" s="335">
        <v>202.48393333333331</v>
      </c>
      <c r="H31" s="335">
        <v>470.70198333333337</v>
      </c>
      <c r="I31" s="335">
        <v>854.50813333333338</v>
      </c>
      <c r="J31" s="335">
        <v>238.90016666666665</v>
      </c>
      <c r="K31" s="335">
        <v>225.06316666666666</v>
      </c>
      <c r="L31" s="335">
        <v>38.500416666666666</v>
      </c>
      <c r="M31" s="335">
        <v>458.897316666667</v>
      </c>
      <c r="N31" s="335">
        <v>2106.9924333333333</v>
      </c>
      <c r="O31" s="335">
        <v>745.97225000000014</v>
      </c>
      <c r="P31" s="335">
        <v>1130.8874666666666</v>
      </c>
      <c r="Q31" s="335">
        <v>30.725983333333335</v>
      </c>
      <c r="R31" s="335">
        <v>474.33398333333326</v>
      </c>
      <c r="S31" s="335">
        <v>347.24786666666665</v>
      </c>
      <c r="T31" s="335">
        <v>377.61911666666668</v>
      </c>
      <c r="U31" s="335">
        <v>1471.1643666666666</v>
      </c>
      <c r="V31" s="335">
        <v>479.80153333333328</v>
      </c>
      <c r="W31" s="335">
        <v>97.51688333333334</v>
      </c>
      <c r="X31" s="335">
        <v>17.742733333333334</v>
      </c>
      <c r="Y31" s="335">
        <v>78.339833333333331</v>
      </c>
      <c r="Z31" s="335">
        <v>26.345516666666665</v>
      </c>
      <c r="AA31" s="335">
        <v>110.79970000000002</v>
      </c>
      <c r="AB31" s="335">
        <v>145.29931666666701</v>
      </c>
      <c r="AC31" s="335">
        <v>322.59866666666665</v>
      </c>
      <c r="AD31" s="335">
        <v>5.8090833333333336</v>
      </c>
      <c r="AE31" s="335">
        <v>12.388833333333336</v>
      </c>
      <c r="AF31" s="335">
        <v>3.1959499999999998</v>
      </c>
      <c r="AG31" s="335">
        <v>84.127183333333335</v>
      </c>
      <c r="AH31" s="335">
        <v>11.693399999999999</v>
      </c>
      <c r="AI31" s="335">
        <v>6.8041833333333335</v>
      </c>
      <c r="AJ31" s="335">
        <v>1.9919833333333334</v>
      </c>
      <c r="AK31" s="335">
        <v>12.4193</v>
      </c>
      <c r="AL31" s="335">
        <v>0.20416666666666669</v>
      </c>
      <c r="AN31" s="39" t="s">
        <v>89</v>
      </c>
      <c r="AO31" s="38" t="s">
        <v>167</v>
      </c>
      <c r="AP31" s="50">
        <v>1.76</v>
      </c>
      <c r="AQ31" s="336">
        <f t="shared" si="6"/>
        <v>8.9143809333333408</v>
      </c>
      <c r="AR31" s="336">
        <f t="shared" si="7"/>
        <v>3.5637172266666663</v>
      </c>
      <c r="AS31" s="336">
        <f t="shared" si="7"/>
        <v>8.2843549066666675</v>
      </c>
      <c r="AT31" s="336">
        <f t="shared" si="7"/>
        <v>15.039343146666667</v>
      </c>
      <c r="AU31" s="336">
        <f t="shared" si="7"/>
        <v>4.2046429333333331</v>
      </c>
      <c r="AV31" s="336">
        <f t="shared" si="7"/>
        <v>3.9611117333333334</v>
      </c>
      <c r="AW31" s="336">
        <f t="shared" si="7"/>
        <v>0.67760733333333334</v>
      </c>
      <c r="AX31" s="336">
        <f t="shared" si="7"/>
        <v>8.0765927733333385</v>
      </c>
      <c r="AY31" s="336">
        <f t="shared" si="7"/>
        <v>37.083066826666666</v>
      </c>
      <c r="AZ31" s="336">
        <f t="shared" si="7"/>
        <v>13.129111600000003</v>
      </c>
      <c r="BA31" s="336">
        <f t="shared" si="7"/>
        <v>19.903619413333331</v>
      </c>
      <c r="BB31" s="336">
        <f t="shared" si="7"/>
        <v>0.54077730666666668</v>
      </c>
      <c r="BC31" s="336">
        <f t="shared" si="7"/>
        <v>8.3482781066666654</v>
      </c>
      <c r="BD31" s="336">
        <f t="shared" si="7"/>
        <v>6.1115624533333337</v>
      </c>
      <c r="BE31" s="336">
        <f t="shared" si="7"/>
        <v>6.6460964533333335</v>
      </c>
      <c r="BF31" s="336">
        <f t="shared" si="7"/>
        <v>25.892492853333334</v>
      </c>
      <c r="BG31" s="336">
        <f t="shared" si="7"/>
        <v>8.4445069866666653</v>
      </c>
      <c r="BH31" s="336">
        <f t="shared" si="8"/>
        <v>1.7162971466666668</v>
      </c>
      <c r="BI31" s="336">
        <f t="shared" si="8"/>
        <v>0.31227210666666666</v>
      </c>
      <c r="BJ31" s="336">
        <f t="shared" si="8"/>
        <v>1.3787810666666667</v>
      </c>
      <c r="BK31" s="336">
        <f t="shared" si="8"/>
        <v>0.46368109333333329</v>
      </c>
      <c r="BL31" s="336">
        <f t="shared" si="8"/>
        <v>1.9500747200000004</v>
      </c>
      <c r="BM31" s="336">
        <f t="shared" si="8"/>
        <v>2.5572679733333392</v>
      </c>
      <c r="BN31" s="336">
        <f t="shared" si="8"/>
        <v>5.6777365333333334</v>
      </c>
      <c r="BO31" s="336">
        <f t="shared" si="8"/>
        <v>0.10223986666666667</v>
      </c>
      <c r="BP31" s="336">
        <f t="shared" si="8"/>
        <v>0.21804346666666671</v>
      </c>
      <c r="BQ31" s="336">
        <f t="shared" si="8"/>
        <v>5.6248720000000002E-2</v>
      </c>
      <c r="BR31" s="336">
        <f t="shared" si="8"/>
        <v>1.4806384266666666</v>
      </c>
      <c r="BS31" s="336">
        <f t="shared" si="8"/>
        <v>0.20580383999999999</v>
      </c>
      <c r="BT31" s="336">
        <f t="shared" si="8"/>
        <v>0.11975362666666667</v>
      </c>
      <c r="BU31" s="336">
        <f t="shared" si="8"/>
        <v>3.5058906666666667E-2</v>
      </c>
      <c r="BV31" s="336">
        <f t="shared" si="8"/>
        <v>0.21857968</v>
      </c>
      <c r="BW31" s="336">
        <f t="shared" si="8"/>
        <v>3.5933333333333338E-3</v>
      </c>
      <c r="BX31" s="336"/>
      <c r="BY31" s="284">
        <f t="shared" si="11"/>
        <v>0.13148142508630306</v>
      </c>
      <c r="BZ31" s="284">
        <f t="shared" si="9"/>
        <v>8.973408087340469E-2</v>
      </c>
      <c r="CA31" s="284">
        <f t="shared" si="9"/>
        <v>0.13440576085770622</v>
      </c>
      <c r="CB31" s="284">
        <f t="shared" si="9"/>
        <v>8.4030628892903483E-2</v>
      </c>
      <c r="CC31" s="284">
        <f t="shared" si="9"/>
        <v>6.6785647668366879E-2</v>
      </c>
      <c r="CD31" s="284">
        <f t="shared" si="9"/>
        <v>9.7660848778664974E-2</v>
      </c>
      <c r="CE31" s="284">
        <f t="shared" si="9"/>
        <v>2.3272649681449036E-2</v>
      </c>
      <c r="CF31" s="284">
        <f t="shared" si="9"/>
        <v>8.4565619515872076E-2</v>
      </c>
      <c r="CG31" s="284">
        <f t="shared" si="9"/>
        <v>0.19041435358487807</v>
      </c>
      <c r="CH31" s="284">
        <f t="shared" si="9"/>
        <v>0.21523735574217315</v>
      </c>
      <c r="CI31" s="284">
        <f t="shared" si="9"/>
        <v>0.19814330077257017</v>
      </c>
      <c r="CJ31" s="284">
        <f t="shared" si="9"/>
        <v>1.5043754002209333E-2</v>
      </c>
      <c r="CK31" s="284">
        <f t="shared" si="9"/>
        <v>4.4541670363387222E-2</v>
      </c>
      <c r="CL31" s="284">
        <f t="shared" si="9"/>
        <v>5.2309529132084753E-2</v>
      </c>
      <c r="CM31" s="284">
        <f t="shared" si="9"/>
        <v>3.4104125579410158E-2</v>
      </c>
      <c r="CN31" s="284">
        <f t="shared" si="9"/>
        <v>0.11762049023018846</v>
      </c>
      <c r="CO31" s="284">
        <f t="shared" si="9"/>
        <v>6.7416667827268462E-2</v>
      </c>
      <c r="CP31" s="284">
        <f t="shared" si="10"/>
        <v>9.4518534373142768E-2</v>
      </c>
      <c r="CQ31" s="284">
        <f t="shared" si="10"/>
        <v>5.5833069901173434E-2</v>
      </c>
      <c r="CR31" s="284">
        <f t="shared" si="10"/>
        <v>4.9911476144477211E-2</v>
      </c>
      <c r="CS31" s="284">
        <f t="shared" si="10"/>
        <v>5.802334588338532E-2</v>
      </c>
      <c r="CT31" s="284">
        <f t="shared" si="10"/>
        <v>6.5168471889061858E-2</v>
      </c>
      <c r="CU31" s="284">
        <f t="shared" si="10"/>
        <v>7.2432618947675095E-2</v>
      </c>
      <c r="CV31" s="284">
        <f t="shared" si="10"/>
        <v>4.2282484546515182E-2</v>
      </c>
      <c r="CW31" s="284">
        <f t="shared" si="10"/>
        <v>1.3607592373903282E-2</v>
      </c>
      <c r="CX31" s="284">
        <f t="shared" si="10"/>
        <v>6.3823597272338337E-3</v>
      </c>
      <c r="CY31" s="284">
        <f t="shared" si="10"/>
        <v>2.5475304528623272E-3</v>
      </c>
      <c r="CZ31" s="284">
        <f t="shared" si="10"/>
        <v>5.411937371887595E-2</v>
      </c>
      <c r="DA31" s="284">
        <f t="shared" si="10"/>
        <v>1.6629001921994565E-2</v>
      </c>
      <c r="DB31" s="284">
        <f t="shared" si="10"/>
        <v>1.8254201463825243E-2</v>
      </c>
      <c r="DC31" s="284">
        <f t="shared" si="10"/>
        <v>9.8985229589026377E-3</v>
      </c>
      <c r="DD31" s="284">
        <f t="shared" si="10"/>
        <v>3.3731267297461474E-2</v>
      </c>
      <c r="DE31" s="284">
        <f t="shared" si="10"/>
        <v>7.3842761600565951E-3</v>
      </c>
    </row>
    <row r="32" spans="1:109" s="290" customFormat="1" x14ac:dyDescent="0.2">
      <c r="A32" s="8"/>
      <c r="B32" s="287" t="s">
        <v>90</v>
      </c>
      <c r="C32" s="289" t="s">
        <v>125</v>
      </c>
      <c r="E32" s="284"/>
      <c r="F32" s="335">
        <v>16.176283333333334</v>
      </c>
      <c r="G32" s="335">
        <v>4.8791666666666664</v>
      </c>
      <c r="H32" s="335">
        <v>7.5052833333333338</v>
      </c>
      <c r="I32" s="335">
        <v>22.842416666666665</v>
      </c>
      <c r="J32" s="335">
        <v>38.344866666666668</v>
      </c>
      <c r="K32" s="335">
        <v>5.3462333333333341</v>
      </c>
      <c r="L32" s="335">
        <v>2.6793999999999998</v>
      </c>
      <c r="M32" s="335">
        <v>16.024199999999997</v>
      </c>
      <c r="N32" s="335">
        <v>29.57863333333334</v>
      </c>
      <c r="O32" s="335">
        <v>17.783783333333332</v>
      </c>
      <c r="P32" s="335">
        <v>22.009399999999999</v>
      </c>
      <c r="Q32" s="335">
        <v>2.7299333333333333</v>
      </c>
      <c r="R32" s="335">
        <v>57.36343333333334</v>
      </c>
      <c r="S32" s="335">
        <v>12.012650000000001</v>
      </c>
      <c r="T32" s="335">
        <v>37.5124</v>
      </c>
      <c r="U32" s="335">
        <v>50.812233333333332</v>
      </c>
      <c r="V32" s="335">
        <v>37.50031666666667</v>
      </c>
      <c r="W32" s="335">
        <v>4.5039333333333333</v>
      </c>
      <c r="X32" s="335">
        <v>0.51113333333333344</v>
      </c>
      <c r="Y32" s="335">
        <v>5.0804166666666664</v>
      </c>
      <c r="Z32" s="335">
        <v>3.166066666666667</v>
      </c>
      <c r="AA32" s="335">
        <v>5.0902166666666666</v>
      </c>
      <c r="AB32" s="335">
        <v>9.1407333333333352</v>
      </c>
      <c r="AC32" s="335">
        <v>20.041916666666665</v>
      </c>
      <c r="AD32" s="335">
        <v>1.2518999999999998</v>
      </c>
      <c r="AE32" s="335">
        <v>1.0398333333333332</v>
      </c>
      <c r="AF32" s="335">
        <v>0.5612166666666667</v>
      </c>
      <c r="AG32" s="335">
        <v>7.1658999999999997</v>
      </c>
      <c r="AH32" s="335">
        <v>1.8631999999999997</v>
      </c>
      <c r="AI32" s="335">
        <v>0.42586666666666667</v>
      </c>
      <c r="AJ32" s="335">
        <v>0.20048333333333335</v>
      </c>
      <c r="AK32" s="335">
        <v>1.0511166666666665</v>
      </c>
      <c r="AL32" s="335">
        <v>0.28099999999999997</v>
      </c>
      <c r="AN32" s="39" t="s">
        <v>90</v>
      </c>
      <c r="AO32" s="38" t="s">
        <v>167</v>
      </c>
      <c r="AP32" s="50">
        <v>2.08</v>
      </c>
      <c r="AQ32" s="336">
        <f t="shared" si="6"/>
        <v>0.33646669333333334</v>
      </c>
      <c r="AR32" s="336">
        <f t="shared" si="7"/>
        <v>0.10148666666666667</v>
      </c>
      <c r="AS32" s="336">
        <f t="shared" si="7"/>
        <v>0.15610989333333333</v>
      </c>
      <c r="AT32" s="336">
        <f t="shared" si="7"/>
        <v>0.47512226666666663</v>
      </c>
      <c r="AU32" s="336">
        <f t="shared" si="7"/>
        <v>0.79757322666666663</v>
      </c>
      <c r="AV32" s="336">
        <f t="shared" si="7"/>
        <v>0.11120165333333334</v>
      </c>
      <c r="AW32" s="336">
        <f t="shared" si="7"/>
        <v>5.5731519999999993E-2</v>
      </c>
      <c r="AX32" s="336">
        <f t="shared" si="7"/>
        <v>0.33330335999999994</v>
      </c>
      <c r="AY32" s="336">
        <f t="shared" si="7"/>
        <v>0.61523557333333345</v>
      </c>
      <c r="AZ32" s="336">
        <f t="shared" si="7"/>
        <v>0.36990269333333331</v>
      </c>
      <c r="BA32" s="336">
        <f t="shared" si="7"/>
        <v>0.45779552000000001</v>
      </c>
      <c r="BB32" s="336">
        <f t="shared" si="7"/>
        <v>5.6782613333333336E-2</v>
      </c>
      <c r="BC32" s="336">
        <f t="shared" si="7"/>
        <v>1.1931594133333336</v>
      </c>
      <c r="BD32" s="336">
        <f t="shared" si="7"/>
        <v>0.24986312000000002</v>
      </c>
      <c r="BE32" s="336">
        <f t="shared" si="7"/>
        <v>0.78025791999999994</v>
      </c>
      <c r="BF32" s="336">
        <f t="shared" si="7"/>
        <v>1.0568944533333333</v>
      </c>
      <c r="BG32" s="336">
        <f t="shared" si="7"/>
        <v>0.78000658666666678</v>
      </c>
      <c r="BH32" s="336">
        <f t="shared" si="8"/>
        <v>9.3681813333333336E-2</v>
      </c>
      <c r="BI32" s="336">
        <f t="shared" si="8"/>
        <v>1.0631573333333335E-2</v>
      </c>
      <c r="BJ32" s="336">
        <f t="shared" si="8"/>
        <v>0.10567266666666666</v>
      </c>
      <c r="BK32" s="336">
        <f t="shared" si="8"/>
        <v>6.5854186666666675E-2</v>
      </c>
      <c r="BL32" s="336">
        <f t="shared" si="8"/>
        <v>0.10587650666666666</v>
      </c>
      <c r="BM32" s="336">
        <f t="shared" si="8"/>
        <v>0.19012725333333338</v>
      </c>
      <c r="BN32" s="336">
        <f t="shared" si="8"/>
        <v>0.4168718666666667</v>
      </c>
      <c r="BO32" s="336">
        <f t="shared" si="8"/>
        <v>2.6039519999999997E-2</v>
      </c>
      <c r="BP32" s="336">
        <f t="shared" si="8"/>
        <v>2.1628533333333332E-2</v>
      </c>
      <c r="BQ32" s="336">
        <f t="shared" si="8"/>
        <v>1.1673306666666668E-2</v>
      </c>
      <c r="BR32" s="336">
        <f t="shared" si="8"/>
        <v>0.14905072</v>
      </c>
      <c r="BS32" s="336">
        <f t="shared" si="8"/>
        <v>3.875456E-2</v>
      </c>
      <c r="BT32" s="336">
        <f t="shared" si="8"/>
        <v>8.8580266666666678E-3</v>
      </c>
      <c r="BU32" s="336">
        <f t="shared" si="8"/>
        <v>4.170053333333334E-3</v>
      </c>
      <c r="BV32" s="336">
        <f t="shared" si="8"/>
        <v>2.1863226666666666E-2</v>
      </c>
      <c r="BW32" s="336">
        <f t="shared" si="8"/>
        <v>5.8447999999999998E-3</v>
      </c>
      <c r="BX32" s="336"/>
      <c r="BY32" s="284">
        <f t="shared" si="11"/>
        <v>4.9626688229263841E-3</v>
      </c>
      <c r="BZ32" s="284">
        <f t="shared" si="9"/>
        <v>2.5554251852796458E-3</v>
      </c>
      <c r="CA32" s="284">
        <f t="shared" si="9"/>
        <v>2.5327341992551684E-3</v>
      </c>
      <c r="CB32" s="284">
        <f t="shared" si="9"/>
        <v>2.6546919290069372E-3</v>
      </c>
      <c r="CC32" s="284">
        <f t="shared" si="9"/>
        <v>1.2668482282668946E-2</v>
      </c>
      <c r="CD32" s="284">
        <f t="shared" si="9"/>
        <v>2.7416666282688534E-3</v>
      </c>
      <c r="CE32" s="284">
        <f t="shared" si="9"/>
        <v>1.9141176273790874E-3</v>
      </c>
      <c r="CF32" s="284">
        <f t="shared" si="9"/>
        <v>3.489838588641497E-3</v>
      </c>
      <c r="CG32" s="284">
        <f t="shared" si="9"/>
        <v>3.1591153058151454E-3</v>
      </c>
      <c r="CH32" s="284">
        <f t="shared" si="9"/>
        <v>6.0641481328389821E-3</v>
      </c>
      <c r="CI32" s="284">
        <f t="shared" si="9"/>
        <v>4.5574181021030575E-3</v>
      </c>
      <c r="CJ32" s="284">
        <f t="shared" si="9"/>
        <v>1.5796218814259138E-3</v>
      </c>
      <c r="CK32" s="284">
        <f t="shared" si="9"/>
        <v>6.3660209447533502E-3</v>
      </c>
      <c r="CL32" s="284">
        <f t="shared" si="9"/>
        <v>2.1386056764493839E-3</v>
      </c>
      <c r="CM32" s="284">
        <f t="shared" si="9"/>
        <v>4.0038561394430518E-3</v>
      </c>
      <c r="CN32" s="284">
        <f t="shared" si="9"/>
        <v>4.8010998565026167E-3</v>
      </c>
      <c r="CO32" s="284">
        <f t="shared" si="9"/>
        <v>6.2271776243914782E-3</v>
      </c>
      <c r="CP32" s="284">
        <f t="shared" si="10"/>
        <v>5.1591693844403588E-3</v>
      </c>
      <c r="CQ32" s="284">
        <f t="shared" si="10"/>
        <v>1.9008850435465884E-3</v>
      </c>
      <c r="CR32" s="284">
        <f t="shared" si="10"/>
        <v>3.8253199938462251E-3</v>
      </c>
      <c r="CS32" s="284">
        <f t="shared" si="10"/>
        <v>8.240750605895646E-3</v>
      </c>
      <c r="CT32" s="284">
        <f t="shared" si="10"/>
        <v>3.538228601014189E-3</v>
      </c>
      <c r="CU32" s="284">
        <f t="shared" si="10"/>
        <v>5.385206022938108E-3</v>
      </c>
      <c r="CV32" s="284">
        <f t="shared" si="10"/>
        <v>3.1044727342890688E-3</v>
      </c>
      <c r="CW32" s="284">
        <f t="shared" si="10"/>
        <v>3.4657241379954387E-3</v>
      </c>
      <c r="CX32" s="284">
        <f t="shared" si="10"/>
        <v>6.3308973305231415E-4</v>
      </c>
      <c r="CY32" s="284">
        <f t="shared" si="10"/>
        <v>5.2868943895850707E-4</v>
      </c>
      <c r="CZ32" s="284">
        <f t="shared" si="10"/>
        <v>5.4480090976076912E-3</v>
      </c>
      <c r="DA32" s="284">
        <f t="shared" si="10"/>
        <v>3.1313781741198498E-3</v>
      </c>
      <c r="DB32" s="284">
        <f t="shared" si="10"/>
        <v>1.3502405550969232E-3</v>
      </c>
      <c r="DC32" s="284">
        <f t="shared" si="10"/>
        <v>1.1773718174472967E-3</v>
      </c>
      <c r="DD32" s="284">
        <f t="shared" si="10"/>
        <v>3.3739382484150445E-3</v>
      </c>
      <c r="DE32" s="284">
        <f t="shared" si="10"/>
        <v>1.2011025222717657E-2</v>
      </c>
    </row>
    <row r="33" spans="1:109" s="290" customFormat="1" x14ac:dyDescent="0.2">
      <c r="A33" s="44"/>
      <c r="B33" s="288" t="s">
        <v>91</v>
      </c>
      <c r="C33" s="289" t="s">
        <v>125</v>
      </c>
      <c r="E33" s="284"/>
      <c r="F33" s="335">
        <v>352.86340000000001</v>
      </c>
      <c r="G33" s="335">
        <v>50.325383333333342</v>
      </c>
      <c r="H33" s="335">
        <v>252.69366666666667</v>
      </c>
      <c r="I33" s="335">
        <v>441.33774999999997</v>
      </c>
      <c r="J33" s="335">
        <v>90.768283333333329</v>
      </c>
      <c r="K33" s="335">
        <v>36.27256666666667</v>
      </c>
      <c r="L33" s="335">
        <v>66.597733333333338</v>
      </c>
      <c r="M33" s="335">
        <v>196.1292</v>
      </c>
      <c r="N33" s="335">
        <v>490.29338333333334</v>
      </c>
      <c r="O33" s="335">
        <v>132.44751666666664</v>
      </c>
      <c r="P33" s="335">
        <v>271.44583333333333</v>
      </c>
      <c r="Q33" s="335">
        <v>1468.6723166666663</v>
      </c>
      <c r="R33" s="335">
        <v>1184.9123833333335</v>
      </c>
      <c r="S33" s="335">
        <v>1385.6258333333333</v>
      </c>
      <c r="T33" s="335">
        <v>1013.4244666666667</v>
      </c>
      <c r="U33" s="335">
        <v>1437.1075666666666</v>
      </c>
      <c r="V33" s="335">
        <v>714.7185833333333</v>
      </c>
      <c r="W33" s="335">
        <v>166.55163333333334</v>
      </c>
      <c r="X33" s="335">
        <v>81.062599999999989</v>
      </c>
      <c r="Y33" s="335">
        <v>585.88914999999997</v>
      </c>
      <c r="Z33" s="335">
        <v>20.466283333333333</v>
      </c>
      <c r="AA33" s="335">
        <v>510.02003333333329</v>
      </c>
      <c r="AB33" s="335">
        <v>11.24935</v>
      </c>
      <c r="AC33" s="335">
        <v>1613.9680500000002</v>
      </c>
      <c r="AD33" s="335">
        <v>309.18419999999998</v>
      </c>
      <c r="AE33" s="335">
        <v>1153.7977000000001</v>
      </c>
      <c r="AF33" s="335">
        <v>1213.7262333333333</v>
      </c>
      <c r="AG33" s="335">
        <v>285.87811666666664</v>
      </c>
      <c r="AH33" s="335">
        <v>20.045016666666665</v>
      </c>
      <c r="AI33" s="335">
        <v>19.286533333333335</v>
      </c>
      <c r="AJ33" s="335">
        <v>9.5524333333333331</v>
      </c>
      <c r="AK33" s="335">
        <v>8.4163333333333341</v>
      </c>
      <c r="AL33" s="335">
        <v>0.46016666666666667</v>
      </c>
      <c r="AN33" s="39" t="s">
        <v>91</v>
      </c>
      <c r="AO33" s="38" t="s">
        <v>167</v>
      </c>
      <c r="AP33" s="50">
        <v>1.52</v>
      </c>
      <c r="AQ33" s="336">
        <f t="shared" si="6"/>
        <v>5.363523680000001</v>
      </c>
      <c r="AR33" s="336">
        <f t="shared" si="7"/>
        <v>0.76494582666666688</v>
      </c>
      <c r="AS33" s="336">
        <f t="shared" si="7"/>
        <v>3.8409437333333334</v>
      </c>
      <c r="AT33" s="336">
        <f t="shared" si="7"/>
        <v>6.7083337999999992</v>
      </c>
      <c r="AU33" s="336">
        <f t="shared" si="7"/>
        <v>1.3796779066666667</v>
      </c>
      <c r="AV33" s="336">
        <f t="shared" si="7"/>
        <v>0.55134301333333335</v>
      </c>
      <c r="AW33" s="336">
        <f t="shared" si="7"/>
        <v>1.0122855466666667</v>
      </c>
      <c r="AX33" s="336">
        <f t="shared" si="7"/>
        <v>2.9811638399999998</v>
      </c>
      <c r="AY33" s="336">
        <f t="shared" si="7"/>
        <v>7.4524594266666666</v>
      </c>
      <c r="AZ33" s="336">
        <f t="shared" si="7"/>
        <v>2.0132022533333331</v>
      </c>
      <c r="BA33" s="336">
        <f t="shared" si="7"/>
        <v>4.1259766666666664</v>
      </c>
      <c r="BB33" s="336">
        <f t="shared" si="7"/>
        <v>22.323819213333326</v>
      </c>
      <c r="BC33" s="336">
        <f t="shared" si="7"/>
        <v>18.01066822666667</v>
      </c>
      <c r="BD33" s="336">
        <f t="shared" si="7"/>
        <v>21.061512666666669</v>
      </c>
      <c r="BE33" s="336">
        <f t="shared" si="7"/>
        <v>15.404051893333335</v>
      </c>
      <c r="BF33" s="336">
        <f t="shared" si="7"/>
        <v>21.844035013333333</v>
      </c>
      <c r="BG33" s="336">
        <f t="shared" si="7"/>
        <v>10.863722466666665</v>
      </c>
      <c r="BH33" s="336">
        <f t="shared" si="8"/>
        <v>2.5315848266666667</v>
      </c>
      <c r="BI33" s="336">
        <f t="shared" si="8"/>
        <v>1.2321515199999999</v>
      </c>
      <c r="BJ33" s="336">
        <f t="shared" si="8"/>
        <v>8.9055150800000007</v>
      </c>
      <c r="BK33" s="336">
        <f t="shared" si="8"/>
        <v>0.31108750666666668</v>
      </c>
      <c r="BL33" s="336">
        <f t="shared" si="8"/>
        <v>7.7523045066666656</v>
      </c>
      <c r="BM33" s="336">
        <f t="shared" si="8"/>
        <v>0.17099012</v>
      </c>
      <c r="BN33" s="336">
        <f t="shared" si="8"/>
        <v>24.532314360000004</v>
      </c>
      <c r="BO33" s="336">
        <f t="shared" si="8"/>
        <v>4.6995998399999994</v>
      </c>
      <c r="BP33" s="336">
        <f t="shared" si="8"/>
        <v>17.537725040000002</v>
      </c>
      <c r="BQ33" s="336">
        <f t="shared" si="8"/>
        <v>18.448638746666667</v>
      </c>
      <c r="BR33" s="336">
        <f t="shared" si="8"/>
        <v>4.3453473733333325</v>
      </c>
      <c r="BS33" s="336">
        <f t="shared" si="8"/>
        <v>0.30468425333333332</v>
      </c>
      <c r="BT33" s="336">
        <f t="shared" si="8"/>
        <v>0.29315530666666667</v>
      </c>
      <c r="BU33" s="336">
        <f t="shared" si="8"/>
        <v>0.14519698666666667</v>
      </c>
      <c r="BV33" s="336">
        <f t="shared" si="8"/>
        <v>0.12792826666666668</v>
      </c>
      <c r="BW33" s="336">
        <f t="shared" si="8"/>
        <v>6.9945333333333339E-3</v>
      </c>
      <c r="BX33" s="336"/>
      <c r="BY33" s="284">
        <f t="shared" si="11"/>
        <v>7.9108548558159589E-2</v>
      </c>
      <c r="BZ33" s="284">
        <f t="shared" si="9"/>
        <v>1.9261267465399978E-2</v>
      </c>
      <c r="CA33" s="284">
        <f t="shared" si="9"/>
        <v>6.2315650488955703E-2</v>
      </c>
      <c r="CB33" s="284">
        <f t="shared" si="9"/>
        <v>3.7482056399681336E-2</v>
      </c>
      <c r="CC33" s="284">
        <f t="shared" si="9"/>
        <v>2.1914508326018926E-2</v>
      </c>
      <c r="CD33" s="284">
        <f t="shared" si="9"/>
        <v>1.3593311745591457E-2</v>
      </c>
      <c r="CE33" s="284">
        <f t="shared" si="9"/>
        <v>3.4767284452599585E-2</v>
      </c>
      <c r="CF33" s="284">
        <f t="shared" si="9"/>
        <v>3.1214148599926106E-2</v>
      </c>
      <c r="CG33" s="284">
        <f t="shared" si="9"/>
        <v>3.8266933287346476E-2</v>
      </c>
      <c r="CH33" s="284">
        <f t="shared" si="9"/>
        <v>3.3004238427042629E-2</v>
      </c>
      <c r="CI33" s="284">
        <f t="shared" si="9"/>
        <v>4.1074671830605723E-2</v>
      </c>
      <c r="CJ33" s="284">
        <f t="shared" si="9"/>
        <v>0.62102096462821399</v>
      </c>
      <c r="CK33" s="284">
        <f t="shared" si="9"/>
        <v>9.6094696047067191E-2</v>
      </c>
      <c r="CL33" s="284">
        <f t="shared" si="9"/>
        <v>0.18026778239039012</v>
      </c>
      <c r="CM33" s="284">
        <f t="shared" si="9"/>
        <v>7.9045154383594149E-2</v>
      </c>
      <c r="CN33" s="284">
        <f t="shared" si="9"/>
        <v>9.92297698575169E-2</v>
      </c>
      <c r="CO33" s="284">
        <f t="shared" si="9"/>
        <v>8.673045922743701E-2</v>
      </c>
      <c r="CP33" s="284">
        <f t="shared" si="10"/>
        <v>0.13941740095678926</v>
      </c>
      <c r="CQ33" s="284">
        <f t="shared" si="10"/>
        <v>0.2203040248434093</v>
      </c>
      <c r="CR33" s="284">
        <f t="shared" si="10"/>
        <v>0.32237707219485712</v>
      </c>
      <c r="CS33" s="284">
        <f t="shared" si="10"/>
        <v>3.8928345923183505E-2</v>
      </c>
      <c r="CT33" s="284">
        <f t="shared" si="10"/>
        <v>0.25906999005563958</v>
      </c>
      <c r="CU33" s="284">
        <f t="shared" si="10"/>
        <v>4.8431616611665992E-3</v>
      </c>
      <c r="CV33" s="284">
        <f t="shared" si="10"/>
        <v>0.18269378945767556</v>
      </c>
      <c r="CW33" s="284">
        <f t="shared" si="10"/>
        <v>0.62549219818212864</v>
      </c>
      <c r="CX33" s="284">
        <f t="shared" si="10"/>
        <v>0.5133475068698673</v>
      </c>
      <c r="CY33" s="284">
        <f t="shared" si="10"/>
        <v>0.83554735149509551</v>
      </c>
      <c r="CZ33" s="284">
        <f t="shared" si="10"/>
        <v>0.15882843116883757</v>
      </c>
      <c r="DA33" s="284">
        <f t="shared" si="10"/>
        <v>2.4618564135059282E-2</v>
      </c>
      <c r="DB33" s="284">
        <f t="shared" si="10"/>
        <v>4.4686045650860769E-2</v>
      </c>
      <c r="DC33" s="284">
        <f t="shared" si="10"/>
        <v>4.0994880979844599E-2</v>
      </c>
      <c r="DD33" s="284">
        <f t="shared" si="10"/>
        <v>1.9741920007542626E-2</v>
      </c>
      <c r="DE33" s="284">
        <f t="shared" si="10"/>
        <v>1.4373719594820367E-2</v>
      </c>
    </row>
    <row r="34" spans="1:109" s="290" customFormat="1" x14ac:dyDescent="0.2">
      <c r="A34" s="44"/>
      <c r="B34" s="288" t="s">
        <v>92</v>
      </c>
      <c r="C34" s="289" t="s">
        <v>125</v>
      </c>
      <c r="E34" s="284"/>
      <c r="F34" s="335">
        <v>0</v>
      </c>
      <c r="G34" s="335">
        <v>0</v>
      </c>
      <c r="H34" s="335">
        <v>0</v>
      </c>
      <c r="I34" s="335">
        <v>0</v>
      </c>
      <c r="J34" s="335">
        <v>0</v>
      </c>
      <c r="K34" s="335">
        <v>0</v>
      </c>
      <c r="L34" s="335">
        <v>0</v>
      </c>
      <c r="M34" s="335">
        <v>0</v>
      </c>
      <c r="N34" s="335">
        <v>0</v>
      </c>
      <c r="O34" s="335">
        <v>0</v>
      </c>
      <c r="P34" s="335">
        <v>0</v>
      </c>
      <c r="Q34" s="335">
        <v>0</v>
      </c>
      <c r="R34" s="335">
        <v>0</v>
      </c>
      <c r="S34" s="335">
        <v>0</v>
      </c>
      <c r="T34" s="335">
        <v>0</v>
      </c>
      <c r="U34" s="335">
        <v>0</v>
      </c>
      <c r="V34" s="335">
        <v>0</v>
      </c>
      <c r="W34" s="335">
        <v>0</v>
      </c>
      <c r="X34" s="335">
        <v>0</v>
      </c>
      <c r="Y34" s="335">
        <v>0</v>
      </c>
      <c r="Z34" s="335">
        <v>0</v>
      </c>
      <c r="AA34" s="335">
        <v>0</v>
      </c>
      <c r="AB34" s="335">
        <v>0</v>
      </c>
      <c r="AC34" s="335">
        <v>1.1183333333333334</v>
      </c>
      <c r="AD34" s="335">
        <v>0</v>
      </c>
      <c r="AE34" s="335">
        <v>0</v>
      </c>
      <c r="AF34" s="335">
        <v>0</v>
      </c>
      <c r="AG34" s="335">
        <v>0</v>
      </c>
      <c r="AH34" s="335">
        <v>0</v>
      </c>
      <c r="AI34" s="335">
        <v>76.355983333333327</v>
      </c>
      <c r="AJ34" s="335">
        <v>62.355983333333299</v>
      </c>
      <c r="AK34" s="335">
        <v>26.545783333333333</v>
      </c>
      <c r="AL34" s="335">
        <v>0</v>
      </c>
      <c r="AN34" s="39" t="s">
        <v>92</v>
      </c>
      <c r="AO34" s="38" t="s">
        <v>167</v>
      </c>
      <c r="AP34" s="50">
        <v>1.07</v>
      </c>
      <c r="AQ34" s="336">
        <f t="shared" si="6"/>
        <v>0</v>
      </c>
      <c r="AR34" s="336">
        <f t="shared" si="7"/>
        <v>0</v>
      </c>
      <c r="AS34" s="336">
        <f t="shared" si="7"/>
        <v>0</v>
      </c>
      <c r="AT34" s="336">
        <f t="shared" si="7"/>
        <v>0</v>
      </c>
      <c r="AU34" s="336">
        <f t="shared" si="7"/>
        <v>0</v>
      </c>
      <c r="AV34" s="336">
        <f t="shared" si="7"/>
        <v>0</v>
      </c>
      <c r="AW34" s="336">
        <f t="shared" si="7"/>
        <v>0</v>
      </c>
      <c r="AX34" s="336">
        <f t="shared" si="7"/>
        <v>0</v>
      </c>
      <c r="AY34" s="336">
        <f t="shared" si="7"/>
        <v>0</v>
      </c>
      <c r="AZ34" s="336">
        <f t="shared" si="7"/>
        <v>0</v>
      </c>
      <c r="BA34" s="336">
        <f t="shared" si="7"/>
        <v>0</v>
      </c>
      <c r="BB34" s="336">
        <f t="shared" si="7"/>
        <v>0</v>
      </c>
      <c r="BC34" s="336">
        <f t="shared" si="7"/>
        <v>0</v>
      </c>
      <c r="BD34" s="336">
        <f t="shared" si="7"/>
        <v>0</v>
      </c>
      <c r="BE34" s="336">
        <f t="shared" si="7"/>
        <v>0</v>
      </c>
      <c r="BF34" s="336">
        <f t="shared" si="7"/>
        <v>0</v>
      </c>
      <c r="BG34" s="336">
        <f t="shared" si="7"/>
        <v>0</v>
      </c>
      <c r="BH34" s="336">
        <f t="shared" si="8"/>
        <v>0</v>
      </c>
      <c r="BI34" s="336">
        <f t="shared" si="8"/>
        <v>0</v>
      </c>
      <c r="BJ34" s="336">
        <f t="shared" si="8"/>
        <v>0</v>
      </c>
      <c r="BK34" s="336">
        <f t="shared" si="8"/>
        <v>0</v>
      </c>
      <c r="BL34" s="336">
        <f t="shared" si="8"/>
        <v>0</v>
      </c>
      <c r="BM34" s="336">
        <f t="shared" si="8"/>
        <v>0</v>
      </c>
      <c r="BN34" s="336">
        <f t="shared" si="8"/>
        <v>1.1966166666666668E-2</v>
      </c>
      <c r="BO34" s="336">
        <f t="shared" si="8"/>
        <v>0</v>
      </c>
      <c r="BP34" s="336">
        <f t="shared" si="8"/>
        <v>0</v>
      </c>
      <c r="BQ34" s="336">
        <f t="shared" si="8"/>
        <v>0</v>
      </c>
      <c r="BR34" s="336">
        <f t="shared" si="8"/>
        <v>0</v>
      </c>
      <c r="BS34" s="336">
        <f t="shared" si="8"/>
        <v>0</v>
      </c>
      <c r="BT34" s="336">
        <f t="shared" si="8"/>
        <v>0.81700902166666667</v>
      </c>
      <c r="BU34" s="336">
        <f t="shared" si="8"/>
        <v>0.66720902166666629</v>
      </c>
      <c r="BV34" s="336">
        <f t="shared" si="8"/>
        <v>0.28403988166666666</v>
      </c>
      <c r="BW34" s="336">
        <f t="shared" si="8"/>
        <v>0</v>
      </c>
      <c r="BX34" s="336"/>
      <c r="BY34" s="284">
        <f t="shared" si="11"/>
        <v>0</v>
      </c>
      <c r="BZ34" s="284">
        <f t="shared" si="9"/>
        <v>0</v>
      </c>
      <c r="CA34" s="284">
        <f t="shared" si="9"/>
        <v>0</v>
      </c>
      <c r="CB34" s="284">
        <f t="shared" si="9"/>
        <v>0</v>
      </c>
      <c r="CC34" s="284">
        <f t="shared" si="9"/>
        <v>0</v>
      </c>
      <c r="CD34" s="284">
        <f t="shared" si="9"/>
        <v>0</v>
      </c>
      <c r="CE34" s="284">
        <f t="shared" si="9"/>
        <v>0</v>
      </c>
      <c r="CF34" s="284">
        <f t="shared" si="9"/>
        <v>0</v>
      </c>
      <c r="CG34" s="284">
        <f t="shared" si="9"/>
        <v>0</v>
      </c>
      <c r="CH34" s="284">
        <f t="shared" si="9"/>
        <v>0</v>
      </c>
      <c r="CI34" s="284">
        <f t="shared" si="9"/>
        <v>0</v>
      </c>
      <c r="CJ34" s="284">
        <f t="shared" si="9"/>
        <v>0</v>
      </c>
      <c r="CK34" s="284">
        <f t="shared" si="9"/>
        <v>0</v>
      </c>
      <c r="CL34" s="284">
        <f t="shared" si="9"/>
        <v>0</v>
      </c>
      <c r="CM34" s="284">
        <f t="shared" si="9"/>
        <v>0</v>
      </c>
      <c r="CN34" s="284">
        <f t="shared" si="9"/>
        <v>0</v>
      </c>
      <c r="CO34" s="284">
        <f t="shared" si="9"/>
        <v>0</v>
      </c>
      <c r="CP34" s="284">
        <f t="shared" si="10"/>
        <v>0</v>
      </c>
      <c r="CQ34" s="284">
        <f t="shared" si="10"/>
        <v>0</v>
      </c>
      <c r="CR34" s="284">
        <f t="shared" si="10"/>
        <v>0</v>
      </c>
      <c r="CS34" s="284">
        <f t="shared" si="10"/>
        <v>0</v>
      </c>
      <c r="CT34" s="284">
        <f t="shared" si="10"/>
        <v>0</v>
      </c>
      <c r="CU34" s="284">
        <f t="shared" si="10"/>
        <v>0</v>
      </c>
      <c r="CV34" s="284">
        <f t="shared" si="10"/>
        <v>8.911284526746359E-5</v>
      </c>
      <c r="CW34" s="284">
        <f t="shared" si="10"/>
        <v>0</v>
      </c>
      <c r="CX34" s="284">
        <f t="shared" si="10"/>
        <v>0</v>
      </c>
      <c r="CY34" s="284">
        <f t="shared" si="10"/>
        <v>0</v>
      </c>
      <c r="CZ34" s="284">
        <f t="shared" si="10"/>
        <v>0</v>
      </c>
      <c r="DA34" s="284">
        <f t="shared" si="10"/>
        <v>0</v>
      </c>
      <c r="DB34" s="284">
        <f t="shared" si="10"/>
        <v>0.12453775049985483</v>
      </c>
      <c r="DC34" s="284">
        <f t="shared" si="10"/>
        <v>0.18837962866747882</v>
      </c>
      <c r="DD34" s="284">
        <f t="shared" si="10"/>
        <v>4.3833100916048834E-2</v>
      </c>
      <c r="DE34" s="284">
        <f t="shared" si="10"/>
        <v>0</v>
      </c>
    </row>
    <row r="35" spans="1:109" s="290" customFormat="1" x14ac:dyDescent="0.2">
      <c r="A35" s="44"/>
      <c r="B35" s="288" t="s">
        <v>93</v>
      </c>
      <c r="C35" s="289" t="s">
        <v>125</v>
      </c>
      <c r="E35" s="284"/>
      <c r="F35" s="335">
        <v>10.883116666666668</v>
      </c>
      <c r="G35" s="335">
        <v>3.8912666666666667</v>
      </c>
      <c r="H35" s="335">
        <v>10.637366666666667</v>
      </c>
      <c r="I35" s="335">
        <v>13.231549999999999</v>
      </c>
      <c r="J35" s="335">
        <v>46.188583333333334</v>
      </c>
      <c r="K35" s="335">
        <v>7.4096500000000001</v>
      </c>
      <c r="L35" s="335">
        <v>16.237183333333331</v>
      </c>
      <c r="M35" s="335">
        <v>14.4382</v>
      </c>
      <c r="N35" s="335">
        <v>33.41896666666667</v>
      </c>
      <c r="O35" s="335">
        <v>45.641216666666672</v>
      </c>
      <c r="P35" s="335">
        <v>87.50351666666667</v>
      </c>
      <c r="Q35" s="335">
        <v>13.549983333333332</v>
      </c>
      <c r="R35" s="335">
        <v>357.06559999999996</v>
      </c>
      <c r="S35" s="335">
        <v>109.42493333333333</v>
      </c>
      <c r="T35" s="335">
        <v>339.70188333333334</v>
      </c>
      <c r="U35" s="335">
        <v>261.51028333333335</v>
      </c>
      <c r="V35" s="335">
        <v>450.23916666666668</v>
      </c>
      <c r="W35" s="335">
        <v>29.06741666666667</v>
      </c>
      <c r="X35" s="335">
        <v>8.8563666666666663</v>
      </c>
      <c r="Y35" s="335">
        <v>46.383583333333341</v>
      </c>
      <c r="Z35" s="335">
        <v>13.784833333333331</v>
      </c>
      <c r="AA35" s="335">
        <v>69.77051666666668</v>
      </c>
      <c r="AB35" s="335">
        <v>123.04230000000001</v>
      </c>
      <c r="AC35" s="335">
        <v>262.09264999999999</v>
      </c>
      <c r="AD35" s="335">
        <v>6.9553333333333329</v>
      </c>
      <c r="AE35" s="335">
        <v>27.972433333333331</v>
      </c>
      <c r="AF35" s="335">
        <v>10.514816666666666</v>
      </c>
      <c r="AG35" s="335">
        <v>81.78861666666667</v>
      </c>
      <c r="AH35" s="335">
        <v>51.262816666666673</v>
      </c>
      <c r="AI35" s="335">
        <v>6.1889500000000011</v>
      </c>
      <c r="AJ35" s="335">
        <v>3.2944833333333334</v>
      </c>
      <c r="AK35" s="335">
        <v>9.6671833333333339</v>
      </c>
      <c r="AL35" s="335">
        <v>0.84391666666666676</v>
      </c>
      <c r="AN35" s="39" t="s">
        <v>93</v>
      </c>
      <c r="AO35" s="38" t="s">
        <v>167</v>
      </c>
      <c r="AP35" s="50">
        <v>1.8</v>
      </c>
      <c r="AQ35" s="336">
        <f t="shared" si="6"/>
        <v>0.19589610000000005</v>
      </c>
      <c r="AR35" s="336">
        <f t="shared" si="7"/>
        <v>7.0042800000000002E-2</v>
      </c>
      <c r="AS35" s="336">
        <f t="shared" si="7"/>
        <v>0.19147259999999999</v>
      </c>
      <c r="AT35" s="336">
        <f t="shared" si="7"/>
        <v>0.23816789999999999</v>
      </c>
      <c r="AU35" s="336">
        <f t="shared" si="7"/>
        <v>0.83139449999999993</v>
      </c>
      <c r="AV35" s="336">
        <f t="shared" si="7"/>
        <v>0.13337370000000001</v>
      </c>
      <c r="AW35" s="336">
        <f t="shared" si="7"/>
        <v>0.29226929999999995</v>
      </c>
      <c r="AX35" s="336">
        <f t="shared" si="7"/>
        <v>0.2598876</v>
      </c>
      <c r="AY35" s="336">
        <f t="shared" si="7"/>
        <v>0.6015414</v>
      </c>
      <c r="AZ35" s="336">
        <f t="shared" si="7"/>
        <v>0.82154190000000016</v>
      </c>
      <c r="BA35" s="336">
        <f t="shared" si="7"/>
        <v>1.5750633000000003</v>
      </c>
      <c r="BB35" s="336">
        <f t="shared" si="7"/>
        <v>0.24389969999999997</v>
      </c>
      <c r="BC35" s="336">
        <f t="shared" si="7"/>
        <v>6.4271807999999995</v>
      </c>
      <c r="BD35" s="336">
        <f t="shared" si="7"/>
        <v>1.9696487999999999</v>
      </c>
      <c r="BE35" s="336">
        <f t="shared" si="7"/>
        <v>6.1146339000000003</v>
      </c>
      <c r="BF35" s="336">
        <f t="shared" si="7"/>
        <v>4.7071851000000002</v>
      </c>
      <c r="BG35" s="336">
        <f t="shared" si="7"/>
        <v>8.1043050000000001</v>
      </c>
      <c r="BH35" s="336">
        <f t="shared" si="8"/>
        <v>0.52321350000000011</v>
      </c>
      <c r="BI35" s="336">
        <f t="shared" si="8"/>
        <v>0.15941459999999999</v>
      </c>
      <c r="BJ35" s="336">
        <f t="shared" si="8"/>
        <v>0.83490450000000005</v>
      </c>
      <c r="BK35" s="336">
        <f t="shared" si="8"/>
        <v>0.24812699999999996</v>
      </c>
      <c r="BL35" s="336">
        <f t="shared" si="8"/>
        <v>1.2558693000000003</v>
      </c>
      <c r="BM35" s="336">
        <f t="shared" si="8"/>
        <v>2.2147614</v>
      </c>
      <c r="BN35" s="336">
        <f t="shared" si="8"/>
        <v>4.7176676999999998</v>
      </c>
      <c r="BO35" s="336">
        <f t="shared" si="8"/>
        <v>0.12519599999999997</v>
      </c>
      <c r="BP35" s="336">
        <f t="shared" si="8"/>
        <v>0.50350379999999995</v>
      </c>
      <c r="BQ35" s="336">
        <f t="shared" si="8"/>
        <v>0.18926670000000001</v>
      </c>
      <c r="BR35" s="336">
        <f t="shared" si="8"/>
        <v>1.4721951000000002</v>
      </c>
      <c r="BS35" s="336">
        <f t="shared" si="8"/>
        <v>0.92273070000000024</v>
      </c>
      <c r="BT35" s="336">
        <f t="shared" si="8"/>
        <v>0.11140110000000002</v>
      </c>
      <c r="BU35" s="336">
        <f t="shared" si="8"/>
        <v>5.9300700000000005E-2</v>
      </c>
      <c r="BV35" s="336">
        <f t="shared" si="8"/>
        <v>0.17400930000000003</v>
      </c>
      <c r="BW35" s="336">
        <f t="shared" si="8"/>
        <v>1.5190500000000003E-2</v>
      </c>
      <c r="BX35" s="336"/>
      <c r="BY35" s="284">
        <f t="shared" si="11"/>
        <v>2.8893423547267879E-3</v>
      </c>
      <c r="BZ35" s="284">
        <f t="shared" si="9"/>
        <v>1.7636714363217353E-3</v>
      </c>
      <c r="CA35" s="284">
        <f t="shared" si="9"/>
        <v>3.1064604035364899E-3</v>
      </c>
      <c r="CB35" s="284">
        <f t="shared" si="9"/>
        <v>1.3307362046285868E-3</v>
      </c>
      <c r="CC35" s="284">
        <f t="shared" si="9"/>
        <v>1.3205692143375199E-2</v>
      </c>
      <c r="CD35" s="284">
        <f t="shared" si="9"/>
        <v>3.2883164181258715E-3</v>
      </c>
      <c r="CE35" s="284">
        <f t="shared" si="9"/>
        <v>1.0038086509604379E-2</v>
      </c>
      <c r="CF35" s="284">
        <f t="shared" si="9"/>
        <v>2.7211420106578767E-3</v>
      </c>
      <c r="CG35" s="284">
        <f t="shared" si="9"/>
        <v>3.0887983825861626E-3</v>
      </c>
      <c r="CH35" s="284">
        <f t="shared" si="9"/>
        <v>1.3468276573062326E-2</v>
      </c>
      <c r="CI35" s="284">
        <f t="shared" si="9"/>
        <v>1.5679974315559446E-2</v>
      </c>
      <c r="CJ35" s="284">
        <f t="shared" si="9"/>
        <v>6.7849871708361414E-3</v>
      </c>
      <c r="CK35" s="284">
        <f t="shared" si="9"/>
        <v>3.4291786270378259E-2</v>
      </c>
      <c r="CL35" s="284">
        <f t="shared" si="9"/>
        <v>1.6858438749551018E-2</v>
      </c>
      <c r="CM35" s="284">
        <f t="shared" si="9"/>
        <v>3.1376950945863666E-2</v>
      </c>
      <c r="CN35" s="284">
        <f t="shared" si="9"/>
        <v>2.1383086680854747E-2</v>
      </c>
      <c r="CO35" s="284">
        <f t="shared" si="9"/>
        <v>6.4700667430146797E-2</v>
      </c>
      <c r="CP35" s="284">
        <f t="shared" si="10"/>
        <v>2.8813992542194099E-2</v>
      </c>
      <c r="CQ35" s="284">
        <f t="shared" si="10"/>
        <v>2.8502726676668918E-2</v>
      </c>
      <c r="CR35" s="284">
        <f t="shared" si="10"/>
        <v>3.0223301611916543E-2</v>
      </c>
      <c r="CS35" s="284">
        <f t="shared" si="10"/>
        <v>3.1049699785056468E-2</v>
      </c>
      <c r="CT35" s="284">
        <f t="shared" si="10"/>
        <v>4.1969203709992096E-2</v>
      </c>
      <c r="CU35" s="284">
        <f t="shared" si="10"/>
        <v>6.2731387644570716E-2</v>
      </c>
      <c r="CV35" s="284">
        <f t="shared" si="10"/>
        <v>3.5132787590574324E-2</v>
      </c>
      <c r="CW35" s="284">
        <f t="shared" si="10"/>
        <v>1.666293384749323E-2</v>
      </c>
      <c r="CX35" s="284">
        <f t="shared" si="10"/>
        <v>1.4738081469516769E-2</v>
      </c>
      <c r="CY35" s="284">
        <f t="shared" si="10"/>
        <v>8.5719760727490015E-3</v>
      </c>
      <c r="CZ35" s="284">
        <f t="shared" si="10"/>
        <v>5.3810758500552468E-2</v>
      </c>
      <c r="DA35" s="284">
        <f t="shared" si="10"/>
        <v>7.4556872135055366E-2</v>
      </c>
      <c r="DB35" s="284">
        <f t="shared" si="10"/>
        <v>1.6981014932867803E-2</v>
      </c>
      <c r="DC35" s="284">
        <f t="shared" si="10"/>
        <v>1.6742944838810274E-2</v>
      </c>
      <c r="DD35" s="284">
        <f t="shared" si="10"/>
        <v>2.6853155840214263E-2</v>
      </c>
      <c r="DE35" s="284">
        <f t="shared" si="10"/>
        <v>3.1216376718740179E-2</v>
      </c>
    </row>
    <row r="36" spans="1:109" s="290" customFormat="1" x14ac:dyDescent="0.2">
      <c r="A36" s="44"/>
      <c r="B36" s="288" t="s">
        <v>94</v>
      </c>
      <c r="C36" s="289" t="s">
        <v>125</v>
      </c>
      <c r="E36" s="284"/>
      <c r="F36" s="335">
        <v>106.63308333333333</v>
      </c>
      <c r="G36" s="335">
        <v>202.83</v>
      </c>
      <c r="H36" s="335">
        <v>107.48883333333333</v>
      </c>
      <c r="I36" s="335">
        <v>926.44759999999985</v>
      </c>
      <c r="J36" s="335">
        <v>894.64666666666665</v>
      </c>
      <c r="K36" s="335">
        <v>419.40300000000002</v>
      </c>
      <c r="L36" s="335">
        <v>206.87</v>
      </c>
      <c r="M36" s="335">
        <v>859.38154999999995</v>
      </c>
      <c r="N36" s="335">
        <v>1019.7839166666666</v>
      </c>
      <c r="O36" s="335">
        <v>657.38483333333329</v>
      </c>
      <c r="P36" s="335">
        <v>1194.5033333333333</v>
      </c>
      <c r="Q36" s="335">
        <v>121.03136666666667</v>
      </c>
      <c r="R36" s="335">
        <v>2163.9093666666668</v>
      </c>
      <c r="S36" s="335">
        <v>1047.1501833333334</v>
      </c>
      <c r="T36" s="335">
        <v>2025.0842666666667</v>
      </c>
      <c r="U36" s="335">
        <v>1369.2476666666669</v>
      </c>
      <c r="V36" s="335">
        <v>1219.5226333333333</v>
      </c>
      <c r="W36" s="335">
        <v>194.38066666666668</v>
      </c>
      <c r="X36" s="335">
        <v>47.837983333333334</v>
      </c>
      <c r="Y36" s="335">
        <v>209.15329999999997</v>
      </c>
      <c r="Z36" s="335">
        <v>49.259366666666672</v>
      </c>
      <c r="AA36" s="335">
        <v>237.61775</v>
      </c>
      <c r="AB36" s="335">
        <v>282.84444999999999</v>
      </c>
      <c r="AC36" s="335">
        <v>704.01705000000004</v>
      </c>
      <c r="AD36" s="335">
        <v>21.52416666666667</v>
      </c>
      <c r="AE36" s="335">
        <v>58.006566666666664</v>
      </c>
      <c r="AF36" s="335">
        <v>18.363616666666669</v>
      </c>
      <c r="AG36" s="335">
        <v>187.82450000000003</v>
      </c>
      <c r="AH36" s="335">
        <v>79.726683333333327</v>
      </c>
      <c r="AI36" s="335">
        <v>12.575433333333331</v>
      </c>
      <c r="AJ36" s="335">
        <v>9.3938000000000006</v>
      </c>
      <c r="AK36" s="335">
        <v>39.209783333333341</v>
      </c>
      <c r="AL36" s="335">
        <v>2.7853333333333326</v>
      </c>
      <c r="AN36" s="39" t="s">
        <v>94</v>
      </c>
      <c r="AO36" s="38" t="s">
        <v>167</v>
      </c>
      <c r="AP36" s="50">
        <v>0.5</v>
      </c>
      <c r="AQ36" s="336">
        <f t="shared" si="6"/>
        <v>0.53316541666666661</v>
      </c>
      <c r="AR36" s="336">
        <f t="shared" si="7"/>
        <v>1.0141500000000001</v>
      </c>
      <c r="AS36" s="336">
        <f t="shared" si="7"/>
        <v>0.53744416666666661</v>
      </c>
      <c r="AT36" s="336">
        <f t="shared" si="7"/>
        <v>4.6322379999999992</v>
      </c>
      <c r="AU36" s="336">
        <f t="shared" si="7"/>
        <v>4.473233333333333</v>
      </c>
      <c r="AV36" s="336">
        <f t="shared" si="7"/>
        <v>2.0970150000000003</v>
      </c>
      <c r="AW36" s="336">
        <f t="shared" si="7"/>
        <v>1.0343500000000001</v>
      </c>
      <c r="AX36" s="336">
        <f t="shared" si="7"/>
        <v>4.2969077499999999</v>
      </c>
      <c r="AY36" s="336">
        <f t="shared" si="7"/>
        <v>5.0989195833333332</v>
      </c>
      <c r="AZ36" s="336">
        <f t="shared" si="7"/>
        <v>3.2869241666666666</v>
      </c>
      <c r="BA36" s="336">
        <f t="shared" si="7"/>
        <v>5.9725166666666665</v>
      </c>
      <c r="BB36" s="336">
        <f t="shared" si="7"/>
        <v>0.60515683333333337</v>
      </c>
      <c r="BC36" s="336">
        <f t="shared" si="7"/>
        <v>10.819546833333334</v>
      </c>
      <c r="BD36" s="336">
        <f t="shared" si="7"/>
        <v>5.2357509166666674</v>
      </c>
      <c r="BE36" s="336">
        <f t="shared" si="7"/>
        <v>10.125421333333334</v>
      </c>
      <c r="BF36" s="336">
        <f t="shared" si="7"/>
        <v>6.8462383333333348</v>
      </c>
      <c r="BG36" s="336">
        <f t="shared" si="7"/>
        <v>6.0976131666666662</v>
      </c>
      <c r="BH36" s="336">
        <f t="shared" si="8"/>
        <v>0.97190333333333345</v>
      </c>
      <c r="BI36" s="336">
        <f t="shared" si="8"/>
        <v>0.23918991666666667</v>
      </c>
      <c r="BJ36" s="336">
        <f t="shared" si="8"/>
        <v>1.0457664999999998</v>
      </c>
      <c r="BK36" s="336">
        <f t="shared" si="8"/>
        <v>0.24629683333333335</v>
      </c>
      <c r="BL36" s="336">
        <f t="shared" si="8"/>
        <v>1.1880887499999999</v>
      </c>
      <c r="BM36" s="336">
        <f t="shared" si="8"/>
        <v>1.4142222499999999</v>
      </c>
      <c r="BN36" s="336">
        <f t="shared" si="8"/>
        <v>3.5200852500000002</v>
      </c>
      <c r="BO36" s="336">
        <f t="shared" si="8"/>
        <v>0.10762083333333335</v>
      </c>
      <c r="BP36" s="336">
        <f t="shared" si="8"/>
        <v>0.2900328333333333</v>
      </c>
      <c r="BQ36" s="336">
        <f t="shared" si="8"/>
        <v>9.1818083333333342E-2</v>
      </c>
      <c r="BR36" s="336">
        <f t="shared" si="8"/>
        <v>0.93912250000000019</v>
      </c>
      <c r="BS36" s="336">
        <f t="shared" si="8"/>
        <v>0.39863341666666663</v>
      </c>
      <c r="BT36" s="336">
        <f t="shared" si="8"/>
        <v>6.2877166666666651E-2</v>
      </c>
      <c r="BU36" s="336">
        <f t="shared" si="8"/>
        <v>4.6969000000000004E-2</v>
      </c>
      <c r="BV36" s="336">
        <f t="shared" si="8"/>
        <v>0.19604891666666671</v>
      </c>
      <c r="BW36" s="336">
        <f t="shared" si="8"/>
        <v>1.3926666666666664E-2</v>
      </c>
      <c r="BX36" s="336"/>
      <c r="BY36" s="284">
        <f t="shared" si="11"/>
        <v>7.8638493591784379E-3</v>
      </c>
      <c r="BZ36" s="284">
        <f t="shared" si="9"/>
        <v>2.5536206250259669E-2</v>
      </c>
      <c r="CA36" s="284">
        <f t="shared" si="9"/>
        <v>8.7195192568632063E-3</v>
      </c>
      <c r="CB36" s="284">
        <f t="shared" si="9"/>
        <v>2.5882105922151202E-2</v>
      </c>
      <c r="CC36" s="284">
        <f t="shared" si="9"/>
        <v>7.1051880046697505E-2</v>
      </c>
      <c r="CD36" s="284">
        <f t="shared" si="9"/>
        <v>5.1701713707846639E-2</v>
      </c>
      <c r="CE36" s="284">
        <f t="shared" si="9"/>
        <v>3.5525095455490166E-2</v>
      </c>
      <c r="CF36" s="284">
        <f t="shared" si="9"/>
        <v>4.4990588987109864E-2</v>
      </c>
      <c r="CG36" s="284">
        <f t="shared" si="9"/>
        <v>2.6181962807442529E-2</v>
      </c>
      <c r="CH36" s="284">
        <f t="shared" si="9"/>
        <v>5.3885509371279866E-2</v>
      </c>
      <c r="CI36" s="284">
        <f t="shared" si="9"/>
        <v>5.9457234469614026E-2</v>
      </c>
      <c r="CJ36" s="284">
        <f t="shared" si="9"/>
        <v>1.6834712590915415E-2</v>
      </c>
      <c r="CK36" s="284">
        <f t="shared" si="9"/>
        <v>5.7726956669869101E-2</v>
      </c>
      <c r="CL36" s="284">
        <f t="shared" si="9"/>
        <v>4.4813362735798695E-2</v>
      </c>
      <c r="CM36" s="284">
        <f t="shared" si="9"/>
        <v>5.1958114529506251E-2</v>
      </c>
      <c r="CN36" s="284">
        <f t="shared" si="9"/>
        <v>3.1100053345991689E-2</v>
      </c>
      <c r="CO36" s="284">
        <f t="shared" si="9"/>
        <v>4.8680255939797946E-2</v>
      </c>
      <c r="CP36" s="284">
        <f t="shared" si="10"/>
        <v>5.3523877725632558E-2</v>
      </c>
      <c r="CQ36" s="284">
        <f t="shared" si="10"/>
        <v>4.2766251137381493E-2</v>
      </c>
      <c r="CR36" s="284">
        <f t="shared" si="10"/>
        <v>3.7856445072626047E-2</v>
      </c>
      <c r="CS36" s="284">
        <f t="shared" si="10"/>
        <v>3.0820679462573965E-2</v>
      </c>
      <c r="CT36" s="284">
        <f t="shared" si="10"/>
        <v>3.9704082880519381E-2</v>
      </c>
      <c r="CU36" s="284">
        <f t="shared" si="10"/>
        <v>4.0056741182290335E-2</v>
      </c>
      <c r="CV36" s="284">
        <f t="shared" si="10"/>
        <v>2.6214310810607482E-2</v>
      </c>
      <c r="CW36" s="284">
        <f t="shared" si="10"/>
        <v>1.4323770938731495E-2</v>
      </c>
      <c r="CX36" s="284">
        <f t="shared" si="10"/>
        <v>8.4895635872091636E-3</v>
      </c>
      <c r="CY36" s="284">
        <f t="shared" si="10"/>
        <v>4.1584833115334459E-3</v>
      </c>
      <c r="CZ36" s="284">
        <f t="shared" si="10"/>
        <v>3.4326220790936668E-2</v>
      </c>
      <c r="DA36" s="284">
        <f t="shared" si="10"/>
        <v>3.2209680110542441E-2</v>
      </c>
      <c r="DB36" s="284">
        <f t="shared" si="10"/>
        <v>9.5844485027803475E-3</v>
      </c>
      <c r="DC36" s="284">
        <f t="shared" si="10"/>
        <v>1.3261215738331583E-2</v>
      </c>
      <c r="DD36" s="284">
        <f t="shared" si="10"/>
        <v>3.0254314634649868E-2</v>
      </c>
      <c r="DE36" s="284">
        <f t="shared" si="10"/>
        <v>2.8619207603633064E-2</v>
      </c>
    </row>
    <row r="37" spans="1:109" s="290" customFormat="1" x14ac:dyDescent="0.2">
      <c r="A37" s="44"/>
      <c r="B37" s="288" t="s">
        <v>95</v>
      </c>
      <c r="C37" s="289" t="s">
        <v>125</v>
      </c>
      <c r="E37" s="284"/>
      <c r="F37" s="335">
        <v>223.2</v>
      </c>
      <c r="G37" s="335">
        <v>207.17231666666669</v>
      </c>
      <c r="H37" s="335">
        <v>324.44149999999996</v>
      </c>
      <c r="I37" s="335">
        <v>352.20460000000003</v>
      </c>
      <c r="J37" s="335">
        <v>124.53395</v>
      </c>
      <c r="K37" s="335">
        <v>78.421483333333327</v>
      </c>
      <c r="L37" s="335">
        <v>27.81775</v>
      </c>
      <c r="M37" s="335">
        <v>193.46061666666662</v>
      </c>
      <c r="N37" s="335">
        <v>636.97121666666669</v>
      </c>
      <c r="O37" s="335">
        <v>340.33981666666665</v>
      </c>
      <c r="P37" s="335">
        <v>423.70316666666668</v>
      </c>
      <c r="Q37" s="335">
        <v>32.694616666666668</v>
      </c>
      <c r="R37" s="335">
        <v>114.19743333333334</v>
      </c>
      <c r="S37" s="335">
        <v>147.11646666666667</v>
      </c>
      <c r="T37" s="335">
        <v>357.06616666666667</v>
      </c>
      <c r="U37" s="335">
        <v>726.20558333333338</v>
      </c>
      <c r="V37" s="335">
        <v>148.2929833333333</v>
      </c>
      <c r="W37" s="335">
        <v>23.255566666666667</v>
      </c>
      <c r="X37" s="335">
        <v>5.7567500000000003</v>
      </c>
      <c r="Y37" s="335">
        <v>22.434149999999999</v>
      </c>
      <c r="Z37" s="335">
        <v>6.8491833333333325</v>
      </c>
      <c r="AA37" s="335">
        <v>21.898083333333332</v>
      </c>
      <c r="AB37" s="335">
        <v>26.677150000000001</v>
      </c>
      <c r="AC37" s="335">
        <v>110.30953333333333</v>
      </c>
      <c r="AD37" s="335">
        <v>2.5390000000000001</v>
      </c>
      <c r="AE37" s="335">
        <v>4.3502999999999998</v>
      </c>
      <c r="AF37" s="335">
        <v>2.8577999999999997</v>
      </c>
      <c r="AG37" s="335">
        <v>10.954616666666666</v>
      </c>
      <c r="AH37" s="335">
        <v>0.44216666666666665</v>
      </c>
      <c r="AI37" s="335">
        <v>2.1312333333333329</v>
      </c>
      <c r="AJ37" s="335">
        <v>1.4095000000000002</v>
      </c>
      <c r="AK37" s="335">
        <v>2.2746</v>
      </c>
      <c r="AL37" s="335">
        <v>0</v>
      </c>
      <c r="AN37" s="39" t="s">
        <v>95</v>
      </c>
      <c r="AO37" s="38" t="s">
        <v>167</v>
      </c>
      <c r="AP37" s="50">
        <v>3.5</v>
      </c>
      <c r="AQ37" s="336">
        <f t="shared" si="6"/>
        <v>7.8119999999999994</v>
      </c>
      <c r="AR37" s="336">
        <f t="shared" si="7"/>
        <v>7.2510310833333342</v>
      </c>
      <c r="AS37" s="336">
        <f t="shared" si="7"/>
        <v>11.355452499999998</v>
      </c>
      <c r="AT37" s="336">
        <f t="shared" si="7"/>
        <v>12.327161</v>
      </c>
      <c r="AU37" s="336">
        <f t="shared" si="7"/>
        <v>4.3586882500000002</v>
      </c>
      <c r="AV37" s="336">
        <f t="shared" si="7"/>
        <v>2.7447519166666665</v>
      </c>
      <c r="AW37" s="336">
        <f t="shared" si="7"/>
        <v>0.9736212500000001</v>
      </c>
      <c r="AX37" s="336">
        <f t="shared" si="7"/>
        <v>6.7711215833333309</v>
      </c>
      <c r="AY37" s="336">
        <f t="shared" si="7"/>
        <v>22.293992583333335</v>
      </c>
      <c r="AZ37" s="336">
        <f t="shared" si="7"/>
        <v>11.911893583333333</v>
      </c>
      <c r="BA37" s="336">
        <f t="shared" si="7"/>
        <v>14.829610833333334</v>
      </c>
      <c r="BB37" s="336">
        <f t="shared" si="7"/>
        <v>1.1443115833333335</v>
      </c>
      <c r="BC37" s="336">
        <f t="shared" si="7"/>
        <v>3.9969101666666664</v>
      </c>
      <c r="BD37" s="336">
        <f t="shared" si="7"/>
        <v>5.1490763333333334</v>
      </c>
      <c r="BE37" s="336">
        <f t="shared" si="7"/>
        <v>12.497315833333335</v>
      </c>
      <c r="BF37" s="336">
        <f t="shared" si="7"/>
        <v>25.417195416666669</v>
      </c>
      <c r="BG37" s="336">
        <f t="shared" si="7"/>
        <v>5.1902544166666651</v>
      </c>
      <c r="BH37" s="336">
        <f t="shared" si="8"/>
        <v>0.81394483333333345</v>
      </c>
      <c r="BI37" s="336">
        <f t="shared" si="8"/>
        <v>0.20148625000000003</v>
      </c>
      <c r="BJ37" s="336">
        <f t="shared" si="8"/>
        <v>0.78519525000000001</v>
      </c>
      <c r="BK37" s="336">
        <f t="shared" si="8"/>
        <v>0.23972141666666666</v>
      </c>
      <c r="BL37" s="336">
        <f t="shared" si="8"/>
        <v>0.76643291666666669</v>
      </c>
      <c r="BM37" s="336">
        <f t="shared" si="8"/>
        <v>0.93370025000000001</v>
      </c>
      <c r="BN37" s="336">
        <f t="shared" si="8"/>
        <v>3.8608336666666667</v>
      </c>
      <c r="BO37" s="336">
        <f t="shared" si="8"/>
        <v>8.8865E-2</v>
      </c>
      <c r="BP37" s="336">
        <f t="shared" si="8"/>
        <v>0.15226049999999999</v>
      </c>
      <c r="BQ37" s="336">
        <f t="shared" si="8"/>
        <v>0.10002299999999999</v>
      </c>
      <c r="BR37" s="336">
        <f t="shared" si="8"/>
        <v>0.38341158333333331</v>
      </c>
      <c r="BS37" s="336">
        <f t="shared" si="8"/>
        <v>1.5475833333333333E-2</v>
      </c>
      <c r="BT37" s="336">
        <f t="shared" si="8"/>
        <v>7.4593166666666655E-2</v>
      </c>
      <c r="BU37" s="336">
        <f t="shared" si="8"/>
        <v>4.9332500000000008E-2</v>
      </c>
      <c r="BV37" s="336">
        <f t="shared" si="8"/>
        <v>7.9611000000000001E-2</v>
      </c>
      <c r="BW37" s="336">
        <f t="shared" si="8"/>
        <v>0</v>
      </c>
      <c r="BX37" s="336"/>
      <c r="BY37" s="284">
        <f t="shared" si="11"/>
        <v>0.11522201041840885</v>
      </c>
      <c r="BZ37" s="284">
        <f t="shared" si="9"/>
        <v>0.18258031383034443</v>
      </c>
      <c r="CA37" s="284">
        <f t="shared" si="9"/>
        <v>0.18423139162203594</v>
      </c>
      <c r="CB37" s="284">
        <f t="shared" si="9"/>
        <v>6.8876617894290268E-2</v>
      </c>
      <c r="CC37" s="284">
        <f t="shared" si="9"/>
        <v>6.923247047995483E-2</v>
      </c>
      <c r="CD37" s="284">
        <f t="shared" si="9"/>
        <v>6.7671608355001425E-2</v>
      </c>
      <c r="CE37" s="284">
        <f t="shared" si="9"/>
        <v>3.3439346298393832E-2</v>
      </c>
      <c r="CF37" s="284">
        <f t="shared" si="9"/>
        <v>7.089673920448919E-2</v>
      </c>
      <c r="CG37" s="284">
        <f t="shared" si="9"/>
        <v>0.11447532660725913</v>
      </c>
      <c r="CH37" s="284">
        <f t="shared" si="9"/>
        <v>0.19528240408580469</v>
      </c>
      <c r="CI37" s="284">
        <f t="shared" si="9"/>
        <v>0.14763083932970106</v>
      </c>
      <c r="CJ37" s="284">
        <f t="shared" si="9"/>
        <v>3.1833329078944587E-2</v>
      </c>
      <c r="CK37" s="284">
        <f t="shared" si="9"/>
        <v>2.1325242504028404E-2</v>
      </c>
      <c r="CL37" s="284">
        <f t="shared" si="9"/>
        <v>4.4071505530459416E-2</v>
      </c>
      <c r="CM37" s="284">
        <f t="shared" si="9"/>
        <v>6.4129377534354978E-2</v>
      </c>
      <c r="CN37" s="284">
        <f t="shared" si="9"/>
        <v>0.11546138110838415</v>
      </c>
      <c r="CO37" s="284">
        <f t="shared" si="9"/>
        <v>4.1436363129299852E-2</v>
      </c>
      <c r="CP37" s="284">
        <f t="shared" si="10"/>
        <v>4.4824914413378256E-2</v>
      </c>
      <c r="CQ37" s="284">
        <f t="shared" si="10"/>
        <v>3.6024978344875468E-2</v>
      </c>
      <c r="CR37" s="284">
        <f t="shared" si="10"/>
        <v>2.8423841127930453E-2</v>
      </c>
      <c r="CS37" s="284">
        <f t="shared" si="10"/>
        <v>2.9997856015461569E-2</v>
      </c>
      <c r="CT37" s="284">
        <f t="shared" si="10"/>
        <v>2.5612999067360531E-2</v>
      </c>
      <c r="CU37" s="284">
        <f t="shared" si="10"/>
        <v>2.6446330664144042E-2</v>
      </c>
      <c r="CV37" s="284">
        <f t="shared" si="10"/>
        <v>2.8751887110136699E-2</v>
      </c>
      <c r="CW37" s="284">
        <f t="shared" si="10"/>
        <v>1.1827467461879662E-2</v>
      </c>
      <c r="CX37" s="284">
        <f t="shared" si="10"/>
        <v>4.4568236696314071E-3</v>
      </c>
      <c r="CY37" s="284">
        <f t="shared" si="10"/>
        <v>4.5300877688709811E-3</v>
      </c>
      <c r="CZ37" s="284">
        <f t="shared" si="10"/>
        <v>1.40142214283042E-2</v>
      </c>
      <c r="DA37" s="284">
        <f t="shared" si="10"/>
        <v>1.2504512172584706E-3</v>
      </c>
      <c r="DB37" s="284">
        <f t="shared" si="10"/>
        <v>1.137033365969064E-2</v>
      </c>
      <c r="DC37" s="284">
        <f t="shared" si="10"/>
        <v>1.3928525738492258E-2</v>
      </c>
      <c r="DD37" s="284">
        <f t="shared" si="10"/>
        <v>1.228558812428587E-2</v>
      </c>
      <c r="DE37" s="284">
        <f t="shared" si="10"/>
        <v>0</v>
      </c>
    </row>
    <row r="38" spans="1:109" s="290" customFormat="1" x14ac:dyDescent="0.2">
      <c r="A38" s="44"/>
      <c r="B38" s="288" t="s">
        <v>96</v>
      </c>
      <c r="C38" s="289" t="s">
        <v>125</v>
      </c>
      <c r="E38" s="284"/>
      <c r="F38" s="335">
        <v>8.5412499999999998</v>
      </c>
      <c r="G38" s="335">
        <v>0.68710000000000004</v>
      </c>
      <c r="H38" s="335">
        <v>2.4905166666666667</v>
      </c>
      <c r="I38" s="335">
        <v>2.4603333333333333</v>
      </c>
      <c r="J38" s="335">
        <v>2.5088500000000002</v>
      </c>
      <c r="K38" s="335">
        <v>7.9399999999999998E-2</v>
      </c>
      <c r="L38" s="335">
        <v>0</v>
      </c>
      <c r="M38" s="335">
        <v>12.341050000000001</v>
      </c>
      <c r="N38" s="335">
        <v>54.26541666666666</v>
      </c>
      <c r="O38" s="335">
        <v>30.002200000000002</v>
      </c>
      <c r="P38" s="335">
        <v>14.392766666666668</v>
      </c>
      <c r="Q38" s="335">
        <v>1.1752499999999999</v>
      </c>
      <c r="R38" s="335">
        <v>40.300199999999997</v>
      </c>
      <c r="S38" s="335">
        <v>229.26563333333334</v>
      </c>
      <c r="T38" s="335">
        <v>152.68095</v>
      </c>
      <c r="U38" s="335">
        <v>250.86873333333332</v>
      </c>
      <c r="V38" s="335">
        <v>52.814366666666665</v>
      </c>
      <c r="W38" s="335">
        <v>8.0043166666666679</v>
      </c>
      <c r="X38" s="335">
        <v>3.4804666666666666</v>
      </c>
      <c r="Y38" s="335">
        <v>12.841566666666667</v>
      </c>
      <c r="Z38" s="335">
        <v>9.227033333333333</v>
      </c>
      <c r="AA38" s="335">
        <v>28.738299999999999</v>
      </c>
      <c r="AB38" s="335">
        <v>96.948133333333331</v>
      </c>
      <c r="AC38" s="335">
        <v>456.21469999999999</v>
      </c>
      <c r="AD38" s="335">
        <v>8.6283333333333339</v>
      </c>
      <c r="AE38" s="335">
        <v>4.9924500000000007</v>
      </c>
      <c r="AF38" s="335">
        <v>10.362</v>
      </c>
      <c r="AG38" s="335">
        <v>31.390383333333336</v>
      </c>
      <c r="AH38" s="335">
        <v>1.5914166666666667</v>
      </c>
      <c r="AI38" s="335">
        <v>9.940666666666667</v>
      </c>
      <c r="AJ38" s="335">
        <v>5.6585333333333336</v>
      </c>
      <c r="AK38" s="335">
        <v>5.6079999999999997</v>
      </c>
      <c r="AL38" s="335">
        <v>0.01</v>
      </c>
      <c r="AN38" s="39" t="s">
        <v>96</v>
      </c>
      <c r="AO38" s="38" t="s">
        <v>167</v>
      </c>
      <c r="AP38" s="50">
        <v>1.96</v>
      </c>
      <c r="AQ38" s="336">
        <f t="shared" si="6"/>
        <v>0.16740849999999999</v>
      </c>
      <c r="AR38" s="336">
        <f t="shared" si="7"/>
        <v>1.3467160000000001E-2</v>
      </c>
      <c r="AS38" s="336">
        <f t="shared" si="7"/>
        <v>4.8814126666666666E-2</v>
      </c>
      <c r="AT38" s="336">
        <f t="shared" si="7"/>
        <v>4.8222533333333331E-2</v>
      </c>
      <c r="AU38" s="336">
        <f t="shared" si="7"/>
        <v>4.9173460000000002E-2</v>
      </c>
      <c r="AV38" s="336">
        <f t="shared" si="7"/>
        <v>1.5562399999999998E-3</v>
      </c>
      <c r="AW38" s="336">
        <f t="shared" si="7"/>
        <v>0</v>
      </c>
      <c r="AX38" s="336">
        <f t="shared" si="7"/>
        <v>0.24188458000000002</v>
      </c>
      <c r="AY38" s="336">
        <f t="shared" si="7"/>
        <v>1.0636021666666664</v>
      </c>
      <c r="AZ38" s="336">
        <f t="shared" si="7"/>
        <v>0.58804312000000003</v>
      </c>
      <c r="BA38" s="336">
        <f t="shared" si="7"/>
        <v>0.28209822666666673</v>
      </c>
      <c r="BB38" s="336">
        <f t="shared" si="7"/>
        <v>2.3034899999999997E-2</v>
      </c>
      <c r="BC38" s="336">
        <f t="shared" si="7"/>
        <v>0.78988391999999985</v>
      </c>
      <c r="BD38" s="336">
        <f t="shared" si="7"/>
        <v>4.4936064133333335</v>
      </c>
      <c r="BE38" s="336">
        <f t="shared" si="7"/>
        <v>2.9925466200000002</v>
      </c>
      <c r="BF38" s="336">
        <f t="shared" si="7"/>
        <v>4.9170271733333326</v>
      </c>
      <c r="BG38" s="336">
        <f t="shared" si="7"/>
        <v>1.0351615866666666</v>
      </c>
      <c r="BH38" s="336">
        <f t="shared" si="8"/>
        <v>0.1568846066666667</v>
      </c>
      <c r="BI38" s="336">
        <f t="shared" si="8"/>
        <v>6.8217146666666673E-2</v>
      </c>
      <c r="BJ38" s="336">
        <f t="shared" si="8"/>
        <v>0.25169470666666666</v>
      </c>
      <c r="BK38" s="336">
        <f t="shared" si="8"/>
        <v>0.18084985333333331</v>
      </c>
      <c r="BL38" s="336">
        <f t="shared" si="8"/>
        <v>0.56327068000000002</v>
      </c>
      <c r="BM38" s="336">
        <f t="shared" si="8"/>
        <v>1.9001834133333333</v>
      </c>
      <c r="BN38" s="336">
        <f t="shared" si="8"/>
        <v>8.9418081199999992</v>
      </c>
      <c r="BO38" s="336">
        <f t="shared" si="8"/>
        <v>0.16911533333333334</v>
      </c>
      <c r="BP38" s="336">
        <f t="shared" si="8"/>
        <v>9.7852020000000012E-2</v>
      </c>
      <c r="BQ38" s="336">
        <f t="shared" si="8"/>
        <v>0.2030952</v>
      </c>
      <c r="BR38" s="336">
        <f t="shared" si="8"/>
        <v>0.61525151333333339</v>
      </c>
      <c r="BS38" s="336">
        <f t="shared" si="8"/>
        <v>3.1191766666666666E-2</v>
      </c>
      <c r="BT38" s="336">
        <f t="shared" si="8"/>
        <v>0.19483706666666667</v>
      </c>
      <c r="BU38" s="336">
        <f t="shared" si="8"/>
        <v>0.11090725333333333</v>
      </c>
      <c r="BV38" s="336">
        <f t="shared" si="8"/>
        <v>0.10991679999999998</v>
      </c>
      <c r="BW38" s="336">
        <f t="shared" si="8"/>
        <v>1.9599999999999999E-4</v>
      </c>
      <c r="BX38" s="336"/>
      <c r="BY38" s="284">
        <f t="shared" si="11"/>
        <v>2.4691684499654628E-3</v>
      </c>
      <c r="BZ38" s="284">
        <f t="shared" si="9"/>
        <v>3.3910188371074002E-4</v>
      </c>
      <c r="CA38" s="284">
        <f t="shared" si="9"/>
        <v>7.9196267049810095E-4</v>
      </c>
      <c r="CB38" s="284">
        <f t="shared" si="9"/>
        <v>2.6943795106551099E-4</v>
      </c>
      <c r="CC38" s="284">
        <f t="shared" si="9"/>
        <v>7.8106070509797055E-4</v>
      </c>
      <c r="CD38" s="284">
        <f t="shared" si="9"/>
        <v>3.8368955367843927E-5</v>
      </c>
      <c r="CE38" s="284">
        <f t="shared" si="9"/>
        <v>0</v>
      </c>
      <c r="CF38" s="284">
        <f t="shared" si="9"/>
        <v>2.5326421590269642E-3</v>
      </c>
      <c r="CG38" s="284">
        <f t="shared" si="9"/>
        <v>5.4613907739602579E-3</v>
      </c>
      <c r="CH38" s="284">
        <f t="shared" si="9"/>
        <v>9.6403206909428194E-3</v>
      </c>
      <c r="CI38" s="284">
        <f t="shared" si="9"/>
        <v>2.8083270993605144E-3</v>
      </c>
      <c r="CJ38" s="284">
        <f t="shared" si="9"/>
        <v>6.4080235023451619E-4</v>
      </c>
      <c r="CK38" s="284">
        <f t="shared" si="9"/>
        <v>4.2143719627505353E-3</v>
      </c>
      <c r="CL38" s="284">
        <f t="shared" si="9"/>
        <v>3.8461267046069156E-2</v>
      </c>
      <c r="CM38" s="284">
        <f t="shared" si="9"/>
        <v>1.5356109627258325E-2</v>
      </c>
      <c r="CN38" s="284">
        <f t="shared" si="9"/>
        <v>2.2336325431414381E-2</v>
      </c>
      <c r="CO38" s="284">
        <f t="shared" si="9"/>
        <v>8.2642059442954163E-3</v>
      </c>
      <c r="CP38" s="284">
        <f t="shared" si="10"/>
        <v>8.6398227233784822E-3</v>
      </c>
      <c r="CQ38" s="284">
        <f t="shared" si="10"/>
        <v>1.2196967442770214E-2</v>
      </c>
      <c r="CR38" s="284">
        <f t="shared" si="10"/>
        <v>9.1112756413572176E-3</v>
      </c>
      <c r="CS38" s="284">
        <f t="shared" si="10"/>
        <v>2.2630885200608936E-2</v>
      </c>
      <c r="CT38" s="284">
        <f t="shared" si="10"/>
        <v>1.8823632294209094E-2</v>
      </c>
      <c r="CU38" s="284">
        <f t="shared" si="10"/>
        <v>5.3821211755630594E-2</v>
      </c>
      <c r="CV38" s="284">
        <f t="shared" si="10"/>
        <v>6.6590244445498506E-2</v>
      </c>
      <c r="CW38" s="284">
        <f t="shared" si="10"/>
        <v>2.2508367774769968E-2</v>
      </c>
      <c r="CX38" s="284">
        <f t="shared" si="10"/>
        <v>2.8642307023636856E-3</v>
      </c>
      <c r="CY38" s="284">
        <f t="shared" si="10"/>
        <v>9.1982752110655128E-3</v>
      </c>
      <c r="CZ38" s="284">
        <f t="shared" si="10"/>
        <v>2.2488290173686514E-2</v>
      </c>
      <c r="DA38" s="284">
        <f t="shared" si="10"/>
        <v>2.520302574774144E-3</v>
      </c>
      <c r="DB38" s="284">
        <f t="shared" si="10"/>
        <v>2.9699268127000772E-2</v>
      </c>
      <c r="DC38" s="284">
        <f t="shared" si="10"/>
        <v>3.1313526227919004E-2</v>
      </c>
      <c r="DD38" s="284">
        <f t="shared" si="10"/>
        <v>1.6962386262444951E-2</v>
      </c>
      <c r="DE38" s="284">
        <f t="shared" si="10"/>
        <v>4.0277869963945055E-4</v>
      </c>
    </row>
    <row r="39" spans="1:109" s="290" customFormat="1" x14ac:dyDescent="0.2">
      <c r="A39" s="44"/>
      <c r="B39" s="288" t="s">
        <v>97</v>
      </c>
      <c r="C39" s="289" t="s">
        <v>125</v>
      </c>
      <c r="E39" s="284"/>
      <c r="F39" s="335">
        <v>9.8633333333333337E-2</v>
      </c>
      <c r="G39" s="335">
        <v>1.3333333333333334E-2</v>
      </c>
      <c r="H39" s="335">
        <v>2.5666666666666671E-2</v>
      </c>
      <c r="I39" s="335">
        <v>2.8983333333333333E-2</v>
      </c>
      <c r="J39" s="335">
        <v>0</v>
      </c>
      <c r="K39" s="335">
        <v>0</v>
      </c>
      <c r="L39" s="335">
        <v>0</v>
      </c>
      <c r="M39" s="335">
        <v>5.4833333333333338E-2</v>
      </c>
      <c r="N39" s="335">
        <v>1.9366833333333331</v>
      </c>
      <c r="O39" s="335">
        <v>8.1347166666666677</v>
      </c>
      <c r="P39" s="335">
        <v>3.5031500000000002</v>
      </c>
      <c r="Q39" s="335">
        <v>2.8028666666666666</v>
      </c>
      <c r="R39" s="335">
        <v>8.5666666666666669E-2</v>
      </c>
      <c r="S39" s="335">
        <v>0.56831666666666669</v>
      </c>
      <c r="T39" s="335">
        <v>0.56904999999999994</v>
      </c>
      <c r="U39" s="335">
        <v>3.0025666666666666</v>
      </c>
      <c r="V39" s="335">
        <v>9.7402666666666686</v>
      </c>
      <c r="W39" s="335">
        <v>7.0572166666666662</v>
      </c>
      <c r="X39" s="335">
        <v>1.6328500000000001</v>
      </c>
      <c r="Y39" s="335">
        <v>5.3116166666666667</v>
      </c>
      <c r="Z39" s="335">
        <v>1.4674666666666667</v>
      </c>
      <c r="AA39" s="335">
        <v>4.5184833333333332</v>
      </c>
      <c r="AB39" s="335">
        <v>7.8673833333333327</v>
      </c>
      <c r="AC39" s="335">
        <v>67.244266666666661</v>
      </c>
      <c r="AD39" s="335">
        <v>1.0316666666666665</v>
      </c>
      <c r="AE39" s="335">
        <v>2.6630166666666666</v>
      </c>
      <c r="AF39" s="335">
        <v>1.6155999999999999</v>
      </c>
      <c r="AG39" s="335">
        <v>1.3305166666666666</v>
      </c>
      <c r="AH39" s="335">
        <v>2.186666666666667E-2</v>
      </c>
      <c r="AI39" s="335">
        <v>0.10651666666666666</v>
      </c>
      <c r="AJ39" s="335">
        <v>0.10051666666666668</v>
      </c>
      <c r="AK39" s="335">
        <v>3.2016666666666665E-2</v>
      </c>
      <c r="AL39" s="335">
        <v>0</v>
      </c>
      <c r="AN39" s="39" t="s">
        <v>97</v>
      </c>
      <c r="AO39" s="38" t="s">
        <v>167</v>
      </c>
      <c r="AP39" s="50">
        <v>6</v>
      </c>
      <c r="AQ39" s="336">
        <f t="shared" si="6"/>
        <v>5.9179999999999996E-3</v>
      </c>
      <c r="AR39" s="336">
        <f t="shared" si="7"/>
        <v>8.0000000000000004E-4</v>
      </c>
      <c r="AS39" s="336">
        <f t="shared" si="7"/>
        <v>1.5400000000000004E-3</v>
      </c>
      <c r="AT39" s="336">
        <f t="shared" si="7"/>
        <v>1.7390000000000001E-3</v>
      </c>
      <c r="AU39" s="336">
        <f t="shared" si="7"/>
        <v>0</v>
      </c>
      <c r="AV39" s="336">
        <f t="shared" si="7"/>
        <v>0</v>
      </c>
      <c r="AW39" s="336">
        <f t="shared" si="7"/>
        <v>0</v>
      </c>
      <c r="AX39" s="336">
        <f t="shared" si="7"/>
        <v>3.29E-3</v>
      </c>
      <c r="AY39" s="336">
        <f t="shared" si="7"/>
        <v>0.11620099999999998</v>
      </c>
      <c r="AZ39" s="336">
        <f t="shared" si="7"/>
        <v>0.48808300000000004</v>
      </c>
      <c r="BA39" s="336">
        <f t="shared" si="7"/>
        <v>0.21018900000000001</v>
      </c>
      <c r="BB39" s="336">
        <f t="shared" si="7"/>
        <v>0.16817199999999999</v>
      </c>
      <c r="BC39" s="336">
        <f t="shared" si="7"/>
        <v>5.1400000000000005E-3</v>
      </c>
      <c r="BD39" s="336">
        <f t="shared" si="7"/>
        <v>3.4099000000000004E-2</v>
      </c>
      <c r="BE39" s="336">
        <f t="shared" si="7"/>
        <v>3.4143E-2</v>
      </c>
      <c r="BF39" s="336">
        <f t="shared" si="7"/>
        <v>0.18015400000000001</v>
      </c>
      <c r="BG39" s="336">
        <f t="shared" si="7"/>
        <v>0.58441600000000005</v>
      </c>
      <c r="BH39" s="336">
        <f t="shared" si="8"/>
        <v>0.423433</v>
      </c>
      <c r="BI39" s="336">
        <f t="shared" si="8"/>
        <v>9.7971000000000003E-2</v>
      </c>
      <c r="BJ39" s="336">
        <f t="shared" si="8"/>
        <v>0.31869700000000001</v>
      </c>
      <c r="BK39" s="336">
        <f t="shared" si="8"/>
        <v>8.8048000000000001E-2</v>
      </c>
      <c r="BL39" s="336">
        <f t="shared" si="8"/>
        <v>0.27110899999999999</v>
      </c>
      <c r="BM39" s="336">
        <f t="shared" si="8"/>
        <v>0.47204299999999999</v>
      </c>
      <c r="BN39" s="336">
        <f t="shared" si="8"/>
        <v>4.034656</v>
      </c>
      <c r="BO39" s="336">
        <f t="shared" si="8"/>
        <v>6.1899999999999997E-2</v>
      </c>
      <c r="BP39" s="336">
        <f t="shared" si="8"/>
        <v>0.15978100000000001</v>
      </c>
      <c r="BQ39" s="336">
        <f t="shared" si="8"/>
        <v>9.6935999999999994E-2</v>
      </c>
      <c r="BR39" s="336">
        <f t="shared" si="8"/>
        <v>7.9830999999999999E-2</v>
      </c>
      <c r="BS39" s="336">
        <f t="shared" si="8"/>
        <v>1.312E-3</v>
      </c>
      <c r="BT39" s="336">
        <f t="shared" si="8"/>
        <v>6.391E-3</v>
      </c>
      <c r="BU39" s="336">
        <f t="shared" si="8"/>
        <v>6.0310000000000008E-3</v>
      </c>
      <c r="BV39" s="336">
        <f t="shared" si="8"/>
        <v>1.921E-3</v>
      </c>
      <c r="BW39" s="336">
        <f t="shared" si="8"/>
        <v>0</v>
      </c>
      <c r="BX39" s="336"/>
      <c r="BY39" s="284">
        <f t="shared" si="11"/>
        <v>8.7286720130074703E-5</v>
      </c>
      <c r="BZ39" s="284">
        <f t="shared" si="9"/>
        <v>2.0143928413161498E-5</v>
      </c>
      <c r="CA39" s="284">
        <f t="shared" si="9"/>
        <v>2.4985031912901357E-5</v>
      </c>
      <c r="CB39" s="284">
        <f t="shared" si="9"/>
        <v>9.7164658203272251E-6</v>
      </c>
      <c r="CC39" s="284">
        <f t="shared" si="9"/>
        <v>0</v>
      </c>
      <c r="CD39" s="284">
        <f t="shared" si="9"/>
        <v>0</v>
      </c>
      <c r="CE39" s="284">
        <f t="shared" si="9"/>
        <v>0</v>
      </c>
      <c r="CF39" s="284">
        <f t="shared" si="9"/>
        <v>3.4447804416464711E-5</v>
      </c>
      <c r="CG39" s="284">
        <f t="shared" si="9"/>
        <v>5.9666959057995774E-4</v>
      </c>
      <c r="CH39" s="284">
        <f t="shared" si="9"/>
        <v>8.0015843800662866E-3</v>
      </c>
      <c r="CI39" s="284">
        <f t="shared" si="9"/>
        <v>2.0924607419988287E-3</v>
      </c>
      <c r="CJ39" s="284">
        <f t="shared" si="9"/>
        <v>4.6783364739434105E-3</v>
      </c>
      <c r="CK39" s="284">
        <f t="shared" si="9"/>
        <v>2.7424120608174625E-5</v>
      </c>
      <c r="CL39" s="284">
        <f t="shared" si="9"/>
        <v>2.9185705742106933E-4</v>
      </c>
      <c r="CM39" s="284">
        <f t="shared" si="9"/>
        <v>1.7520316893291404E-4</v>
      </c>
      <c r="CN39" s="284">
        <f t="shared" si="9"/>
        <v>8.1837627288179214E-4</v>
      </c>
      <c r="CO39" s="284">
        <f t="shared" si="9"/>
        <v>4.6656814195488285E-3</v>
      </c>
      <c r="CP39" s="284">
        <f t="shared" si="10"/>
        <v>2.3318961196755954E-2</v>
      </c>
      <c r="CQ39" s="284">
        <f t="shared" si="10"/>
        <v>1.7516843722218234E-2</v>
      </c>
      <c r="CR39" s="284">
        <f t="shared" si="10"/>
        <v>1.1536739296306303E-2</v>
      </c>
      <c r="CS39" s="284">
        <f t="shared" si="10"/>
        <v>1.1018002743251046E-2</v>
      </c>
      <c r="CT39" s="284">
        <f t="shared" si="10"/>
        <v>9.0600421943686695E-3</v>
      </c>
      <c r="CU39" s="284">
        <f t="shared" si="10"/>
        <v>1.3370249462495641E-2</v>
      </c>
      <c r="CV39" s="284">
        <f t="shared" si="10"/>
        <v>3.0046353677906614E-2</v>
      </c>
      <c r="CW39" s="284">
        <f t="shared" si="10"/>
        <v>8.238566768585507E-3</v>
      </c>
      <c r="CX39" s="284">
        <f t="shared" si="10"/>
        <v>4.6769565498430386E-3</v>
      </c>
      <c r="CY39" s="284">
        <f t="shared" si="10"/>
        <v>4.3902761161260656E-3</v>
      </c>
      <c r="CZ39" s="284">
        <f t="shared" si="10"/>
        <v>2.9179329980500569E-3</v>
      </c>
      <c r="DA39" s="284">
        <f t="shared" si="10"/>
        <v>1.0600992926884585E-4</v>
      </c>
      <c r="DB39" s="284">
        <f t="shared" si="10"/>
        <v>9.7418846345285733E-4</v>
      </c>
      <c r="DC39" s="284">
        <f t="shared" si="10"/>
        <v>1.7027910348927544E-3</v>
      </c>
      <c r="DD39" s="284">
        <f t="shared" si="10"/>
        <v>2.964491689182796E-4</v>
      </c>
      <c r="DE39" s="284">
        <f t="shared" si="10"/>
        <v>0</v>
      </c>
    </row>
    <row r="40" spans="1:109" s="290" customFormat="1" x14ac:dyDescent="0.2">
      <c r="A40" s="44"/>
      <c r="B40" s="288" t="s">
        <v>98</v>
      </c>
      <c r="C40" s="289" t="s">
        <v>125</v>
      </c>
      <c r="E40" s="284"/>
      <c r="F40" s="335">
        <v>1.0122500000000001</v>
      </c>
      <c r="G40" s="335">
        <v>1.1581666666666666</v>
      </c>
      <c r="H40" s="335">
        <v>1.9354666666666667</v>
      </c>
      <c r="I40" s="335">
        <v>2.7768833333333336</v>
      </c>
      <c r="J40" s="335">
        <v>0.3490166666666667</v>
      </c>
      <c r="K40" s="335">
        <v>0.106</v>
      </c>
      <c r="L40" s="335">
        <v>2.1716666666666665E-2</v>
      </c>
      <c r="M40" s="335">
        <v>0.46394999999999992</v>
      </c>
      <c r="N40" s="335">
        <v>2.8614999999999999</v>
      </c>
      <c r="O40" s="335">
        <v>4.1525833333333333</v>
      </c>
      <c r="P40" s="335">
        <v>0.78956666666666664</v>
      </c>
      <c r="Q40" s="335">
        <v>0.24629999999999999</v>
      </c>
      <c r="R40" s="335">
        <v>2.9057499999999998</v>
      </c>
      <c r="S40" s="335">
        <v>3.0209833333333336</v>
      </c>
      <c r="T40" s="335">
        <v>4.6859666666666664</v>
      </c>
      <c r="U40" s="335">
        <v>6.3294500000000005</v>
      </c>
      <c r="V40" s="335">
        <v>0.79089999999999983</v>
      </c>
      <c r="W40" s="335">
        <v>2.6083333333333333E-2</v>
      </c>
      <c r="X40" s="335">
        <v>0</v>
      </c>
      <c r="Y40" s="335">
        <v>2.725E-2</v>
      </c>
      <c r="Z40" s="335">
        <v>4.8399999999999999E-2</v>
      </c>
      <c r="AA40" s="335">
        <v>1.9E-2</v>
      </c>
      <c r="AB40" s="335">
        <v>0.52056666666666673</v>
      </c>
      <c r="AC40" s="335">
        <v>0.86968333333333325</v>
      </c>
      <c r="AD40" s="335">
        <v>7.6149999999999995E-2</v>
      </c>
      <c r="AE40" s="335">
        <v>2.86E-2</v>
      </c>
      <c r="AF40" s="335">
        <v>7.4383333333333343E-2</v>
      </c>
      <c r="AG40" s="335">
        <v>0.10691666666666666</v>
      </c>
      <c r="AH40" s="335">
        <v>1.4100000000000001E-2</v>
      </c>
      <c r="AI40" s="335">
        <v>2.9466666666666669E-2</v>
      </c>
      <c r="AJ40" s="335">
        <v>1.4666666666666668E-2</v>
      </c>
      <c r="AK40" s="335">
        <v>5.4666666666666657E-3</v>
      </c>
      <c r="AL40" s="335">
        <v>1E-3</v>
      </c>
      <c r="AN40" s="39" t="s">
        <v>98</v>
      </c>
      <c r="AO40" s="38" t="s">
        <v>167</v>
      </c>
      <c r="AP40" s="51">
        <v>3.5</v>
      </c>
      <c r="AQ40" s="336">
        <f t="shared" si="6"/>
        <v>3.5428750000000002E-2</v>
      </c>
      <c r="AR40" s="336">
        <f t="shared" si="7"/>
        <v>4.0535833333333333E-2</v>
      </c>
      <c r="AS40" s="336">
        <f t="shared" si="7"/>
        <v>6.7741333333333334E-2</v>
      </c>
      <c r="AT40" s="336">
        <f t="shared" si="7"/>
        <v>9.7190916666666669E-2</v>
      </c>
      <c r="AU40" s="336">
        <f t="shared" si="7"/>
        <v>1.2215583333333335E-2</v>
      </c>
      <c r="AV40" s="336">
        <f t="shared" si="7"/>
        <v>3.7099999999999998E-3</v>
      </c>
      <c r="AW40" s="336">
        <f t="shared" si="7"/>
        <v>7.6008333333333331E-4</v>
      </c>
      <c r="AX40" s="336">
        <f t="shared" si="7"/>
        <v>1.6238249999999996E-2</v>
      </c>
      <c r="AY40" s="336">
        <f t="shared" si="7"/>
        <v>0.10015250000000001</v>
      </c>
      <c r="AZ40" s="336">
        <f t="shared" si="7"/>
        <v>0.14534041666666667</v>
      </c>
      <c r="BA40" s="336">
        <f t="shared" si="7"/>
        <v>2.7634833333333334E-2</v>
      </c>
      <c r="BB40" s="336">
        <f t="shared" si="7"/>
        <v>8.6204999999999997E-3</v>
      </c>
      <c r="BC40" s="336">
        <f t="shared" si="7"/>
        <v>0.10170124999999999</v>
      </c>
      <c r="BD40" s="336">
        <f t="shared" si="7"/>
        <v>0.10573441666666668</v>
      </c>
      <c r="BE40" s="336">
        <f t="shared" si="7"/>
        <v>0.16400883333333333</v>
      </c>
      <c r="BF40" s="336">
        <f t="shared" si="7"/>
        <v>0.22153075</v>
      </c>
      <c r="BG40" s="336">
        <f t="shared" si="7"/>
        <v>2.7681499999999994E-2</v>
      </c>
      <c r="BH40" s="336">
        <f t="shared" si="8"/>
        <v>9.1291666666666659E-4</v>
      </c>
      <c r="BI40" s="336">
        <f t="shared" si="8"/>
        <v>0</v>
      </c>
      <c r="BJ40" s="336">
        <f t="shared" si="8"/>
        <v>9.5375000000000006E-4</v>
      </c>
      <c r="BK40" s="336">
        <f t="shared" si="8"/>
        <v>1.694E-3</v>
      </c>
      <c r="BL40" s="336">
        <f t="shared" si="8"/>
        <v>6.6500000000000001E-4</v>
      </c>
      <c r="BM40" s="336">
        <f t="shared" si="8"/>
        <v>1.8219833333333334E-2</v>
      </c>
      <c r="BN40" s="336">
        <f t="shared" si="8"/>
        <v>3.0438916666666663E-2</v>
      </c>
      <c r="BO40" s="336">
        <f t="shared" si="8"/>
        <v>2.6652500000000001E-3</v>
      </c>
      <c r="BP40" s="336">
        <f t="shared" si="8"/>
        <v>1.0009999999999999E-3</v>
      </c>
      <c r="BQ40" s="336">
        <f t="shared" si="8"/>
        <v>2.6034166666666671E-3</v>
      </c>
      <c r="BR40" s="336">
        <f t="shared" si="8"/>
        <v>3.7420833333333329E-3</v>
      </c>
      <c r="BS40" s="336">
        <f t="shared" si="8"/>
        <v>4.9350000000000002E-4</v>
      </c>
      <c r="BT40" s="336">
        <f t="shared" si="8"/>
        <v>1.0313333333333333E-3</v>
      </c>
      <c r="BU40" s="336">
        <f t="shared" si="8"/>
        <v>5.1333333333333341E-4</v>
      </c>
      <c r="BV40" s="336">
        <f t="shared" si="8"/>
        <v>1.9133333333333329E-4</v>
      </c>
      <c r="BW40" s="336">
        <f t="shared" si="8"/>
        <v>3.5000000000000004E-5</v>
      </c>
      <c r="BX40" s="336"/>
      <c r="BY40" s="284">
        <f t="shared" si="11"/>
        <v>5.2255143389800347E-4</v>
      </c>
      <c r="BZ40" s="284">
        <f t="shared" si="9"/>
        <v>1.0206886560431404E-3</v>
      </c>
      <c r="CA40" s="284">
        <f t="shared" si="9"/>
        <v>1.0990385552959879E-3</v>
      </c>
      <c r="CB40" s="284">
        <f t="shared" si="9"/>
        <v>5.4304325465091331E-4</v>
      </c>
      <c r="CC40" s="284">
        <f t="shared" si="9"/>
        <v>1.9402970894292067E-4</v>
      </c>
      <c r="CD40" s="284">
        <f t="shared" si="9"/>
        <v>9.1469711879080967E-5</v>
      </c>
      <c r="CE40" s="284">
        <f t="shared" si="9"/>
        <v>2.610531538724205E-5</v>
      </c>
      <c r="CF40" s="284">
        <f t="shared" si="9"/>
        <v>1.7002190275551915E-4</v>
      </c>
      <c r="CG40" s="284">
        <f t="shared" si="9"/>
        <v>5.1426365668590828E-4</v>
      </c>
      <c r="CH40" s="284">
        <f t="shared" si="9"/>
        <v>2.3826964016208834E-3</v>
      </c>
      <c r="CI40" s="284">
        <f t="shared" si="9"/>
        <v>2.7510861111514225E-4</v>
      </c>
      <c r="CJ40" s="284">
        <f t="shared" si="9"/>
        <v>2.3981161889987139E-4</v>
      </c>
      <c r="CK40" s="284">
        <f t="shared" si="9"/>
        <v>5.4262010622609319E-4</v>
      </c>
      <c r="CL40" s="284">
        <f t="shared" si="9"/>
        <v>9.0499239615433316E-4</v>
      </c>
      <c r="CM40" s="284">
        <f t="shared" si="9"/>
        <v>8.4160347166300977E-4</v>
      </c>
      <c r="CN40" s="284">
        <f t="shared" si="9"/>
        <v>1.0063362984652467E-3</v>
      </c>
      <c r="CO40" s="284">
        <f t="shared" si="9"/>
        <v>2.2099507921624471E-4</v>
      </c>
      <c r="CP40" s="284">
        <f t="shared" si="10"/>
        <v>5.0275411519347308E-5</v>
      </c>
      <c r="CQ40" s="284">
        <f t="shared" si="10"/>
        <v>0</v>
      </c>
      <c r="CR40" s="284">
        <f t="shared" si="10"/>
        <v>3.4525474365469823E-5</v>
      </c>
      <c r="CS40" s="284">
        <f t="shared" si="10"/>
        <v>2.11980926847484E-4</v>
      </c>
      <c r="CT40" s="284">
        <f t="shared" si="10"/>
        <v>2.2223268350571782E-5</v>
      </c>
      <c r="CU40" s="284">
        <f t="shared" si="10"/>
        <v>5.160625553853361E-4</v>
      </c>
      <c r="CV40" s="284">
        <f t="shared" si="10"/>
        <v>2.2668065275924213E-4</v>
      </c>
      <c r="CW40" s="284">
        <f t="shared" si="10"/>
        <v>3.5473085751167244E-4</v>
      </c>
      <c r="CX40" s="284">
        <f t="shared" si="10"/>
        <v>2.9300314220044194E-5</v>
      </c>
      <c r="CY40" s="284">
        <f t="shared" si="10"/>
        <v>1.1790994070305359E-4</v>
      </c>
      <c r="CZ40" s="284">
        <f t="shared" si="10"/>
        <v>1.3677829965535296E-4</v>
      </c>
      <c r="DA40" s="284">
        <f t="shared" si="10"/>
        <v>3.9874923852267858E-5</v>
      </c>
      <c r="DB40" s="284">
        <f t="shared" si="10"/>
        <v>1.5720748479231944E-4</v>
      </c>
      <c r="DC40" s="284">
        <f t="shared" si="10"/>
        <v>1.4493440522494013E-4</v>
      </c>
      <c r="DD40" s="284">
        <f t="shared" si="10"/>
        <v>2.9526604712665702E-5</v>
      </c>
      <c r="DE40" s="284">
        <f t="shared" si="10"/>
        <v>7.1924767792759043E-5</v>
      </c>
    </row>
    <row r="41" spans="1:109" s="290" customFormat="1" x14ac:dyDescent="0.2">
      <c r="A41" s="44"/>
      <c r="B41" s="288" t="s">
        <v>99</v>
      </c>
      <c r="C41" s="289" t="s">
        <v>125</v>
      </c>
      <c r="E41" s="284"/>
      <c r="F41" s="335">
        <v>66.639800000000008</v>
      </c>
      <c r="G41" s="335">
        <v>13.329883333333333</v>
      </c>
      <c r="H41" s="335">
        <v>3.6095000000000002</v>
      </c>
      <c r="I41" s="335">
        <v>103.19948333333333</v>
      </c>
      <c r="J41" s="335">
        <v>16.617866666666668</v>
      </c>
      <c r="K41" s="335">
        <v>16.201616666666666</v>
      </c>
      <c r="L41" s="335">
        <v>0.80323333333333335</v>
      </c>
      <c r="M41" s="335">
        <v>27.067033333333331</v>
      </c>
      <c r="N41" s="335">
        <v>30.222666666666665</v>
      </c>
      <c r="O41" s="335">
        <v>2.5912333333333333</v>
      </c>
      <c r="P41" s="335">
        <v>4.8383333333333329</v>
      </c>
      <c r="Q41" s="335">
        <v>0.14649999999999999</v>
      </c>
      <c r="R41" s="335">
        <v>5.5002500000000003</v>
      </c>
      <c r="S41" s="335">
        <v>4.1840000000000002</v>
      </c>
      <c r="T41" s="335">
        <v>9.1592000000000002</v>
      </c>
      <c r="U41" s="335">
        <v>11.5665</v>
      </c>
      <c r="V41" s="335">
        <v>2.1704166666666667</v>
      </c>
      <c r="W41" s="335">
        <v>0.54864999999999997</v>
      </c>
      <c r="X41" s="335">
        <v>1.1716666666666667E-2</v>
      </c>
      <c r="Y41" s="335">
        <v>0.16958333333333334</v>
      </c>
      <c r="Z41" s="335">
        <v>0.22541666666666668</v>
      </c>
      <c r="AA41" s="335">
        <v>0.24171666666666666</v>
      </c>
      <c r="AB41" s="335">
        <v>3.556666666666667E-2</v>
      </c>
      <c r="AC41" s="335">
        <v>12.761416666666667</v>
      </c>
      <c r="AD41" s="335">
        <v>0.28416666666666668</v>
      </c>
      <c r="AE41" s="335">
        <v>0.49036666666666667</v>
      </c>
      <c r="AF41" s="335">
        <v>0.15166666666666664</v>
      </c>
      <c r="AG41" s="335">
        <v>1.0155333333333332</v>
      </c>
      <c r="AH41" s="335">
        <v>1.8416666666666665E-2</v>
      </c>
      <c r="AI41" s="335">
        <v>0.2029</v>
      </c>
      <c r="AJ41" s="335">
        <v>4.1349999999999998E-2</v>
      </c>
      <c r="AK41" s="335">
        <v>7.51E-2</v>
      </c>
      <c r="AL41" s="335">
        <v>4.1000000000000003E-3</v>
      </c>
      <c r="AN41" s="39" t="s">
        <v>99</v>
      </c>
      <c r="AO41" s="38" t="s">
        <v>167</v>
      </c>
      <c r="AP41" s="50">
        <v>3.5</v>
      </c>
      <c r="AQ41" s="336">
        <f t="shared" si="6"/>
        <v>2.3323930000000002</v>
      </c>
      <c r="AR41" s="336">
        <f t="shared" si="7"/>
        <v>0.46654591666666667</v>
      </c>
      <c r="AS41" s="336">
        <f t="shared" si="7"/>
        <v>0.12633250000000001</v>
      </c>
      <c r="AT41" s="336">
        <f t="shared" si="7"/>
        <v>3.6119819166666667</v>
      </c>
      <c r="AU41" s="336">
        <f t="shared" si="7"/>
        <v>0.58162533333333333</v>
      </c>
      <c r="AV41" s="336">
        <f t="shared" si="7"/>
        <v>0.56705658333333331</v>
      </c>
      <c r="AW41" s="336">
        <f t="shared" si="7"/>
        <v>2.8113166666666668E-2</v>
      </c>
      <c r="AX41" s="336">
        <f t="shared" si="7"/>
        <v>0.94734616666666649</v>
      </c>
      <c r="AY41" s="336">
        <f t="shared" si="7"/>
        <v>1.0577933333333334</v>
      </c>
      <c r="AZ41" s="336">
        <f t="shared" si="7"/>
        <v>9.0693166666666658E-2</v>
      </c>
      <c r="BA41" s="336">
        <f t="shared" si="7"/>
        <v>0.16934166666666667</v>
      </c>
      <c r="BB41" s="336">
        <f t="shared" si="7"/>
        <v>5.1274999999999992E-3</v>
      </c>
      <c r="BC41" s="336">
        <f t="shared" si="7"/>
        <v>0.19250875000000001</v>
      </c>
      <c r="BD41" s="336">
        <f t="shared" si="7"/>
        <v>0.14644000000000001</v>
      </c>
      <c r="BE41" s="336">
        <f t="shared" si="7"/>
        <v>0.32057200000000002</v>
      </c>
      <c r="BF41" s="336">
        <f t="shared" si="7"/>
        <v>0.40482749999999995</v>
      </c>
      <c r="BG41" s="336">
        <f t="shared" si="7"/>
        <v>7.5964583333333335E-2</v>
      </c>
      <c r="BH41" s="336">
        <f t="shared" si="8"/>
        <v>1.9202750000000001E-2</v>
      </c>
      <c r="BI41" s="336">
        <f t="shared" si="8"/>
        <v>4.1008333333333332E-4</v>
      </c>
      <c r="BJ41" s="336">
        <f t="shared" si="8"/>
        <v>5.9354166666666661E-3</v>
      </c>
      <c r="BK41" s="336">
        <f t="shared" si="8"/>
        <v>7.8895833333333335E-3</v>
      </c>
      <c r="BL41" s="336">
        <f t="shared" si="8"/>
        <v>8.4600833333333333E-3</v>
      </c>
      <c r="BM41" s="336">
        <f t="shared" si="8"/>
        <v>1.2448333333333335E-3</v>
      </c>
      <c r="BN41" s="336">
        <f t="shared" si="8"/>
        <v>0.44664958333333338</v>
      </c>
      <c r="BO41" s="336">
        <f t="shared" si="8"/>
        <v>9.9458333333333343E-3</v>
      </c>
      <c r="BP41" s="336">
        <f t="shared" si="8"/>
        <v>1.7162833333333335E-2</v>
      </c>
      <c r="BQ41" s="336">
        <f t="shared" si="8"/>
        <v>5.3083333333333324E-3</v>
      </c>
      <c r="BR41" s="336">
        <f t="shared" si="8"/>
        <v>3.5543666666666661E-2</v>
      </c>
      <c r="BS41" s="336">
        <f t="shared" si="8"/>
        <v>6.4458333333333327E-4</v>
      </c>
      <c r="BT41" s="336">
        <f t="shared" si="8"/>
        <v>7.1014999999999993E-3</v>
      </c>
      <c r="BU41" s="336">
        <f t="shared" si="8"/>
        <v>1.44725E-3</v>
      </c>
      <c r="BV41" s="336">
        <f t="shared" si="8"/>
        <v>2.6285000000000002E-3</v>
      </c>
      <c r="BW41" s="336">
        <f t="shared" si="8"/>
        <v>1.4350000000000002E-4</v>
      </c>
      <c r="BX41" s="336"/>
      <c r="BY41" s="284">
        <f t="shared" si="11"/>
        <v>3.4401307033515606E-2</v>
      </c>
      <c r="BZ41" s="284">
        <f t="shared" si="9"/>
        <v>1.1747584433482679E-2</v>
      </c>
      <c r="CA41" s="284">
        <f t="shared" si="9"/>
        <v>2.0496243793094869E-3</v>
      </c>
      <c r="CB41" s="284">
        <f t="shared" si="9"/>
        <v>2.0181540446769227E-2</v>
      </c>
      <c r="CC41" s="284">
        <f t="shared" si="9"/>
        <v>9.2384122035784246E-3</v>
      </c>
      <c r="CD41" s="284">
        <f t="shared" si="9"/>
        <v>1.3980728381842606E-2</v>
      </c>
      <c r="CE41" s="284">
        <f t="shared" si="9"/>
        <v>9.6555607810648006E-4</v>
      </c>
      <c r="CF41" s="284">
        <f t="shared" si="9"/>
        <v>9.9191475574531632E-3</v>
      </c>
      <c r="CG41" s="284">
        <f t="shared" si="9"/>
        <v>5.4315635417785469E-3</v>
      </c>
      <c r="CH41" s="284">
        <f t="shared" si="9"/>
        <v>1.4868147953908417E-3</v>
      </c>
      <c r="CI41" s="284">
        <f t="shared" si="9"/>
        <v>1.6858198549146322E-3</v>
      </c>
      <c r="CJ41" s="284">
        <f t="shared" si="9"/>
        <v>1.4264069090065429E-4</v>
      </c>
      <c r="CK41" s="284">
        <f t="shared" si="9"/>
        <v>1.0271173498305325E-3</v>
      </c>
      <c r="CL41" s="284">
        <f t="shared" si="9"/>
        <v>1.2533959203713128E-3</v>
      </c>
      <c r="CM41" s="284">
        <f t="shared" si="9"/>
        <v>1.6449998614990519E-3</v>
      </c>
      <c r="CN41" s="284">
        <f t="shared" si="9"/>
        <v>1.8389889794845169E-3</v>
      </c>
      <c r="CO41" s="284">
        <f t="shared" si="9"/>
        <v>6.0646276796340608E-4</v>
      </c>
      <c r="CP41" s="284">
        <f t="shared" si="10"/>
        <v>1.057518384540188E-3</v>
      </c>
      <c r="CQ41" s="284">
        <f t="shared" si="10"/>
        <v>7.332134675655374E-5</v>
      </c>
      <c r="CR41" s="284">
        <f t="shared" si="10"/>
        <v>2.1486036799306141E-4</v>
      </c>
      <c r="CS41" s="284">
        <f t="shared" si="10"/>
        <v>9.87273428241123E-4</v>
      </c>
      <c r="CT41" s="284">
        <f t="shared" si="10"/>
        <v>2.8272286042837065E-4</v>
      </c>
      <c r="CU41" s="284">
        <f t="shared" si="10"/>
        <v>3.5258932355519857E-5</v>
      </c>
      <c r="CV41" s="284">
        <f t="shared" si="10"/>
        <v>3.3262293863275975E-3</v>
      </c>
      <c r="CW41" s="284">
        <f t="shared" si="10"/>
        <v>1.3237384811937E-3</v>
      </c>
      <c r="CX41" s="284">
        <f t="shared" si="10"/>
        <v>5.0237403553737782E-4</v>
      </c>
      <c r="CY41" s="284">
        <f t="shared" si="10"/>
        <v>2.4041686318570184E-4</v>
      </c>
      <c r="CZ41" s="284">
        <f t="shared" si="10"/>
        <v>1.2991699695401352E-3</v>
      </c>
      <c r="DA41" s="284">
        <f t="shared" si="10"/>
        <v>5.2082495102548437E-5</v>
      </c>
      <c r="DB41" s="284">
        <f t="shared" si="10"/>
        <v>1.0824909048991497E-3</v>
      </c>
      <c r="DC41" s="284">
        <f t="shared" si="10"/>
        <v>4.0861620382167774E-4</v>
      </c>
      <c r="DD41" s="284">
        <f t="shared" si="10"/>
        <v>4.0563073425387713E-4</v>
      </c>
      <c r="DE41" s="284">
        <f t="shared" si="10"/>
        <v>2.9489154795031206E-4</v>
      </c>
    </row>
    <row r="42" spans="1:109" s="290" customFormat="1" x14ac:dyDescent="0.2">
      <c r="A42" s="44"/>
      <c r="B42" s="288" t="s">
        <v>100</v>
      </c>
      <c r="C42" s="289" t="s">
        <v>125</v>
      </c>
      <c r="E42" s="284"/>
      <c r="F42" s="335">
        <v>83.024050000000003</v>
      </c>
      <c r="G42" s="335">
        <v>46.270549999999993</v>
      </c>
      <c r="H42" s="335">
        <v>66.364150000000009</v>
      </c>
      <c r="I42" s="335">
        <v>158.52201666666664</v>
      </c>
      <c r="J42" s="335">
        <v>44.798183333333334</v>
      </c>
      <c r="K42" s="335">
        <v>19.040183333333335</v>
      </c>
      <c r="L42" s="335">
        <v>1.2305833333333334</v>
      </c>
      <c r="M42" s="335">
        <v>32.012016666666668</v>
      </c>
      <c r="N42" s="335">
        <v>138.75553333333332</v>
      </c>
      <c r="O42" s="335">
        <v>17.922033333333335</v>
      </c>
      <c r="P42" s="335">
        <v>19.274466666666665</v>
      </c>
      <c r="Q42" s="335">
        <v>0.46676666666666672</v>
      </c>
      <c r="R42" s="335">
        <v>19.708716666666668</v>
      </c>
      <c r="S42" s="335">
        <v>42.329933333333337</v>
      </c>
      <c r="T42" s="335">
        <v>46.992133333333335</v>
      </c>
      <c r="U42" s="335">
        <v>78.978316666666686</v>
      </c>
      <c r="V42" s="335">
        <v>12.323549999999999</v>
      </c>
      <c r="W42" s="335">
        <v>0.52410000000000001</v>
      </c>
      <c r="X42" s="335">
        <v>0.2875166666666667</v>
      </c>
      <c r="Y42" s="335">
        <v>2.368583333333333</v>
      </c>
      <c r="Z42" s="335">
        <v>2.6097166666666669</v>
      </c>
      <c r="AA42" s="335">
        <v>6.9682500000000012</v>
      </c>
      <c r="AB42" s="335">
        <v>0.36688333333333339</v>
      </c>
      <c r="AC42" s="335">
        <v>31.814716666666669</v>
      </c>
      <c r="AD42" s="335">
        <v>0.52884999999999993</v>
      </c>
      <c r="AE42" s="335">
        <v>0.44304999999999994</v>
      </c>
      <c r="AF42" s="335">
        <v>0.50203333333333333</v>
      </c>
      <c r="AG42" s="335">
        <v>0.92808333333333326</v>
      </c>
      <c r="AH42" s="335">
        <v>8.2916666666666666E-2</v>
      </c>
      <c r="AI42" s="335">
        <v>1.0271833333333333</v>
      </c>
      <c r="AJ42" s="335">
        <v>0.51236666666666675</v>
      </c>
      <c r="AK42" s="335">
        <v>1.2527666666666668</v>
      </c>
      <c r="AL42" s="335">
        <v>3.7749999999999999E-2</v>
      </c>
      <c r="AN42" s="39" t="s">
        <v>100</v>
      </c>
      <c r="AO42" s="38" t="s">
        <v>167</v>
      </c>
      <c r="AP42" s="50">
        <v>3.6</v>
      </c>
      <c r="AQ42" s="336">
        <f t="shared" si="6"/>
        <v>2.9888658000000006</v>
      </c>
      <c r="AR42" s="336">
        <f t="shared" si="7"/>
        <v>1.6657397999999999</v>
      </c>
      <c r="AS42" s="336">
        <f t="shared" si="7"/>
        <v>2.3891094000000006</v>
      </c>
      <c r="AT42" s="336">
        <f t="shared" si="7"/>
        <v>5.7067925999999991</v>
      </c>
      <c r="AU42" s="336">
        <f t="shared" si="7"/>
        <v>1.6127346</v>
      </c>
      <c r="AV42" s="336">
        <f t="shared" si="7"/>
        <v>0.68544660000000013</v>
      </c>
      <c r="AW42" s="336">
        <f t="shared" si="7"/>
        <v>4.4301000000000007E-2</v>
      </c>
      <c r="AX42" s="336">
        <f t="shared" si="7"/>
        <v>1.1524326</v>
      </c>
      <c r="AY42" s="336">
        <f t="shared" si="7"/>
        <v>4.9951991999999992</v>
      </c>
      <c r="AZ42" s="336">
        <f t="shared" si="7"/>
        <v>0.64519320000000002</v>
      </c>
      <c r="BA42" s="336">
        <f t="shared" si="7"/>
        <v>0.69388080000000008</v>
      </c>
      <c r="BB42" s="336">
        <f t="shared" si="7"/>
        <v>1.6803600000000002E-2</v>
      </c>
      <c r="BC42" s="336">
        <f t="shared" si="7"/>
        <v>0.70951379999999997</v>
      </c>
      <c r="BD42" s="336">
        <f t="shared" si="7"/>
        <v>1.5238776000000001</v>
      </c>
      <c r="BE42" s="336">
        <f t="shared" si="7"/>
        <v>1.6917168</v>
      </c>
      <c r="BF42" s="336">
        <f t="shared" si="7"/>
        <v>2.8432194000000011</v>
      </c>
      <c r="BG42" s="336">
        <f t="shared" si="7"/>
        <v>0.44364779999999998</v>
      </c>
      <c r="BH42" s="336">
        <f t="shared" si="8"/>
        <v>1.8867599999999998E-2</v>
      </c>
      <c r="BI42" s="336">
        <f t="shared" si="8"/>
        <v>1.0350600000000001E-2</v>
      </c>
      <c r="BJ42" s="336">
        <f t="shared" si="8"/>
        <v>8.5268999999999998E-2</v>
      </c>
      <c r="BK42" s="336">
        <f t="shared" si="8"/>
        <v>9.39498E-2</v>
      </c>
      <c r="BL42" s="336">
        <f t="shared" si="8"/>
        <v>0.25085700000000005</v>
      </c>
      <c r="BM42" s="336">
        <f t="shared" si="8"/>
        <v>1.3207800000000002E-2</v>
      </c>
      <c r="BN42" s="336">
        <f t="shared" si="8"/>
        <v>1.1453298000000001</v>
      </c>
      <c r="BO42" s="336">
        <f t="shared" si="8"/>
        <v>1.9038599999999999E-2</v>
      </c>
      <c r="BP42" s="336">
        <f t="shared" si="8"/>
        <v>1.59498E-2</v>
      </c>
      <c r="BQ42" s="336">
        <f t="shared" si="8"/>
        <v>1.8073200000000001E-2</v>
      </c>
      <c r="BR42" s="336">
        <f t="shared" si="8"/>
        <v>3.3410999999999996E-2</v>
      </c>
      <c r="BS42" s="336">
        <f t="shared" si="8"/>
        <v>2.9849999999999998E-3</v>
      </c>
      <c r="BT42" s="336">
        <f t="shared" si="8"/>
        <v>3.69786E-2</v>
      </c>
      <c r="BU42" s="336">
        <f t="shared" si="8"/>
        <v>1.8445200000000005E-2</v>
      </c>
      <c r="BV42" s="336">
        <f t="shared" si="8"/>
        <v>4.5099600000000004E-2</v>
      </c>
      <c r="BW42" s="336">
        <f t="shared" si="8"/>
        <v>1.359E-3</v>
      </c>
      <c r="BX42" s="336"/>
      <c r="BY42" s="284">
        <f t="shared" si="11"/>
        <v>4.4083861539532254E-2</v>
      </c>
      <c r="BZ42" s="284">
        <f t="shared" si="9"/>
        <v>4.1943179107692435E-2</v>
      </c>
      <c r="CA42" s="284">
        <f t="shared" si="9"/>
        <v>3.8761022469099099E-2</v>
      </c>
      <c r="CB42" s="284">
        <f t="shared" si="9"/>
        <v>3.1886058218284261E-2</v>
      </c>
      <c r="CC42" s="284">
        <f t="shared" si="9"/>
        <v>2.5616330919400292E-2</v>
      </c>
      <c r="CD42" s="284">
        <f t="shared" si="9"/>
        <v>1.6899623452963794E-2</v>
      </c>
      <c r="CE42" s="284">
        <f t="shared" si="9"/>
        <v>1.5215326086659932E-3</v>
      </c>
      <c r="CF42" s="284">
        <f t="shared" si="9"/>
        <v>1.2066496294212132E-2</v>
      </c>
      <c r="CG42" s="284">
        <f t="shared" si="9"/>
        <v>2.5649378762053102E-2</v>
      </c>
      <c r="CH42" s="284">
        <f t="shared" si="9"/>
        <v>1.0577233444403887E-2</v>
      </c>
      <c r="CI42" s="284">
        <f t="shared" si="9"/>
        <v>6.907679914870621E-3</v>
      </c>
      <c r="CJ42" s="284">
        <f t="shared" si="9"/>
        <v>4.6745531226099178E-4</v>
      </c>
      <c r="CK42" s="284">
        <f t="shared" si="9"/>
        <v>3.7855626506545304E-3</v>
      </c>
      <c r="CL42" s="284">
        <f t="shared" si="9"/>
        <v>1.304303446452627E-2</v>
      </c>
      <c r="CM42" s="284">
        <f t="shared" si="9"/>
        <v>8.6809637201490427E-3</v>
      </c>
      <c r="CN42" s="284">
        <f t="shared" si="9"/>
        <v>1.2915745948228771E-2</v>
      </c>
      <c r="CO42" s="284">
        <f t="shared" si="9"/>
        <v>3.5418593900299008E-3</v>
      </c>
      <c r="CP42" s="284">
        <f t="shared" si="10"/>
        <v>1.0390612736274985E-3</v>
      </c>
      <c r="CQ42" s="284">
        <f t="shared" si="10"/>
        <v>1.8506480757692794E-3</v>
      </c>
      <c r="CR42" s="284">
        <f t="shared" si="10"/>
        <v>3.0867131571892491E-3</v>
      </c>
      <c r="CS42" s="284">
        <f t="shared" si="10"/>
        <v>1.1756532279300916E-2</v>
      </c>
      <c r="CT42" s="284">
        <f t="shared" si="10"/>
        <v>8.3832517723599793E-3</v>
      </c>
      <c r="CU42" s="284">
        <f t="shared" si="10"/>
        <v>3.7410062399135239E-4</v>
      </c>
      <c r="CV42" s="284">
        <f t="shared" si="10"/>
        <v>8.5293477928839664E-3</v>
      </c>
      <c r="CW42" s="284">
        <f t="shared" si="10"/>
        <v>2.5339382436250731E-3</v>
      </c>
      <c r="CX42" s="284">
        <f t="shared" si="10"/>
        <v>4.668672844623985E-4</v>
      </c>
      <c r="CY42" s="284">
        <f t="shared" si="10"/>
        <v>8.1854355762533645E-4</v>
      </c>
      <c r="CZ42" s="284">
        <f t="shared" si="10"/>
        <v>1.2212180656367884E-3</v>
      </c>
      <c r="DA42" s="284">
        <f t="shared" si="10"/>
        <v>2.4118874913681772E-4</v>
      </c>
      <c r="DB42" s="284">
        <f t="shared" si="10"/>
        <v>5.6366962157155106E-3</v>
      </c>
      <c r="DC42" s="284">
        <f t="shared" si="10"/>
        <v>5.2078131647825959E-3</v>
      </c>
      <c r="DD42" s="284">
        <f t="shared" si="10"/>
        <v>6.9597808113205841E-3</v>
      </c>
      <c r="DE42" s="284">
        <f t="shared" si="10"/>
        <v>2.7927359837245577E-3</v>
      </c>
    </row>
    <row r="43" spans="1:109" s="290" customFormat="1" x14ac:dyDescent="0.2">
      <c r="A43" s="44"/>
      <c r="B43" s="288" t="s">
        <v>101</v>
      </c>
      <c r="C43" s="289" t="s">
        <v>125</v>
      </c>
      <c r="E43" s="284"/>
      <c r="F43" s="335">
        <v>0.31280000000000002</v>
      </c>
      <c r="G43" s="335">
        <v>0.10416666666666667</v>
      </c>
      <c r="H43" s="335">
        <v>0.56506666666666672</v>
      </c>
      <c r="I43" s="335">
        <v>0.13436666666666666</v>
      </c>
      <c r="J43" s="335">
        <v>0.21858333333333332</v>
      </c>
      <c r="K43" s="335">
        <v>8.1833333333333327E-2</v>
      </c>
      <c r="L43" s="335">
        <v>7.9416666666666663E-2</v>
      </c>
      <c r="M43" s="335">
        <v>5.0000000000000001E-3</v>
      </c>
      <c r="N43" s="335">
        <v>4.4333333333333336E-2</v>
      </c>
      <c r="O43" s="335">
        <v>2.5416666666666671E-2</v>
      </c>
      <c r="P43" s="335">
        <v>0.12900000000000003</v>
      </c>
      <c r="Q43" s="335">
        <v>4.4650000000000002E-2</v>
      </c>
      <c r="R43" s="335">
        <v>1.8037333333333334</v>
      </c>
      <c r="S43" s="335">
        <v>1.28765</v>
      </c>
      <c r="T43" s="335">
        <v>3.7533166666666671</v>
      </c>
      <c r="U43" s="335">
        <v>2.8566333333333334</v>
      </c>
      <c r="V43" s="335">
        <v>0.62909999999999999</v>
      </c>
      <c r="W43" s="335">
        <v>8.6166666666666669E-2</v>
      </c>
      <c r="X43" s="335">
        <v>8.4999999999999989E-3</v>
      </c>
      <c r="Y43" s="335">
        <v>0.20049999999999998</v>
      </c>
      <c r="Z43" s="335">
        <v>4.1666666666666666E-3</v>
      </c>
      <c r="AA43" s="335">
        <v>0.13286666666666666</v>
      </c>
      <c r="AB43" s="335">
        <v>3.3266666666666674E-2</v>
      </c>
      <c r="AC43" s="335">
        <v>0.32024999999999998</v>
      </c>
      <c r="AD43" s="335">
        <v>4.5466666666666676E-2</v>
      </c>
      <c r="AE43" s="335">
        <v>0.30451666666666671</v>
      </c>
      <c r="AF43" s="335">
        <v>4.4333333333333329E-2</v>
      </c>
      <c r="AG43" s="335">
        <v>0.24904999999999999</v>
      </c>
      <c r="AH43" s="335">
        <v>1.2250000000000002E-2</v>
      </c>
      <c r="AI43" s="335">
        <v>0</v>
      </c>
      <c r="AJ43" s="335">
        <v>0</v>
      </c>
      <c r="AK43" s="335">
        <v>1.5833333333333333E-3</v>
      </c>
      <c r="AL43" s="335">
        <v>0</v>
      </c>
      <c r="AN43" s="39" t="s">
        <v>101</v>
      </c>
      <c r="AO43" s="38" t="s">
        <v>167</v>
      </c>
      <c r="AP43" s="50">
        <v>3.6</v>
      </c>
      <c r="AQ43" s="336">
        <f t="shared" si="6"/>
        <v>1.1260800000000001E-2</v>
      </c>
      <c r="AR43" s="336">
        <f t="shared" si="7"/>
        <v>3.7499999999999999E-3</v>
      </c>
      <c r="AS43" s="336">
        <f t="shared" si="7"/>
        <v>2.03424E-2</v>
      </c>
      <c r="AT43" s="336">
        <f t="shared" si="7"/>
        <v>4.8371999999999998E-3</v>
      </c>
      <c r="AU43" s="336">
        <f t="shared" si="7"/>
        <v>7.8689999999999993E-3</v>
      </c>
      <c r="AV43" s="336">
        <f t="shared" si="7"/>
        <v>2.9459999999999998E-3</v>
      </c>
      <c r="AW43" s="336">
        <f t="shared" si="7"/>
        <v>2.859E-3</v>
      </c>
      <c r="AX43" s="336">
        <f t="shared" si="7"/>
        <v>1.8000000000000001E-4</v>
      </c>
      <c r="AY43" s="336">
        <f t="shared" si="7"/>
        <v>1.5960000000000002E-3</v>
      </c>
      <c r="AZ43" s="336">
        <f t="shared" si="7"/>
        <v>9.1500000000000012E-4</v>
      </c>
      <c r="BA43" s="336">
        <f t="shared" si="7"/>
        <v>4.6440000000000014E-3</v>
      </c>
      <c r="BB43" s="336">
        <f t="shared" si="7"/>
        <v>1.6074000000000001E-3</v>
      </c>
      <c r="BC43" s="336">
        <f t="shared" si="7"/>
        <v>6.4934400000000003E-2</v>
      </c>
      <c r="BD43" s="336">
        <f t="shared" si="7"/>
        <v>4.6355399999999998E-2</v>
      </c>
      <c r="BE43" s="336">
        <f t="shared" si="7"/>
        <v>0.1351194</v>
      </c>
      <c r="BF43" s="336">
        <f t="shared" si="7"/>
        <v>0.10283879999999999</v>
      </c>
      <c r="BG43" s="336">
        <f t="shared" si="7"/>
        <v>2.26476E-2</v>
      </c>
      <c r="BH43" s="336">
        <f t="shared" si="8"/>
        <v>3.1020000000000002E-3</v>
      </c>
      <c r="BI43" s="336">
        <f t="shared" si="8"/>
        <v>3.0599999999999996E-4</v>
      </c>
      <c r="BJ43" s="336">
        <f t="shared" si="8"/>
        <v>7.2179999999999996E-3</v>
      </c>
      <c r="BK43" s="336">
        <f t="shared" si="8"/>
        <v>1.4999999999999999E-4</v>
      </c>
      <c r="BL43" s="336">
        <f t="shared" si="8"/>
        <v>4.7831999999999996E-3</v>
      </c>
      <c r="BM43" s="336">
        <f t="shared" si="8"/>
        <v>1.1976000000000003E-3</v>
      </c>
      <c r="BN43" s="336">
        <f t="shared" si="8"/>
        <v>1.1529000000000001E-2</v>
      </c>
      <c r="BO43" s="336">
        <f t="shared" si="8"/>
        <v>1.6368000000000005E-3</v>
      </c>
      <c r="BP43" s="336">
        <f t="shared" si="8"/>
        <v>1.0962600000000003E-2</v>
      </c>
      <c r="BQ43" s="336">
        <f t="shared" si="8"/>
        <v>1.596E-3</v>
      </c>
      <c r="BR43" s="336">
        <f t="shared" si="8"/>
        <v>8.9658000000000012E-3</v>
      </c>
      <c r="BS43" s="336">
        <f t="shared" si="8"/>
        <v>4.4100000000000009E-4</v>
      </c>
      <c r="BT43" s="336">
        <f t="shared" si="8"/>
        <v>0</v>
      </c>
      <c r="BU43" s="336">
        <f t="shared" si="8"/>
        <v>0</v>
      </c>
      <c r="BV43" s="336">
        <f t="shared" si="8"/>
        <v>5.7000000000000003E-5</v>
      </c>
      <c r="BW43" s="336">
        <f t="shared" si="8"/>
        <v>0</v>
      </c>
      <c r="BX43" s="336"/>
      <c r="BY43" s="284">
        <f t="shared" si="11"/>
        <v>1.6608960764460042E-4</v>
      </c>
      <c r="BZ43" s="284">
        <f t="shared" si="9"/>
        <v>9.4424664436694523E-5</v>
      </c>
      <c r="CA43" s="284">
        <f t="shared" si="9"/>
        <v>3.3003604752273013E-4</v>
      </c>
      <c r="CB43" s="284">
        <f t="shared" si="9"/>
        <v>2.7027307916093648E-5</v>
      </c>
      <c r="CC43" s="284">
        <f t="shared" si="9"/>
        <v>1.2498951036628151E-4</v>
      </c>
      <c r="CD43" s="284">
        <f t="shared" si="9"/>
        <v>7.2633361508294485E-5</v>
      </c>
      <c r="CE43" s="284">
        <f t="shared" si="9"/>
        <v>9.8193307784837222E-5</v>
      </c>
      <c r="CF43" s="284">
        <f t="shared" si="9"/>
        <v>1.8846823084995893E-6</v>
      </c>
      <c r="CG43" s="284">
        <f t="shared" si="9"/>
        <v>8.195150356413567E-6</v>
      </c>
      <c r="CH43" s="284">
        <f t="shared" si="9"/>
        <v>1.500041941178171E-5</v>
      </c>
      <c r="CI43" s="284">
        <f t="shared" si="9"/>
        <v>4.6231666194912974E-5</v>
      </c>
      <c r="CJ43" s="284">
        <f t="shared" si="9"/>
        <v>4.4715874510719023E-5</v>
      </c>
      <c r="CK43" s="284">
        <f t="shared" si="9"/>
        <v>3.4645307728004948E-4</v>
      </c>
      <c r="CL43" s="284">
        <f t="shared" si="9"/>
        <v>3.9676092083570295E-4</v>
      </c>
      <c r="CM43" s="284">
        <f t="shared" si="9"/>
        <v>6.9335872841619036E-4</v>
      </c>
      <c r="CN43" s="284">
        <f t="shared" si="9"/>
        <v>4.6716050629814511E-4</v>
      </c>
      <c r="CO43" s="284">
        <f t="shared" si="9"/>
        <v>1.808069705781054E-4</v>
      </c>
      <c r="CP43" s="284">
        <f t="shared" si="10"/>
        <v>1.7083084604255447E-4</v>
      </c>
      <c r="CQ43" s="284">
        <f t="shared" si="10"/>
        <v>5.4711640985585314E-5</v>
      </c>
      <c r="CR43" s="284">
        <f t="shared" si="10"/>
        <v>2.6128951399209557E-4</v>
      </c>
      <c r="CS43" s="284">
        <f t="shared" si="10"/>
        <v>1.8770448067959029E-5</v>
      </c>
      <c r="CT43" s="284">
        <f t="shared" si="10"/>
        <v>1.5984712357060892E-4</v>
      </c>
      <c r="CU43" s="284">
        <f t="shared" si="10"/>
        <v>3.392108506276925E-5</v>
      </c>
      <c r="CV43" s="284">
        <f t="shared" si="10"/>
        <v>8.5857235797199408E-5</v>
      </c>
      <c r="CW43" s="284">
        <f t="shared" si="10"/>
        <v>2.178495329050204E-4</v>
      </c>
      <c r="CX43" s="284">
        <f t="shared" si="10"/>
        <v>3.2088673793072585E-4</v>
      </c>
      <c r="CY43" s="284">
        <f t="shared" si="10"/>
        <v>7.2283575568800031E-5</v>
      </c>
      <c r="CZ43" s="284">
        <f t="shared" si="10"/>
        <v>3.2771233823849388E-4</v>
      </c>
      <c r="DA43" s="284">
        <f t="shared" si="10"/>
        <v>3.5632910676494691E-5</v>
      </c>
      <c r="DB43" s="284">
        <f t="shared" si="10"/>
        <v>0</v>
      </c>
      <c r="DC43" s="284">
        <f t="shared" si="10"/>
        <v>0</v>
      </c>
      <c r="DD43" s="284">
        <f t="shared" si="10"/>
        <v>8.7962533203237564E-6</v>
      </c>
      <c r="DE43" s="284">
        <f t="shared" si="10"/>
        <v>0</v>
      </c>
    </row>
    <row r="44" spans="1:109" s="290" customFormat="1" x14ac:dyDescent="0.2">
      <c r="A44" s="44"/>
      <c r="B44" s="288" t="s">
        <v>102</v>
      </c>
      <c r="C44" s="289" t="s">
        <v>125</v>
      </c>
      <c r="E44" s="284"/>
      <c r="F44" s="335">
        <v>2876.45</v>
      </c>
      <c r="G44" s="335">
        <v>708.98900000000003</v>
      </c>
      <c r="H44" s="335">
        <v>627.52469999999994</v>
      </c>
      <c r="I44" s="335">
        <v>11286.462066666667</v>
      </c>
      <c r="J44" s="335">
        <v>685.55505000000005</v>
      </c>
      <c r="K44" s="335">
        <v>921.53959999999995</v>
      </c>
      <c r="L44" s="335">
        <v>2.5457166666666668</v>
      </c>
      <c r="M44" s="335">
        <v>4211.7739000000001</v>
      </c>
      <c r="N44" s="335">
        <v>7401.1343000000006</v>
      </c>
      <c r="O44" s="335">
        <v>102.25973333333333</v>
      </c>
      <c r="P44" s="335">
        <v>7.2903166666666666</v>
      </c>
      <c r="Q44" s="335">
        <v>513.99883333333332</v>
      </c>
      <c r="R44" s="335">
        <v>2.8666666666666667</v>
      </c>
      <c r="S44" s="335">
        <v>1.4608333333333332</v>
      </c>
      <c r="T44" s="335">
        <v>40.956800000000001</v>
      </c>
      <c r="U44" s="335">
        <v>1631.7356666666667</v>
      </c>
      <c r="V44" s="335">
        <v>380.10008333333332</v>
      </c>
      <c r="W44" s="335">
        <v>24.571200000000005</v>
      </c>
      <c r="X44" s="335">
        <v>0</v>
      </c>
      <c r="Y44" s="335">
        <v>0</v>
      </c>
      <c r="Z44" s="335">
        <v>0</v>
      </c>
      <c r="AA44" s="335">
        <v>0</v>
      </c>
      <c r="AB44" s="335">
        <v>0</v>
      </c>
      <c r="AC44" s="335">
        <v>1.910466666666667</v>
      </c>
      <c r="AD44" s="335">
        <v>0.21886666666666665</v>
      </c>
      <c r="AE44" s="335">
        <v>0</v>
      </c>
      <c r="AF44" s="335">
        <v>2.0844666666666662</v>
      </c>
      <c r="AG44" s="335">
        <v>1.5754666666666666</v>
      </c>
      <c r="AH44" s="335">
        <v>0</v>
      </c>
      <c r="AI44" s="335">
        <v>0</v>
      </c>
      <c r="AJ44" s="335">
        <v>0</v>
      </c>
      <c r="AK44" s="335">
        <v>0</v>
      </c>
      <c r="AL44" s="335">
        <v>0</v>
      </c>
      <c r="AN44" s="39" t="s">
        <v>102</v>
      </c>
      <c r="AO44" s="38" t="s">
        <v>167</v>
      </c>
      <c r="AP44" s="50">
        <v>0.20799999999999999</v>
      </c>
      <c r="AQ44" s="336">
        <f t="shared" si="6"/>
        <v>5.9830159999999992</v>
      </c>
      <c r="AR44" s="336">
        <f t="shared" si="7"/>
        <v>1.4746971199999999</v>
      </c>
      <c r="AS44" s="336">
        <f t="shared" si="7"/>
        <v>1.305251376</v>
      </c>
      <c r="AT44" s="336">
        <f t="shared" si="7"/>
        <v>23.475841098666663</v>
      </c>
      <c r="AU44" s="336">
        <f t="shared" si="7"/>
        <v>1.4259545040000001</v>
      </c>
      <c r="AV44" s="336">
        <f t="shared" si="7"/>
        <v>1.9168023679999999</v>
      </c>
      <c r="AW44" s="336">
        <f t="shared" si="7"/>
        <v>5.295090666666666E-3</v>
      </c>
      <c r="AX44" s="336">
        <f t="shared" si="7"/>
        <v>8.760489712</v>
      </c>
      <c r="AY44" s="336">
        <f t="shared" si="7"/>
        <v>15.394359344</v>
      </c>
      <c r="AZ44" s="336">
        <f t="shared" si="7"/>
        <v>0.21270024533333332</v>
      </c>
      <c r="BA44" s="336">
        <f t="shared" si="7"/>
        <v>1.5163858666666665E-2</v>
      </c>
      <c r="BB44" s="336">
        <f t="shared" si="7"/>
        <v>1.0691175733333333</v>
      </c>
      <c r="BC44" s="336">
        <f t="shared" si="7"/>
        <v>5.9626666666666665E-3</v>
      </c>
      <c r="BD44" s="336">
        <f t="shared" si="7"/>
        <v>3.0385333333333331E-3</v>
      </c>
      <c r="BE44" s="336">
        <f t="shared" si="7"/>
        <v>8.5190143999999995E-2</v>
      </c>
      <c r="BF44" s="336">
        <f t="shared" si="7"/>
        <v>3.3940101866666668</v>
      </c>
      <c r="BG44" s="336">
        <f t="shared" ref="BG44:BV60" si="12">V44*$AP44/100</f>
        <v>0.79060817333333333</v>
      </c>
      <c r="BH44" s="336">
        <f t="shared" si="8"/>
        <v>5.1108096000000006E-2</v>
      </c>
      <c r="BI44" s="336">
        <f t="shared" si="8"/>
        <v>0</v>
      </c>
      <c r="BJ44" s="336">
        <f t="shared" si="8"/>
        <v>0</v>
      </c>
      <c r="BK44" s="336">
        <f t="shared" si="8"/>
        <v>0</v>
      </c>
      <c r="BL44" s="336">
        <f t="shared" si="8"/>
        <v>0</v>
      </c>
      <c r="BM44" s="336">
        <f t="shared" si="8"/>
        <v>0</v>
      </c>
      <c r="BN44" s="336">
        <f t="shared" si="8"/>
        <v>3.9737706666666669E-3</v>
      </c>
      <c r="BO44" s="336">
        <f t="shared" si="8"/>
        <v>4.552426666666666E-4</v>
      </c>
      <c r="BP44" s="336">
        <f t="shared" si="8"/>
        <v>0</v>
      </c>
      <c r="BQ44" s="336">
        <f t="shared" si="8"/>
        <v>4.335690666666666E-3</v>
      </c>
      <c r="BR44" s="336">
        <f t="shared" si="8"/>
        <v>3.2769706666666665E-3</v>
      </c>
      <c r="BS44" s="336">
        <f t="shared" si="8"/>
        <v>0</v>
      </c>
      <c r="BT44" s="336">
        <f t="shared" si="8"/>
        <v>0</v>
      </c>
      <c r="BU44" s="336">
        <f t="shared" si="8"/>
        <v>0</v>
      </c>
      <c r="BV44" s="336">
        <f t="shared" si="8"/>
        <v>0</v>
      </c>
      <c r="BW44" s="336">
        <f t="shared" ref="BW44:BW64" si="13">AL44*$AP44/100</f>
        <v>0</v>
      </c>
      <c r="BX44" s="336"/>
      <c r="BY44" s="284">
        <f t="shared" si="11"/>
        <v>8.8245664603879517E-2</v>
      </c>
      <c r="BZ44" s="284">
        <f t="shared" si="9"/>
        <v>3.7132741520469283E-2</v>
      </c>
      <c r="CA44" s="284">
        <f t="shared" si="9"/>
        <v>2.1176459275141817E-2</v>
      </c>
      <c r="CB44" s="284">
        <f t="shared" si="9"/>
        <v>0.1311686070377388</v>
      </c>
      <c r="CC44" s="284">
        <f t="shared" si="9"/>
        <v>2.2649555885062123E-2</v>
      </c>
      <c r="CD44" s="284">
        <f t="shared" si="9"/>
        <v>4.7258587690053949E-2</v>
      </c>
      <c r="CE44" s="284">
        <f t="shared" si="9"/>
        <v>1.8186165357839064E-4</v>
      </c>
      <c r="CF44" s="284">
        <f t="shared" si="9"/>
        <v>9.1726333188883666E-2</v>
      </c>
      <c r="CG44" s="284">
        <f t="shared" si="9"/>
        <v>7.9047048536804582E-2</v>
      </c>
      <c r="CH44" s="284">
        <f t="shared" si="9"/>
        <v>3.4869867639222563E-3</v>
      </c>
      <c r="CI44" s="284">
        <f t="shared" si="9"/>
        <v>1.5095832301984736E-4</v>
      </c>
      <c r="CJ44" s="284">
        <f t="shared" si="9"/>
        <v>2.9741524975972235E-2</v>
      </c>
      <c r="CK44" s="284">
        <f t="shared" si="9"/>
        <v>3.1813402687355881E-5</v>
      </c>
      <c r="CL44" s="284">
        <f t="shared" si="9"/>
        <v>2.6007137967169119E-5</v>
      </c>
      <c r="CM44" s="284">
        <f t="shared" si="9"/>
        <v>4.3714914303521286E-4</v>
      </c>
      <c r="CN44" s="284">
        <f t="shared" si="9"/>
        <v>1.5417794812699703E-2</v>
      </c>
      <c r="CO44" s="284">
        <f t="shared" ref="CO44:DD60" si="14">BG44/BG$65</f>
        <v>6.3118153241266033E-3</v>
      </c>
      <c r="CP44" s="284">
        <f t="shared" si="10"/>
        <v>2.8145839069323325E-3</v>
      </c>
      <c r="CQ44" s="284">
        <f t="shared" si="10"/>
        <v>0</v>
      </c>
      <c r="CR44" s="284">
        <f t="shared" si="10"/>
        <v>0</v>
      </c>
      <c r="CS44" s="284">
        <f t="shared" si="10"/>
        <v>0</v>
      </c>
      <c r="CT44" s="284">
        <f t="shared" si="10"/>
        <v>0</v>
      </c>
      <c r="CU44" s="284">
        <f t="shared" si="10"/>
        <v>0</v>
      </c>
      <c r="CV44" s="284">
        <f t="shared" si="10"/>
        <v>2.9592936519385402E-5</v>
      </c>
      <c r="CW44" s="284">
        <f t="shared" si="10"/>
        <v>6.0590421732508054E-5</v>
      </c>
      <c r="CX44" s="284">
        <f t="shared" si="10"/>
        <v>0</v>
      </c>
      <c r="CY44" s="284">
        <f t="shared" si="10"/>
        <v>1.9636542853818356E-4</v>
      </c>
      <c r="CZ44" s="284">
        <f t="shared" si="10"/>
        <v>1.1977779110757425E-4</v>
      </c>
      <c r="DA44" s="284">
        <f t="shared" si="10"/>
        <v>0</v>
      </c>
      <c r="DB44" s="284">
        <f t="shared" si="10"/>
        <v>0</v>
      </c>
      <c r="DC44" s="284">
        <f t="shared" si="10"/>
        <v>0</v>
      </c>
      <c r="DD44" s="284">
        <f t="shared" si="10"/>
        <v>0</v>
      </c>
      <c r="DE44" s="284">
        <f t="shared" ref="DE44:DE64" si="15">BW44/BW$65</f>
        <v>0</v>
      </c>
    </row>
    <row r="45" spans="1:109" s="290" customFormat="1" x14ac:dyDescent="0.2">
      <c r="A45" s="44"/>
      <c r="B45" s="288" t="s">
        <v>103</v>
      </c>
      <c r="C45" s="289" t="s">
        <v>125</v>
      </c>
      <c r="E45" s="284"/>
      <c r="F45" s="335">
        <v>153.0453</v>
      </c>
      <c r="G45" s="335">
        <v>105.93426666666664</v>
      </c>
      <c r="H45" s="335">
        <v>326.07898333333333</v>
      </c>
      <c r="I45" s="335">
        <v>2022.4009833333332</v>
      </c>
      <c r="J45" s="335">
        <v>36.236083333333333</v>
      </c>
      <c r="K45" s="335">
        <v>388.87376666666665</v>
      </c>
      <c r="L45" s="335">
        <v>14.360566666666665</v>
      </c>
      <c r="M45" s="335">
        <v>1966.0422166666699</v>
      </c>
      <c r="N45" s="335">
        <v>835.07979999999998</v>
      </c>
      <c r="O45" s="335">
        <v>24.001333333333335</v>
      </c>
      <c r="P45" s="335">
        <v>15.683783333333333</v>
      </c>
      <c r="Q45" s="335">
        <v>49.706433333333337</v>
      </c>
      <c r="R45" s="335">
        <v>303.80806666666666</v>
      </c>
      <c r="S45" s="335">
        <v>28.540783333333334</v>
      </c>
      <c r="T45" s="335">
        <v>14.799483333333335</v>
      </c>
      <c r="U45" s="335">
        <v>182.03054999999998</v>
      </c>
      <c r="V45" s="335">
        <v>34.741199999999999</v>
      </c>
      <c r="W45" s="335">
        <v>1.7764833333333334</v>
      </c>
      <c r="X45" s="335">
        <v>9.1375666666666664</v>
      </c>
      <c r="Y45" s="335">
        <v>21.142933333333332</v>
      </c>
      <c r="Z45" s="335">
        <v>6.6212499999999999</v>
      </c>
      <c r="AA45" s="335">
        <v>14.586316666666667</v>
      </c>
      <c r="AB45" s="335">
        <v>5.3173666666666657</v>
      </c>
      <c r="AC45" s="335">
        <v>30.339699999999997</v>
      </c>
      <c r="AD45" s="335">
        <v>16.597133333333332</v>
      </c>
      <c r="AE45" s="335">
        <v>1.1898833333333332</v>
      </c>
      <c r="AF45" s="335">
        <v>15.153433333333334</v>
      </c>
      <c r="AG45" s="335">
        <v>2.3442166666666666</v>
      </c>
      <c r="AH45" s="335">
        <v>2.0329166666666669</v>
      </c>
      <c r="AI45" s="335">
        <v>16.873333333333335</v>
      </c>
      <c r="AJ45" s="335">
        <v>9.3286166666667008</v>
      </c>
      <c r="AK45" s="335">
        <v>15.473966666666664</v>
      </c>
      <c r="AL45" s="335">
        <v>6.0887333333333329</v>
      </c>
      <c r="AN45" s="39" t="s">
        <v>103</v>
      </c>
      <c r="AO45" s="38" t="s">
        <v>167</v>
      </c>
      <c r="AP45" s="50">
        <v>0.25600000000000001</v>
      </c>
      <c r="AQ45" s="336">
        <f t="shared" si="6"/>
        <v>0.39179596799999999</v>
      </c>
      <c r="AR45" s="336">
        <f t="shared" ref="AR45:BF50" si="16">G45*$AP45/100</f>
        <v>0.27119172266666663</v>
      </c>
      <c r="AS45" s="336">
        <f t="shared" si="16"/>
        <v>0.83476219733333334</v>
      </c>
      <c r="AT45" s="336">
        <f t="shared" si="16"/>
        <v>5.1773465173333326</v>
      </c>
      <c r="AU45" s="336">
        <f t="shared" si="16"/>
        <v>9.2764373333333344E-2</v>
      </c>
      <c r="AV45" s="336">
        <f t="shared" si="16"/>
        <v>0.99551684266666673</v>
      </c>
      <c r="AW45" s="336">
        <f t="shared" si="16"/>
        <v>3.6763050666666665E-2</v>
      </c>
      <c r="AX45" s="336">
        <f t="shared" si="16"/>
        <v>5.0330680746666756</v>
      </c>
      <c r="AY45" s="336">
        <f t="shared" si="16"/>
        <v>2.1378042879999999</v>
      </c>
      <c r="AZ45" s="336">
        <f t="shared" si="16"/>
        <v>6.1443413333333342E-2</v>
      </c>
      <c r="BA45" s="336">
        <f t="shared" si="16"/>
        <v>4.0150485333333333E-2</v>
      </c>
      <c r="BB45" s="336">
        <f t="shared" si="16"/>
        <v>0.12724846933333334</v>
      </c>
      <c r="BC45" s="336">
        <f t="shared" si="16"/>
        <v>0.77774865066666665</v>
      </c>
      <c r="BD45" s="336">
        <f t="shared" si="16"/>
        <v>7.3064405333333332E-2</v>
      </c>
      <c r="BE45" s="336">
        <f t="shared" si="16"/>
        <v>3.7886677333333341E-2</v>
      </c>
      <c r="BF45" s="336">
        <f t="shared" si="16"/>
        <v>0.46599820799999997</v>
      </c>
      <c r="BG45" s="336">
        <f t="shared" si="12"/>
        <v>8.8937472000000004E-2</v>
      </c>
      <c r="BH45" s="336">
        <f t="shared" si="12"/>
        <v>4.5477973333333341E-3</v>
      </c>
      <c r="BI45" s="336">
        <f t="shared" si="12"/>
        <v>2.3392170666666667E-2</v>
      </c>
      <c r="BJ45" s="336">
        <f t="shared" si="12"/>
        <v>5.4125909333333333E-2</v>
      </c>
      <c r="BK45" s="336">
        <f t="shared" si="12"/>
        <v>1.6950400000000001E-2</v>
      </c>
      <c r="BL45" s="336">
        <f t="shared" si="12"/>
        <v>3.7340970666666667E-2</v>
      </c>
      <c r="BM45" s="336">
        <f t="shared" si="12"/>
        <v>1.3612458666666665E-2</v>
      </c>
      <c r="BN45" s="336">
        <f t="shared" si="12"/>
        <v>7.7669631999999988E-2</v>
      </c>
      <c r="BO45" s="336">
        <f t="shared" si="12"/>
        <v>4.248866133333333E-2</v>
      </c>
      <c r="BP45" s="336">
        <f t="shared" si="12"/>
        <v>3.046101333333333E-3</v>
      </c>
      <c r="BQ45" s="336">
        <f t="shared" si="12"/>
        <v>3.8792789333333334E-2</v>
      </c>
      <c r="BR45" s="336">
        <f t="shared" si="12"/>
        <v>6.0011946666666668E-3</v>
      </c>
      <c r="BS45" s="336">
        <f t="shared" si="12"/>
        <v>5.2042666666666671E-3</v>
      </c>
      <c r="BT45" s="336">
        <f t="shared" si="12"/>
        <v>4.3195733333333333E-2</v>
      </c>
      <c r="BU45" s="336">
        <f t="shared" si="12"/>
        <v>2.3881258666666752E-2</v>
      </c>
      <c r="BV45" s="336">
        <f t="shared" si="12"/>
        <v>3.9613354666666663E-2</v>
      </c>
      <c r="BW45" s="336">
        <f t="shared" si="13"/>
        <v>1.5587157333333332E-2</v>
      </c>
      <c r="BX45" s="336"/>
      <c r="BY45" s="284">
        <f t="shared" si="11"/>
        <v>5.7787402850469254E-3</v>
      </c>
      <c r="BZ45" s="284">
        <f t="shared" si="11"/>
        <v>6.8285833095490991E-3</v>
      </c>
      <c r="CA45" s="284">
        <f t="shared" si="11"/>
        <v>1.3543220870166876E-2</v>
      </c>
      <c r="CB45" s="284">
        <f t="shared" si="11"/>
        <v>2.8927838111362576E-2</v>
      </c>
      <c r="CC45" s="284">
        <f t="shared" si="11"/>
        <v>1.4734494347907331E-3</v>
      </c>
      <c r="CD45" s="284">
        <f t="shared" si="11"/>
        <v>2.4544377026817357E-2</v>
      </c>
      <c r="CE45" s="284">
        <f t="shared" si="11"/>
        <v>1.2626392267301731E-3</v>
      </c>
      <c r="CF45" s="284">
        <f t="shared" si="11"/>
        <v>5.2698524209990959E-2</v>
      </c>
      <c r="CG45" s="284">
        <f t="shared" si="11"/>
        <v>1.0977210258612561E-2</v>
      </c>
      <c r="CH45" s="284">
        <f t="shared" si="11"/>
        <v>1.0072972350726344E-3</v>
      </c>
      <c r="CI45" s="284">
        <f t="shared" si="11"/>
        <v>3.9970366828045116E-4</v>
      </c>
      <c r="CJ45" s="284">
        <f t="shared" si="11"/>
        <v>3.5398946039507345E-3</v>
      </c>
      <c r="CK45" s="284">
        <f t="shared" si="11"/>
        <v>4.1496250581182373E-3</v>
      </c>
      <c r="CL45" s="284">
        <f t="shared" si="11"/>
        <v>6.2536620847552561E-4</v>
      </c>
      <c r="CM45" s="284">
        <f t="shared" si="11"/>
        <v>1.9441366983389879E-4</v>
      </c>
      <c r="CN45" s="284">
        <f t="shared" si="11"/>
        <v>2.1168659959403292E-3</v>
      </c>
      <c r="CO45" s="284">
        <f t="shared" si="14"/>
        <v>7.1003174213581457E-4</v>
      </c>
      <c r="CP45" s="284">
        <f t="shared" si="14"/>
        <v>2.5045263252205239E-4</v>
      </c>
      <c r="CQ45" s="284">
        <f t="shared" si="14"/>
        <v>4.1824315143405445E-3</v>
      </c>
      <c r="CR45" s="284">
        <f t="shared" si="14"/>
        <v>1.9593422754345937E-3</v>
      </c>
      <c r="CS45" s="284">
        <f t="shared" si="14"/>
        <v>2.121110686207552E-3</v>
      </c>
      <c r="CT45" s="284">
        <f t="shared" si="14"/>
        <v>1.2478773106709214E-3</v>
      </c>
      <c r="CU45" s="284">
        <f t="shared" si="14"/>
        <v>3.8556226481749356E-4</v>
      </c>
      <c r="CV45" s="284">
        <f t="shared" si="14"/>
        <v>5.784109557555472E-4</v>
      </c>
      <c r="CW45" s="284">
        <f t="shared" si="14"/>
        <v>5.6550189548058797E-3</v>
      </c>
      <c r="CX45" s="284">
        <f t="shared" si="14"/>
        <v>8.9162563649113126E-5</v>
      </c>
      <c r="CY45" s="284">
        <f t="shared" si="14"/>
        <v>1.7569433078324186E-3</v>
      </c>
      <c r="CZ45" s="284">
        <f t="shared" si="14"/>
        <v>2.1935193027255927E-4</v>
      </c>
      <c r="DA45" s="284">
        <f t="shared" si="14"/>
        <v>4.2050605276642189E-4</v>
      </c>
      <c r="DB45" s="284">
        <f t="shared" si="14"/>
        <v>6.5843819564574196E-3</v>
      </c>
      <c r="DC45" s="284">
        <f t="shared" si="14"/>
        <v>6.7426286120966725E-3</v>
      </c>
      <c r="DD45" s="284">
        <f t="shared" si="14"/>
        <v>6.1131421494005122E-3</v>
      </c>
      <c r="DE45" s="284">
        <f t="shared" si="15"/>
        <v>3.2031504907120027E-2</v>
      </c>
    </row>
    <row r="46" spans="1:109" s="290" customFormat="1" x14ac:dyDescent="0.2">
      <c r="A46" s="44"/>
      <c r="B46" s="288" t="s">
        <v>104</v>
      </c>
      <c r="C46" s="289" t="s">
        <v>125</v>
      </c>
      <c r="E46" s="284"/>
      <c r="F46" s="335">
        <v>1.6666666666666669E-10</v>
      </c>
      <c r="G46" s="335">
        <v>1.6666666666666669E-10</v>
      </c>
      <c r="H46" s="335">
        <v>1.6666666666666669E-10</v>
      </c>
      <c r="I46" s="335">
        <v>1.6666666666666669E-10</v>
      </c>
      <c r="J46" s="335">
        <v>1.6666666666666669E-10</v>
      </c>
      <c r="K46" s="335">
        <v>1.6666666666666669E-10</v>
      </c>
      <c r="L46" s="335">
        <v>1.6666666666666669E-10</v>
      </c>
      <c r="M46" s="335">
        <v>1.6666666666666669E-10</v>
      </c>
      <c r="N46" s="335">
        <v>1.6666666666666669E-10</v>
      </c>
      <c r="O46" s="335">
        <v>1.6666666666666669E-10</v>
      </c>
      <c r="P46" s="335">
        <v>1.6666666666666669E-10</v>
      </c>
      <c r="Q46" s="335">
        <v>1.6666666666666669E-10</v>
      </c>
      <c r="R46" s="335">
        <v>1.6666666666666669E-10</v>
      </c>
      <c r="S46" s="335">
        <v>1.6666666666666669E-10</v>
      </c>
      <c r="T46" s="335">
        <v>1.6666666666666669E-10</v>
      </c>
      <c r="U46" s="335">
        <v>1.6666666666666669E-10</v>
      </c>
      <c r="V46" s="335">
        <v>1.6666666666666669E-10</v>
      </c>
      <c r="W46" s="335">
        <v>1.6666666666666669E-10</v>
      </c>
      <c r="X46" s="335">
        <v>1.6666666666666669E-10</v>
      </c>
      <c r="Y46" s="335">
        <v>1.6666666666666669E-10</v>
      </c>
      <c r="Z46" s="335">
        <v>1.6666666666666669E-10</v>
      </c>
      <c r="AA46" s="335">
        <v>1.6666666666666669E-10</v>
      </c>
      <c r="AB46" s="335">
        <v>1.6666666666666669E-10</v>
      </c>
      <c r="AC46" s="335">
        <v>1.6666666666666669E-10</v>
      </c>
      <c r="AD46" s="335">
        <v>1.6666666666666669E-10</v>
      </c>
      <c r="AE46" s="335">
        <v>1.6666666666666669E-10</v>
      </c>
      <c r="AF46" s="335">
        <v>1.6666666666666669E-10</v>
      </c>
      <c r="AG46" s="335">
        <v>1.6666666666666669E-10</v>
      </c>
      <c r="AH46" s="335">
        <v>1.6666666666666669E-10</v>
      </c>
      <c r="AI46" s="335">
        <v>1.6666666666666669E-10</v>
      </c>
      <c r="AJ46" s="335">
        <v>1.6666666666666669E-10</v>
      </c>
      <c r="AK46" s="335">
        <v>1.6666666666666669E-10</v>
      </c>
      <c r="AL46" s="335">
        <v>1.6666666666666669E-10</v>
      </c>
      <c r="AN46" s="39" t="s">
        <v>104</v>
      </c>
      <c r="AO46" s="38" t="s">
        <v>167</v>
      </c>
      <c r="AP46" s="50">
        <v>0.23</v>
      </c>
      <c r="AQ46" s="336">
        <f t="shared" si="6"/>
        <v>3.8333333333333338E-13</v>
      </c>
      <c r="AR46" s="336">
        <f t="shared" si="16"/>
        <v>3.8333333333333338E-13</v>
      </c>
      <c r="AS46" s="336">
        <f t="shared" si="16"/>
        <v>3.8333333333333338E-13</v>
      </c>
      <c r="AT46" s="336">
        <f t="shared" si="16"/>
        <v>3.8333333333333338E-13</v>
      </c>
      <c r="AU46" s="336">
        <f t="shared" si="16"/>
        <v>3.8333333333333338E-13</v>
      </c>
      <c r="AV46" s="336">
        <f t="shared" si="16"/>
        <v>3.8333333333333338E-13</v>
      </c>
      <c r="AW46" s="336">
        <f t="shared" si="16"/>
        <v>3.8333333333333338E-13</v>
      </c>
      <c r="AX46" s="336">
        <f t="shared" si="16"/>
        <v>3.8333333333333338E-13</v>
      </c>
      <c r="AY46" s="336">
        <f t="shared" si="16"/>
        <v>3.8333333333333338E-13</v>
      </c>
      <c r="AZ46" s="336">
        <f t="shared" si="16"/>
        <v>3.8333333333333338E-13</v>
      </c>
      <c r="BA46" s="336">
        <f t="shared" si="16"/>
        <v>3.8333333333333338E-13</v>
      </c>
      <c r="BB46" s="336">
        <f t="shared" si="16"/>
        <v>3.8333333333333338E-13</v>
      </c>
      <c r="BC46" s="336">
        <f t="shared" si="16"/>
        <v>3.8333333333333338E-13</v>
      </c>
      <c r="BD46" s="336">
        <f t="shared" si="16"/>
        <v>3.8333333333333338E-13</v>
      </c>
      <c r="BE46" s="336">
        <f t="shared" si="16"/>
        <v>3.8333333333333338E-13</v>
      </c>
      <c r="BF46" s="336">
        <f t="shared" si="16"/>
        <v>3.8333333333333338E-13</v>
      </c>
      <c r="BG46" s="336">
        <f t="shared" si="12"/>
        <v>3.8333333333333338E-13</v>
      </c>
      <c r="BH46" s="336">
        <f t="shared" si="12"/>
        <v>3.8333333333333338E-13</v>
      </c>
      <c r="BI46" s="336">
        <f t="shared" si="12"/>
        <v>3.8333333333333338E-13</v>
      </c>
      <c r="BJ46" s="336">
        <f t="shared" si="12"/>
        <v>3.8333333333333338E-13</v>
      </c>
      <c r="BK46" s="336">
        <f t="shared" si="12"/>
        <v>3.8333333333333338E-13</v>
      </c>
      <c r="BL46" s="336">
        <f t="shared" si="12"/>
        <v>3.8333333333333338E-13</v>
      </c>
      <c r="BM46" s="336">
        <f t="shared" si="12"/>
        <v>3.8333333333333338E-13</v>
      </c>
      <c r="BN46" s="336">
        <f t="shared" si="12"/>
        <v>3.8333333333333338E-13</v>
      </c>
      <c r="BO46" s="336">
        <f t="shared" si="12"/>
        <v>3.8333333333333338E-13</v>
      </c>
      <c r="BP46" s="336">
        <f t="shared" si="12"/>
        <v>3.8333333333333338E-13</v>
      </c>
      <c r="BQ46" s="336">
        <f t="shared" si="12"/>
        <v>3.8333333333333338E-13</v>
      </c>
      <c r="BR46" s="336">
        <f t="shared" si="12"/>
        <v>3.8333333333333338E-13</v>
      </c>
      <c r="BS46" s="336">
        <f t="shared" si="12"/>
        <v>3.8333333333333338E-13</v>
      </c>
      <c r="BT46" s="336">
        <f t="shared" si="12"/>
        <v>3.8333333333333338E-13</v>
      </c>
      <c r="BU46" s="336">
        <f t="shared" si="12"/>
        <v>3.8333333333333338E-13</v>
      </c>
      <c r="BV46" s="336">
        <f t="shared" si="12"/>
        <v>3.8333333333333338E-13</v>
      </c>
      <c r="BW46" s="336">
        <f t="shared" si="13"/>
        <v>3.8333333333333338E-13</v>
      </c>
      <c r="BX46" s="336"/>
      <c r="BY46" s="284">
        <f t="shared" si="11"/>
        <v>5.6539218288603088E-15</v>
      </c>
      <c r="BZ46" s="284">
        <f t="shared" si="11"/>
        <v>9.6522990313065521E-15</v>
      </c>
      <c r="CA46" s="284">
        <f t="shared" si="11"/>
        <v>6.2192179003975233E-15</v>
      </c>
      <c r="CB46" s="284">
        <f t="shared" si="11"/>
        <v>2.1418316452705213E-15</v>
      </c>
      <c r="CC46" s="284">
        <f t="shared" si="11"/>
        <v>6.088784552091489E-15</v>
      </c>
      <c r="CD46" s="284">
        <f t="shared" si="11"/>
        <v>9.4510483972096261E-15</v>
      </c>
      <c r="CE46" s="284">
        <f t="shared" si="11"/>
        <v>1.3165711082262192E-14</v>
      </c>
      <c r="CF46" s="284">
        <f t="shared" si="11"/>
        <v>4.0136752866194962E-15</v>
      </c>
      <c r="CG46" s="284">
        <f t="shared" si="11"/>
        <v>1.9683422952956563E-15</v>
      </c>
      <c r="CH46" s="284">
        <f t="shared" si="11"/>
        <v>6.2843287153183846E-15</v>
      </c>
      <c r="CI46" s="284">
        <f t="shared" si="11"/>
        <v>3.8161366727067115E-15</v>
      </c>
      <c r="CJ46" s="284">
        <f t="shared" si="11"/>
        <v>1.0663857925288639E-14</v>
      </c>
      <c r="CK46" s="284">
        <f t="shared" si="11"/>
        <v>2.0452489428924008E-15</v>
      </c>
      <c r="CL46" s="284">
        <f t="shared" si="11"/>
        <v>3.2809917791746556E-15</v>
      </c>
      <c r="CM46" s="284">
        <f t="shared" si="11"/>
        <v>1.9670566370154077E-15</v>
      </c>
      <c r="CN46" s="284">
        <f t="shared" si="11"/>
        <v>1.7413485384986567E-15</v>
      </c>
      <c r="CO46" s="284">
        <f t="shared" si="14"/>
        <v>3.0603392289517246E-15</v>
      </c>
      <c r="CP46" s="284">
        <f t="shared" si="14"/>
        <v>2.1110624645275917E-14</v>
      </c>
      <c r="CQ46" s="284">
        <f t="shared" si="14"/>
        <v>6.8538548075624321E-14</v>
      </c>
      <c r="CR46" s="284">
        <f t="shared" si="14"/>
        <v>1.3876555883019764E-14</v>
      </c>
      <c r="CS46" s="284">
        <f t="shared" si="14"/>
        <v>4.7968922840339754E-14</v>
      </c>
      <c r="CT46" s="284">
        <f t="shared" si="14"/>
        <v>1.2810405314865941E-14</v>
      </c>
      <c r="CU46" s="284">
        <f t="shared" si="14"/>
        <v>1.0857617407644353E-14</v>
      </c>
      <c r="CV46" s="284">
        <f t="shared" si="14"/>
        <v>2.8547090284436157E-15</v>
      </c>
      <c r="CW46" s="284">
        <f t="shared" si="14"/>
        <v>5.1019664964315211E-14</v>
      </c>
      <c r="CX46" s="284">
        <f t="shared" si="14"/>
        <v>1.1220566551132477E-14</v>
      </c>
      <c r="CY46" s="284">
        <f t="shared" si="14"/>
        <v>1.7361343338370938E-14</v>
      </c>
      <c r="CZ46" s="284">
        <f t="shared" si="14"/>
        <v>1.40113612830336E-14</v>
      </c>
      <c r="DA46" s="284">
        <f t="shared" si="14"/>
        <v>3.0973429537391449E-14</v>
      </c>
      <c r="DB46" s="284">
        <f t="shared" si="14"/>
        <v>5.8431999842006259E-14</v>
      </c>
      <c r="DC46" s="284">
        <f t="shared" si="14"/>
        <v>1.0823023766797477E-13</v>
      </c>
      <c r="DD46" s="284">
        <f t="shared" si="14"/>
        <v>5.9156089581124686E-14</v>
      </c>
      <c r="DE46" s="284">
        <f t="shared" si="15"/>
        <v>7.8774745677783715E-13</v>
      </c>
    </row>
    <row r="47" spans="1:109" s="290" customFormat="1" x14ac:dyDescent="0.2">
      <c r="A47" s="44"/>
      <c r="B47" s="288" t="s">
        <v>105</v>
      </c>
      <c r="C47" s="289" t="s">
        <v>125</v>
      </c>
      <c r="E47" s="284"/>
      <c r="F47" s="335">
        <v>0.48096666666666671</v>
      </c>
      <c r="G47" s="335">
        <v>4.99E-2</v>
      </c>
      <c r="H47" s="335">
        <v>5.9558500000000008</v>
      </c>
      <c r="I47" s="335">
        <v>49.95053333333334</v>
      </c>
      <c r="J47" s="335">
        <v>3.386666666666667E-2</v>
      </c>
      <c r="K47" s="335">
        <v>1.7933333333333332E-2</v>
      </c>
      <c r="L47" s="335">
        <v>5.8216666666666667E-2</v>
      </c>
      <c r="M47" s="335">
        <v>95.800349999999995</v>
      </c>
      <c r="N47" s="335">
        <v>0.53296666666666659</v>
      </c>
      <c r="O47" s="335">
        <v>1.0792999999999999</v>
      </c>
      <c r="P47" s="335">
        <v>3.068333333333333E-2</v>
      </c>
      <c r="Q47" s="335">
        <v>4.505E-2</v>
      </c>
      <c r="R47" s="335">
        <v>61.311616666666659</v>
      </c>
      <c r="S47" s="335">
        <v>1.7093666666666667</v>
      </c>
      <c r="T47" s="335">
        <v>0.40250000000000002</v>
      </c>
      <c r="U47" s="335">
        <v>1.8285</v>
      </c>
      <c r="V47" s="335">
        <v>1.7251333333333332</v>
      </c>
      <c r="W47" s="335">
        <v>1.86385</v>
      </c>
      <c r="X47" s="335">
        <v>1.6400000000000001E-2</v>
      </c>
      <c r="Y47" s="335">
        <v>0.20479999999999998</v>
      </c>
      <c r="Z47" s="335">
        <v>9.2000000000000016E-3</v>
      </c>
      <c r="AA47" s="335">
        <v>0.19614999999999996</v>
      </c>
      <c r="AB47" s="335">
        <v>2.7833333333333334E-3</v>
      </c>
      <c r="AC47" s="335">
        <v>2.3958166666666667</v>
      </c>
      <c r="AD47" s="335">
        <v>0.62868333333333337</v>
      </c>
      <c r="AE47" s="335">
        <v>0.72294999999999987</v>
      </c>
      <c r="AF47" s="335">
        <v>4.3814166666666674</v>
      </c>
      <c r="AG47" s="335">
        <v>0.10725</v>
      </c>
      <c r="AH47" s="335">
        <v>7.1500000000000001E-3</v>
      </c>
      <c r="AI47" s="335">
        <v>0.14115</v>
      </c>
      <c r="AJ47" s="335">
        <v>0.12943333333333334</v>
      </c>
      <c r="AK47" s="335">
        <v>0.23186666666666667</v>
      </c>
      <c r="AL47" s="335">
        <v>2.0900000000000002E-2</v>
      </c>
      <c r="AN47" s="39" t="s">
        <v>105</v>
      </c>
      <c r="AO47" s="38" t="s">
        <v>167</v>
      </c>
      <c r="AP47" s="50">
        <v>0.5</v>
      </c>
      <c r="AQ47" s="336">
        <f t="shared" si="6"/>
        <v>2.4048333333333335E-3</v>
      </c>
      <c r="AR47" s="336">
        <f t="shared" si="16"/>
        <v>2.4949999999999999E-4</v>
      </c>
      <c r="AS47" s="336">
        <f t="shared" si="16"/>
        <v>2.9779250000000004E-2</v>
      </c>
      <c r="AT47" s="336">
        <f t="shared" si="16"/>
        <v>0.24975266666666671</v>
      </c>
      <c r="AU47" s="336">
        <f t="shared" si="16"/>
        <v>1.6933333333333335E-4</v>
      </c>
      <c r="AV47" s="336">
        <f t="shared" si="16"/>
        <v>8.966666666666666E-5</v>
      </c>
      <c r="AW47" s="336">
        <f t="shared" si="16"/>
        <v>2.9108333333333335E-4</v>
      </c>
      <c r="AX47" s="336">
        <f t="shared" si="16"/>
        <v>0.47900174999999995</v>
      </c>
      <c r="AY47" s="336">
        <f t="shared" si="16"/>
        <v>2.6648333333333329E-3</v>
      </c>
      <c r="AZ47" s="336">
        <f t="shared" si="16"/>
        <v>5.3964999999999994E-3</v>
      </c>
      <c r="BA47" s="336">
        <f t="shared" si="16"/>
        <v>1.5341666666666664E-4</v>
      </c>
      <c r="BB47" s="336">
        <f t="shared" si="16"/>
        <v>2.2525E-4</v>
      </c>
      <c r="BC47" s="336">
        <f t="shared" si="16"/>
        <v>0.30655808333333329</v>
      </c>
      <c r="BD47" s="336">
        <f t="shared" si="16"/>
        <v>8.5468333333333334E-3</v>
      </c>
      <c r="BE47" s="336">
        <f t="shared" si="16"/>
        <v>2.0125E-3</v>
      </c>
      <c r="BF47" s="336">
        <f t="shared" si="16"/>
        <v>9.1424999999999996E-3</v>
      </c>
      <c r="BG47" s="336">
        <f t="shared" si="12"/>
        <v>8.6256666666666652E-3</v>
      </c>
      <c r="BH47" s="336">
        <f t="shared" si="12"/>
        <v>9.3192499999999994E-3</v>
      </c>
      <c r="BI47" s="336">
        <f t="shared" si="12"/>
        <v>8.2000000000000001E-5</v>
      </c>
      <c r="BJ47" s="336">
        <f t="shared" si="12"/>
        <v>1.024E-3</v>
      </c>
      <c r="BK47" s="336">
        <f t="shared" si="12"/>
        <v>4.6000000000000007E-5</v>
      </c>
      <c r="BL47" s="336">
        <f t="shared" si="12"/>
        <v>9.8074999999999985E-4</v>
      </c>
      <c r="BM47" s="336">
        <f t="shared" si="12"/>
        <v>1.3916666666666667E-5</v>
      </c>
      <c r="BN47" s="336">
        <f t="shared" si="12"/>
        <v>1.1979083333333333E-2</v>
      </c>
      <c r="BO47" s="336">
        <f t="shared" si="12"/>
        <v>3.1434166666666668E-3</v>
      </c>
      <c r="BP47" s="336">
        <f t="shared" si="12"/>
        <v>3.6147499999999995E-3</v>
      </c>
      <c r="BQ47" s="336">
        <f t="shared" si="12"/>
        <v>2.1907083333333337E-2</v>
      </c>
      <c r="BR47" s="336">
        <f t="shared" si="12"/>
        <v>5.3624999999999994E-4</v>
      </c>
      <c r="BS47" s="336">
        <f t="shared" si="12"/>
        <v>3.5750000000000002E-5</v>
      </c>
      <c r="BT47" s="336">
        <f t="shared" si="12"/>
        <v>7.0575E-4</v>
      </c>
      <c r="BU47" s="336">
        <f t="shared" si="12"/>
        <v>6.4716666666666677E-4</v>
      </c>
      <c r="BV47" s="336">
        <f t="shared" si="12"/>
        <v>1.1593333333333334E-3</v>
      </c>
      <c r="BW47" s="336">
        <f t="shared" si="13"/>
        <v>1.0450000000000001E-4</v>
      </c>
      <c r="BX47" s="54"/>
      <c r="BY47" s="284">
        <f t="shared" si="11"/>
        <v>3.5469755682011042E-5</v>
      </c>
      <c r="BZ47" s="284">
        <f t="shared" si="11"/>
        <v>6.2823876738547425E-6</v>
      </c>
      <c r="CA47" s="284">
        <f t="shared" si="11"/>
        <v>4.8313994259238159E-4</v>
      </c>
      <c r="CB47" s="284">
        <f t="shared" si="11"/>
        <v>1.3954647781496525E-3</v>
      </c>
      <c r="CC47" s="284">
        <f t="shared" si="11"/>
        <v>2.6896543934456316E-6</v>
      </c>
      <c r="CD47" s="284">
        <f t="shared" si="11"/>
        <v>2.2107234946516425E-6</v>
      </c>
      <c r="CE47" s="284">
        <f t="shared" si="11"/>
        <v>9.9973540892047456E-6</v>
      </c>
      <c r="CF47" s="284">
        <f t="shared" si="11"/>
        <v>5.0153673553630165E-3</v>
      </c>
      <c r="CG47" s="284">
        <f t="shared" si="11"/>
        <v>1.3683402156296626E-5</v>
      </c>
      <c r="CH47" s="284">
        <f t="shared" si="11"/>
        <v>8.8469686727519098E-5</v>
      </c>
      <c r="CI47" s="284">
        <f t="shared" si="11"/>
        <v>1.5272842640115335E-6</v>
      </c>
      <c r="CJ47" s="284">
        <f t="shared" si="11"/>
        <v>6.266175646098954E-6</v>
      </c>
      <c r="CK47" s="284">
        <f t="shared" si="11"/>
        <v>1.6356198153198792E-3</v>
      </c>
      <c r="CL47" s="284">
        <f t="shared" si="11"/>
        <v>7.315327801211109E-5</v>
      </c>
      <c r="CM47" s="284">
        <f t="shared" si="11"/>
        <v>1.0327047344330889E-5</v>
      </c>
      <c r="CN47" s="284">
        <f t="shared" si="11"/>
        <v>4.153116264319296E-5</v>
      </c>
      <c r="CO47" s="284">
        <f t="shared" si="14"/>
        <v>6.8862954980507615E-5</v>
      </c>
      <c r="CP47" s="284">
        <f t="shared" si="14"/>
        <v>5.1322223145779361E-4</v>
      </c>
      <c r="CQ47" s="284">
        <f t="shared" si="14"/>
        <v>1.4661289414437896E-5</v>
      </c>
      <c r="CR47" s="284">
        <f t="shared" si="14"/>
        <v>3.7068504063162356E-5</v>
      </c>
      <c r="CS47" s="284">
        <f t="shared" si="14"/>
        <v>5.7562707408407704E-6</v>
      </c>
      <c r="CT47" s="284">
        <f t="shared" si="14"/>
        <v>3.2775143511012438E-5</v>
      </c>
      <c r="CU47" s="284">
        <f t="shared" si="14"/>
        <v>3.9417871892969712E-7</v>
      </c>
      <c r="CV47" s="284">
        <f t="shared" si="14"/>
        <v>8.9209036549943742E-5</v>
      </c>
      <c r="CW47" s="284">
        <f t="shared" si="14"/>
        <v>4.1837234393889865E-4</v>
      </c>
      <c r="CX47" s="284">
        <f t="shared" si="14"/>
        <v>1.0580750332358116E-4</v>
      </c>
      <c r="CY47" s="284">
        <f t="shared" si="14"/>
        <v>9.9218190076253137E-4</v>
      </c>
      <c r="CZ47" s="284">
        <f t="shared" si="14"/>
        <v>1.9600676055721999E-5</v>
      </c>
      <c r="DA47" s="284">
        <f t="shared" si="14"/>
        <v>2.8886089720741155E-6</v>
      </c>
      <c r="DB47" s="284">
        <f t="shared" si="14"/>
        <v>1.0757839275259803E-4</v>
      </c>
      <c r="DC47" s="284">
        <f t="shared" si="14"/>
        <v>1.8272087515858523E-4</v>
      </c>
      <c r="DD47" s="284">
        <f t="shared" si="14"/>
        <v>1.7890859092447968E-4</v>
      </c>
      <c r="DE47" s="284">
        <f t="shared" si="15"/>
        <v>2.147468066955234E-4</v>
      </c>
    </row>
    <row r="48" spans="1:109" s="290" customFormat="1" x14ac:dyDescent="0.2">
      <c r="A48" s="44"/>
      <c r="B48" s="288" t="s">
        <v>106</v>
      </c>
      <c r="C48" s="289" t="s">
        <v>125</v>
      </c>
      <c r="E48" s="284"/>
      <c r="F48" s="335">
        <v>1.2397333333333331</v>
      </c>
      <c r="G48" s="335">
        <v>8.6399999999999991E-2</v>
      </c>
      <c r="H48" s="335">
        <v>2.7632499999999998</v>
      </c>
      <c r="I48" s="335">
        <v>8.6423499999999986</v>
      </c>
      <c r="J48" s="335">
        <v>9.5166666666666646E-3</v>
      </c>
      <c r="K48" s="335">
        <v>1.7049999999999999E-2</v>
      </c>
      <c r="L48" s="335">
        <v>1.7199999999999997E-2</v>
      </c>
      <c r="M48" s="335">
        <v>4.6057499999999996</v>
      </c>
      <c r="N48" s="335">
        <v>0.44931666666666664</v>
      </c>
      <c r="O48" s="335">
        <v>8.433333333333333E-2</v>
      </c>
      <c r="P48" s="335">
        <v>3.933333333333333E-3</v>
      </c>
      <c r="Q48" s="335">
        <v>9.6000000000000009E-3</v>
      </c>
      <c r="R48" s="335">
        <v>18.151833333333329</v>
      </c>
      <c r="S48" s="335">
        <v>0.71991666666666665</v>
      </c>
      <c r="T48" s="335">
        <v>0.46475000000000005</v>
      </c>
      <c r="U48" s="335">
        <v>0.51956666666666684</v>
      </c>
      <c r="V48" s="335">
        <v>0.32546666666666674</v>
      </c>
      <c r="W48" s="335">
        <v>0.32469999999999999</v>
      </c>
      <c r="X48" s="335">
        <v>0</v>
      </c>
      <c r="Y48" s="335">
        <v>1.2533333333333334E-2</v>
      </c>
      <c r="Z48" s="335">
        <v>3.15E-3</v>
      </c>
      <c r="AA48" s="335">
        <v>6.2083333333333331E-2</v>
      </c>
      <c r="AB48" s="335">
        <v>0</v>
      </c>
      <c r="AC48" s="335">
        <v>0.22646666666666668</v>
      </c>
      <c r="AD48" s="335">
        <v>0.46525</v>
      </c>
      <c r="AE48" s="335">
        <v>0.67861666666666665</v>
      </c>
      <c r="AF48" s="335">
        <v>0.28016666666666667</v>
      </c>
      <c r="AG48" s="335">
        <v>1.95E-2</v>
      </c>
      <c r="AH48" s="335">
        <v>5.1166666666666669E-3</v>
      </c>
      <c r="AI48" s="335">
        <v>0.13018333333333335</v>
      </c>
      <c r="AJ48" s="335">
        <v>8.7883333333333327E-2</v>
      </c>
      <c r="AK48" s="335">
        <v>7.9283333333333345E-2</v>
      </c>
      <c r="AL48" s="335">
        <v>8.199999999999999E-3</v>
      </c>
      <c r="AN48" s="39" t="s">
        <v>106</v>
      </c>
      <c r="AO48" s="38" t="s">
        <v>167</v>
      </c>
      <c r="AP48" s="50">
        <v>1.5</v>
      </c>
      <c r="AQ48" s="336">
        <f t="shared" si="6"/>
        <v>1.8595999999999998E-2</v>
      </c>
      <c r="AR48" s="336">
        <f t="shared" si="16"/>
        <v>1.2959999999999998E-3</v>
      </c>
      <c r="AS48" s="336">
        <f t="shared" si="16"/>
        <v>4.1448749999999999E-2</v>
      </c>
      <c r="AT48" s="336">
        <f t="shared" si="16"/>
        <v>0.12963524999999998</v>
      </c>
      <c r="AU48" s="336">
        <f t="shared" si="16"/>
        <v>1.4274999999999997E-4</v>
      </c>
      <c r="AV48" s="336">
        <f t="shared" si="16"/>
        <v>2.5575000000000001E-4</v>
      </c>
      <c r="AW48" s="336">
        <f t="shared" si="16"/>
        <v>2.5799999999999998E-4</v>
      </c>
      <c r="AX48" s="336">
        <f t="shared" si="16"/>
        <v>6.9086249999999988E-2</v>
      </c>
      <c r="AY48" s="336">
        <f t="shared" si="16"/>
        <v>6.7397500000000001E-3</v>
      </c>
      <c r="AZ48" s="336">
        <f t="shared" si="16"/>
        <v>1.2650000000000001E-3</v>
      </c>
      <c r="BA48" s="336">
        <f t="shared" si="16"/>
        <v>5.8999999999999991E-5</v>
      </c>
      <c r="BB48" s="336">
        <f t="shared" si="16"/>
        <v>1.44E-4</v>
      </c>
      <c r="BC48" s="336">
        <f t="shared" si="16"/>
        <v>0.27227749999999995</v>
      </c>
      <c r="BD48" s="336">
        <f t="shared" si="16"/>
        <v>1.0798749999999999E-2</v>
      </c>
      <c r="BE48" s="336">
        <f t="shared" si="16"/>
        <v>6.9712500000000009E-3</v>
      </c>
      <c r="BF48" s="336">
        <f t="shared" si="16"/>
        <v>7.7935000000000018E-3</v>
      </c>
      <c r="BG48" s="336">
        <f t="shared" si="12"/>
        <v>4.8820000000000009E-3</v>
      </c>
      <c r="BH48" s="336">
        <f t="shared" si="12"/>
        <v>4.8704999999999998E-3</v>
      </c>
      <c r="BI48" s="336">
        <f t="shared" si="12"/>
        <v>0</v>
      </c>
      <c r="BJ48" s="336">
        <f t="shared" si="12"/>
        <v>1.8800000000000002E-4</v>
      </c>
      <c r="BK48" s="336">
        <f t="shared" si="12"/>
        <v>4.7250000000000003E-5</v>
      </c>
      <c r="BL48" s="336">
        <f t="shared" si="12"/>
        <v>9.3125E-4</v>
      </c>
      <c r="BM48" s="336">
        <f t="shared" si="12"/>
        <v>0</v>
      </c>
      <c r="BN48" s="336">
        <f t="shared" si="12"/>
        <v>3.3969999999999998E-3</v>
      </c>
      <c r="BO48" s="336">
        <f t="shared" si="12"/>
        <v>6.9787500000000006E-3</v>
      </c>
      <c r="BP48" s="336">
        <f t="shared" si="12"/>
        <v>1.0179249999999999E-2</v>
      </c>
      <c r="BQ48" s="336">
        <f t="shared" si="12"/>
        <v>4.2025000000000005E-3</v>
      </c>
      <c r="BR48" s="336">
        <f t="shared" si="12"/>
        <v>2.9250000000000001E-4</v>
      </c>
      <c r="BS48" s="336">
        <f t="shared" si="12"/>
        <v>7.6750000000000009E-5</v>
      </c>
      <c r="BT48" s="336">
        <f t="shared" si="12"/>
        <v>1.9527500000000003E-3</v>
      </c>
      <c r="BU48" s="337">
        <f t="shared" si="12"/>
        <v>1.31825E-3</v>
      </c>
      <c r="BV48" s="336">
        <f t="shared" si="12"/>
        <v>1.1892500000000002E-3</v>
      </c>
      <c r="BW48" s="336">
        <f t="shared" si="13"/>
        <v>1.2299999999999998E-4</v>
      </c>
      <c r="BX48" s="54"/>
      <c r="BY48" s="284">
        <f t="shared" si="11"/>
        <v>2.7427912259865984E-4</v>
      </c>
      <c r="BZ48" s="284">
        <f t="shared" si="11"/>
        <v>3.2633164029321624E-5</v>
      </c>
      <c r="CA48" s="284">
        <f t="shared" si="11"/>
        <v>6.72466455519396E-4</v>
      </c>
      <c r="CB48" s="284">
        <f t="shared" si="11"/>
        <v>7.2432229771970946E-4</v>
      </c>
      <c r="CC48" s="284">
        <f t="shared" si="11"/>
        <v>2.2674104212462427E-6</v>
      </c>
      <c r="CD48" s="284">
        <f t="shared" si="11"/>
        <v>6.3054929415296393E-6</v>
      </c>
      <c r="CE48" s="284">
        <f t="shared" si="11"/>
        <v>8.861095980583421E-6</v>
      </c>
      <c r="CF48" s="284">
        <f t="shared" si="11"/>
        <v>7.233646285309984E-4</v>
      </c>
      <c r="CG48" s="284">
        <f t="shared" si="11"/>
        <v>3.4607308655788431E-5</v>
      </c>
      <c r="CH48" s="284">
        <f t="shared" si="11"/>
        <v>2.0738284760550667E-5</v>
      </c>
      <c r="CI48" s="284">
        <f t="shared" si="11"/>
        <v>5.8735320962529377E-7</v>
      </c>
      <c r="CJ48" s="284">
        <f t="shared" si="11"/>
        <v>4.0059014119345147E-6</v>
      </c>
      <c r="CK48" s="284">
        <f t="shared" si="11"/>
        <v>1.4527180931697013E-3</v>
      </c>
      <c r="CL48" s="284">
        <f t="shared" si="11"/>
        <v>9.2427678196597325E-5</v>
      </c>
      <c r="CM48" s="284">
        <f t="shared" si="11"/>
        <v>3.5772635428157373E-5</v>
      </c>
      <c r="CN48" s="284">
        <f t="shared" si="11"/>
        <v>3.5403130003798132E-5</v>
      </c>
      <c r="CO48" s="284">
        <f t="shared" si="14"/>
        <v>3.8975415954110401E-5</v>
      </c>
      <c r="CP48" s="284">
        <f t="shared" si="14"/>
        <v>2.6822425391691214E-4</v>
      </c>
      <c r="CQ48" s="284">
        <f t="shared" si="14"/>
        <v>0</v>
      </c>
      <c r="CR48" s="284">
        <f t="shared" si="14"/>
        <v>6.8055456678462148E-6</v>
      </c>
      <c r="CS48" s="284">
        <f t="shared" si="14"/>
        <v>5.912691141407096E-6</v>
      </c>
      <c r="CT48" s="284">
        <f t="shared" si="14"/>
        <v>3.1120930302962365E-5</v>
      </c>
      <c r="CU48" s="284">
        <f t="shared" si="14"/>
        <v>0</v>
      </c>
      <c r="CV48" s="284">
        <f t="shared" si="14"/>
        <v>2.5297686703364245E-5</v>
      </c>
      <c r="CW48" s="284">
        <f t="shared" si="14"/>
        <v>9.2883518313838633E-4</v>
      </c>
      <c r="CX48" s="284">
        <f t="shared" si="14"/>
        <v>2.9795726625812672E-4</v>
      </c>
      <c r="CY48" s="284">
        <f t="shared" si="14"/>
        <v>1.903331618595753E-4</v>
      </c>
      <c r="CZ48" s="284">
        <f t="shared" si="14"/>
        <v>1.0691277848575637E-5</v>
      </c>
      <c r="DA48" s="284">
        <f t="shared" si="14"/>
        <v>6.2014192617255489E-6</v>
      </c>
      <c r="DB48" s="284">
        <f t="shared" si="14"/>
        <v>2.9766022876037668E-4</v>
      </c>
      <c r="DC48" s="284">
        <f t="shared" si="14"/>
        <v>3.7219437601515056E-4</v>
      </c>
      <c r="DD48" s="284">
        <f t="shared" si="14"/>
        <v>1.8352533791570226E-4</v>
      </c>
      <c r="DE48" s="284">
        <f t="shared" si="15"/>
        <v>2.5276418395741028E-4</v>
      </c>
    </row>
    <row r="49" spans="1:109" s="290" customFormat="1" x14ac:dyDescent="0.2">
      <c r="A49" s="44"/>
      <c r="B49" s="288" t="s">
        <v>107</v>
      </c>
      <c r="C49" s="289" t="s">
        <v>125</v>
      </c>
      <c r="E49" s="284"/>
      <c r="F49" s="335">
        <v>4.9689333333333332</v>
      </c>
      <c r="G49" s="335">
        <v>0.21091666666666667</v>
      </c>
      <c r="H49" s="335">
        <v>7.7471833333333331</v>
      </c>
      <c r="I49" s="335">
        <v>52.429300000000012</v>
      </c>
      <c r="J49" s="335">
        <v>0.11751666666666666</v>
      </c>
      <c r="K49" s="335">
        <v>0.15331666666666668</v>
      </c>
      <c r="L49" s="335">
        <v>0.33321666666666666</v>
      </c>
      <c r="M49" s="335">
        <v>55.426616666666668</v>
      </c>
      <c r="N49" s="335">
        <v>0.13848333333333335</v>
      </c>
      <c r="O49" s="335">
        <v>2.2297333333333333</v>
      </c>
      <c r="P49" s="335">
        <v>0.15389999999999995</v>
      </c>
      <c r="Q49" s="335">
        <v>0.28571666666666662</v>
      </c>
      <c r="R49" s="335">
        <v>102.79285</v>
      </c>
      <c r="S49" s="335">
        <v>3.4995833333333337</v>
      </c>
      <c r="T49" s="335">
        <v>6.1808833333333331</v>
      </c>
      <c r="U49" s="335">
        <v>3.9158500000000007</v>
      </c>
      <c r="V49" s="335">
        <v>3.2258666666666667</v>
      </c>
      <c r="W49" s="335">
        <v>3.3777500000000003</v>
      </c>
      <c r="X49" s="335">
        <v>0.31463333333333338</v>
      </c>
      <c r="Y49" s="335">
        <v>1.0569999999999999</v>
      </c>
      <c r="Z49" s="335">
        <v>7.5549999999999992E-2</v>
      </c>
      <c r="AA49" s="335">
        <v>0.4013666666666667</v>
      </c>
      <c r="AB49" s="335">
        <v>2.9133333333333334E-2</v>
      </c>
      <c r="AC49" s="335">
        <v>8.2172833333333326</v>
      </c>
      <c r="AD49" s="335">
        <v>23.604166666666668</v>
      </c>
      <c r="AE49" s="335">
        <v>10.17815</v>
      </c>
      <c r="AF49" s="335">
        <v>41.234233333333329</v>
      </c>
      <c r="AG49" s="335">
        <v>0.75193333333333345</v>
      </c>
      <c r="AH49" s="335">
        <v>8.8349999999999984E-2</v>
      </c>
      <c r="AI49" s="335">
        <v>1.0323500000000001</v>
      </c>
      <c r="AJ49" s="335">
        <v>0.85948333333333327</v>
      </c>
      <c r="AK49" s="335">
        <v>0.52681666666666671</v>
      </c>
      <c r="AL49" s="335">
        <v>8.500000000000002E-2</v>
      </c>
      <c r="AN49" s="39" t="s">
        <v>107</v>
      </c>
      <c r="AO49" s="38" t="s">
        <v>167</v>
      </c>
      <c r="AP49" s="50">
        <v>0.5</v>
      </c>
      <c r="AQ49" s="336">
        <f t="shared" si="6"/>
        <v>2.4844666666666668E-2</v>
      </c>
      <c r="AR49" s="336">
        <f t="shared" si="16"/>
        <v>1.0545833333333334E-3</v>
      </c>
      <c r="AS49" s="336">
        <f t="shared" si="16"/>
        <v>3.8735916666666668E-2</v>
      </c>
      <c r="AT49" s="336">
        <f t="shared" si="16"/>
        <v>0.26214650000000006</v>
      </c>
      <c r="AU49" s="336">
        <f t="shared" si="16"/>
        <v>5.875833333333333E-4</v>
      </c>
      <c r="AV49" s="336">
        <f t="shared" si="16"/>
        <v>7.6658333333333342E-4</v>
      </c>
      <c r="AW49" s="336">
        <f t="shared" si="16"/>
        <v>1.6660833333333332E-3</v>
      </c>
      <c r="AX49" s="336">
        <f t="shared" si="16"/>
        <v>0.27713308333333336</v>
      </c>
      <c r="AY49" s="336">
        <f t="shared" si="16"/>
        <v>6.924166666666667E-4</v>
      </c>
      <c r="AZ49" s="336">
        <f t="shared" si="16"/>
        <v>1.1148666666666666E-2</v>
      </c>
      <c r="BA49" s="336">
        <f t="shared" si="16"/>
        <v>7.6949999999999978E-4</v>
      </c>
      <c r="BB49" s="336">
        <f t="shared" si="16"/>
        <v>1.4285833333333331E-3</v>
      </c>
      <c r="BC49" s="336">
        <f t="shared" si="16"/>
        <v>0.51396425000000001</v>
      </c>
      <c r="BD49" s="336">
        <f t="shared" si="16"/>
        <v>1.7497916666666669E-2</v>
      </c>
      <c r="BE49" s="336">
        <f t="shared" si="16"/>
        <v>3.0904416666666667E-2</v>
      </c>
      <c r="BF49" s="336">
        <f t="shared" si="16"/>
        <v>1.9579250000000003E-2</v>
      </c>
      <c r="BG49" s="336">
        <f t="shared" si="12"/>
        <v>1.6129333333333332E-2</v>
      </c>
      <c r="BH49" s="336">
        <f t="shared" si="12"/>
        <v>1.6888750000000001E-2</v>
      </c>
      <c r="BI49" s="336">
        <f t="shared" si="12"/>
        <v>1.5731666666666669E-3</v>
      </c>
      <c r="BJ49" s="336">
        <f t="shared" si="12"/>
        <v>5.2849999999999998E-3</v>
      </c>
      <c r="BK49" s="336">
        <f t="shared" si="12"/>
        <v>3.7774999999999994E-4</v>
      </c>
      <c r="BL49" s="336">
        <f t="shared" si="12"/>
        <v>2.0068333333333336E-3</v>
      </c>
      <c r="BM49" s="336">
        <f t="shared" si="12"/>
        <v>1.4566666666666667E-4</v>
      </c>
      <c r="BN49" s="336">
        <f t="shared" si="12"/>
        <v>4.108641666666666E-2</v>
      </c>
      <c r="BO49" s="336">
        <f t="shared" si="12"/>
        <v>0.11802083333333334</v>
      </c>
      <c r="BP49" s="336">
        <f t="shared" si="12"/>
        <v>5.0890750000000005E-2</v>
      </c>
      <c r="BQ49" s="336">
        <f t="shared" si="12"/>
        <v>0.20617116666666666</v>
      </c>
      <c r="BR49" s="336">
        <f t="shared" si="12"/>
        <v>3.7596666666666672E-3</v>
      </c>
      <c r="BS49" s="336">
        <f t="shared" si="12"/>
        <v>4.4174999999999992E-4</v>
      </c>
      <c r="BT49" s="336">
        <f t="shared" si="12"/>
        <v>5.1617500000000005E-3</v>
      </c>
      <c r="BU49" s="336">
        <f t="shared" si="12"/>
        <v>4.2974166666666664E-3</v>
      </c>
      <c r="BV49" s="336">
        <f t="shared" si="12"/>
        <v>2.6340833333333338E-3</v>
      </c>
      <c r="BW49" s="336">
        <f t="shared" si="13"/>
        <v>4.2500000000000008E-4</v>
      </c>
      <c r="BX49" s="54"/>
      <c r="BY49" s="284">
        <f t="shared" si="11"/>
        <v>3.6644296486284714E-4</v>
      </c>
      <c r="BZ49" s="284">
        <f t="shared" si="11"/>
        <v>2.6554313965474872E-5</v>
      </c>
      <c r="CA49" s="284">
        <f t="shared" si="11"/>
        <v>6.28453320839061E-4</v>
      </c>
      <c r="CB49" s="284">
        <f t="shared" si="11"/>
        <v>1.464713920165849E-3</v>
      </c>
      <c r="CC49" s="284">
        <f t="shared" si="11"/>
        <v>9.3330477993037135E-6</v>
      </c>
      <c r="CD49" s="284">
        <f t="shared" si="11"/>
        <v>1.8900042218680729E-5</v>
      </c>
      <c r="CE49" s="284">
        <f t="shared" si="11"/>
        <v>5.722218731905825E-5</v>
      </c>
      <c r="CF49" s="284">
        <f t="shared" si="11"/>
        <v>2.9017101069904205E-3</v>
      </c>
      <c r="CG49" s="284">
        <f t="shared" si="11"/>
        <v>3.5554252460025231E-6</v>
      </c>
      <c r="CH49" s="284">
        <f t="shared" si="11"/>
        <v>1.8277013757612057E-4</v>
      </c>
      <c r="CI49" s="284">
        <f t="shared" si="11"/>
        <v>7.660479572994297E-6</v>
      </c>
      <c r="CJ49" s="284">
        <f t="shared" si="11"/>
        <v>3.9741416611570238E-5</v>
      </c>
      <c r="CK49" s="284">
        <f t="shared" si="11"/>
        <v>2.7422213191225708E-3</v>
      </c>
      <c r="CL49" s="284">
        <f t="shared" si="11"/>
        <v>1.4976657583308658E-4</v>
      </c>
      <c r="CM49" s="284">
        <f t="shared" si="11"/>
        <v>1.5858453369719017E-4</v>
      </c>
      <c r="CN49" s="284">
        <f t="shared" si="11"/>
        <v>8.8941647927999544E-5</v>
      </c>
      <c r="CO49" s="284">
        <f t="shared" si="14"/>
        <v>1.287684300961009E-4</v>
      </c>
      <c r="CP49" s="284">
        <f t="shared" si="14"/>
        <v>9.300836399423572E-4</v>
      </c>
      <c r="CQ49" s="284">
        <f t="shared" si="14"/>
        <v>2.8127624142861653E-4</v>
      </c>
      <c r="CR49" s="284">
        <f t="shared" si="14"/>
        <v>1.9131547263067682E-4</v>
      </c>
      <c r="CS49" s="284">
        <f t="shared" si="14"/>
        <v>4.7270245051143487E-5</v>
      </c>
      <c r="CT49" s="284">
        <f t="shared" si="14"/>
        <v>6.7065256694043824E-5</v>
      </c>
      <c r="CU49" s="284">
        <f t="shared" si="14"/>
        <v>4.1258946149048539E-6</v>
      </c>
      <c r="CV49" s="284">
        <f t="shared" si="14"/>
        <v>3.0597329896885967E-4</v>
      </c>
      <c r="CW49" s="284">
        <f t="shared" si="14"/>
        <v>1.5707956631676394E-2</v>
      </c>
      <c r="CX49" s="284">
        <f t="shared" si="14"/>
        <v>1.489625340553161E-3</v>
      </c>
      <c r="CY49" s="284">
        <f t="shared" si="14"/>
        <v>9.3375871590586877E-3</v>
      </c>
      <c r="CZ49" s="284">
        <f t="shared" si="14"/>
        <v>1.3742099470550955E-4</v>
      </c>
      <c r="DA49" s="284">
        <f t="shared" si="14"/>
        <v>3.5693510864720005E-5</v>
      </c>
      <c r="DB49" s="284">
        <f t="shared" si="14"/>
        <v>7.8681228308993692E-4</v>
      </c>
      <c r="DC49" s="284">
        <f t="shared" si="14"/>
        <v>1.2133315491956065E-3</v>
      </c>
      <c r="DD49" s="284">
        <f t="shared" si="14"/>
        <v>4.0649235555864567E-4</v>
      </c>
      <c r="DE49" s="284">
        <f t="shared" si="15"/>
        <v>8.733721803406456E-4</v>
      </c>
    </row>
    <row r="50" spans="1:109" s="290" customFormat="1" x14ac:dyDescent="0.2">
      <c r="A50" s="44"/>
      <c r="B50" s="288" t="s">
        <v>108</v>
      </c>
      <c r="C50" s="289" t="s">
        <v>125</v>
      </c>
      <c r="E50" s="284"/>
      <c r="F50" s="335">
        <v>0.17889999999999998</v>
      </c>
      <c r="G50" s="335">
        <v>1.5766666666666668E-2</v>
      </c>
      <c r="H50" s="335">
        <v>0.45900000000000007</v>
      </c>
      <c r="I50" s="335">
        <v>0.14818333333333333</v>
      </c>
      <c r="J50" s="335">
        <v>0</v>
      </c>
      <c r="K50" s="335">
        <v>0</v>
      </c>
      <c r="L50" s="335">
        <v>6.6666666666666664E-4</v>
      </c>
      <c r="M50" s="335">
        <v>1.3240833333333335</v>
      </c>
      <c r="N50" s="335">
        <v>3.9572666666666669</v>
      </c>
      <c r="O50" s="335">
        <v>0.19903333333333331</v>
      </c>
      <c r="P50" s="335">
        <v>5.2816666666666671E-2</v>
      </c>
      <c r="Q50" s="335">
        <v>1.4999999999999998E-3</v>
      </c>
      <c r="R50" s="335">
        <v>0</v>
      </c>
      <c r="S50" s="335">
        <v>2.6673333333333331</v>
      </c>
      <c r="T50" s="335">
        <v>0.54700000000000004</v>
      </c>
      <c r="U50" s="335">
        <v>5.9394499999999999</v>
      </c>
      <c r="V50" s="335">
        <v>3.6449333333333329</v>
      </c>
      <c r="W50" s="335">
        <v>0</v>
      </c>
      <c r="X50" s="335">
        <v>0</v>
      </c>
      <c r="Y50" s="335">
        <v>1.2999999999999999E-3</v>
      </c>
      <c r="Z50" s="335">
        <v>6.0866666666666673E-2</v>
      </c>
      <c r="AA50" s="335">
        <v>0.15516666666666665</v>
      </c>
      <c r="AB50" s="335">
        <v>3.6399999999999995E-2</v>
      </c>
      <c r="AC50" s="335">
        <v>3.4064833333333335</v>
      </c>
      <c r="AD50" s="335">
        <v>5.9833333333333336E-3</v>
      </c>
      <c r="AE50" s="335">
        <v>0.18783333333333332</v>
      </c>
      <c r="AF50" s="335">
        <v>5.528333333333333E-2</v>
      </c>
      <c r="AG50" s="335">
        <v>2.3483333333333332E-2</v>
      </c>
      <c r="AH50" s="335">
        <v>4.4266666666666669E-2</v>
      </c>
      <c r="AI50" s="335">
        <v>1.6900000000000002E-2</v>
      </c>
      <c r="AJ50" s="335">
        <v>0</v>
      </c>
      <c r="AK50" s="335">
        <v>2.3418833333333335</v>
      </c>
      <c r="AL50" s="335">
        <v>6.3333333333333332E-3</v>
      </c>
      <c r="AN50" s="39" t="s">
        <v>108</v>
      </c>
      <c r="AO50" s="38" t="s">
        <v>167</v>
      </c>
      <c r="AP50" s="50">
        <v>3.6</v>
      </c>
      <c r="AQ50" s="336">
        <f t="shared" si="6"/>
        <v>6.4403999999999998E-3</v>
      </c>
      <c r="AR50" s="336">
        <f t="shared" si="16"/>
        <v>5.6760000000000003E-4</v>
      </c>
      <c r="AS50" s="336">
        <f t="shared" si="16"/>
        <v>1.6524000000000004E-2</v>
      </c>
      <c r="AT50" s="336">
        <f t="shared" si="16"/>
        <v>5.3346000000000001E-3</v>
      </c>
      <c r="AU50" s="336">
        <f t="shared" si="16"/>
        <v>0</v>
      </c>
      <c r="AV50" s="336">
        <f t="shared" si="16"/>
        <v>0</v>
      </c>
      <c r="AW50" s="336">
        <f t="shared" si="16"/>
        <v>2.3999999999999997E-5</v>
      </c>
      <c r="AX50" s="336">
        <f t="shared" si="16"/>
        <v>4.7667000000000008E-2</v>
      </c>
      <c r="AY50" s="336">
        <f t="shared" si="16"/>
        <v>0.14246160000000002</v>
      </c>
      <c r="AZ50" s="336">
        <f t="shared" si="16"/>
        <v>7.1651999999999992E-3</v>
      </c>
      <c r="BA50" s="336">
        <f t="shared" si="16"/>
        <v>1.9014000000000004E-3</v>
      </c>
      <c r="BB50" s="336">
        <f t="shared" si="16"/>
        <v>5.3999999999999991E-5</v>
      </c>
      <c r="BC50" s="336">
        <f t="shared" si="16"/>
        <v>0</v>
      </c>
      <c r="BD50" s="336">
        <f t="shared" si="16"/>
        <v>9.6023999999999998E-2</v>
      </c>
      <c r="BE50" s="336">
        <f t="shared" si="16"/>
        <v>1.9692000000000001E-2</v>
      </c>
      <c r="BF50" s="336">
        <f t="shared" si="16"/>
        <v>0.21382020000000002</v>
      </c>
      <c r="BG50" s="336">
        <f t="shared" si="12"/>
        <v>0.13121759999999999</v>
      </c>
      <c r="BH50" s="336">
        <f t="shared" si="12"/>
        <v>0</v>
      </c>
      <c r="BI50" s="336">
        <f t="shared" si="12"/>
        <v>0</v>
      </c>
      <c r="BJ50" s="336">
        <f t="shared" si="12"/>
        <v>4.6799999999999999E-5</v>
      </c>
      <c r="BK50" s="336">
        <f t="shared" si="12"/>
        <v>2.1912000000000004E-3</v>
      </c>
      <c r="BL50" s="336">
        <f t="shared" si="12"/>
        <v>5.5859999999999998E-3</v>
      </c>
      <c r="BM50" s="336">
        <f t="shared" si="12"/>
        <v>1.3104E-3</v>
      </c>
      <c r="BN50" s="336">
        <f t="shared" si="12"/>
        <v>0.12263340000000002</v>
      </c>
      <c r="BO50" s="336">
        <f t="shared" si="12"/>
        <v>2.154E-4</v>
      </c>
      <c r="BP50" s="336">
        <f t="shared" si="12"/>
        <v>6.7620000000000006E-3</v>
      </c>
      <c r="BQ50" s="336">
        <f t="shared" si="12"/>
        <v>1.9902000000000001E-3</v>
      </c>
      <c r="BR50" s="336">
        <f t="shared" si="12"/>
        <v>8.4539999999999995E-4</v>
      </c>
      <c r="BS50" s="336">
        <f t="shared" si="12"/>
        <v>1.5935999999999999E-3</v>
      </c>
      <c r="BT50" s="336">
        <f t="shared" si="12"/>
        <v>6.0840000000000004E-4</v>
      </c>
      <c r="BU50" s="336">
        <f t="shared" si="12"/>
        <v>0</v>
      </c>
      <c r="BV50" s="336">
        <f t="shared" si="12"/>
        <v>8.4307800000000002E-2</v>
      </c>
      <c r="BW50" s="336">
        <f t="shared" si="13"/>
        <v>2.2800000000000001E-4</v>
      </c>
      <c r="BX50" s="54"/>
      <c r="BY50" s="284">
        <f t="shared" si="11"/>
        <v>9.4991786469370246E-5</v>
      </c>
      <c r="BZ50" s="284">
        <f t="shared" si="11"/>
        <v>1.4292117209138084E-5</v>
      </c>
      <c r="CA50" s="284">
        <f t="shared" si="11"/>
        <v>2.6808614761609221E-4</v>
      </c>
      <c r="CB50" s="284">
        <f t="shared" si="11"/>
        <v>2.9806474160504668E-5</v>
      </c>
      <c r="CC50" s="284">
        <f t="shared" si="11"/>
        <v>0</v>
      </c>
      <c r="CD50" s="284">
        <f t="shared" si="11"/>
        <v>0</v>
      </c>
      <c r="CE50" s="284">
        <f t="shared" si="11"/>
        <v>8.2428799819380661E-7</v>
      </c>
      <c r="CF50" s="284">
        <f t="shared" si="11"/>
        <v>4.9909528666249958E-4</v>
      </c>
      <c r="CG50" s="284">
        <f t="shared" si="11"/>
        <v>7.315126767012826E-4</v>
      </c>
      <c r="CH50" s="284">
        <f t="shared" si="11"/>
        <v>1.1746557941999811E-4</v>
      </c>
      <c r="CI50" s="284">
        <f t="shared" si="11"/>
        <v>1.892870157256837E-5</v>
      </c>
      <c r="CJ50" s="284">
        <f t="shared" si="11"/>
        <v>1.5022130294754427E-6</v>
      </c>
      <c r="CK50" s="284">
        <f t="shared" si="11"/>
        <v>0</v>
      </c>
      <c r="CL50" s="284">
        <f t="shared" si="11"/>
        <v>8.2187988157426202E-4</v>
      </c>
      <c r="CM50" s="284">
        <f t="shared" si="11"/>
        <v>1.0104855468549758E-4</v>
      </c>
      <c r="CN50" s="284">
        <f t="shared" si="11"/>
        <v>9.7130998114301867E-4</v>
      </c>
      <c r="CO50" s="284">
        <f t="shared" si="14"/>
        <v>1.0475748751536411E-3</v>
      </c>
      <c r="CP50" s="284">
        <f t="shared" si="14"/>
        <v>0</v>
      </c>
      <c r="CQ50" s="284">
        <f t="shared" si="14"/>
        <v>0</v>
      </c>
      <c r="CR50" s="284">
        <f t="shared" si="14"/>
        <v>1.6941464747617171E-6</v>
      </c>
      <c r="CS50" s="284">
        <f t="shared" si="14"/>
        <v>2.7419870537674559E-4</v>
      </c>
      <c r="CT50" s="284">
        <f t="shared" si="14"/>
        <v>1.8667545414480298E-4</v>
      </c>
      <c r="CU50" s="284">
        <f t="shared" si="14"/>
        <v>3.7116057002549106E-5</v>
      </c>
      <c r="CV50" s="284">
        <f t="shared" si="14"/>
        <v>9.1325915000540158E-4</v>
      </c>
      <c r="CW50" s="284">
        <f t="shared" si="14"/>
        <v>2.8668615217339553E-5</v>
      </c>
      <c r="CX50" s="284">
        <f t="shared" si="14"/>
        <v>1.9793079396197689E-4</v>
      </c>
      <c r="CY50" s="284">
        <f t="shared" si="14"/>
        <v>9.0137075248763066E-5</v>
      </c>
      <c r="CZ50" s="284">
        <f t="shared" si="14"/>
        <v>3.0900534335678093E-5</v>
      </c>
      <c r="DA50" s="284">
        <f t="shared" si="14"/>
        <v>1.2876327994118349E-4</v>
      </c>
      <c r="DB50" s="284">
        <f t="shared" si="14"/>
        <v>9.2739205314460712E-5</v>
      </c>
      <c r="DC50" s="284">
        <f t="shared" si="14"/>
        <v>0</v>
      </c>
      <c r="DD50" s="284">
        <f t="shared" si="14"/>
        <v>1.3010399397880547E-2</v>
      </c>
      <c r="DE50" s="284">
        <f t="shared" si="15"/>
        <v>4.6853848733568744E-4</v>
      </c>
    </row>
    <row r="51" spans="1:109" s="290" customFormat="1" x14ac:dyDescent="0.2">
      <c r="A51" s="44"/>
      <c r="B51" s="288" t="s">
        <v>109</v>
      </c>
      <c r="C51" s="289" t="s">
        <v>125</v>
      </c>
      <c r="E51" s="284"/>
      <c r="F51" s="335">
        <v>8.4466666666666648E-2</v>
      </c>
      <c r="G51" s="335">
        <v>1.6316666666666663E-2</v>
      </c>
      <c r="H51" s="335">
        <v>0</v>
      </c>
      <c r="I51" s="335">
        <v>9.0000000000000008E-4</v>
      </c>
      <c r="J51" s="335">
        <v>4.3333333333333335E-2</v>
      </c>
      <c r="K51" s="335">
        <v>0</v>
      </c>
      <c r="L51" s="335">
        <v>4.8999999999999998E-3</v>
      </c>
      <c r="M51" s="335">
        <v>8.4999999999999995E-4</v>
      </c>
      <c r="N51" s="335">
        <v>7.6450000000000004E-2</v>
      </c>
      <c r="O51" s="335">
        <v>0</v>
      </c>
      <c r="P51" s="335">
        <v>3.2333333333333339E-2</v>
      </c>
      <c r="Q51" s="335">
        <v>2.9766666666666667E-2</v>
      </c>
      <c r="R51" s="335">
        <v>1.0966666666666666E-2</v>
      </c>
      <c r="S51" s="335">
        <v>1.9986666666666668</v>
      </c>
      <c r="T51" s="335">
        <v>0.52683333333333338</v>
      </c>
      <c r="U51" s="335">
        <v>0.46683333333333327</v>
      </c>
      <c r="V51" s="335">
        <v>0.35323333333333329</v>
      </c>
      <c r="W51" s="335">
        <v>1.035E-2</v>
      </c>
      <c r="X51" s="335">
        <v>0.12320000000000002</v>
      </c>
      <c r="Y51" s="335">
        <v>2.7133333333333332E-2</v>
      </c>
      <c r="Z51" s="335">
        <v>0.17918333333333333</v>
      </c>
      <c r="AA51" s="335">
        <v>21.645650000000003</v>
      </c>
      <c r="AB51" s="335">
        <v>0.51131666666666664</v>
      </c>
      <c r="AC51" s="335">
        <v>7.0813999999999995</v>
      </c>
      <c r="AD51" s="335">
        <v>0.44729999999999998</v>
      </c>
      <c r="AE51" s="335">
        <v>0.27738333333333337</v>
      </c>
      <c r="AF51" s="335">
        <v>8.5466666666666649E-2</v>
      </c>
      <c r="AG51" s="335">
        <v>12.691516666666667</v>
      </c>
      <c r="AH51" s="335">
        <v>1.7793833333333333</v>
      </c>
      <c r="AI51" s="335">
        <v>0.28459999999999996</v>
      </c>
      <c r="AJ51" s="335">
        <v>0.10249999999999999</v>
      </c>
      <c r="AK51" s="335">
        <v>0.58143333333333325</v>
      </c>
      <c r="AL51" s="335">
        <v>8.8783333333333339E-2</v>
      </c>
      <c r="AN51" s="39" t="s">
        <v>109</v>
      </c>
      <c r="AO51" s="38" t="s">
        <v>167</v>
      </c>
      <c r="AP51" s="50">
        <v>2</v>
      </c>
      <c r="AQ51" s="336">
        <f t="shared" ref="AQ51:BF64" si="17">F51*$AP51/100</f>
        <v>1.6893333333333331E-3</v>
      </c>
      <c r="AR51" s="336">
        <f t="shared" si="17"/>
        <v>3.2633333333333326E-4</v>
      </c>
      <c r="AS51" s="336">
        <f t="shared" si="17"/>
        <v>0</v>
      </c>
      <c r="AT51" s="336">
        <f t="shared" si="17"/>
        <v>1.8E-5</v>
      </c>
      <c r="AU51" s="336">
        <f t="shared" si="17"/>
        <v>8.6666666666666674E-4</v>
      </c>
      <c r="AV51" s="336">
        <f t="shared" si="17"/>
        <v>0</v>
      </c>
      <c r="AW51" s="336">
        <f t="shared" si="17"/>
        <v>9.7999999999999997E-5</v>
      </c>
      <c r="AX51" s="336">
        <f t="shared" si="17"/>
        <v>1.7E-5</v>
      </c>
      <c r="AY51" s="336">
        <f t="shared" si="17"/>
        <v>1.529E-3</v>
      </c>
      <c r="AZ51" s="336">
        <f t="shared" si="17"/>
        <v>0</v>
      </c>
      <c r="BA51" s="336">
        <f t="shared" si="17"/>
        <v>6.4666666666666681E-4</v>
      </c>
      <c r="BB51" s="336">
        <f t="shared" si="17"/>
        <v>5.9533333333333335E-4</v>
      </c>
      <c r="BC51" s="336">
        <f t="shared" si="17"/>
        <v>2.1933333333333332E-4</v>
      </c>
      <c r="BD51" s="336">
        <f t="shared" si="17"/>
        <v>3.9973333333333333E-2</v>
      </c>
      <c r="BE51" s="336">
        <f t="shared" si="17"/>
        <v>1.0536666666666668E-2</v>
      </c>
      <c r="BF51" s="336">
        <f t="shared" si="17"/>
        <v>9.336666666666665E-3</v>
      </c>
      <c r="BG51" s="336">
        <f t="shared" si="12"/>
        <v>7.0646666666666661E-3</v>
      </c>
      <c r="BH51" s="336">
        <f t="shared" si="12"/>
        <v>2.0699999999999999E-4</v>
      </c>
      <c r="BI51" s="336">
        <f t="shared" si="12"/>
        <v>2.4640000000000005E-3</v>
      </c>
      <c r="BJ51" s="336">
        <f t="shared" si="12"/>
        <v>5.4266666666666667E-4</v>
      </c>
      <c r="BK51" s="336">
        <f t="shared" si="12"/>
        <v>3.5836666666666669E-3</v>
      </c>
      <c r="BL51" s="336">
        <f t="shared" si="12"/>
        <v>0.43291300000000005</v>
      </c>
      <c r="BM51" s="336">
        <f t="shared" si="12"/>
        <v>1.0226333333333332E-2</v>
      </c>
      <c r="BN51" s="336">
        <f t="shared" si="12"/>
        <v>0.14162799999999998</v>
      </c>
      <c r="BO51" s="336">
        <f t="shared" si="12"/>
        <v>8.9459999999999991E-3</v>
      </c>
      <c r="BP51" s="336">
        <f t="shared" si="12"/>
        <v>5.5476666666666678E-3</v>
      </c>
      <c r="BQ51" s="336">
        <f t="shared" si="12"/>
        <v>1.7093333333333329E-3</v>
      </c>
      <c r="BR51" s="336">
        <f t="shared" si="12"/>
        <v>0.25383033333333332</v>
      </c>
      <c r="BS51" s="336">
        <f t="shared" si="12"/>
        <v>3.5587666666666663E-2</v>
      </c>
      <c r="BT51" s="336">
        <f t="shared" si="12"/>
        <v>5.6919999999999991E-3</v>
      </c>
      <c r="BU51" s="336">
        <f t="shared" si="12"/>
        <v>2.0499999999999997E-3</v>
      </c>
      <c r="BV51" s="336">
        <f t="shared" si="12"/>
        <v>1.1628666666666666E-2</v>
      </c>
      <c r="BW51" s="336">
        <f t="shared" si="13"/>
        <v>1.7756666666666667E-3</v>
      </c>
      <c r="BX51" s="336"/>
      <c r="BY51" s="284">
        <f t="shared" si="11"/>
        <v>2.4916587677099164E-5</v>
      </c>
      <c r="BZ51" s="284">
        <f t="shared" si="11"/>
        <v>8.2170441318687927E-6</v>
      </c>
      <c r="CA51" s="284">
        <f t="shared" si="11"/>
        <v>0</v>
      </c>
      <c r="CB51" s="284">
        <f t="shared" si="11"/>
        <v>1.0057296421270273E-7</v>
      </c>
      <c r="CC51" s="284">
        <f t="shared" si="11"/>
        <v>1.3765947682989452E-5</v>
      </c>
      <c r="CD51" s="284">
        <f t="shared" si="11"/>
        <v>0</v>
      </c>
      <c r="CE51" s="284">
        <f t="shared" si="11"/>
        <v>3.3658426592913771E-6</v>
      </c>
      <c r="CF51" s="284">
        <f t="shared" si="11"/>
        <v>1.7799777358051676E-7</v>
      </c>
      <c r="CG51" s="284">
        <f t="shared" si="11"/>
        <v>7.8511183552358037E-6</v>
      </c>
      <c r="CH51" s="284">
        <f t="shared" si="11"/>
        <v>0</v>
      </c>
      <c r="CI51" s="284">
        <f t="shared" si="11"/>
        <v>6.4376566478704536E-6</v>
      </c>
      <c r="CJ51" s="284">
        <f t="shared" si="11"/>
        <v>1.6561435003970006E-5</v>
      </c>
      <c r="CK51" s="284">
        <f t="shared" si="11"/>
        <v>1.1702380908027822E-6</v>
      </c>
      <c r="CL51" s="284">
        <f t="shared" si="11"/>
        <v>3.4213611665967361E-4</v>
      </c>
      <c r="CM51" s="284">
        <f t="shared" si="11"/>
        <v>5.4068400257440898E-5</v>
      </c>
      <c r="CN51" s="284">
        <f t="shared" si="11"/>
        <v>4.2413193533345534E-5</v>
      </c>
      <c r="CO51" s="284">
        <f t="shared" si="14"/>
        <v>5.6400721407306819E-5</v>
      </c>
      <c r="CP51" s="284">
        <f t="shared" si="14"/>
        <v>1.1399737308448992E-5</v>
      </c>
      <c r="CQ51" s="284">
        <f t="shared" si="14"/>
        <v>4.4055386728262175E-4</v>
      </c>
      <c r="CR51" s="284">
        <f t="shared" si="14"/>
        <v>1.964437650222276E-5</v>
      </c>
      <c r="CS51" s="284">
        <f t="shared" si="14"/>
        <v>4.4844686039695016E-4</v>
      </c>
      <c r="CT51" s="284">
        <f t="shared" si="14"/>
        <v>1.4467280859324937E-2</v>
      </c>
      <c r="CU51" s="284">
        <f t="shared" si="14"/>
        <v>2.8965290821662696E-4</v>
      </c>
      <c r="CV51" s="284">
        <f t="shared" si="14"/>
        <v>1.0547132094271623E-3</v>
      </c>
      <c r="CW51" s="284">
        <f t="shared" si="14"/>
        <v>1.1906658854889489E-3</v>
      </c>
      <c r="CX51" s="284">
        <f t="shared" si="14"/>
        <v>1.6238599053086767E-4</v>
      </c>
      <c r="CY51" s="284">
        <f t="shared" si="14"/>
        <v>7.7416494468840119E-5</v>
      </c>
      <c r="CZ51" s="284">
        <f t="shared" si="14"/>
        <v>9.2778482737204682E-3</v>
      </c>
      <c r="DA51" s="284">
        <f t="shared" si="14"/>
        <v>2.8754923980004545E-3</v>
      </c>
      <c r="DB51" s="284">
        <f t="shared" si="14"/>
        <v>8.6763898200182491E-4</v>
      </c>
      <c r="DC51" s="284">
        <f t="shared" si="14"/>
        <v>5.7879648839829969E-4</v>
      </c>
      <c r="DD51" s="284">
        <f t="shared" si="14"/>
        <v>1.7945385575018394E-3</v>
      </c>
      <c r="DE51" s="284">
        <f t="shared" si="15"/>
        <v>3.6489832193526417E-3</v>
      </c>
    </row>
    <row r="52" spans="1:109" s="290" customFormat="1" x14ac:dyDescent="0.2">
      <c r="A52" s="44"/>
      <c r="B52" s="288" t="s">
        <v>110</v>
      </c>
      <c r="C52" s="289" t="s">
        <v>125</v>
      </c>
      <c r="E52" s="284"/>
      <c r="F52" s="335">
        <v>7.1720666666666668</v>
      </c>
      <c r="G52" s="335">
        <v>0.88049999999999995</v>
      </c>
      <c r="H52" s="335">
        <v>0.63203333333333334</v>
      </c>
      <c r="I52" s="335">
        <v>1.3766833333333335</v>
      </c>
      <c r="J52" s="335">
        <v>0.48348333333333332</v>
      </c>
      <c r="K52" s="335">
        <v>2.3299166666666671</v>
      </c>
      <c r="L52" s="335">
        <v>1.2528666666666668</v>
      </c>
      <c r="M52" s="335">
        <v>16.064283333333332</v>
      </c>
      <c r="N52" s="335">
        <v>13.947633333333334</v>
      </c>
      <c r="O52" s="335">
        <v>2.3460000000000001</v>
      </c>
      <c r="P52" s="335">
        <v>12.778783333333337</v>
      </c>
      <c r="Q52" s="335">
        <v>3.6010000000000004</v>
      </c>
      <c r="R52" s="335">
        <v>18.466266666666666</v>
      </c>
      <c r="S52" s="335">
        <v>34.583366666666663</v>
      </c>
      <c r="T52" s="335">
        <v>60.527416666666674</v>
      </c>
      <c r="U52" s="335">
        <v>70.66749999999999</v>
      </c>
      <c r="V52" s="335">
        <v>3.0658999999999996</v>
      </c>
      <c r="W52" s="335">
        <v>0.28589999999999999</v>
      </c>
      <c r="X52" s="335">
        <v>2.5204833333333334</v>
      </c>
      <c r="Y52" s="335">
        <v>9.2607333333333326</v>
      </c>
      <c r="Z52" s="335">
        <v>17.486799999999999</v>
      </c>
      <c r="AA52" s="335">
        <v>20.1524</v>
      </c>
      <c r="AB52" s="335">
        <v>7.5550000000000006E-2</v>
      </c>
      <c r="AC52" s="335">
        <v>97.840516666666645</v>
      </c>
      <c r="AD52" s="335">
        <v>4.4183666666666657</v>
      </c>
      <c r="AE52" s="335">
        <v>2.9007166666666664</v>
      </c>
      <c r="AF52" s="335">
        <v>1.5485166666666668</v>
      </c>
      <c r="AG52" s="335">
        <v>11.517733333333332</v>
      </c>
      <c r="AH52" s="335">
        <v>0.52523333333333333</v>
      </c>
      <c r="AI52" s="335">
        <v>141.29528333333334</v>
      </c>
      <c r="AJ52" s="335">
        <v>44.339766666666698</v>
      </c>
      <c r="AK52" s="335">
        <v>74.743049999999997</v>
      </c>
      <c r="AL52" s="335">
        <v>14.406066666666666</v>
      </c>
      <c r="AN52" s="39" t="s">
        <v>110</v>
      </c>
      <c r="AO52" s="38" t="s">
        <v>167</v>
      </c>
      <c r="AP52" s="50">
        <v>0.18</v>
      </c>
      <c r="AQ52" s="336">
        <f t="shared" si="17"/>
        <v>1.290972E-2</v>
      </c>
      <c r="AR52" s="336">
        <f t="shared" si="17"/>
        <v>1.5849E-3</v>
      </c>
      <c r="AS52" s="336">
        <f t="shared" si="17"/>
        <v>1.13766E-3</v>
      </c>
      <c r="AT52" s="336">
        <f t="shared" si="17"/>
        <v>2.4780300000000004E-3</v>
      </c>
      <c r="AU52" s="336">
        <f t="shared" si="17"/>
        <v>8.7026999999999992E-4</v>
      </c>
      <c r="AV52" s="336">
        <f t="shared" si="17"/>
        <v>4.1938500000000007E-3</v>
      </c>
      <c r="AW52" s="336">
        <f t="shared" si="17"/>
        <v>2.2551600000000004E-3</v>
      </c>
      <c r="AX52" s="336">
        <f t="shared" si="17"/>
        <v>2.8915709999999997E-2</v>
      </c>
      <c r="AY52" s="336">
        <f t="shared" si="17"/>
        <v>2.5105740000000001E-2</v>
      </c>
      <c r="AZ52" s="336">
        <f t="shared" si="17"/>
        <v>4.2227999999999996E-3</v>
      </c>
      <c r="BA52" s="336">
        <f t="shared" si="17"/>
        <v>2.3001810000000008E-2</v>
      </c>
      <c r="BB52" s="336">
        <f t="shared" si="17"/>
        <v>6.4818000000000011E-3</v>
      </c>
      <c r="BC52" s="336">
        <f t="shared" si="17"/>
        <v>3.3239279999999996E-2</v>
      </c>
      <c r="BD52" s="336">
        <f t="shared" si="17"/>
        <v>6.2250059999999989E-2</v>
      </c>
      <c r="BE52" s="336">
        <f t="shared" si="17"/>
        <v>0.10894935</v>
      </c>
      <c r="BF52" s="336">
        <f t="shared" si="17"/>
        <v>0.1272015</v>
      </c>
      <c r="BG52" s="336">
        <f t="shared" si="12"/>
        <v>5.5186199999999993E-3</v>
      </c>
      <c r="BH52" s="336">
        <f t="shared" si="12"/>
        <v>5.1461999999999992E-4</v>
      </c>
      <c r="BI52" s="336">
        <f t="shared" si="12"/>
        <v>4.5368700000000001E-3</v>
      </c>
      <c r="BJ52" s="336">
        <f t="shared" si="12"/>
        <v>1.6669319999999998E-2</v>
      </c>
      <c r="BK52" s="336">
        <f t="shared" si="12"/>
        <v>3.1476239999999996E-2</v>
      </c>
      <c r="BL52" s="336">
        <f t="shared" si="12"/>
        <v>3.6274319999999999E-2</v>
      </c>
      <c r="BM52" s="336">
        <f t="shared" si="12"/>
        <v>1.3599E-4</v>
      </c>
      <c r="BN52" s="336">
        <f t="shared" si="12"/>
        <v>0.17611292999999997</v>
      </c>
      <c r="BO52" s="336">
        <f t="shared" si="12"/>
        <v>7.9530599999999979E-3</v>
      </c>
      <c r="BP52" s="336">
        <f t="shared" si="12"/>
        <v>5.22129E-3</v>
      </c>
      <c r="BQ52" s="336">
        <f t="shared" si="12"/>
        <v>2.7873300000000002E-3</v>
      </c>
      <c r="BR52" s="336">
        <f t="shared" si="12"/>
        <v>2.0731919999999997E-2</v>
      </c>
      <c r="BS52" s="336">
        <f t="shared" si="12"/>
        <v>9.4541999999999998E-4</v>
      </c>
      <c r="BT52" s="336">
        <f t="shared" si="12"/>
        <v>0.25433151000000004</v>
      </c>
      <c r="BU52" s="336">
        <f t="shared" si="12"/>
        <v>7.9811580000000049E-2</v>
      </c>
      <c r="BV52" s="336">
        <f t="shared" si="12"/>
        <v>0.13453748999999998</v>
      </c>
      <c r="BW52" s="336">
        <f t="shared" si="13"/>
        <v>2.593092E-2</v>
      </c>
      <c r="BX52" s="336"/>
      <c r="BY52" s="284">
        <f t="shared" si="11"/>
        <v>1.9041012446732475E-4</v>
      </c>
      <c r="BZ52" s="284">
        <f t="shared" si="11"/>
        <v>3.9907640177524574E-5</v>
      </c>
      <c r="CA52" s="284">
        <f t="shared" si="11"/>
        <v>1.8457448964955423E-5</v>
      </c>
      <c r="CB52" s="284">
        <f t="shared" si="11"/>
        <v>1.3845712361555766E-5</v>
      </c>
      <c r="CC52" s="284">
        <f t="shared" si="11"/>
        <v>1.382318225777911E-5</v>
      </c>
      <c r="CD52" s="284">
        <f t="shared" si="11"/>
        <v>1.0339898953209807E-4</v>
      </c>
      <c r="CE52" s="284">
        <f t="shared" si="11"/>
        <v>7.7454221750281055E-5</v>
      </c>
      <c r="CF52" s="284">
        <f t="shared" si="11"/>
        <v>3.0276070597058137E-4</v>
      </c>
      <c r="CG52" s="284">
        <f t="shared" si="11"/>
        <v>1.2891310407833729E-4</v>
      </c>
      <c r="CH52" s="284">
        <f t="shared" si="11"/>
        <v>6.9228165127947308E-5</v>
      </c>
      <c r="CI52" s="284">
        <f t="shared" si="11"/>
        <v>2.2898621916425736E-4</v>
      </c>
      <c r="CJ52" s="284">
        <f t="shared" si="11"/>
        <v>1.8031563730470235E-4</v>
      </c>
      <c r="CK52" s="284">
        <f t="shared" si="11"/>
        <v>1.7734591899783785E-4</v>
      </c>
      <c r="CL52" s="284">
        <f t="shared" si="11"/>
        <v>5.3280504812120615E-4</v>
      </c>
      <c r="CM52" s="284">
        <f t="shared" si="11"/>
        <v>5.5906837047655972E-4</v>
      </c>
      <c r="CN52" s="284">
        <f t="shared" si="11"/>
        <v>5.7783168553000917E-4</v>
      </c>
      <c r="CO52" s="284">
        <f t="shared" si="14"/>
        <v>4.4057867675680595E-5</v>
      </c>
      <c r="CP52" s="284">
        <f t="shared" si="14"/>
        <v>2.8340738230309273E-5</v>
      </c>
      <c r="CQ52" s="284">
        <f t="shared" si="14"/>
        <v>8.1117517202049835E-4</v>
      </c>
      <c r="CR52" s="284">
        <f t="shared" si="14"/>
        <v>6.0342456655288423E-4</v>
      </c>
      <c r="CS52" s="284">
        <f t="shared" si="14"/>
        <v>3.9388208552974318E-3</v>
      </c>
      <c r="CT52" s="284">
        <f t="shared" si="14"/>
        <v>1.2122315001421248E-3</v>
      </c>
      <c r="CU52" s="284">
        <f t="shared" si="14"/>
        <v>3.8518105859101444E-6</v>
      </c>
      <c r="CV52" s="284">
        <f t="shared" si="14"/>
        <v>1.3115247946869349E-3</v>
      </c>
      <c r="CW52" s="284">
        <f t="shared" si="14"/>
        <v>1.0585107564550346E-3</v>
      </c>
      <c r="CX52" s="284">
        <f t="shared" si="14"/>
        <v>1.5283260502894561E-4</v>
      </c>
      <c r="CY52" s="284">
        <f t="shared" si="14"/>
        <v>1.2623946033219513E-4</v>
      </c>
      <c r="CZ52" s="284">
        <f t="shared" si="14"/>
        <v>7.577802292459562E-4</v>
      </c>
      <c r="DA52" s="284">
        <f t="shared" si="14"/>
        <v>7.639017326932336E-5</v>
      </c>
      <c r="DB52" s="284">
        <f t="shared" si="14"/>
        <v>3.8768083701227515E-2</v>
      </c>
      <c r="DC52" s="284">
        <f t="shared" si="14"/>
        <v>2.2533981579278051E-2</v>
      </c>
      <c r="DD52" s="284">
        <f t="shared" si="14"/>
        <v>2.0761856896851297E-2</v>
      </c>
      <c r="DE52" s="284">
        <f t="shared" si="15"/>
        <v>5.3287868561503172E-2</v>
      </c>
    </row>
    <row r="53" spans="1:109" s="290" customFormat="1" x14ac:dyDescent="0.2">
      <c r="A53" s="44"/>
      <c r="B53" s="288" t="s">
        <v>111</v>
      </c>
      <c r="C53" s="289" t="s">
        <v>125</v>
      </c>
      <c r="E53" s="284"/>
      <c r="F53" s="335">
        <v>6.8914499999999999</v>
      </c>
      <c r="G53" s="335">
        <v>1.2125833333333333</v>
      </c>
      <c r="H53" s="335">
        <v>0.66653333333333353</v>
      </c>
      <c r="I53" s="335">
        <v>1.2117</v>
      </c>
      <c r="J53" s="335">
        <v>2.4331666666666667</v>
      </c>
      <c r="K53" s="335">
        <v>2.7343166666666665</v>
      </c>
      <c r="L53" s="335">
        <v>30.989466666666669</v>
      </c>
      <c r="M53" s="335">
        <v>75.643366666666665</v>
      </c>
      <c r="N53" s="335">
        <v>14.362366666666667</v>
      </c>
      <c r="O53" s="335">
        <v>2.0999666666666665</v>
      </c>
      <c r="P53" s="335">
        <v>0.64</v>
      </c>
      <c r="Q53" s="335">
        <v>54.006249999999994</v>
      </c>
      <c r="R53" s="335">
        <v>319.23188333333331</v>
      </c>
      <c r="S53" s="335">
        <v>4.8949166666666679</v>
      </c>
      <c r="T53" s="335">
        <v>12.087116666666667</v>
      </c>
      <c r="U53" s="335">
        <v>4.92035</v>
      </c>
      <c r="V53" s="335">
        <v>1.9323833333333333</v>
      </c>
      <c r="W53" s="335">
        <v>0.45200000000000001</v>
      </c>
      <c r="X53" s="335">
        <v>0.89676666666666671</v>
      </c>
      <c r="Y53" s="335">
        <v>7.4475833333333341</v>
      </c>
      <c r="Z53" s="335">
        <v>0.2642166666666666</v>
      </c>
      <c r="AA53" s="335">
        <v>2.8751333333333329</v>
      </c>
      <c r="AB53" s="335">
        <v>0.10836666666666667</v>
      </c>
      <c r="AC53" s="335">
        <v>8.5509166666666658</v>
      </c>
      <c r="AD53" s="335">
        <v>0.29433333333333339</v>
      </c>
      <c r="AE53" s="335">
        <v>1.9115166666666663</v>
      </c>
      <c r="AF53" s="335">
        <v>0.57283333333333342</v>
      </c>
      <c r="AG53" s="335">
        <v>0.22816666666666671</v>
      </c>
      <c r="AH53" s="335">
        <v>9.2266666666666677E-2</v>
      </c>
      <c r="AI53" s="335">
        <v>9.1216166666666663</v>
      </c>
      <c r="AJ53" s="335">
        <v>8.0062333333333342</v>
      </c>
      <c r="AK53" s="335">
        <v>1.1570500000000001</v>
      </c>
      <c r="AL53" s="335">
        <v>0.41604999999999998</v>
      </c>
      <c r="AN53" s="39" t="s">
        <v>111</v>
      </c>
      <c r="AO53" s="38" t="s">
        <v>167</v>
      </c>
      <c r="AP53" s="50">
        <v>0.36</v>
      </c>
      <c r="AQ53" s="336">
        <f t="shared" si="17"/>
        <v>2.480922E-2</v>
      </c>
      <c r="AR53" s="336">
        <f t="shared" si="17"/>
        <v>4.3652999999999999E-3</v>
      </c>
      <c r="AS53" s="336">
        <f t="shared" si="17"/>
        <v>2.3995200000000005E-3</v>
      </c>
      <c r="AT53" s="336">
        <f t="shared" si="17"/>
        <v>4.3621199999999997E-3</v>
      </c>
      <c r="AU53" s="336">
        <f t="shared" si="17"/>
        <v>8.7593999999999988E-3</v>
      </c>
      <c r="AV53" s="336">
        <f t="shared" si="17"/>
        <v>9.8435399999999996E-3</v>
      </c>
      <c r="AW53" s="336">
        <f t="shared" si="17"/>
        <v>0.11156207999999999</v>
      </c>
      <c r="AX53" s="336">
        <f t="shared" si="17"/>
        <v>0.27231611999999999</v>
      </c>
      <c r="AY53" s="336">
        <f t="shared" si="17"/>
        <v>5.1704520000000004E-2</v>
      </c>
      <c r="AZ53" s="336">
        <f t="shared" si="17"/>
        <v>7.5598799999999989E-3</v>
      </c>
      <c r="BA53" s="336">
        <f t="shared" si="17"/>
        <v>2.3040000000000001E-3</v>
      </c>
      <c r="BB53" s="336">
        <f t="shared" si="17"/>
        <v>0.19442249999999997</v>
      </c>
      <c r="BC53" s="336">
        <f t="shared" si="17"/>
        <v>1.1492347799999998</v>
      </c>
      <c r="BD53" s="336">
        <f t="shared" si="17"/>
        <v>1.7621700000000004E-2</v>
      </c>
      <c r="BE53" s="336">
        <f t="shared" si="17"/>
        <v>4.3513620000000003E-2</v>
      </c>
      <c r="BF53" s="336">
        <f t="shared" si="17"/>
        <v>1.7713259999999998E-2</v>
      </c>
      <c r="BG53" s="336">
        <f t="shared" si="12"/>
        <v>6.9565800000000004E-3</v>
      </c>
      <c r="BH53" s="336">
        <f t="shared" si="12"/>
        <v>1.6272000000000001E-3</v>
      </c>
      <c r="BI53" s="336">
        <f t="shared" si="12"/>
        <v>3.22836E-3</v>
      </c>
      <c r="BJ53" s="336">
        <f t="shared" si="12"/>
        <v>2.68113E-2</v>
      </c>
      <c r="BK53" s="336">
        <f t="shared" si="12"/>
        <v>9.5117999999999971E-4</v>
      </c>
      <c r="BL53" s="336">
        <f t="shared" si="12"/>
        <v>1.0350479999999997E-2</v>
      </c>
      <c r="BM53" s="336">
        <f t="shared" si="12"/>
        <v>3.9011999999999999E-4</v>
      </c>
      <c r="BN53" s="336">
        <f t="shared" si="12"/>
        <v>3.07833E-2</v>
      </c>
      <c r="BO53" s="336">
        <f t="shared" si="12"/>
        <v>1.0596000000000002E-3</v>
      </c>
      <c r="BP53" s="336">
        <f t="shared" si="12"/>
        <v>6.8814599999999981E-3</v>
      </c>
      <c r="BQ53" s="336">
        <f t="shared" si="12"/>
        <v>2.0622000000000001E-3</v>
      </c>
      <c r="BR53" s="336">
        <f t="shared" si="12"/>
        <v>8.2140000000000023E-4</v>
      </c>
      <c r="BS53" s="336">
        <f t="shared" si="12"/>
        <v>3.3216000000000002E-4</v>
      </c>
      <c r="BT53" s="336">
        <f t="shared" si="12"/>
        <v>3.2837819999999997E-2</v>
      </c>
      <c r="BU53" s="336">
        <f t="shared" si="12"/>
        <v>2.8822440000000001E-2</v>
      </c>
      <c r="BV53" s="336">
        <f t="shared" si="12"/>
        <v>4.1653799999999998E-3</v>
      </c>
      <c r="BW53" s="336">
        <f t="shared" si="13"/>
        <v>1.49778E-3</v>
      </c>
      <c r="BX53" s="336"/>
      <c r="BY53" s="284">
        <f t="shared" si="11"/>
        <v>3.6592014916955929E-4</v>
      </c>
      <c r="BZ53" s="284">
        <f t="shared" si="11"/>
        <v>1.0991786337746736E-4</v>
      </c>
      <c r="CA53" s="284">
        <f t="shared" si="11"/>
        <v>3.8929924529639646E-5</v>
      </c>
      <c r="CB53" s="284">
        <f t="shared" si="11"/>
        <v>2.4372852147306379E-5</v>
      </c>
      <c r="CC53" s="284">
        <f t="shared" si="11"/>
        <v>1.3913243323197437E-4</v>
      </c>
      <c r="CD53" s="284">
        <f t="shared" si="11"/>
        <v>2.4269158158226651E-4</v>
      </c>
      <c r="CE53" s="284">
        <f t="shared" si="11"/>
        <v>3.8316368165640549E-3</v>
      </c>
      <c r="CF53" s="284">
        <f t="shared" si="11"/>
        <v>2.851274298240284E-3</v>
      </c>
      <c r="CG53" s="284">
        <f t="shared" si="11"/>
        <v>2.654926788885917E-4</v>
      </c>
      <c r="CH53" s="284">
        <f t="shared" si="11"/>
        <v>1.2393592426528991E-4</v>
      </c>
      <c r="CI53" s="284">
        <f t="shared" si="11"/>
        <v>2.2936640592825034E-5</v>
      </c>
      <c r="CJ53" s="284">
        <f t="shared" si="11"/>
        <v>5.4085928282072079E-3</v>
      </c>
      <c r="CK53" s="284">
        <f t="shared" si="11"/>
        <v>6.1316640493830786E-3</v>
      </c>
      <c r="CL53" s="284">
        <f t="shared" si="11"/>
        <v>1.5082605087412705E-4</v>
      </c>
      <c r="CM53" s="284">
        <f t="shared" si="11"/>
        <v>2.2328805657799924E-4</v>
      </c>
      <c r="CN53" s="284">
        <f t="shared" si="11"/>
        <v>8.0465111512295759E-5</v>
      </c>
      <c r="CO53" s="284">
        <f t="shared" si="14"/>
        <v>5.5537812191324314E-5</v>
      </c>
      <c r="CP53" s="284">
        <f t="shared" si="14"/>
        <v>8.9611848059459917E-5</v>
      </c>
      <c r="CQ53" s="284">
        <f t="shared" si="14"/>
        <v>5.7721854017066742E-4</v>
      </c>
      <c r="CR53" s="284">
        <f t="shared" si="14"/>
        <v>9.7056131151236809E-4</v>
      </c>
      <c r="CS53" s="284">
        <f t="shared" si="14"/>
        <v>1.1902716528854178E-4</v>
      </c>
      <c r="CT53" s="284">
        <f t="shared" si="14"/>
        <v>3.4589698435673105E-4</v>
      </c>
      <c r="CU53" s="284">
        <f t="shared" si="14"/>
        <v>1.1049844442791863E-5</v>
      </c>
      <c r="CV53" s="284">
        <f t="shared" si="14"/>
        <v>2.2924529852683914E-4</v>
      </c>
      <c r="CW53" s="284">
        <f t="shared" si="14"/>
        <v>1.4102722694657842E-4</v>
      </c>
      <c r="CX53" s="284">
        <f t="shared" si="14"/>
        <v>2.0142751277988537E-4</v>
      </c>
      <c r="CY53" s="284">
        <f t="shared" si="14"/>
        <v>9.3397988432317955E-5</v>
      </c>
      <c r="CZ53" s="284">
        <f t="shared" si="14"/>
        <v>3.0023301281436004E-5</v>
      </c>
      <c r="DA53" s="284">
        <f t="shared" si="14"/>
        <v>2.6838611361234633E-5</v>
      </c>
      <c r="DB53" s="284">
        <f t="shared" si="14"/>
        <v>5.0055117210047731E-3</v>
      </c>
      <c r="DC53" s="284">
        <f t="shared" si="14"/>
        <v>8.1377205166198504E-3</v>
      </c>
      <c r="DD53" s="284">
        <f t="shared" si="14"/>
        <v>6.4280241500719586E-4</v>
      </c>
      <c r="DE53" s="284">
        <f t="shared" si="15"/>
        <v>3.0779279629896748E-3</v>
      </c>
    </row>
    <row r="54" spans="1:109" s="290" customFormat="1" x14ac:dyDescent="0.2">
      <c r="A54" s="44"/>
      <c r="B54" s="288" t="s">
        <v>112</v>
      </c>
      <c r="C54" s="289" t="s">
        <v>125</v>
      </c>
      <c r="E54" s="284"/>
      <c r="F54" s="335">
        <v>41.057583333333334</v>
      </c>
      <c r="G54" s="335">
        <v>3.4071666666666665</v>
      </c>
      <c r="H54" s="335">
        <v>3.3845333333333332</v>
      </c>
      <c r="I54" s="335">
        <v>212.32855000000004</v>
      </c>
      <c r="J54" s="335">
        <v>10.637066666666668</v>
      </c>
      <c r="K54" s="335">
        <v>7.5177666666666658</v>
      </c>
      <c r="L54" s="335">
        <v>48.992449999999991</v>
      </c>
      <c r="M54" s="335">
        <v>408.57035000000002</v>
      </c>
      <c r="N54" s="335">
        <v>24.997150000000005</v>
      </c>
      <c r="O54" s="335">
        <v>5.7192999999999996</v>
      </c>
      <c r="P54" s="335">
        <v>1.9821666666666669</v>
      </c>
      <c r="Q54" s="335">
        <v>8.8667666666666651</v>
      </c>
      <c r="R54" s="335">
        <v>147.91466666666668</v>
      </c>
      <c r="S54" s="335">
        <v>14.599716666666666</v>
      </c>
      <c r="T54" s="335">
        <v>90.612366666666674</v>
      </c>
      <c r="U54" s="335">
        <v>38.802066666666661</v>
      </c>
      <c r="V54" s="335">
        <v>12.962566666666666</v>
      </c>
      <c r="W54" s="335">
        <v>0.6959833333333334</v>
      </c>
      <c r="X54" s="335">
        <v>4.7117666666666667</v>
      </c>
      <c r="Y54" s="335">
        <v>47.096349999999994</v>
      </c>
      <c r="Z54" s="335">
        <v>6.1774666666666675</v>
      </c>
      <c r="AA54" s="335">
        <v>13.032500000000001</v>
      </c>
      <c r="AB54" s="335">
        <v>0.54954999999999987</v>
      </c>
      <c r="AC54" s="335">
        <v>38.974816666666669</v>
      </c>
      <c r="AD54" s="335">
        <v>7.7333166666666671</v>
      </c>
      <c r="AE54" s="335">
        <v>3.6588833333333342</v>
      </c>
      <c r="AF54" s="335">
        <v>4.5971833333333327</v>
      </c>
      <c r="AG54" s="335">
        <v>2.6524999999999999</v>
      </c>
      <c r="AH54" s="335">
        <v>0.6458666666666667</v>
      </c>
      <c r="AI54" s="335">
        <v>107.61903333333333</v>
      </c>
      <c r="AJ54" s="335">
        <v>71.580600000000004</v>
      </c>
      <c r="AK54" s="335">
        <v>26.038233333333334</v>
      </c>
      <c r="AL54" s="335">
        <v>53.907033333333324</v>
      </c>
      <c r="AN54" s="39" t="s">
        <v>112</v>
      </c>
      <c r="AO54" s="38" t="s">
        <v>167</v>
      </c>
      <c r="AP54" s="50">
        <v>0.22</v>
      </c>
      <c r="AQ54" s="336">
        <f t="shared" si="17"/>
        <v>9.0326683333333338E-2</v>
      </c>
      <c r="AR54" s="336">
        <f t="shared" si="17"/>
        <v>7.4957666666666664E-3</v>
      </c>
      <c r="AS54" s="336">
        <f t="shared" si="17"/>
        <v>7.445973333333333E-3</v>
      </c>
      <c r="AT54" s="336">
        <f t="shared" si="17"/>
        <v>0.46712281000000011</v>
      </c>
      <c r="AU54" s="336">
        <f t="shared" si="17"/>
        <v>2.3401546666666669E-2</v>
      </c>
      <c r="AV54" s="336">
        <f t="shared" si="17"/>
        <v>1.6539086666666664E-2</v>
      </c>
      <c r="AW54" s="336">
        <f t="shared" si="17"/>
        <v>0.10778338999999998</v>
      </c>
      <c r="AX54" s="336">
        <f t="shared" si="17"/>
        <v>0.89885477000000014</v>
      </c>
      <c r="AY54" s="336">
        <f t="shared" si="17"/>
        <v>5.4993730000000011E-2</v>
      </c>
      <c r="AZ54" s="336">
        <f t="shared" si="17"/>
        <v>1.258246E-2</v>
      </c>
      <c r="BA54" s="336">
        <f t="shared" si="17"/>
        <v>4.3607666666666675E-3</v>
      </c>
      <c r="BB54" s="336">
        <f t="shared" si="17"/>
        <v>1.9506886666666664E-2</v>
      </c>
      <c r="BC54" s="336">
        <f t="shared" si="17"/>
        <v>0.32541226666666667</v>
      </c>
      <c r="BD54" s="336">
        <f t="shared" si="17"/>
        <v>3.2119376666666664E-2</v>
      </c>
      <c r="BE54" s="336">
        <f t="shared" si="17"/>
        <v>0.19934720666666667</v>
      </c>
      <c r="BF54" s="336">
        <f t="shared" si="17"/>
        <v>8.5364546666666652E-2</v>
      </c>
      <c r="BG54" s="336">
        <f t="shared" si="12"/>
        <v>2.8517646666666664E-2</v>
      </c>
      <c r="BH54" s="336">
        <f t="shared" si="12"/>
        <v>1.5311633333333335E-3</v>
      </c>
      <c r="BI54" s="336">
        <f t="shared" si="12"/>
        <v>1.0365886666666666E-2</v>
      </c>
      <c r="BJ54" s="336">
        <f t="shared" si="12"/>
        <v>0.10361196999999998</v>
      </c>
      <c r="BK54" s="336">
        <f t="shared" si="12"/>
        <v>1.3590426666666669E-2</v>
      </c>
      <c r="BL54" s="336">
        <f t="shared" si="12"/>
        <v>2.8671500000000003E-2</v>
      </c>
      <c r="BM54" s="336">
        <f t="shared" si="12"/>
        <v>1.2090099999999997E-3</v>
      </c>
      <c r="BN54" s="336">
        <f t="shared" si="12"/>
        <v>8.5744596666666673E-2</v>
      </c>
      <c r="BO54" s="336">
        <f t="shared" si="12"/>
        <v>1.7013296666666667E-2</v>
      </c>
      <c r="BP54" s="336">
        <f t="shared" si="12"/>
        <v>8.0495433333333359E-3</v>
      </c>
      <c r="BQ54" s="336">
        <f t="shared" si="12"/>
        <v>1.0113803333333331E-2</v>
      </c>
      <c r="BR54" s="336">
        <f t="shared" si="12"/>
        <v>5.8355000000000004E-3</v>
      </c>
      <c r="BS54" s="336">
        <f t="shared" si="12"/>
        <v>1.4209066666666667E-3</v>
      </c>
      <c r="BT54" s="336">
        <f t="shared" si="12"/>
        <v>0.23676187333333334</v>
      </c>
      <c r="BU54" s="336">
        <f t="shared" si="12"/>
        <v>0.15747732</v>
      </c>
      <c r="BV54" s="336">
        <f t="shared" si="12"/>
        <v>5.7284113333333338E-2</v>
      </c>
      <c r="BW54" s="336">
        <f t="shared" si="13"/>
        <v>0.11859547333333331</v>
      </c>
      <c r="BX54" s="336"/>
      <c r="BY54" s="284">
        <f t="shared" si="11"/>
        <v>1.332260886852746E-3</v>
      </c>
      <c r="BZ54" s="284">
        <f t="shared" si="11"/>
        <v>1.8874273391886938E-4</v>
      </c>
      <c r="CA54" s="284">
        <f t="shared" si="11"/>
        <v>1.2080381906230244E-4</v>
      </c>
      <c r="CB54" s="284">
        <f t="shared" si="11"/>
        <v>2.6099958696148414E-3</v>
      </c>
      <c r="CC54" s="284">
        <f t="shared" si="11"/>
        <v>3.7170515436273408E-4</v>
      </c>
      <c r="CD54" s="284">
        <f t="shared" si="11"/>
        <v>4.0776967443211578E-4</v>
      </c>
      <c r="CE54" s="284">
        <f t="shared" si="11"/>
        <v>3.7018564492350978E-3</v>
      </c>
      <c r="CF54" s="284">
        <f t="shared" si="11"/>
        <v>9.4114204607192633E-3</v>
      </c>
      <c r="CG54" s="284">
        <f t="shared" si="11"/>
        <v>2.8238213409148593E-4</v>
      </c>
      <c r="CH54" s="284">
        <f t="shared" si="11"/>
        <v>2.0627560353220421E-4</v>
      </c>
      <c r="CI54" s="284">
        <f t="shared" si="11"/>
        <v>4.3412038950740017E-5</v>
      </c>
      <c r="CJ54" s="284">
        <f t="shared" si="11"/>
        <v>5.4265739472532317E-4</v>
      </c>
      <c r="CK54" s="284">
        <f t="shared" si="11"/>
        <v>1.7362150288805739E-3</v>
      </c>
      <c r="CL54" s="284">
        <f t="shared" si="11"/>
        <v>2.7491324555360236E-4</v>
      </c>
      <c r="CM54" s="284">
        <f t="shared" si="11"/>
        <v>1.0229406415934313E-3</v>
      </c>
      <c r="CN54" s="284">
        <f t="shared" si="11"/>
        <v>3.8778111802852263E-4</v>
      </c>
      <c r="CO54" s="284">
        <f t="shared" si="14"/>
        <v>2.2767045081230705E-4</v>
      </c>
      <c r="CP54" s="284">
        <f t="shared" si="14"/>
        <v>8.4322994088546489E-5</v>
      </c>
      <c r="CQ54" s="284">
        <f t="shared" si="14"/>
        <v>1.8533812738690599E-3</v>
      </c>
      <c r="CR54" s="284">
        <f t="shared" si="14"/>
        <v>3.7507233700559139E-3</v>
      </c>
      <c r="CS54" s="284">
        <f t="shared" si="14"/>
        <v>1.7006559864538153E-3</v>
      </c>
      <c r="CT54" s="284">
        <f t="shared" si="14"/>
        <v>9.5815705039611866E-4</v>
      </c>
      <c r="CU54" s="284">
        <f t="shared" si="14"/>
        <v>3.4244264405259378E-5</v>
      </c>
      <c r="CV54" s="284">
        <f t="shared" si="14"/>
        <v>6.385457588989295E-4</v>
      </c>
      <c r="CW54" s="284">
        <f t="shared" si="14"/>
        <v>2.2643809457526106E-3</v>
      </c>
      <c r="CX54" s="284">
        <f t="shared" si="14"/>
        <v>2.3561853046406462E-4</v>
      </c>
      <c r="CY54" s="284">
        <f t="shared" si="14"/>
        <v>4.5805881424372275E-4</v>
      </c>
      <c r="CZ54" s="284">
        <f t="shared" si="14"/>
        <v>2.1329556200124148E-4</v>
      </c>
      <c r="DA54" s="284">
        <f t="shared" si="14"/>
        <v>1.1480961526750371E-4</v>
      </c>
      <c r="DB54" s="284">
        <f t="shared" si="14"/>
        <v>3.6089921074451581E-2</v>
      </c>
      <c r="DC54" s="284">
        <f t="shared" si="14"/>
        <v>4.4462107228475781E-2</v>
      </c>
      <c r="DD54" s="284">
        <f t="shared" si="14"/>
        <v>8.8400977563181712E-3</v>
      </c>
      <c r="DE54" s="284">
        <f t="shared" si="15"/>
        <v>0.24371291087920985</v>
      </c>
    </row>
    <row r="55" spans="1:109" s="290" customFormat="1" x14ac:dyDescent="0.2">
      <c r="A55" s="44"/>
      <c r="B55" s="288" t="s">
        <v>113</v>
      </c>
      <c r="C55" s="289" t="s">
        <v>125</v>
      </c>
      <c r="E55" s="284"/>
      <c r="F55" s="335">
        <v>15.414099999999999</v>
      </c>
      <c r="G55" s="335">
        <v>28.946516666666668</v>
      </c>
      <c r="H55" s="335">
        <v>8.5881500000000006</v>
      </c>
      <c r="I55" s="335">
        <v>55.073450000000001</v>
      </c>
      <c r="J55" s="335">
        <v>94.542749999999998</v>
      </c>
      <c r="K55" s="335">
        <v>22.046116666666666</v>
      </c>
      <c r="L55" s="335">
        <v>23.602716666666666</v>
      </c>
      <c r="M55" s="335">
        <v>21.440700000000003</v>
      </c>
      <c r="N55" s="335">
        <v>14.900666666666666</v>
      </c>
      <c r="O55" s="335">
        <v>2.0194166666666669</v>
      </c>
      <c r="P55" s="335">
        <v>23.26176666666667</v>
      </c>
      <c r="Q55" s="335">
        <v>24.246650000000002</v>
      </c>
      <c r="R55" s="335">
        <v>63.350549999999998</v>
      </c>
      <c r="S55" s="335">
        <v>37.204233333333327</v>
      </c>
      <c r="T55" s="335">
        <v>375.6918</v>
      </c>
      <c r="U55" s="335">
        <v>132.92259999999999</v>
      </c>
      <c r="V55" s="335">
        <v>57.480516666666681</v>
      </c>
      <c r="W55" s="335">
        <v>0.78774999999999995</v>
      </c>
      <c r="X55" s="335">
        <v>25.511966666666666</v>
      </c>
      <c r="Y55" s="335">
        <v>38.227399999999996</v>
      </c>
      <c r="Z55" s="335">
        <v>172.40203333333332</v>
      </c>
      <c r="AA55" s="335">
        <v>225.68438333333333</v>
      </c>
      <c r="AB55" s="335">
        <v>1.8634666666666668</v>
      </c>
      <c r="AC55" s="335">
        <v>585.16901666666661</v>
      </c>
      <c r="AD55" s="335">
        <v>25.549733333333336</v>
      </c>
      <c r="AE55" s="335">
        <v>14.725816666666665</v>
      </c>
      <c r="AF55" s="335">
        <v>16.934166666666663</v>
      </c>
      <c r="AG55" s="335">
        <v>104.86460000000001</v>
      </c>
      <c r="AH55" s="335">
        <v>62.591183333333333</v>
      </c>
      <c r="AI55" s="335">
        <v>443.00520000000006</v>
      </c>
      <c r="AJ55" s="335">
        <v>207.950066666667</v>
      </c>
      <c r="AK55" s="335">
        <v>204.513583333333</v>
      </c>
      <c r="AL55" s="335">
        <v>111.40164999999998</v>
      </c>
      <c r="AN55" s="39" t="s">
        <v>113</v>
      </c>
      <c r="AO55" s="38" t="s">
        <v>167</v>
      </c>
      <c r="AP55" s="50">
        <v>0.1</v>
      </c>
      <c r="AQ55" s="336">
        <f t="shared" si="17"/>
        <v>1.54141E-2</v>
      </c>
      <c r="AR55" s="336">
        <f t="shared" si="17"/>
        <v>2.8946516666666668E-2</v>
      </c>
      <c r="AS55" s="336">
        <f t="shared" si="17"/>
        <v>8.588150000000001E-3</v>
      </c>
      <c r="AT55" s="336">
        <f t="shared" si="17"/>
        <v>5.507345000000001E-2</v>
      </c>
      <c r="AU55" s="336">
        <f t="shared" si="17"/>
        <v>9.4542750000000009E-2</v>
      </c>
      <c r="AV55" s="336">
        <f t="shared" si="17"/>
        <v>2.2046116666666667E-2</v>
      </c>
      <c r="AW55" s="336">
        <f t="shared" si="17"/>
        <v>2.3602716666666669E-2</v>
      </c>
      <c r="AX55" s="336">
        <f t="shared" si="17"/>
        <v>2.1440700000000007E-2</v>
      </c>
      <c r="AY55" s="336">
        <f t="shared" si="17"/>
        <v>1.4900666666666666E-2</v>
      </c>
      <c r="AZ55" s="336">
        <f t="shared" si="17"/>
        <v>2.0194166666666668E-3</v>
      </c>
      <c r="BA55" s="336">
        <f t="shared" si="17"/>
        <v>2.3261766666666669E-2</v>
      </c>
      <c r="BB55" s="336">
        <f t="shared" si="17"/>
        <v>2.4246650000000005E-2</v>
      </c>
      <c r="BC55" s="336">
        <f t="shared" si="17"/>
        <v>6.3350550000000005E-2</v>
      </c>
      <c r="BD55" s="336">
        <f t="shared" si="17"/>
        <v>3.7204233333333329E-2</v>
      </c>
      <c r="BE55" s="336">
        <f t="shared" si="17"/>
        <v>0.37569180000000002</v>
      </c>
      <c r="BF55" s="336">
        <f t="shared" si="17"/>
        <v>0.1329226</v>
      </c>
      <c r="BG55" s="336">
        <f t="shared" si="12"/>
        <v>5.7480516666666689E-2</v>
      </c>
      <c r="BH55" s="336">
        <f t="shared" si="12"/>
        <v>7.8774999999999993E-4</v>
      </c>
      <c r="BI55" s="336">
        <f t="shared" si="12"/>
        <v>2.5511966666666667E-2</v>
      </c>
      <c r="BJ55" s="336">
        <f t="shared" si="12"/>
        <v>3.8227399999999995E-2</v>
      </c>
      <c r="BK55" s="336">
        <f t="shared" si="12"/>
        <v>0.17240203333333334</v>
      </c>
      <c r="BL55" s="336">
        <f t="shared" si="12"/>
        <v>0.22568438333333332</v>
      </c>
      <c r="BM55" s="336">
        <f t="shared" si="12"/>
        <v>1.8634666666666668E-3</v>
      </c>
      <c r="BN55" s="336">
        <f t="shared" si="12"/>
        <v>0.58516901666666665</v>
      </c>
      <c r="BO55" s="336">
        <f t="shared" si="12"/>
        <v>2.5549733333333338E-2</v>
      </c>
      <c r="BP55" s="336">
        <f t="shared" si="12"/>
        <v>1.4725816666666667E-2</v>
      </c>
      <c r="BQ55" s="336">
        <f t="shared" si="12"/>
        <v>1.6934166666666663E-2</v>
      </c>
      <c r="BR55" s="336">
        <f t="shared" si="12"/>
        <v>0.10486460000000002</v>
      </c>
      <c r="BS55" s="336">
        <f t="shared" si="12"/>
        <v>6.2591183333333328E-2</v>
      </c>
      <c r="BT55" s="336">
        <f t="shared" si="12"/>
        <v>0.44300520000000004</v>
      </c>
      <c r="BU55" s="336">
        <f t="shared" si="12"/>
        <v>0.20795006666666702</v>
      </c>
      <c r="BV55" s="336">
        <f t="shared" si="12"/>
        <v>0.20451358333333303</v>
      </c>
      <c r="BW55" s="336">
        <f t="shared" si="13"/>
        <v>0.11140164999999998</v>
      </c>
      <c r="BX55" s="336"/>
      <c r="BY55" s="284">
        <f t="shared" si="11"/>
        <v>2.2734812990148436E-4</v>
      </c>
      <c r="BZ55" s="284">
        <f t="shared" si="11"/>
        <v>7.2887069942964946E-4</v>
      </c>
      <c r="CA55" s="284">
        <f t="shared" si="11"/>
        <v>1.3933454663817127E-4</v>
      </c>
      <c r="CB55" s="284">
        <f t="shared" si="11"/>
        <v>3.077166731066708E-4</v>
      </c>
      <c r="CC55" s="284">
        <f t="shared" si="11"/>
        <v>1.5016967888145589E-3</v>
      </c>
      <c r="CD55" s="284">
        <f t="shared" si="11"/>
        <v>5.4354499718399063E-4</v>
      </c>
      <c r="CE55" s="284">
        <f t="shared" si="11"/>
        <v>8.1064316971259445E-4</v>
      </c>
      <c r="CF55" s="284">
        <f t="shared" si="11"/>
        <v>2.2449393317692864E-4</v>
      </c>
      <c r="CG55" s="284">
        <f t="shared" si="11"/>
        <v>7.6512032421136009E-5</v>
      </c>
      <c r="CH55" s="284">
        <f t="shared" si="11"/>
        <v>3.3106116903980519E-5</v>
      </c>
      <c r="CI55" s="284">
        <f t="shared" si="11"/>
        <v>2.3157412395290408E-4</v>
      </c>
      <c r="CJ55" s="284">
        <f t="shared" si="11"/>
        <v>6.7451173242834728E-4</v>
      </c>
      <c r="CK55" s="284">
        <f t="shared" si="11"/>
        <v>3.3800255326735349E-4</v>
      </c>
      <c r="CL55" s="284">
        <f t="shared" si="11"/>
        <v>3.184350879578148E-4</v>
      </c>
      <c r="CM55" s="284">
        <f t="shared" si="11"/>
        <v>1.9278444747711262E-3</v>
      </c>
      <c r="CN55" s="284">
        <f t="shared" si="11"/>
        <v>6.0382063106984745E-4</v>
      </c>
      <c r="CO55" s="284">
        <f t="shared" si="14"/>
        <v>4.5889533927499169E-4</v>
      </c>
      <c r="CP55" s="284">
        <f t="shared" si="14"/>
        <v>4.3382333646041993E-5</v>
      </c>
      <c r="CQ55" s="284">
        <f t="shared" si="14"/>
        <v>4.5614430101401518E-3</v>
      </c>
      <c r="CR55" s="284">
        <f t="shared" si="14"/>
        <v>1.3838208322501295E-3</v>
      </c>
      <c r="CS55" s="284">
        <f t="shared" si="14"/>
        <v>2.1573756089959172E-2</v>
      </c>
      <c r="CT55" s="284">
        <f t="shared" si="14"/>
        <v>7.5420219749623707E-3</v>
      </c>
      <c r="CU55" s="284">
        <f t="shared" si="14"/>
        <v>5.2781238570169555E-5</v>
      </c>
      <c r="CV55" s="284">
        <f t="shared" si="14"/>
        <v>4.357792891418623E-3</v>
      </c>
      <c r="CW55" s="284">
        <f t="shared" si="14"/>
        <v>3.4005360902459041E-3</v>
      </c>
      <c r="CX55" s="284">
        <f t="shared" si="14"/>
        <v>4.310400154646325E-4</v>
      </c>
      <c r="CY55" s="284">
        <f t="shared" si="14"/>
        <v>7.6695621299790377E-4</v>
      </c>
      <c r="CZ55" s="284">
        <f t="shared" si="14"/>
        <v>3.8329455558281877E-3</v>
      </c>
      <c r="DA55" s="284">
        <f t="shared" si="14"/>
        <v>5.0573833216616074E-3</v>
      </c>
      <c r="DB55" s="284">
        <f t="shared" si="14"/>
        <v>6.7527860286281619E-2</v>
      </c>
      <c r="DC55" s="284">
        <f t="shared" si="14"/>
        <v>5.871256992627278E-2</v>
      </c>
      <c r="DD55" s="284">
        <f t="shared" si="14"/>
        <v>3.1560583972756837E-2</v>
      </c>
      <c r="DE55" s="284">
        <f t="shared" si="15"/>
        <v>0.2289296516565775</v>
      </c>
    </row>
    <row r="56" spans="1:109" s="290" customFormat="1" x14ac:dyDescent="0.2">
      <c r="A56" s="44"/>
      <c r="B56" s="288" t="s">
        <v>114</v>
      </c>
      <c r="C56" s="289" t="s">
        <v>125</v>
      </c>
      <c r="E56" s="284"/>
      <c r="F56" s="335">
        <v>0</v>
      </c>
      <c r="G56" s="335">
        <v>0</v>
      </c>
      <c r="H56" s="335">
        <v>0</v>
      </c>
      <c r="I56" s="335">
        <v>0</v>
      </c>
      <c r="J56" s="335">
        <v>0</v>
      </c>
      <c r="K56" s="335">
        <v>0</v>
      </c>
      <c r="L56" s="335">
        <v>0</v>
      </c>
      <c r="M56" s="335">
        <v>0</v>
      </c>
      <c r="N56" s="335">
        <v>0</v>
      </c>
      <c r="O56" s="335">
        <v>0</v>
      </c>
      <c r="P56" s="335">
        <v>0</v>
      </c>
      <c r="Q56" s="335">
        <v>0</v>
      </c>
      <c r="R56" s="335">
        <v>0</v>
      </c>
      <c r="S56" s="335">
        <v>1.6499999999999998E-3</v>
      </c>
      <c r="T56" s="335">
        <v>0</v>
      </c>
      <c r="U56" s="335">
        <v>0</v>
      </c>
      <c r="V56" s="335">
        <v>0</v>
      </c>
      <c r="W56" s="335">
        <v>0</v>
      </c>
      <c r="X56" s="335">
        <v>0</v>
      </c>
      <c r="Y56" s="335">
        <v>0</v>
      </c>
      <c r="Z56" s="335">
        <v>1.7644166666666667</v>
      </c>
      <c r="AA56" s="335">
        <v>2.1067333333333331</v>
      </c>
      <c r="AB56" s="335">
        <v>0</v>
      </c>
      <c r="AC56" s="335">
        <v>0.94904999999999984</v>
      </c>
      <c r="AD56" s="335">
        <v>0</v>
      </c>
      <c r="AE56" s="335">
        <v>0</v>
      </c>
      <c r="AF56" s="335">
        <v>0</v>
      </c>
      <c r="AG56" s="335">
        <v>0</v>
      </c>
      <c r="AH56" s="335">
        <v>0</v>
      </c>
      <c r="AI56" s="335">
        <v>10.966266666666668</v>
      </c>
      <c r="AJ56" s="335">
        <v>10.405099999999999</v>
      </c>
      <c r="AK56" s="335">
        <v>6.9215166666666681</v>
      </c>
      <c r="AL56" s="335">
        <v>0.66333333333333333</v>
      </c>
      <c r="AN56" s="39" t="s">
        <v>114</v>
      </c>
      <c r="AO56" s="38" t="s">
        <v>167</v>
      </c>
      <c r="AP56" s="50">
        <v>0.67</v>
      </c>
      <c r="AQ56" s="336">
        <f t="shared" si="17"/>
        <v>0</v>
      </c>
      <c r="AR56" s="336">
        <f t="shared" si="17"/>
        <v>0</v>
      </c>
      <c r="AS56" s="336">
        <f t="shared" si="17"/>
        <v>0</v>
      </c>
      <c r="AT56" s="336">
        <f t="shared" si="17"/>
        <v>0</v>
      </c>
      <c r="AU56" s="336">
        <f t="shared" si="17"/>
        <v>0</v>
      </c>
      <c r="AV56" s="336">
        <f t="shared" si="17"/>
        <v>0</v>
      </c>
      <c r="AW56" s="336">
        <f t="shared" si="17"/>
        <v>0</v>
      </c>
      <c r="AX56" s="336">
        <f t="shared" si="17"/>
        <v>0</v>
      </c>
      <c r="AY56" s="336">
        <f t="shared" si="17"/>
        <v>0</v>
      </c>
      <c r="AZ56" s="336">
        <f t="shared" si="17"/>
        <v>0</v>
      </c>
      <c r="BA56" s="336">
        <f t="shared" si="17"/>
        <v>0</v>
      </c>
      <c r="BB56" s="336">
        <f t="shared" si="17"/>
        <v>0</v>
      </c>
      <c r="BC56" s="336">
        <f t="shared" si="17"/>
        <v>0</v>
      </c>
      <c r="BD56" s="336">
        <f t="shared" si="17"/>
        <v>1.1055E-5</v>
      </c>
      <c r="BE56" s="336">
        <f t="shared" si="17"/>
        <v>0</v>
      </c>
      <c r="BF56" s="336">
        <f t="shared" si="17"/>
        <v>0</v>
      </c>
      <c r="BG56" s="336">
        <f t="shared" si="12"/>
        <v>0</v>
      </c>
      <c r="BH56" s="336">
        <f t="shared" si="12"/>
        <v>0</v>
      </c>
      <c r="BI56" s="336">
        <f t="shared" si="12"/>
        <v>0</v>
      </c>
      <c r="BJ56" s="336">
        <f t="shared" si="12"/>
        <v>0</v>
      </c>
      <c r="BK56" s="336">
        <f t="shared" si="12"/>
        <v>1.1821591666666669E-2</v>
      </c>
      <c r="BL56" s="336">
        <f t="shared" si="12"/>
        <v>1.4115113333333333E-2</v>
      </c>
      <c r="BM56" s="336">
        <f t="shared" si="12"/>
        <v>0</v>
      </c>
      <c r="BN56" s="336">
        <f t="shared" si="12"/>
        <v>6.3586349999999988E-3</v>
      </c>
      <c r="BO56" s="336">
        <f t="shared" si="12"/>
        <v>0</v>
      </c>
      <c r="BP56" s="336">
        <f t="shared" si="12"/>
        <v>0</v>
      </c>
      <c r="BQ56" s="336">
        <f t="shared" si="12"/>
        <v>0</v>
      </c>
      <c r="BR56" s="336">
        <f t="shared" si="12"/>
        <v>0</v>
      </c>
      <c r="BS56" s="336">
        <f t="shared" si="12"/>
        <v>0</v>
      </c>
      <c r="BT56" s="336">
        <f t="shared" si="12"/>
        <v>7.3473986666666671E-2</v>
      </c>
      <c r="BU56" s="336">
        <f t="shared" si="12"/>
        <v>6.9714169999999992E-2</v>
      </c>
      <c r="BV56" s="336">
        <f t="shared" si="12"/>
        <v>4.6374161666666677E-2</v>
      </c>
      <c r="BW56" s="336">
        <f t="shared" si="13"/>
        <v>4.4443333333333331E-3</v>
      </c>
      <c r="BX56" s="336"/>
      <c r="BY56" s="284">
        <f t="shared" si="11"/>
        <v>0</v>
      </c>
      <c r="BZ56" s="284">
        <f t="shared" si="11"/>
        <v>0</v>
      </c>
      <c r="CA56" s="284">
        <f t="shared" si="11"/>
        <v>0</v>
      </c>
      <c r="CB56" s="284">
        <f t="shared" si="11"/>
        <v>0</v>
      </c>
      <c r="CC56" s="284">
        <f t="shared" si="11"/>
        <v>0</v>
      </c>
      <c r="CD56" s="284">
        <f t="shared" si="11"/>
        <v>0</v>
      </c>
      <c r="CE56" s="284">
        <f t="shared" si="11"/>
        <v>0</v>
      </c>
      <c r="CF56" s="284">
        <f t="shared" si="11"/>
        <v>0</v>
      </c>
      <c r="CG56" s="284">
        <f t="shared" si="11"/>
        <v>0</v>
      </c>
      <c r="CH56" s="284">
        <f t="shared" si="11"/>
        <v>0</v>
      </c>
      <c r="CI56" s="284">
        <f t="shared" si="11"/>
        <v>0</v>
      </c>
      <c r="CJ56" s="284">
        <f t="shared" si="11"/>
        <v>0</v>
      </c>
      <c r="CK56" s="284">
        <f t="shared" si="11"/>
        <v>0</v>
      </c>
      <c r="CL56" s="284">
        <f t="shared" si="11"/>
        <v>9.462094987506734E-8</v>
      </c>
      <c r="CM56" s="284">
        <f t="shared" si="11"/>
        <v>0</v>
      </c>
      <c r="CN56" s="284">
        <f t="shared" si="11"/>
        <v>0</v>
      </c>
      <c r="CO56" s="284">
        <f t="shared" si="14"/>
        <v>0</v>
      </c>
      <c r="CP56" s="284">
        <f t="shared" si="14"/>
        <v>0</v>
      </c>
      <c r="CQ56" s="284">
        <f t="shared" si="14"/>
        <v>0</v>
      </c>
      <c r="CR56" s="284">
        <f t="shared" si="14"/>
        <v>0</v>
      </c>
      <c r="CS56" s="284">
        <f t="shared" si="14"/>
        <v>1.4793104830652264E-3</v>
      </c>
      <c r="CT56" s="284">
        <f t="shared" si="14"/>
        <v>4.7170519008330895E-4</v>
      </c>
      <c r="CU56" s="284">
        <f t="shared" si="14"/>
        <v>0</v>
      </c>
      <c r="CV56" s="284">
        <f t="shared" si="14"/>
        <v>4.7353181068897993E-5</v>
      </c>
      <c r="CW56" s="284">
        <f t="shared" si="14"/>
        <v>0</v>
      </c>
      <c r="CX56" s="284">
        <f t="shared" si="14"/>
        <v>0</v>
      </c>
      <c r="CY56" s="284">
        <f t="shared" si="14"/>
        <v>0</v>
      </c>
      <c r="CZ56" s="284">
        <f t="shared" si="14"/>
        <v>0</v>
      </c>
      <c r="DA56" s="284">
        <f t="shared" si="14"/>
        <v>0</v>
      </c>
      <c r="DB56" s="284">
        <f t="shared" si="14"/>
        <v>1.1199735592951921E-2</v>
      </c>
      <c r="DC56" s="284">
        <f t="shared" si="14"/>
        <v>1.9683081359805898E-2</v>
      </c>
      <c r="DD56" s="284">
        <f t="shared" si="14"/>
        <v>7.156471465572762E-3</v>
      </c>
      <c r="DE56" s="284">
        <f t="shared" si="15"/>
        <v>9.133075514103391E-3</v>
      </c>
    </row>
    <row r="57" spans="1:109" s="290" customFormat="1" x14ac:dyDescent="0.2">
      <c r="A57" s="44"/>
      <c r="B57" s="288" t="s">
        <v>115</v>
      </c>
      <c r="C57" s="289" t="s">
        <v>125</v>
      </c>
      <c r="E57" s="284"/>
      <c r="F57" s="335">
        <v>0</v>
      </c>
      <c r="G57" s="335">
        <v>0</v>
      </c>
      <c r="H57" s="335">
        <v>0</v>
      </c>
      <c r="I57" s="335">
        <v>0</v>
      </c>
      <c r="J57" s="335">
        <v>0</v>
      </c>
      <c r="K57" s="335">
        <v>0</v>
      </c>
      <c r="L57" s="335">
        <v>0</v>
      </c>
      <c r="M57" s="335">
        <v>0</v>
      </c>
      <c r="N57" s="335">
        <v>0</v>
      </c>
      <c r="O57" s="335">
        <v>0</v>
      </c>
      <c r="P57" s="335">
        <v>0</v>
      </c>
      <c r="Q57" s="335">
        <v>0</v>
      </c>
      <c r="R57" s="335">
        <v>0</v>
      </c>
      <c r="S57" s="335">
        <v>0</v>
      </c>
      <c r="T57" s="335">
        <v>0</v>
      </c>
      <c r="U57" s="335">
        <v>0</v>
      </c>
      <c r="V57" s="335">
        <v>0</v>
      </c>
      <c r="W57" s="335">
        <v>0</v>
      </c>
      <c r="X57" s="335">
        <v>0</v>
      </c>
      <c r="Y57" s="335">
        <v>0</v>
      </c>
      <c r="Z57" s="335">
        <v>0</v>
      </c>
      <c r="AA57" s="335">
        <v>0</v>
      </c>
      <c r="AB57" s="335">
        <v>0</v>
      </c>
      <c r="AC57" s="335">
        <v>0</v>
      </c>
      <c r="AD57" s="335">
        <v>0</v>
      </c>
      <c r="AE57" s="335">
        <v>0</v>
      </c>
      <c r="AF57" s="335">
        <v>0</v>
      </c>
      <c r="AG57" s="335">
        <v>0</v>
      </c>
      <c r="AH57" s="335">
        <v>0</v>
      </c>
      <c r="AI57" s="335">
        <v>0</v>
      </c>
      <c r="AJ57" s="335">
        <v>0.22689999999999996</v>
      </c>
      <c r="AK57" s="335">
        <v>0</v>
      </c>
      <c r="AL57" s="335">
        <v>0</v>
      </c>
      <c r="AN57" s="39" t="s">
        <v>115</v>
      </c>
      <c r="AO57" s="38" t="s">
        <v>167</v>
      </c>
      <c r="AP57" s="50">
        <v>0.18</v>
      </c>
      <c r="AQ57" s="336">
        <f t="shared" si="17"/>
        <v>0</v>
      </c>
      <c r="AR57" s="336">
        <f t="shared" si="17"/>
        <v>0</v>
      </c>
      <c r="AS57" s="336">
        <f t="shared" si="17"/>
        <v>0</v>
      </c>
      <c r="AT57" s="336">
        <f t="shared" si="17"/>
        <v>0</v>
      </c>
      <c r="AU57" s="336">
        <f t="shared" si="17"/>
        <v>0</v>
      </c>
      <c r="AV57" s="336">
        <f t="shared" si="17"/>
        <v>0</v>
      </c>
      <c r="AW57" s="336">
        <f t="shared" si="17"/>
        <v>0</v>
      </c>
      <c r="AX57" s="336">
        <f t="shared" si="17"/>
        <v>0</v>
      </c>
      <c r="AY57" s="336">
        <f t="shared" si="17"/>
        <v>0</v>
      </c>
      <c r="AZ57" s="336">
        <f t="shared" si="17"/>
        <v>0</v>
      </c>
      <c r="BA57" s="336">
        <f t="shared" si="17"/>
        <v>0</v>
      </c>
      <c r="BB57" s="336">
        <f t="shared" si="17"/>
        <v>0</v>
      </c>
      <c r="BC57" s="336">
        <f t="shared" si="17"/>
        <v>0</v>
      </c>
      <c r="BD57" s="336">
        <f t="shared" si="17"/>
        <v>0</v>
      </c>
      <c r="BE57" s="336">
        <f t="shared" si="17"/>
        <v>0</v>
      </c>
      <c r="BF57" s="336">
        <f t="shared" si="17"/>
        <v>0</v>
      </c>
      <c r="BG57" s="336">
        <f t="shared" si="12"/>
        <v>0</v>
      </c>
      <c r="BH57" s="336">
        <f t="shared" si="12"/>
        <v>0</v>
      </c>
      <c r="BI57" s="336">
        <f t="shared" si="12"/>
        <v>0</v>
      </c>
      <c r="BJ57" s="336">
        <f t="shared" si="12"/>
        <v>0</v>
      </c>
      <c r="BK57" s="336">
        <f t="shared" si="12"/>
        <v>0</v>
      </c>
      <c r="BL57" s="336">
        <f t="shared" si="12"/>
        <v>0</v>
      </c>
      <c r="BM57" s="336">
        <f t="shared" si="12"/>
        <v>0</v>
      </c>
      <c r="BN57" s="336">
        <f t="shared" si="12"/>
        <v>0</v>
      </c>
      <c r="BO57" s="336">
        <f t="shared" si="12"/>
        <v>0</v>
      </c>
      <c r="BP57" s="336">
        <f t="shared" si="12"/>
        <v>0</v>
      </c>
      <c r="BQ57" s="336">
        <f t="shared" si="12"/>
        <v>0</v>
      </c>
      <c r="BR57" s="336">
        <f t="shared" si="12"/>
        <v>0</v>
      </c>
      <c r="BS57" s="336">
        <f t="shared" si="12"/>
        <v>0</v>
      </c>
      <c r="BT57" s="336">
        <f t="shared" si="12"/>
        <v>0</v>
      </c>
      <c r="BU57" s="336">
        <f t="shared" si="12"/>
        <v>4.0841999999999989E-4</v>
      </c>
      <c r="BV57" s="336">
        <f t="shared" si="12"/>
        <v>0</v>
      </c>
      <c r="BW57" s="336">
        <f t="shared" si="13"/>
        <v>0</v>
      </c>
      <c r="BX57" s="336"/>
      <c r="BY57" s="284">
        <f t="shared" si="11"/>
        <v>0</v>
      </c>
      <c r="BZ57" s="284">
        <f t="shared" si="11"/>
        <v>0</v>
      </c>
      <c r="CA57" s="284">
        <f t="shared" si="11"/>
        <v>0</v>
      </c>
      <c r="CB57" s="284">
        <f t="shared" si="11"/>
        <v>0</v>
      </c>
      <c r="CC57" s="284">
        <f t="shared" si="11"/>
        <v>0</v>
      </c>
      <c r="CD57" s="284">
        <f t="shared" si="11"/>
        <v>0</v>
      </c>
      <c r="CE57" s="284">
        <f t="shared" si="11"/>
        <v>0</v>
      </c>
      <c r="CF57" s="284">
        <f t="shared" si="11"/>
        <v>0</v>
      </c>
      <c r="CG57" s="284">
        <f t="shared" si="11"/>
        <v>0</v>
      </c>
      <c r="CH57" s="284">
        <f t="shared" si="11"/>
        <v>0</v>
      </c>
      <c r="CI57" s="284">
        <f t="shared" si="11"/>
        <v>0</v>
      </c>
      <c r="CJ57" s="284">
        <f t="shared" si="11"/>
        <v>0</v>
      </c>
      <c r="CK57" s="284">
        <f t="shared" si="11"/>
        <v>0</v>
      </c>
      <c r="CL57" s="284">
        <f t="shared" si="11"/>
        <v>0</v>
      </c>
      <c r="CM57" s="284">
        <f t="shared" si="11"/>
        <v>0</v>
      </c>
      <c r="CN57" s="284">
        <f t="shared" si="11"/>
        <v>0</v>
      </c>
      <c r="CO57" s="284">
        <f t="shared" si="14"/>
        <v>0</v>
      </c>
      <c r="CP57" s="284">
        <f t="shared" si="14"/>
        <v>0</v>
      </c>
      <c r="CQ57" s="284">
        <f t="shared" si="14"/>
        <v>0</v>
      </c>
      <c r="CR57" s="284">
        <f t="shared" si="14"/>
        <v>0</v>
      </c>
      <c r="CS57" s="284">
        <f t="shared" si="14"/>
        <v>0</v>
      </c>
      <c r="CT57" s="284">
        <f t="shared" si="14"/>
        <v>0</v>
      </c>
      <c r="CU57" s="284">
        <f t="shared" si="14"/>
        <v>0</v>
      </c>
      <c r="CV57" s="284">
        <f t="shared" si="14"/>
        <v>0</v>
      </c>
      <c r="CW57" s="284">
        <f t="shared" si="14"/>
        <v>0</v>
      </c>
      <c r="CX57" s="284">
        <f t="shared" si="14"/>
        <v>0</v>
      </c>
      <c r="CY57" s="284">
        <f t="shared" si="14"/>
        <v>0</v>
      </c>
      <c r="CZ57" s="284">
        <f t="shared" si="14"/>
        <v>0</v>
      </c>
      <c r="DA57" s="284">
        <f t="shared" si="14"/>
        <v>0</v>
      </c>
      <c r="DB57" s="284">
        <f t="shared" si="14"/>
        <v>0</v>
      </c>
      <c r="DC57" s="284">
        <f t="shared" si="14"/>
        <v>1.1531320087396758E-4</v>
      </c>
      <c r="DD57" s="284">
        <f t="shared" si="14"/>
        <v>0</v>
      </c>
      <c r="DE57" s="284">
        <f t="shared" si="15"/>
        <v>0</v>
      </c>
    </row>
    <row r="58" spans="1:109" s="290" customFormat="1" x14ac:dyDescent="0.2">
      <c r="A58" s="44"/>
      <c r="B58" s="288" t="s">
        <v>116</v>
      </c>
      <c r="C58" s="289" t="s">
        <v>125</v>
      </c>
      <c r="E58" s="284"/>
      <c r="F58" s="335">
        <v>2.2455333333333334</v>
      </c>
      <c r="G58" s="335">
        <v>0.97463333333333324</v>
      </c>
      <c r="H58" s="335">
        <v>8.1916666666666665E-2</v>
      </c>
      <c r="I58" s="335">
        <v>0</v>
      </c>
      <c r="J58" s="335">
        <v>0.45979999999999999</v>
      </c>
      <c r="K58" s="335">
        <v>8.8999999999999999E-3</v>
      </c>
      <c r="L58" s="335">
        <v>0</v>
      </c>
      <c r="M58" s="335">
        <v>0</v>
      </c>
      <c r="N58" s="335">
        <v>31.230283333333333</v>
      </c>
      <c r="O58" s="335">
        <v>1.8755833333333334</v>
      </c>
      <c r="P58" s="335">
        <v>4.8734999999999999</v>
      </c>
      <c r="Q58" s="335">
        <v>0.04</v>
      </c>
      <c r="R58" s="335">
        <v>0.66764999999999997</v>
      </c>
      <c r="S58" s="335">
        <v>1.1008500000000001</v>
      </c>
      <c r="T58" s="335">
        <v>10.145949999999997</v>
      </c>
      <c r="U58" s="335">
        <v>0.83301666666666663</v>
      </c>
      <c r="V58" s="335">
        <v>0.1235</v>
      </c>
      <c r="W58" s="335">
        <v>1.2827499999999998</v>
      </c>
      <c r="X58" s="335">
        <v>0</v>
      </c>
      <c r="Y58" s="335">
        <v>0</v>
      </c>
      <c r="Z58" s="335">
        <v>0</v>
      </c>
      <c r="AA58" s="335">
        <v>7.3266666666666661E-2</v>
      </c>
      <c r="AB58" s="335">
        <v>2.775E-2</v>
      </c>
      <c r="AC58" s="335">
        <v>5.317099999999999</v>
      </c>
      <c r="AD58" s="335">
        <v>0</v>
      </c>
      <c r="AE58" s="335">
        <v>0.77175000000000005</v>
      </c>
      <c r="AF58" s="335">
        <v>0</v>
      </c>
      <c r="AG58" s="335">
        <v>0.30949999999999994</v>
      </c>
      <c r="AH58" s="335">
        <v>1.0500000000000001E-2</v>
      </c>
      <c r="AI58" s="335">
        <v>0</v>
      </c>
      <c r="AJ58" s="335">
        <v>0</v>
      </c>
      <c r="AK58" s="335">
        <v>4.9099999999999998E-2</v>
      </c>
      <c r="AL58" s="335">
        <v>0</v>
      </c>
      <c r="AN58" s="39" t="s">
        <v>116</v>
      </c>
      <c r="AO58" s="38" t="s">
        <v>167</v>
      </c>
      <c r="AP58" s="50">
        <v>0.35</v>
      </c>
      <c r="AQ58" s="336">
        <f t="shared" si="17"/>
        <v>7.8593666666666659E-3</v>
      </c>
      <c r="AR58" s="336">
        <f t="shared" si="17"/>
        <v>3.4112166666666662E-3</v>
      </c>
      <c r="AS58" s="336">
        <f t="shared" si="17"/>
        <v>2.8670833333333331E-4</v>
      </c>
      <c r="AT58" s="336">
        <f t="shared" si="17"/>
        <v>0</v>
      </c>
      <c r="AU58" s="336">
        <f t="shared" si="17"/>
        <v>1.6092999999999999E-3</v>
      </c>
      <c r="AV58" s="336">
        <f t="shared" si="17"/>
        <v>3.1149999999999998E-5</v>
      </c>
      <c r="AW58" s="336">
        <f t="shared" si="17"/>
        <v>0</v>
      </c>
      <c r="AX58" s="336">
        <f t="shared" si="17"/>
        <v>0</v>
      </c>
      <c r="AY58" s="336">
        <f t="shared" si="17"/>
        <v>0.10930599166666666</v>
      </c>
      <c r="AZ58" s="336">
        <f t="shared" si="17"/>
        <v>6.5645416666666664E-3</v>
      </c>
      <c r="BA58" s="336">
        <f t="shared" si="17"/>
        <v>1.7057249999999999E-2</v>
      </c>
      <c r="BB58" s="336">
        <f t="shared" si="17"/>
        <v>1.3999999999999999E-4</v>
      </c>
      <c r="BC58" s="336">
        <f t="shared" si="17"/>
        <v>2.3367749999999997E-3</v>
      </c>
      <c r="BD58" s="336">
        <f t="shared" si="17"/>
        <v>3.8529750000000002E-3</v>
      </c>
      <c r="BE58" s="336">
        <f t="shared" si="17"/>
        <v>3.5510824999999989E-2</v>
      </c>
      <c r="BF58" s="336">
        <f t="shared" si="17"/>
        <v>2.9155583333333331E-3</v>
      </c>
      <c r="BG58" s="336">
        <f t="shared" si="12"/>
        <v>4.3225000000000002E-4</v>
      </c>
      <c r="BH58" s="336">
        <f t="shared" si="12"/>
        <v>4.4896249999999997E-3</v>
      </c>
      <c r="BI58" s="336">
        <f t="shared" si="12"/>
        <v>0</v>
      </c>
      <c r="BJ58" s="336">
        <f t="shared" si="12"/>
        <v>0</v>
      </c>
      <c r="BK58" s="336">
        <f t="shared" si="12"/>
        <v>0</v>
      </c>
      <c r="BL58" s="336">
        <f t="shared" si="12"/>
        <v>2.564333333333333E-4</v>
      </c>
      <c r="BM58" s="336">
        <f t="shared" si="12"/>
        <v>9.7124999999999989E-5</v>
      </c>
      <c r="BN58" s="336">
        <f t="shared" si="12"/>
        <v>1.8609849999999994E-2</v>
      </c>
      <c r="BO58" s="336">
        <f t="shared" si="12"/>
        <v>0</v>
      </c>
      <c r="BP58" s="336">
        <f t="shared" si="12"/>
        <v>2.701125E-3</v>
      </c>
      <c r="BQ58" s="336">
        <f t="shared" si="12"/>
        <v>0</v>
      </c>
      <c r="BR58" s="336">
        <f t="shared" si="12"/>
        <v>1.0832499999999998E-3</v>
      </c>
      <c r="BS58" s="336">
        <f t="shared" si="12"/>
        <v>3.6749999999999999E-5</v>
      </c>
      <c r="BT58" s="336">
        <f t="shared" si="12"/>
        <v>0</v>
      </c>
      <c r="BU58" s="336">
        <f t="shared" si="12"/>
        <v>0</v>
      </c>
      <c r="BV58" s="336">
        <f t="shared" si="12"/>
        <v>1.7184999999999998E-4</v>
      </c>
      <c r="BW58" s="336">
        <f t="shared" si="13"/>
        <v>0</v>
      </c>
      <c r="BX58" s="336"/>
      <c r="BY58" s="284">
        <f t="shared" si="11"/>
        <v>1.159206384983054E-4</v>
      </c>
      <c r="BZ58" s="284">
        <f t="shared" si="11"/>
        <v>8.5894130418895885E-5</v>
      </c>
      <c r="CA58" s="284">
        <f t="shared" si="11"/>
        <v>4.6515693883299286E-6</v>
      </c>
      <c r="CB58" s="284">
        <f t="shared" si="11"/>
        <v>0</v>
      </c>
      <c r="CC58" s="284">
        <f t="shared" si="11"/>
        <v>2.5561776468732604E-5</v>
      </c>
      <c r="CD58" s="284">
        <f t="shared" si="11"/>
        <v>7.6800041106020816E-7</v>
      </c>
      <c r="CE58" s="284">
        <f t="shared" si="11"/>
        <v>0</v>
      </c>
      <c r="CF58" s="284">
        <f t="shared" si="11"/>
        <v>0</v>
      </c>
      <c r="CG58" s="284">
        <f t="shared" si="11"/>
        <v>5.6126506050452481E-4</v>
      </c>
      <c r="CH58" s="284">
        <f t="shared" si="11"/>
        <v>1.0761844617061913E-4</v>
      </c>
      <c r="CI58" s="284">
        <f t="shared" si="11"/>
        <v>1.698072972013736E-4</v>
      </c>
      <c r="CJ58" s="284">
        <f t="shared" si="11"/>
        <v>3.8946263727141109E-6</v>
      </c>
      <c r="CK58" s="284">
        <f t="shared" si="11"/>
        <v>1.246770417007145E-5</v>
      </c>
      <c r="CL58" s="284">
        <f t="shared" si="11"/>
        <v>3.2978032957475136E-5</v>
      </c>
      <c r="CM58" s="284">
        <f t="shared" si="11"/>
        <v>1.822220973968938E-4</v>
      </c>
      <c r="CN58" s="284">
        <f t="shared" si="11"/>
        <v>1.3244356285193684E-5</v>
      </c>
      <c r="CO58" s="284">
        <f t="shared" si="14"/>
        <v>3.4508651262114336E-6</v>
      </c>
      <c r="CP58" s="284">
        <f t="shared" si="14"/>
        <v>2.4724901262533963E-4</v>
      </c>
      <c r="CQ58" s="284">
        <f t="shared" si="14"/>
        <v>0</v>
      </c>
      <c r="CR58" s="284">
        <f t="shared" si="14"/>
        <v>0</v>
      </c>
      <c r="CS58" s="284">
        <f t="shared" si="14"/>
        <v>0</v>
      </c>
      <c r="CT58" s="284">
        <f t="shared" si="14"/>
        <v>8.5696041815011876E-6</v>
      </c>
      <c r="CU58" s="284">
        <f t="shared" si="14"/>
        <v>2.7509898018716284E-6</v>
      </c>
      <c r="CV58" s="284">
        <f t="shared" si="14"/>
        <v>1.3858880038169059E-4</v>
      </c>
      <c r="CW58" s="284">
        <f t="shared" si="14"/>
        <v>0</v>
      </c>
      <c r="CX58" s="284">
        <f t="shared" si="14"/>
        <v>7.9064746501115765E-5</v>
      </c>
      <c r="CY58" s="284">
        <f t="shared" si="14"/>
        <v>0</v>
      </c>
      <c r="CZ58" s="284">
        <f t="shared" si="14"/>
        <v>3.959427941698994E-5</v>
      </c>
      <c r="DA58" s="284">
        <f t="shared" si="14"/>
        <v>2.9694092230412234E-6</v>
      </c>
      <c r="DB58" s="284">
        <f t="shared" si="14"/>
        <v>0</v>
      </c>
      <c r="DC58" s="284">
        <f t="shared" si="14"/>
        <v>0</v>
      </c>
      <c r="DD58" s="284">
        <f t="shared" si="14"/>
        <v>2.6519932159607673E-5</v>
      </c>
      <c r="DE58" s="284">
        <f t="shared" si="15"/>
        <v>0</v>
      </c>
    </row>
    <row r="59" spans="1:109" s="290" customFormat="1" x14ac:dyDescent="0.2">
      <c r="A59" s="44"/>
      <c r="B59" s="288" t="s">
        <v>117</v>
      </c>
      <c r="C59" s="289" t="s">
        <v>125</v>
      </c>
      <c r="E59" s="284"/>
      <c r="F59" s="335">
        <v>10.949366666666668</v>
      </c>
      <c r="G59" s="335">
        <v>94.158049999999989</v>
      </c>
      <c r="H59" s="335">
        <v>2.2233166666666668</v>
      </c>
      <c r="I59" s="335">
        <v>65.051533333333339</v>
      </c>
      <c r="J59" s="335">
        <v>43.309899999999999</v>
      </c>
      <c r="K59" s="335">
        <v>155.66484999999997</v>
      </c>
      <c r="L59" s="335">
        <v>1.34E-2</v>
      </c>
      <c r="M59" s="335">
        <v>80.616483333333335</v>
      </c>
      <c r="N59" s="335">
        <v>2.8258333333333332</v>
      </c>
      <c r="O59" s="335">
        <v>2.4666666666666667E-2</v>
      </c>
      <c r="P59" s="335">
        <v>0.10000000000000002</v>
      </c>
      <c r="Q59" s="335">
        <v>0</v>
      </c>
      <c r="R59" s="335">
        <v>3.0349999999999999E-2</v>
      </c>
      <c r="S59" s="335">
        <v>0</v>
      </c>
      <c r="T59" s="335">
        <v>0</v>
      </c>
      <c r="U59" s="335">
        <v>0.17564999999999997</v>
      </c>
      <c r="V59" s="335">
        <v>0</v>
      </c>
      <c r="W59" s="335">
        <v>0</v>
      </c>
      <c r="X59" s="335">
        <v>0</v>
      </c>
      <c r="Y59" s="335">
        <v>0</v>
      </c>
      <c r="Z59" s="335">
        <v>0</v>
      </c>
      <c r="AA59" s="335">
        <v>0</v>
      </c>
      <c r="AB59" s="335">
        <v>0.02</v>
      </c>
      <c r="AC59" s="335">
        <v>0.21</v>
      </c>
      <c r="AD59" s="335">
        <v>0</v>
      </c>
      <c r="AE59" s="335">
        <v>0</v>
      </c>
      <c r="AF59" s="335">
        <v>0</v>
      </c>
      <c r="AG59" s="335">
        <v>7.4000000000000003E-3</v>
      </c>
      <c r="AH59" s="335">
        <v>0</v>
      </c>
      <c r="AI59" s="335">
        <v>0</v>
      </c>
      <c r="AJ59" s="335">
        <v>0</v>
      </c>
      <c r="AK59" s="335">
        <v>0</v>
      </c>
      <c r="AL59" s="335">
        <v>0</v>
      </c>
      <c r="AN59" s="39" t="s">
        <v>117</v>
      </c>
      <c r="AO59" s="38" t="s">
        <v>167</v>
      </c>
      <c r="AP59" s="50">
        <v>0.35</v>
      </c>
      <c r="AQ59" s="336">
        <f t="shared" si="17"/>
        <v>3.8322783333333332E-2</v>
      </c>
      <c r="AR59" s="336">
        <f t="shared" si="17"/>
        <v>0.32955317499999992</v>
      </c>
      <c r="AS59" s="336">
        <f t="shared" si="17"/>
        <v>7.7816083333333329E-3</v>
      </c>
      <c r="AT59" s="336">
        <f t="shared" si="17"/>
        <v>0.22768036666666666</v>
      </c>
      <c r="AU59" s="336">
        <f t="shared" si="17"/>
        <v>0.15158464999999999</v>
      </c>
      <c r="AV59" s="336">
        <f t="shared" si="17"/>
        <v>0.54482697499999988</v>
      </c>
      <c r="AW59" s="336">
        <f t="shared" si="17"/>
        <v>4.6899999999999995E-5</v>
      </c>
      <c r="AX59" s="336">
        <f t="shared" si="17"/>
        <v>0.28215769166666665</v>
      </c>
      <c r="AY59" s="336">
        <f t="shared" si="17"/>
        <v>9.8904166666666654E-3</v>
      </c>
      <c r="AZ59" s="336">
        <f t="shared" si="17"/>
        <v>8.6333333333333336E-5</v>
      </c>
      <c r="BA59" s="336">
        <f t="shared" si="17"/>
        <v>3.5000000000000005E-4</v>
      </c>
      <c r="BB59" s="336">
        <f t="shared" si="17"/>
        <v>0</v>
      </c>
      <c r="BC59" s="336">
        <f t="shared" si="17"/>
        <v>1.0622499999999998E-4</v>
      </c>
      <c r="BD59" s="336">
        <f t="shared" si="17"/>
        <v>0</v>
      </c>
      <c r="BE59" s="336">
        <f t="shared" si="17"/>
        <v>0</v>
      </c>
      <c r="BF59" s="336">
        <f t="shared" si="17"/>
        <v>6.1477499999999981E-4</v>
      </c>
      <c r="BG59" s="336">
        <f t="shared" si="12"/>
        <v>0</v>
      </c>
      <c r="BH59" s="336">
        <f t="shared" si="12"/>
        <v>0</v>
      </c>
      <c r="BI59" s="336">
        <f t="shared" si="12"/>
        <v>0</v>
      </c>
      <c r="BJ59" s="336">
        <f t="shared" si="12"/>
        <v>0</v>
      </c>
      <c r="BK59" s="336">
        <f t="shared" si="12"/>
        <v>0</v>
      </c>
      <c r="BL59" s="336">
        <f t="shared" si="12"/>
        <v>0</v>
      </c>
      <c r="BM59" s="336">
        <f t="shared" si="12"/>
        <v>6.9999999999999994E-5</v>
      </c>
      <c r="BN59" s="336">
        <f t="shared" si="12"/>
        <v>7.3499999999999998E-4</v>
      </c>
      <c r="BO59" s="336">
        <f t="shared" si="12"/>
        <v>0</v>
      </c>
      <c r="BP59" s="336">
        <f t="shared" si="12"/>
        <v>0</v>
      </c>
      <c r="BQ59" s="336">
        <f t="shared" si="12"/>
        <v>0</v>
      </c>
      <c r="BR59" s="336">
        <f t="shared" si="12"/>
        <v>2.5899999999999999E-5</v>
      </c>
      <c r="BS59" s="336">
        <f t="shared" si="12"/>
        <v>0</v>
      </c>
      <c r="BT59" s="336">
        <f t="shared" si="12"/>
        <v>0</v>
      </c>
      <c r="BU59" s="336">
        <f t="shared" si="12"/>
        <v>0</v>
      </c>
      <c r="BV59" s="336">
        <f t="shared" si="12"/>
        <v>0</v>
      </c>
      <c r="BW59" s="336">
        <f t="shared" si="13"/>
        <v>0</v>
      </c>
      <c r="BX59" s="336"/>
      <c r="BY59" s="284">
        <f t="shared" si="11"/>
        <v>5.6523657712439297E-4</v>
      </c>
      <c r="BZ59" s="284">
        <f t="shared" si="11"/>
        <v>8.2981194569126029E-3</v>
      </c>
      <c r="CA59" s="284">
        <f t="shared" si="11"/>
        <v>1.2624917697534572E-4</v>
      </c>
      <c r="CB59" s="284">
        <f t="shared" si="11"/>
        <v>1.2721382982612056E-3</v>
      </c>
      <c r="CC59" s="284">
        <f t="shared" si="11"/>
        <v>2.4077381093587694E-3</v>
      </c>
      <c r="CD59" s="284">
        <f t="shared" si="11"/>
        <v>1.3432659414339958E-2</v>
      </c>
      <c r="CE59" s="284">
        <f t="shared" si="11"/>
        <v>1.6107961298037304E-6</v>
      </c>
      <c r="CF59" s="284">
        <f t="shared" si="11"/>
        <v>2.9543200538402698E-3</v>
      </c>
      <c r="CG59" s="284">
        <f t="shared" si="11"/>
        <v>5.0785370721122802E-5</v>
      </c>
      <c r="CH59" s="284">
        <f t="shared" si="11"/>
        <v>1.4153401193630099E-6</v>
      </c>
      <c r="CI59" s="284">
        <f t="shared" si="11"/>
        <v>3.4842987011669977E-6</v>
      </c>
      <c r="CJ59" s="284">
        <f t="shared" si="11"/>
        <v>0</v>
      </c>
      <c r="CK59" s="284">
        <f t="shared" si="11"/>
        <v>5.6675626684890053E-7</v>
      </c>
      <c r="CL59" s="284">
        <f t="shared" si="11"/>
        <v>0</v>
      </c>
      <c r="CM59" s="284">
        <f t="shared" si="11"/>
        <v>0</v>
      </c>
      <c r="CN59" s="284">
        <f t="shared" si="11"/>
        <v>2.7927066463187251E-6</v>
      </c>
      <c r="CO59" s="284">
        <f t="shared" si="14"/>
        <v>0</v>
      </c>
      <c r="CP59" s="284">
        <f t="shared" si="14"/>
        <v>0</v>
      </c>
      <c r="CQ59" s="284">
        <f t="shared" si="14"/>
        <v>0</v>
      </c>
      <c r="CR59" s="284">
        <f t="shared" si="14"/>
        <v>0</v>
      </c>
      <c r="CS59" s="284">
        <f t="shared" si="14"/>
        <v>0</v>
      </c>
      <c r="CT59" s="284">
        <f t="shared" si="14"/>
        <v>0</v>
      </c>
      <c r="CU59" s="284">
        <f t="shared" si="14"/>
        <v>1.9826953527002728E-6</v>
      </c>
      <c r="CV59" s="284">
        <f t="shared" si="14"/>
        <v>5.4735942675810181E-6</v>
      </c>
      <c r="CW59" s="284">
        <f t="shared" si="14"/>
        <v>0</v>
      </c>
      <c r="CX59" s="284">
        <f t="shared" si="14"/>
        <v>0</v>
      </c>
      <c r="CY59" s="284">
        <f t="shared" si="14"/>
        <v>0</v>
      </c>
      <c r="CZ59" s="284">
        <f t="shared" si="14"/>
        <v>9.4668067103627011E-7</v>
      </c>
      <c r="DA59" s="284">
        <f t="shared" si="14"/>
        <v>0</v>
      </c>
      <c r="DB59" s="284">
        <f t="shared" si="14"/>
        <v>0</v>
      </c>
      <c r="DC59" s="284">
        <f t="shared" si="14"/>
        <v>0</v>
      </c>
      <c r="DD59" s="284">
        <f t="shared" si="14"/>
        <v>0</v>
      </c>
      <c r="DE59" s="284">
        <f t="shared" si="15"/>
        <v>0</v>
      </c>
    </row>
    <row r="60" spans="1:109" s="290" customFormat="1" x14ac:dyDescent="0.2">
      <c r="A60" s="44"/>
      <c r="B60" s="288" t="s">
        <v>118</v>
      </c>
      <c r="C60" s="289" t="s">
        <v>125</v>
      </c>
      <c r="E60" s="284"/>
      <c r="F60" s="335">
        <v>27.632833333333334</v>
      </c>
      <c r="G60" s="335">
        <v>124.7962</v>
      </c>
      <c r="H60" s="335">
        <v>38.263199999999998</v>
      </c>
      <c r="I60" s="335">
        <v>697.44678333333343</v>
      </c>
      <c r="J60" s="335">
        <v>1203.4011666666665</v>
      </c>
      <c r="K60" s="335">
        <v>551.07518333333326</v>
      </c>
      <c r="L60" s="335">
        <v>1154</v>
      </c>
      <c r="M60" s="335">
        <v>1009.88645</v>
      </c>
      <c r="N60" s="335">
        <v>342.82706666666667</v>
      </c>
      <c r="O60" s="335">
        <v>263.72775000000001</v>
      </c>
      <c r="P60" s="335">
        <v>1057.8587500000001</v>
      </c>
      <c r="Q60" s="335">
        <v>187.01185000000001</v>
      </c>
      <c r="R60" s="335">
        <v>4134.2293333333328</v>
      </c>
      <c r="S60" s="335">
        <v>1067.9936</v>
      </c>
      <c r="T60" s="335">
        <v>2984.1831999999999</v>
      </c>
      <c r="U60" s="335">
        <v>405.71876666666668</v>
      </c>
      <c r="V60" s="335">
        <v>942.25650000000007</v>
      </c>
      <c r="W60" s="335">
        <v>110.71295000000002</v>
      </c>
      <c r="X60" s="335">
        <v>40.365700000000004</v>
      </c>
      <c r="Y60" s="335">
        <v>265.40545000000003</v>
      </c>
      <c r="Z60" s="335">
        <v>13.8285</v>
      </c>
      <c r="AA60" s="335">
        <v>155.86798333333334</v>
      </c>
      <c r="AB60" s="335">
        <v>187.05643333333299</v>
      </c>
      <c r="AC60" s="335">
        <v>443.54936666666663</v>
      </c>
      <c r="AD60" s="335">
        <v>46.792516666666671</v>
      </c>
      <c r="AE60" s="335">
        <v>426.13113333333337</v>
      </c>
      <c r="AF60" s="335">
        <v>92.860766666666677</v>
      </c>
      <c r="AG60" s="335">
        <v>243.05014999999995</v>
      </c>
      <c r="AH60" s="335">
        <v>108.50586666666668</v>
      </c>
      <c r="AI60" s="335">
        <v>10.256400000000001</v>
      </c>
      <c r="AJ60" s="335">
        <v>9.1924500000000009</v>
      </c>
      <c r="AK60" s="335">
        <v>3.5774833333333333</v>
      </c>
      <c r="AL60" s="335">
        <v>1.6058833333333336</v>
      </c>
      <c r="AN60" s="39" t="s">
        <v>118</v>
      </c>
      <c r="AO60" s="38" t="s">
        <v>167</v>
      </c>
      <c r="AP60" s="50">
        <v>1</v>
      </c>
      <c r="AQ60" s="336">
        <f t="shared" si="17"/>
        <v>0.27632833333333334</v>
      </c>
      <c r="AR60" s="336">
        <f t="shared" si="17"/>
        <v>1.247962</v>
      </c>
      <c r="AS60" s="336">
        <f t="shared" si="17"/>
        <v>0.38263199999999997</v>
      </c>
      <c r="AT60" s="336">
        <f t="shared" si="17"/>
        <v>6.9744678333333345</v>
      </c>
      <c r="AU60" s="336">
        <f t="shared" si="17"/>
        <v>12.034011666666665</v>
      </c>
      <c r="AV60" s="336">
        <f t="shared" si="17"/>
        <v>5.510751833333333</v>
      </c>
      <c r="AW60" s="336">
        <f t="shared" si="17"/>
        <v>11.54</v>
      </c>
      <c r="AX60" s="336">
        <f t="shared" si="17"/>
        <v>10.098864499999999</v>
      </c>
      <c r="AY60" s="336">
        <f t="shared" si="17"/>
        <v>3.4282706666666667</v>
      </c>
      <c r="AZ60" s="336">
        <f t="shared" si="17"/>
        <v>2.6372775000000002</v>
      </c>
      <c r="BA60" s="336">
        <f t="shared" si="17"/>
        <v>10.578587500000001</v>
      </c>
      <c r="BB60" s="336">
        <f t="shared" si="17"/>
        <v>1.8701185</v>
      </c>
      <c r="BC60" s="336">
        <f t="shared" si="17"/>
        <v>41.34229333333333</v>
      </c>
      <c r="BD60" s="336">
        <f t="shared" si="17"/>
        <v>10.679936</v>
      </c>
      <c r="BE60" s="336">
        <f t="shared" si="17"/>
        <v>29.841832</v>
      </c>
      <c r="BF60" s="336">
        <f t="shared" si="17"/>
        <v>4.0571876666666666</v>
      </c>
      <c r="BG60" s="336">
        <f t="shared" si="12"/>
        <v>9.4225650000000005</v>
      </c>
      <c r="BH60" s="336">
        <f t="shared" si="12"/>
        <v>1.1071295000000001</v>
      </c>
      <c r="BI60" s="336">
        <f t="shared" si="12"/>
        <v>0.40365700000000004</v>
      </c>
      <c r="BJ60" s="336">
        <f t="shared" si="12"/>
        <v>2.6540545000000004</v>
      </c>
      <c r="BK60" s="336">
        <f t="shared" si="12"/>
        <v>0.13828499999999999</v>
      </c>
      <c r="BL60" s="336">
        <f t="shared" si="12"/>
        <v>1.5586798333333334</v>
      </c>
      <c r="BM60" s="336">
        <f t="shared" si="12"/>
        <v>1.8705643333333299</v>
      </c>
      <c r="BN60" s="336">
        <f t="shared" si="12"/>
        <v>4.435493666666666</v>
      </c>
      <c r="BO60" s="336">
        <f t="shared" si="12"/>
        <v>0.46792516666666673</v>
      </c>
      <c r="BP60" s="336">
        <f t="shared" si="12"/>
        <v>4.2613113333333335</v>
      </c>
      <c r="BQ60" s="336">
        <f t="shared" si="12"/>
        <v>0.92860766666666672</v>
      </c>
      <c r="BR60" s="336">
        <f t="shared" si="12"/>
        <v>2.4305014999999996</v>
      </c>
      <c r="BS60" s="336">
        <f t="shared" si="12"/>
        <v>1.0850586666666668</v>
      </c>
      <c r="BT60" s="336">
        <f t="shared" si="12"/>
        <v>0.10256400000000002</v>
      </c>
      <c r="BU60" s="336">
        <f t="shared" ref="BU60:BV64" si="18">AJ60*$AP60/100</f>
        <v>9.1924500000000006E-2</v>
      </c>
      <c r="BV60" s="336">
        <f t="shared" si="18"/>
        <v>3.5774833333333332E-2</v>
      </c>
      <c r="BW60" s="336">
        <f t="shared" si="13"/>
        <v>1.6058833333333335E-2</v>
      </c>
      <c r="BX60" s="336"/>
      <c r="BY60" s="284">
        <f t="shared" ref="BY60:CN64" si="19">AQ60/AQ$65</f>
        <v>4.0756664237371846E-3</v>
      </c>
      <c r="BZ60" s="284">
        <f t="shared" si="19"/>
        <v>3.142357148793231E-2</v>
      </c>
      <c r="CA60" s="284">
        <f t="shared" si="19"/>
        <v>6.2078394356475768E-3</v>
      </c>
      <c r="CB60" s="284">
        <f t="shared" si="19"/>
        <v>3.896905021135999E-2</v>
      </c>
      <c r="CC60" s="284">
        <f t="shared" si="19"/>
        <v>0.19114566348440537</v>
      </c>
      <c r="CD60" s="284">
        <f t="shared" si="19"/>
        <v>0.13586708421350868</v>
      </c>
      <c r="CE60" s="284">
        <f t="shared" si="19"/>
        <v>0.39634514579818869</v>
      </c>
      <c r="CF60" s="284">
        <f t="shared" si="19"/>
        <v>0.10573972921713637</v>
      </c>
      <c r="CG60" s="284">
        <f t="shared" si="19"/>
        <v>1.7603504746751569E-2</v>
      </c>
      <c r="CH60" s="284">
        <f t="shared" si="19"/>
        <v>4.3235266235251514E-2</v>
      </c>
      <c r="CI60" s="284">
        <f t="shared" si="19"/>
        <v>0.10531131053266125</v>
      </c>
      <c r="CJ60" s="284">
        <f t="shared" si="19"/>
        <v>5.2024377358575388E-2</v>
      </c>
      <c r="CK60" s="284">
        <f t="shared" si="19"/>
        <v>0.22057899583499357</v>
      </c>
      <c r="CL60" s="284">
        <f t="shared" si="19"/>
        <v>9.1410736221160305E-2</v>
      </c>
      <c r="CM60" s="284">
        <f t="shared" si="19"/>
        <v>0.15313193138164896</v>
      </c>
      <c r="CN60" s="284">
        <f t="shared" si="19"/>
        <v>1.8430376905473327E-2</v>
      </c>
      <c r="CO60" s="284">
        <f t="shared" si="14"/>
        <v>7.5224987756993489E-2</v>
      </c>
      <c r="CP60" s="284">
        <f t="shared" si="14"/>
        <v>6.0970944282292175E-2</v>
      </c>
      <c r="CQ60" s="284">
        <f t="shared" si="14"/>
        <v>7.2172342697119002E-2</v>
      </c>
      <c r="CR60" s="284">
        <f t="shared" si="14"/>
        <v>9.6076005876078466E-2</v>
      </c>
      <c r="CS60" s="284">
        <f t="shared" si="14"/>
        <v>1.7304476073851431E-2</v>
      </c>
      <c r="CT60" s="284">
        <f t="shared" si="14"/>
        <v>5.208866196810702E-2</v>
      </c>
      <c r="CU60" s="284">
        <f t="shared" si="14"/>
        <v>5.2982274437526823E-2</v>
      </c>
      <c r="CV60" s="284">
        <f t="shared" si="14"/>
        <v>3.3031418650011669E-2</v>
      </c>
      <c r="CW60" s="284">
        <f t="shared" si="14"/>
        <v>6.2278396256620926E-2</v>
      </c>
      <c r="CX60" s="284">
        <f t="shared" si="14"/>
        <v>0.12473302802807408</v>
      </c>
      <c r="CY60" s="284">
        <f t="shared" si="14"/>
        <v>4.2057069202548293E-2</v>
      </c>
      <c r="CZ60" s="284">
        <f t="shared" si="14"/>
        <v>8.88381772577089E-2</v>
      </c>
      <c r="DA60" s="284">
        <f t="shared" si="14"/>
        <v>8.7673012580702397E-2</v>
      </c>
      <c r="DB60" s="284">
        <f t="shared" si="14"/>
        <v>1.5633964256857907E-2</v>
      </c>
      <c r="DC60" s="284">
        <f t="shared" ref="DC60:DD64" si="20">BU60/BU$65</f>
        <v>2.5953940389155859E-2</v>
      </c>
      <c r="DD60" s="284">
        <f t="shared" si="20"/>
        <v>5.5207806402168824E-3</v>
      </c>
      <c r="DE60" s="284">
        <f t="shared" si="15"/>
        <v>3.3000795957789104E-2</v>
      </c>
    </row>
    <row r="61" spans="1:109" s="290" customFormat="1" x14ac:dyDescent="0.2">
      <c r="A61" s="44"/>
      <c r="B61" s="288" t="s">
        <v>119</v>
      </c>
      <c r="C61" s="289" t="s">
        <v>125</v>
      </c>
      <c r="E61" s="284"/>
      <c r="F61" s="335">
        <v>3.2809871482459396</v>
      </c>
      <c r="G61" s="335">
        <v>2.1812260200206608</v>
      </c>
      <c r="H61" s="335">
        <v>2.5298666425374328</v>
      </c>
      <c r="I61" s="335">
        <v>7.5416746245765651</v>
      </c>
      <c r="J61" s="335">
        <v>4.7690944604413454</v>
      </c>
      <c r="K61" s="335">
        <v>2.3057306341921553</v>
      </c>
      <c r="L61" s="335">
        <v>2.5542376966089755</v>
      </c>
      <c r="M61" s="335">
        <v>4.6635817544064384</v>
      </c>
      <c r="N61" s="335">
        <v>9.3663584497142285</v>
      </c>
      <c r="O61" s="335">
        <v>4.355041511889219</v>
      </c>
      <c r="P61" s="335">
        <v>7.9612173713710144</v>
      </c>
      <c r="Q61" s="335">
        <v>1.8865938357389729</v>
      </c>
      <c r="R61" s="335">
        <v>9.5402967158375507</v>
      </c>
      <c r="S61" s="335">
        <v>7.2774874815474533</v>
      </c>
      <c r="T61" s="335">
        <v>12.419702130755335</v>
      </c>
      <c r="U61" s="335">
        <v>13.623904069559105</v>
      </c>
      <c r="V61" s="335">
        <v>16.665609684298008</v>
      </c>
      <c r="W61" s="335">
        <v>2.5987618529137344</v>
      </c>
      <c r="X61" s="335">
        <v>1.4753426015796267</v>
      </c>
      <c r="Y61" s="335">
        <v>2.3208903509302474</v>
      </c>
      <c r="Z61" s="335">
        <v>2.2980435937706507</v>
      </c>
      <c r="AA61" s="335">
        <v>3.7058341829872306</v>
      </c>
      <c r="AB61" s="335">
        <v>4.3181710304329082</v>
      </c>
      <c r="AC61" s="335">
        <v>11.648614877239071</v>
      </c>
      <c r="AD61" s="335">
        <v>1.5173218691319657</v>
      </c>
      <c r="AE61" s="335">
        <v>3.6881664017306939</v>
      </c>
      <c r="AF61" s="335">
        <v>1.2149066101943464</v>
      </c>
      <c r="AG61" s="335">
        <v>3.3882518684552387</v>
      </c>
      <c r="AH61" s="335">
        <v>3.3310100742019215</v>
      </c>
      <c r="AI61" s="335">
        <v>1.5500900317924418</v>
      </c>
      <c r="AJ61" s="335">
        <v>1.2405469831797054</v>
      </c>
      <c r="AK61" s="335">
        <v>2.1289064136051885</v>
      </c>
      <c r="AL61" s="335">
        <v>0.74483895352625051</v>
      </c>
      <c r="AN61" s="39" t="s">
        <v>119</v>
      </c>
      <c r="AO61" s="38" t="s">
        <v>167</v>
      </c>
      <c r="AP61" s="50">
        <v>0.36</v>
      </c>
      <c r="AQ61" s="336">
        <f t="shared" si="17"/>
        <v>1.1811553733685382E-2</v>
      </c>
      <c r="AR61" s="336">
        <f t="shared" si="17"/>
        <v>7.8524136720743778E-3</v>
      </c>
      <c r="AS61" s="336">
        <f t="shared" si="17"/>
        <v>9.1075199131347567E-3</v>
      </c>
      <c r="AT61" s="336">
        <f t="shared" si="17"/>
        <v>2.7150028648475634E-2</v>
      </c>
      <c r="AU61" s="336">
        <f t="shared" si="17"/>
        <v>1.7168740057588842E-2</v>
      </c>
      <c r="AV61" s="336">
        <f t="shared" si="17"/>
        <v>8.3006302830917582E-3</v>
      </c>
      <c r="AW61" s="336">
        <f t="shared" si="17"/>
        <v>9.195255707792312E-3</v>
      </c>
      <c r="AX61" s="336">
        <f t="shared" si="17"/>
        <v>1.6788894315863178E-2</v>
      </c>
      <c r="AY61" s="336">
        <f t="shared" si="17"/>
        <v>3.371889041897122E-2</v>
      </c>
      <c r="AZ61" s="336">
        <f t="shared" si="17"/>
        <v>1.5678149442801187E-2</v>
      </c>
      <c r="BA61" s="336">
        <f t="shared" si="17"/>
        <v>2.866038253693565E-2</v>
      </c>
      <c r="BB61" s="336">
        <f t="shared" si="17"/>
        <v>6.7917378086603019E-3</v>
      </c>
      <c r="BC61" s="336">
        <f t="shared" si="17"/>
        <v>3.4345068177015187E-2</v>
      </c>
      <c r="BD61" s="336">
        <f t="shared" si="17"/>
        <v>2.6198954933570832E-2</v>
      </c>
      <c r="BE61" s="336">
        <f t="shared" si="17"/>
        <v>4.47109276707192E-2</v>
      </c>
      <c r="BF61" s="336">
        <f t="shared" si="17"/>
        <v>4.9046054650412778E-2</v>
      </c>
      <c r="BG61" s="336">
        <f t="shared" ref="BG61:BT64" si="21">V61*$AP61/100</f>
        <v>5.9996194863472824E-2</v>
      </c>
      <c r="BH61" s="336">
        <f t="shared" si="21"/>
        <v>9.3555426704894432E-3</v>
      </c>
      <c r="BI61" s="336">
        <f t="shared" si="21"/>
        <v>5.3112333656866566E-3</v>
      </c>
      <c r="BJ61" s="336">
        <f t="shared" si="21"/>
        <v>8.3552052633488905E-3</v>
      </c>
      <c r="BK61" s="336">
        <f t="shared" si="21"/>
        <v>8.2729569375743425E-3</v>
      </c>
      <c r="BL61" s="336">
        <f t="shared" si="21"/>
        <v>1.3341003058754028E-2</v>
      </c>
      <c r="BM61" s="336">
        <f t="shared" si="21"/>
        <v>1.5545415709558469E-2</v>
      </c>
      <c r="BN61" s="336">
        <f t="shared" si="21"/>
        <v>4.1935013558060646E-2</v>
      </c>
      <c r="BO61" s="336">
        <f t="shared" si="21"/>
        <v>5.4623587288750762E-3</v>
      </c>
      <c r="BP61" s="336">
        <f t="shared" si="21"/>
        <v>1.3277399046230497E-2</v>
      </c>
      <c r="BQ61" s="336">
        <f t="shared" si="21"/>
        <v>4.3736637966996471E-3</v>
      </c>
      <c r="BR61" s="336">
        <f t="shared" si="21"/>
        <v>1.219770672643886E-2</v>
      </c>
      <c r="BS61" s="336">
        <f t="shared" si="21"/>
        <v>1.1991636267126918E-2</v>
      </c>
      <c r="BT61" s="336">
        <f t="shared" si="21"/>
        <v>5.5803241144527903E-3</v>
      </c>
      <c r="BU61" s="336">
        <f t="shared" si="18"/>
        <v>4.4659691394469394E-3</v>
      </c>
      <c r="BV61" s="336">
        <f t="shared" si="18"/>
        <v>7.6640630889786791E-3</v>
      </c>
      <c r="BW61" s="336">
        <f t="shared" si="13"/>
        <v>2.681420232694502E-3</v>
      </c>
      <c r="BX61" s="336"/>
      <c r="BY61" s="284">
        <f t="shared" si="19"/>
        <v>1.7421287344601805E-4</v>
      </c>
      <c r="BZ61" s="284">
        <f t="shared" si="19"/>
        <v>1.9772307360099608E-4</v>
      </c>
      <c r="CA61" s="284">
        <f t="shared" si="19"/>
        <v>1.4776082836172495E-4</v>
      </c>
      <c r="CB61" s="284">
        <f t="shared" si="19"/>
        <v>1.5169771442427745E-4</v>
      </c>
      <c r="CC61" s="284">
        <f t="shared" si="19"/>
        <v>2.7270458932570767E-4</v>
      </c>
      <c r="CD61" s="284">
        <f t="shared" si="19"/>
        <v>2.0465128312915836E-4</v>
      </c>
      <c r="CE61" s="284">
        <f t="shared" si="19"/>
        <v>3.1581412167734581E-4</v>
      </c>
      <c r="CF61" s="284">
        <f t="shared" si="19"/>
        <v>1.7578740053542579E-4</v>
      </c>
      <c r="CG61" s="284">
        <f t="shared" si="19"/>
        <v>1.731399604228709E-4</v>
      </c>
      <c r="CH61" s="284">
        <f t="shared" si="19"/>
        <v>2.5702602977334366E-4</v>
      </c>
      <c r="CI61" s="284">
        <f t="shared" si="19"/>
        <v>2.8531809613826907E-4</v>
      </c>
      <c r="CJ61" s="284">
        <f t="shared" si="19"/>
        <v>1.8893772275834257E-4</v>
      </c>
      <c r="CK61" s="284">
        <f t="shared" si="19"/>
        <v>1.8324577665028105E-4</v>
      </c>
      <c r="CL61" s="284">
        <f t="shared" si="19"/>
        <v>2.2423971067829523E-4</v>
      </c>
      <c r="CM61" s="284">
        <f t="shared" si="19"/>
        <v>2.2943198353514094E-4</v>
      </c>
      <c r="CN61" s="284">
        <f t="shared" si="19"/>
        <v>2.227989797859692E-4</v>
      </c>
      <c r="CO61" s="284">
        <f t="shared" ref="CO61:DB64" si="22">BG61/BG$65</f>
        <v>4.7897924016135086E-4</v>
      </c>
      <c r="CP61" s="284">
        <f t="shared" si="22"/>
        <v>5.1522091218147352E-4</v>
      </c>
      <c r="CQ61" s="284">
        <f t="shared" si="22"/>
        <v>9.496284088042822E-4</v>
      </c>
      <c r="CR61" s="284">
        <f t="shared" si="22"/>
        <v>3.024560158720741E-4</v>
      </c>
      <c r="CS61" s="284">
        <f t="shared" si="22"/>
        <v>1.0352473904346707E-3</v>
      </c>
      <c r="CT61" s="284">
        <f t="shared" si="22"/>
        <v>4.458356256247966E-4</v>
      </c>
      <c r="CU61" s="284">
        <f t="shared" si="22"/>
        <v>4.4031176404479134E-4</v>
      </c>
      <c r="CV61" s="284">
        <f t="shared" si="22"/>
        <v>3.1229285690113342E-4</v>
      </c>
      <c r="CW61" s="284">
        <f t="shared" si="22"/>
        <v>7.2701142329245844E-4</v>
      </c>
      <c r="CX61" s="284">
        <f t="shared" si="22"/>
        <v>3.8864332075870994E-4</v>
      </c>
      <c r="CY61" s="284">
        <f t="shared" si="22"/>
        <v>1.9808524909853623E-4</v>
      </c>
      <c r="CZ61" s="284">
        <f t="shared" si="22"/>
        <v>4.4584298026597549E-4</v>
      </c>
      <c r="DA61" s="284">
        <f t="shared" si="22"/>
        <v>9.6892721989013048E-4</v>
      </c>
      <c r="DB61" s="284">
        <f t="shared" si="22"/>
        <v>8.5061608114969341E-4</v>
      </c>
      <c r="DC61" s="284">
        <f t="shared" si="20"/>
        <v>1.2609206122961294E-3</v>
      </c>
      <c r="DD61" s="284">
        <f t="shared" si="20"/>
        <v>1.1827200069052534E-3</v>
      </c>
      <c r="DE61" s="284">
        <f t="shared" si="15"/>
        <v>5.5103007883245125E-3</v>
      </c>
    </row>
    <row r="62" spans="1:109" s="290" customFormat="1" x14ac:dyDescent="0.2">
      <c r="A62" s="44"/>
      <c r="B62" s="288" t="s">
        <v>120</v>
      </c>
      <c r="C62" s="289" t="s">
        <v>125</v>
      </c>
      <c r="E62" s="284"/>
      <c r="F62" s="335">
        <v>18.229200000000002</v>
      </c>
      <c r="G62" s="335">
        <v>29.911333333333332</v>
      </c>
      <c r="H62" s="335">
        <v>6.871266666666668</v>
      </c>
      <c r="I62" s="335">
        <v>59.817816666666658</v>
      </c>
      <c r="J62" s="335">
        <v>16.386649999999999</v>
      </c>
      <c r="K62" s="335">
        <v>4.5199666666666669</v>
      </c>
      <c r="L62" s="335">
        <v>11.488116666666668</v>
      </c>
      <c r="M62" s="335">
        <v>14.013183333333336</v>
      </c>
      <c r="N62" s="335">
        <v>755.15138333333334</v>
      </c>
      <c r="O62" s="335">
        <v>77.438900000000004</v>
      </c>
      <c r="P62" s="335">
        <v>68.984216666666669</v>
      </c>
      <c r="Q62" s="335">
        <v>12.864866666666666</v>
      </c>
      <c r="R62" s="335">
        <v>41.813000000000002</v>
      </c>
      <c r="S62" s="335">
        <v>124.06088333333332</v>
      </c>
      <c r="T62" s="335">
        <v>140.51471666666666</v>
      </c>
      <c r="U62" s="335">
        <v>131.35198333333332</v>
      </c>
      <c r="V62" s="335">
        <v>154.67086666666665</v>
      </c>
      <c r="W62" s="335">
        <v>16.560099999999998</v>
      </c>
      <c r="X62" s="335">
        <v>12.885399999999999</v>
      </c>
      <c r="Y62" s="335">
        <v>31.974333333333334</v>
      </c>
      <c r="Z62" s="335">
        <v>102.43795</v>
      </c>
      <c r="AA62" s="335">
        <v>139.47436666666667</v>
      </c>
      <c r="AB62" s="335">
        <v>108.08653333333332</v>
      </c>
      <c r="AC62" s="335">
        <v>313.92838333333333</v>
      </c>
      <c r="AD62" s="335">
        <v>6.7244166666666656</v>
      </c>
      <c r="AE62" s="335">
        <v>17.985416666666669</v>
      </c>
      <c r="AF62" s="335">
        <v>1.3127833333333334</v>
      </c>
      <c r="AG62" s="335">
        <v>91.407050000000012</v>
      </c>
      <c r="AH62" s="335">
        <v>9.120633333333334</v>
      </c>
      <c r="AI62" s="335">
        <v>34.764150000000001</v>
      </c>
      <c r="AJ62" s="335">
        <v>26.820516666666666</v>
      </c>
      <c r="AK62" s="335">
        <v>27.344366666666669</v>
      </c>
      <c r="AL62" s="335">
        <v>2.3871333333333333</v>
      </c>
      <c r="AN62" s="39" t="s">
        <v>120</v>
      </c>
      <c r="AO62" s="38" t="s">
        <v>167</v>
      </c>
      <c r="AP62" s="50">
        <v>2.8</v>
      </c>
      <c r="AQ62" s="336">
        <f t="shared" si="17"/>
        <v>0.51041760000000003</v>
      </c>
      <c r="AR62" s="336">
        <f t="shared" si="17"/>
        <v>0.83751733333333322</v>
      </c>
      <c r="AS62" s="336">
        <f t="shared" si="17"/>
        <v>0.19239546666666668</v>
      </c>
      <c r="AT62" s="336">
        <f t="shared" si="17"/>
        <v>1.6748988666666662</v>
      </c>
      <c r="AU62" s="336">
        <f t="shared" si="17"/>
        <v>0.45882619999999996</v>
      </c>
      <c r="AV62" s="336">
        <f t="shared" si="17"/>
        <v>0.12655906666666666</v>
      </c>
      <c r="AW62" s="336">
        <f t="shared" si="17"/>
        <v>0.32166726666666667</v>
      </c>
      <c r="AX62" s="336">
        <f t="shared" si="17"/>
        <v>0.3923691333333334</v>
      </c>
      <c r="AY62" s="336">
        <f t="shared" si="17"/>
        <v>21.144238733333331</v>
      </c>
      <c r="AZ62" s="336">
        <f t="shared" si="17"/>
        <v>2.1682892000000002</v>
      </c>
      <c r="BA62" s="336">
        <f t="shared" si="17"/>
        <v>1.9315580666666665</v>
      </c>
      <c r="BB62" s="336">
        <f t="shared" si="17"/>
        <v>0.36021626666666662</v>
      </c>
      <c r="BC62" s="336">
        <f t="shared" si="17"/>
        <v>1.1707639999999999</v>
      </c>
      <c r="BD62" s="336">
        <f t="shared" si="17"/>
        <v>3.4737047333333329</v>
      </c>
      <c r="BE62" s="336">
        <f t="shared" si="17"/>
        <v>3.9344120666666664</v>
      </c>
      <c r="BF62" s="336">
        <f t="shared" si="17"/>
        <v>3.6778555333333327</v>
      </c>
      <c r="BG62" s="336">
        <f t="shared" si="21"/>
        <v>4.330784266666666</v>
      </c>
      <c r="BH62" s="336">
        <f t="shared" si="21"/>
        <v>0.4636827999999999</v>
      </c>
      <c r="BI62" s="336">
        <f t="shared" si="21"/>
        <v>0.36079119999999998</v>
      </c>
      <c r="BJ62" s="336">
        <f t="shared" si="21"/>
        <v>0.89528133333333326</v>
      </c>
      <c r="BK62" s="336">
        <f t="shared" si="21"/>
        <v>2.8682626</v>
      </c>
      <c r="BL62" s="336">
        <f t="shared" si="21"/>
        <v>3.9052822666666662</v>
      </c>
      <c r="BM62" s="336">
        <f t="shared" si="21"/>
        <v>3.0264229333333326</v>
      </c>
      <c r="BN62" s="336">
        <f t="shared" si="21"/>
        <v>8.7899947333333337</v>
      </c>
      <c r="BO62" s="336">
        <f t="shared" si="21"/>
        <v>0.18828366666666663</v>
      </c>
      <c r="BP62" s="336">
        <f t="shared" si="21"/>
        <v>0.50359166666666677</v>
      </c>
      <c r="BQ62" s="336">
        <f t="shared" si="21"/>
        <v>3.6757933333333333E-2</v>
      </c>
      <c r="BR62" s="336">
        <f t="shared" si="21"/>
        <v>2.5593974000000004</v>
      </c>
      <c r="BS62" s="336">
        <f t="shared" si="21"/>
        <v>0.25537773333333336</v>
      </c>
      <c r="BT62" s="336">
        <f t="shared" si="21"/>
        <v>0.97339619999999993</v>
      </c>
      <c r="BU62" s="336">
        <f t="shared" si="18"/>
        <v>0.75097446666666656</v>
      </c>
      <c r="BV62" s="336">
        <f t="shared" si="18"/>
        <v>0.76564226666666668</v>
      </c>
      <c r="BW62" s="336">
        <f t="shared" si="13"/>
        <v>6.6839733333333332E-2</v>
      </c>
      <c r="BX62" s="336"/>
      <c r="BY62" s="284">
        <f t="shared" si="19"/>
        <v>7.5283335925421463E-3</v>
      </c>
      <c r="BZ62" s="284">
        <f t="shared" si="19"/>
        <v>2.1088611509310726E-2</v>
      </c>
      <c r="CA62" s="284">
        <f t="shared" si="19"/>
        <v>3.1214330354313083E-3</v>
      </c>
      <c r="CB62" s="284">
        <f t="shared" si="19"/>
        <v>9.3583079876201659E-3</v>
      </c>
      <c r="CC62" s="284">
        <f t="shared" si="19"/>
        <v>7.2878970747517549E-3</v>
      </c>
      <c r="CD62" s="284">
        <f t="shared" si="19"/>
        <v>3.1203022543626418E-3</v>
      </c>
      <c r="CE62" s="284">
        <f t="shared" si="19"/>
        <v>1.1047769471880837E-2</v>
      </c>
      <c r="CF62" s="284">
        <f t="shared" si="19"/>
        <v>4.1082842444147213E-3</v>
      </c>
      <c r="CG62" s="284">
        <f t="shared" si="19"/>
        <v>0.10857156365386603</v>
      </c>
      <c r="CH62" s="284">
        <f t="shared" si="19"/>
        <v>3.5546718476542769E-2</v>
      </c>
      <c r="CI62" s="284">
        <f t="shared" si="19"/>
        <v>1.9228929322615149E-2</v>
      </c>
      <c r="CJ62" s="284">
        <f t="shared" si="19"/>
        <v>1.0020769800290135E-2</v>
      </c>
      <c r="CK62" s="284">
        <f t="shared" si="19"/>
        <v>6.2465317392429867E-3</v>
      </c>
      <c r="CL62" s="284">
        <f t="shared" si="19"/>
        <v>2.9731817408730661E-2</v>
      </c>
      <c r="CM62" s="284">
        <f t="shared" si="19"/>
        <v>2.0189247048235229E-2</v>
      </c>
      <c r="CN62" s="284">
        <f t="shared" si="19"/>
        <v>1.6707204411597901E-2</v>
      </c>
      <c r="CO62" s="284">
        <f t="shared" si="22"/>
        <v>3.4574788652365886E-2</v>
      </c>
      <c r="CP62" s="284">
        <f t="shared" si="22"/>
        <v>2.5535565770270972E-2</v>
      </c>
      <c r="CQ62" s="284">
        <f t="shared" si="22"/>
        <v>6.4508100016857875E-2</v>
      </c>
      <c r="CR62" s="284">
        <f t="shared" si="22"/>
        <v>3.2408925529628985E-2</v>
      </c>
      <c r="CS62" s="284">
        <f t="shared" si="22"/>
        <v>0.35892382785712768</v>
      </c>
      <c r="CT62" s="284">
        <f t="shared" si="22"/>
        <v>0.13050847488250009</v>
      </c>
      <c r="CU62" s="284">
        <f t="shared" si="22"/>
        <v>8.5721066931793238E-2</v>
      </c>
      <c r="CV62" s="284">
        <f t="shared" si="22"/>
        <v>6.5459679978830856E-2</v>
      </c>
      <c r="CW62" s="284">
        <f t="shared" si="22"/>
        <v>2.5059572847616E-2</v>
      </c>
      <c r="CX62" s="284">
        <f t="shared" si="22"/>
        <v>1.4740653418510581E-2</v>
      </c>
      <c r="CY62" s="284">
        <f t="shared" si="22"/>
        <v>1.6647837417624774E-3</v>
      </c>
      <c r="CZ62" s="284">
        <f t="shared" si="22"/>
        <v>9.3549499925887458E-2</v>
      </c>
      <c r="DA62" s="284">
        <f t="shared" si="22"/>
        <v>2.0634584944744547E-2</v>
      </c>
      <c r="DB62" s="284">
        <f t="shared" si="22"/>
        <v>0.14837605201202475</v>
      </c>
      <c r="DC62" s="284">
        <f t="shared" si="20"/>
        <v>0.21202994350412324</v>
      </c>
      <c r="DD62" s="284">
        <f t="shared" si="20"/>
        <v>0.11815409351485744</v>
      </c>
      <c r="DE62" s="284">
        <f t="shared" si="15"/>
        <v>0.13735520855228386</v>
      </c>
    </row>
    <row r="63" spans="1:109" s="290" customFormat="1" x14ac:dyDescent="0.2">
      <c r="A63" s="44"/>
      <c r="B63" s="288" t="s">
        <v>127</v>
      </c>
      <c r="C63" s="289" t="s">
        <v>125</v>
      </c>
      <c r="E63" s="284"/>
      <c r="F63" s="335">
        <v>27.113900000000001</v>
      </c>
      <c r="G63" s="335">
        <v>54.17196666666667</v>
      </c>
      <c r="H63" s="335">
        <v>31.966466666666662</v>
      </c>
      <c r="I63" s="335">
        <v>111.98668333333335</v>
      </c>
      <c r="J63" s="335">
        <v>417.89331666666664</v>
      </c>
      <c r="K63" s="335">
        <v>171.51475000000002</v>
      </c>
      <c r="L63" s="335">
        <v>597.40409999999997</v>
      </c>
      <c r="M63" s="335">
        <v>121.26061666666668</v>
      </c>
      <c r="N63" s="335">
        <v>144.92415000000003</v>
      </c>
      <c r="O63" s="335">
        <v>163.07826666666668</v>
      </c>
      <c r="P63" s="335">
        <v>423.60864999999995</v>
      </c>
      <c r="Q63" s="335">
        <v>85.306100000000001</v>
      </c>
      <c r="R63" s="335">
        <v>3926.295583333334</v>
      </c>
      <c r="S63" s="335">
        <v>1660.4247500000001</v>
      </c>
      <c r="T63" s="335">
        <v>3782.8241499999999</v>
      </c>
      <c r="U63" s="335">
        <v>1520.1162166666666</v>
      </c>
      <c r="V63" s="335">
        <v>3298.9723666666669</v>
      </c>
      <c r="W63" s="335">
        <v>427.16564999999997</v>
      </c>
      <c r="X63" s="335">
        <v>144.09201666666664</v>
      </c>
      <c r="Y63" s="335">
        <v>356.12703333333337</v>
      </c>
      <c r="Z63" s="335">
        <v>110.85653333333333</v>
      </c>
      <c r="AA63" s="335">
        <v>204.54835</v>
      </c>
      <c r="AB63" s="335">
        <v>1517.7003500000001</v>
      </c>
      <c r="AC63" s="335">
        <v>1287.3080666666667</v>
      </c>
      <c r="AD63" s="335">
        <v>42.890783333333331</v>
      </c>
      <c r="AE63" s="335">
        <v>733.8847833333333</v>
      </c>
      <c r="AF63" s="335">
        <v>98.823633333333348</v>
      </c>
      <c r="AG63" s="335">
        <v>686.38008333333346</v>
      </c>
      <c r="AH63" s="335">
        <v>652.49423333333334</v>
      </c>
      <c r="AI63" s="335">
        <v>20.752300000000002</v>
      </c>
      <c r="AJ63" s="335">
        <v>10.097849999999999</v>
      </c>
      <c r="AK63" s="335">
        <v>31.612816666666671</v>
      </c>
      <c r="AL63" s="335">
        <v>1.38025</v>
      </c>
      <c r="AN63" s="39" t="s">
        <v>1011</v>
      </c>
      <c r="AO63" s="38" t="s">
        <v>167</v>
      </c>
      <c r="AP63" s="50">
        <v>1.25</v>
      </c>
      <c r="AQ63" s="336">
        <f t="shared" si="17"/>
        <v>0.33892375000000002</v>
      </c>
      <c r="AR63" s="336">
        <f t="shared" si="17"/>
        <v>0.67714958333333342</v>
      </c>
      <c r="AS63" s="336">
        <f t="shared" si="17"/>
        <v>0.39958083333333327</v>
      </c>
      <c r="AT63" s="336">
        <f t="shared" si="17"/>
        <v>1.399833541666667</v>
      </c>
      <c r="AU63" s="336">
        <f t="shared" si="17"/>
        <v>5.2236664583333337</v>
      </c>
      <c r="AV63" s="336">
        <f t="shared" si="17"/>
        <v>2.1439343750000002</v>
      </c>
      <c r="AW63" s="336">
        <f t="shared" si="17"/>
        <v>7.4675512499999988</v>
      </c>
      <c r="AX63" s="336">
        <f t="shared" si="17"/>
        <v>1.5157577083333333</v>
      </c>
      <c r="AY63" s="336">
        <f t="shared" si="17"/>
        <v>1.8115518750000004</v>
      </c>
      <c r="AZ63" s="336">
        <f t="shared" si="17"/>
        <v>2.0384783333333334</v>
      </c>
      <c r="BA63" s="336">
        <f t="shared" si="17"/>
        <v>5.2951081249999996</v>
      </c>
      <c r="BB63" s="336">
        <f t="shared" si="17"/>
        <v>1.0663262500000001</v>
      </c>
      <c r="BC63" s="336">
        <f t="shared" si="17"/>
        <v>49.078694791666678</v>
      </c>
      <c r="BD63" s="336">
        <f t="shared" si="17"/>
        <v>20.755309375000003</v>
      </c>
      <c r="BE63" s="336">
        <f t="shared" si="17"/>
        <v>47.285301874999995</v>
      </c>
      <c r="BF63" s="336">
        <f t="shared" si="17"/>
        <v>19.001452708333332</v>
      </c>
      <c r="BG63" s="336">
        <f t="shared" si="21"/>
        <v>41.237154583333343</v>
      </c>
      <c r="BH63" s="336">
        <f t="shared" si="21"/>
        <v>5.3395706250000003</v>
      </c>
      <c r="BI63" s="336">
        <f t="shared" si="21"/>
        <v>1.8011502083333328</v>
      </c>
      <c r="BJ63" s="336">
        <f t="shared" si="21"/>
        <v>4.451587916666667</v>
      </c>
      <c r="BK63" s="336">
        <f t="shared" si="21"/>
        <v>1.3857066666666666</v>
      </c>
      <c r="BL63" s="336">
        <f t="shared" si="21"/>
        <v>2.5568543749999999</v>
      </c>
      <c r="BM63" s="336">
        <f t="shared" si="21"/>
        <v>18.971254375000001</v>
      </c>
      <c r="BN63" s="336">
        <f t="shared" si="21"/>
        <v>16.091350833333333</v>
      </c>
      <c r="BO63" s="336">
        <f t="shared" si="21"/>
        <v>0.53613479166666667</v>
      </c>
      <c r="BP63" s="336">
        <f t="shared" si="21"/>
        <v>9.1735597916666674</v>
      </c>
      <c r="BQ63" s="336">
        <f t="shared" si="21"/>
        <v>1.235295416666667</v>
      </c>
      <c r="BR63" s="336">
        <f t="shared" si="21"/>
        <v>8.5797510416666682</v>
      </c>
      <c r="BS63" s="336">
        <f t="shared" si="21"/>
        <v>8.1561779166666675</v>
      </c>
      <c r="BT63" s="336">
        <f t="shared" si="21"/>
        <v>0.25940375000000004</v>
      </c>
      <c r="BU63" s="336">
        <f t="shared" si="18"/>
        <v>0.12622312499999999</v>
      </c>
      <c r="BV63" s="336">
        <f t="shared" si="18"/>
        <v>0.39516020833333337</v>
      </c>
      <c r="BW63" s="336">
        <f t="shared" si="13"/>
        <v>1.7253125000000001E-2</v>
      </c>
      <c r="BX63" s="336"/>
      <c r="BY63" s="284">
        <f t="shared" si="19"/>
        <v>4.9989088394196361E-3</v>
      </c>
      <c r="BZ63" s="284">
        <f t="shared" si="19"/>
        <v>1.7050565914586004E-2</v>
      </c>
      <c r="CA63" s="284">
        <f t="shared" si="19"/>
        <v>6.4828180991019788E-3</v>
      </c>
      <c r="CB63" s="284">
        <f t="shared" si="19"/>
        <v>7.8214115938768126E-3</v>
      </c>
      <c r="CC63" s="284">
        <f t="shared" si="19"/>
        <v>8.2971599052465539E-2</v>
      </c>
      <c r="CD63" s="284">
        <f t="shared" si="19"/>
        <v>5.2858506622347055E-2</v>
      </c>
      <c r="CE63" s="284">
        <f t="shared" si="19"/>
        <v>0.25647553630300657</v>
      </c>
      <c r="CF63" s="284">
        <f t="shared" si="19"/>
        <v>1.5870676315931743E-2</v>
      </c>
      <c r="CG63" s="284">
        <f t="shared" si="19"/>
        <v>9.301967414829521E-3</v>
      </c>
      <c r="CH63" s="284">
        <f t="shared" si="19"/>
        <v>3.3418611980141809E-2</v>
      </c>
      <c r="CI63" s="284">
        <f t="shared" si="19"/>
        <v>5.2713538178503751E-2</v>
      </c>
      <c r="CJ63" s="284">
        <f t="shared" si="19"/>
        <v>2.9663873822623865E-2</v>
      </c>
      <c r="CK63" s="284">
        <f t="shared" si="19"/>
        <v>0.26185603993355228</v>
      </c>
      <c r="CL63" s="284">
        <f t="shared" si="19"/>
        <v>0.17764695504417824</v>
      </c>
      <c r="CM63" s="284">
        <f t="shared" si="19"/>
        <v>0.24264226144303258</v>
      </c>
      <c r="CN63" s="284">
        <f t="shared" si="19"/>
        <v>8.6316918007845883E-2</v>
      </c>
      <c r="CO63" s="284">
        <f t="shared" si="22"/>
        <v>0.32921656137840372</v>
      </c>
      <c r="CP63" s="284">
        <f t="shared" si="22"/>
        <v>0.29405653364691214</v>
      </c>
      <c r="CQ63" s="284">
        <f t="shared" si="22"/>
        <v>0.32203883516158666</v>
      </c>
      <c r="CR63" s="284">
        <f t="shared" si="22"/>
        <v>0.16114619607078398</v>
      </c>
      <c r="CS63" s="284">
        <f t="shared" si="22"/>
        <v>0.1734022334939419</v>
      </c>
      <c r="CT63" s="284">
        <f t="shared" si="22"/>
        <v>8.5446106630012772E-2</v>
      </c>
      <c r="CU63" s="284">
        <f t="shared" si="22"/>
        <v>0.53734596977438887</v>
      </c>
      <c r="CV63" s="284">
        <f t="shared" si="22"/>
        <v>0.11983336827070527</v>
      </c>
      <c r="CW63" s="284">
        <f t="shared" si="22"/>
        <v>7.1356741164903301E-2</v>
      </c>
      <c r="CX63" s="284">
        <f t="shared" si="22"/>
        <v>0.26851966474744904</v>
      </c>
      <c r="CY63" s="284">
        <f t="shared" si="22"/>
        <v>5.5947098747128665E-2</v>
      </c>
      <c r="CZ63" s="284">
        <f t="shared" si="22"/>
        <v>0.31360171712158835</v>
      </c>
      <c r="DA63" s="284">
        <f t="shared" si="22"/>
        <v>0.65902122259905183</v>
      </c>
      <c r="DB63" s="284">
        <f t="shared" si="22"/>
        <v>3.9541251858302172E-2</v>
      </c>
      <c r="DC63" s="284">
        <f t="shared" si="20"/>
        <v>3.5637805612029089E-2</v>
      </c>
      <c r="DD63" s="284">
        <f t="shared" si="20"/>
        <v>6.0981215694945808E-2</v>
      </c>
      <c r="DE63" s="284">
        <f t="shared" si="15"/>
        <v>3.545505740926988E-2</v>
      </c>
    </row>
    <row r="64" spans="1:109" s="8" customFormat="1" x14ac:dyDescent="0.2">
      <c r="A64" s="44"/>
      <c r="B64" s="42" t="s">
        <v>128</v>
      </c>
      <c r="C64" s="22" t="s">
        <v>125</v>
      </c>
      <c r="E64" s="17"/>
      <c r="F64" s="24">
        <v>197.66446666666664</v>
      </c>
      <c r="G64" s="24">
        <v>478.60716666666667</v>
      </c>
      <c r="H64" s="24">
        <v>87.630533333333332</v>
      </c>
      <c r="I64" s="24">
        <v>1286.6406333333334</v>
      </c>
      <c r="J64" s="24">
        <v>2256.5405500000002</v>
      </c>
      <c r="K64" s="24">
        <v>1056.6234999999999</v>
      </c>
      <c r="L64" s="24">
        <v>2037.6511166666669</v>
      </c>
      <c r="M64" s="24">
        <v>1235.0661</v>
      </c>
      <c r="N64" s="24">
        <v>1492.4639666666665</v>
      </c>
      <c r="O64" s="24">
        <v>1359.2354499999999</v>
      </c>
      <c r="P64" s="24">
        <v>3849.3415333333337</v>
      </c>
      <c r="Q64" s="24">
        <v>461.52676666666667</v>
      </c>
      <c r="R64" s="24">
        <v>970.67379999999991</v>
      </c>
      <c r="S64" s="24">
        <v>1175.1380000000001</v>
      </c>
      <c r="T64" s="24">
        <v>2696.5324166666664</v>
      </c>
      <c r="U64" s="24">
        <v>1674.9699499999999</v>
      </c>
      <c r="V64" s="24">
        <v>9128.3208999999988</v>
      </c>
      <c r="W64" s="24">
        <v>1567.0036333333335</v>
      </c>
      <c r="X64" s="24">
        <v>776.09505000000001</v>
      </c>
      <c r="Y64" s="24">
        <v>893.71815000000004</v>
      </c>
      <c r="Z64" s="24">
        <v>263.30234999999999</v>
      </c>
      <c r="AA64" s="24">
        <v>869.24551666666673</v>
      </c>
      <c r="AB64" s="24">
        <v>1299.9610833333334</v>
      </c>
      <c r="AC64" s="24">
        <v>1420.4591666666665</v>
      </c>
      <c r="AD64" s="24">
        <v>279.19191666666666</v>
      </c>
      <c r="AE64" s="24">
        <v>1290.7970500000001</v>
      </c>
      <c r="AF64" s="24">
        <v>59.866399999999999</v>
      </c>
      <c r="AG64" s="24">
        <v>1090.5620833333332</v>
      </c>
      <c r="AH64" s="24">
        <v>2141.7987166666667</v>
      </c>
      <c r="AI64" s="24">
        <v>136.48589999999999</v>
      </c>
      <c r="AJ64" s="24">
        <v>167.41278333333335</v>
      </c>
      <c r="AK64" s="24">
        <v>95.234699999999989</v>
      </c>
      <c r="AL64" s="24">
        <v>50.701283333333329</v>
      </c>
      <c r="AN64" s="39" t="s">
        <v>128</v>
      </c>
      <c r="AO64" s="38" t="s">
        <v>167</v>
      </c>
      <c r="AP64" s="352">
        <v>2.0499999999999998</v>
      </c>
      <c r="AQ64" s="54">
        <f t="shared" si="17"/>
        <v>4.0521215666666661</v>
      </c>
      <c r="AR64" s="54">
        <f t="shared" si="17"/>
        <v>9.8114469166666662</v>
      </c>
      <c r="AS64" s="54">
        <f t="shared" si="17"/>
        <v>1.796425933333333</v>
      </c>
      <c r="AT64" s="54">
        <f t="shared" si="17"/>
        <v>26.376132983333331</v>
      </c>
      <c r="AU64" s="54">
        <f t="shared" si="17"/>
        <v>46.259081275</v>
      </c>
      <c r="AV64" s="54">
        <f t="shared" si="17"/>
        <v>21.660781749999998</v>
      </c>
      <c r="AW64" s="54">
        <f t="shared" si="17"/>
        <v>41.771847891666667</v>
      </c>
      <c r="AX64" s="54">
        <f t="shared" si="17"/>
        <v>25.318855049999996</v>
      </c>
      <c r="AY64" s="54">
        <f t="shared" si="17"/>
        <v>30.595511316666663</v>
      </c>
      <c r="AZ64" s="54">
        <f t="shared" si="17"/>
        <v>27.864326724999998</v>
      </c>
      <c r="BA64" s="54">
        <f t="shared" si="17"/>
        <v>78.911501433333328</v>
      </c>
      <c r="BB64" s="54">
        <f t="shared" si="17"/>
        <v>9.4612987166666667</v>
      </c>
      <c r="BC64" s="54">
        <f t="shared" si="17"/>
        <v>19.898812899999996</v>
      </c>
      <c r="BD64" s="54">
        <f t="shared" si="17"/>
        <v>24.090329000000001</v>
      </c>
      <c r="BE64" s="54">
        <f t="shared" si="17"/>
        <v>55.278914541666651</v>
      </c>
      <c r="BF64" s="54">
        <f t="shared" si="17"/>
        <v>34.336883974999999</v>
      </c>
      <c r="BG64" s="54">
        <f t="shared" si="21"/>
        <v>187.13057844999994</v>
      </c>
      <c r="BH64" s="54">
        <f t="shared" si="21"/>
        <v>32.123574483333329</v>
      </c>
      <c r="BI64" s="54">
        <f t="shared" si="21"/>
        <v>15.909948524999999</v>
      </c>
      <c r="BJ64" s="54">
        <f t="shared" si="21"/>
        <v>18.321222074999998</v>
      </c>
      <c r="BK64" s="54">
        <f t="shared" si="21"/>
        <v>5.3976981749999995</v>
      </c>
      <c r="BL64" s="54">
        <f t="shared" si="21"/>
        <v>17.819533091666667</v>
      </c>
      <c r="BM64" s="54">
        <f t="shared" si="21"/>
        <v>26.649202208333332</v>
      </c>
      <c r="BN64" s="54">
        <f t="shared" si="21"/>
        <v>29.119412916666661</v>
      </c>
      <c r="BO64" s="54">
        <f t="shared" si="21"/>
        <v>5.7234342916666661</v>
      </c>
      <c r="BP64" s="54">
        <f t="shared" si="21"/>
        <v>26.461339525</v>
      </c>
      <c r="BQ64" s="54">
        <f t="shared" si="21"/>
        <v>1.2272611999999998</v>
      </c>
      <c r="BR64" s="54">
        <f t="shared" si="21"/>
        <v>22.356522708333326</v>
      </c>
      <c r="BS64" s="54">
        <f t="shared" si="21"/>
        <v>43.906873691666661</v>
      </c>
      <c r="BT64" s="54">
        <f t="shared" si="21"/>
        <v>2.7979609499999993</v>
      </c>
      <c r="BU64" s="54">
        <f t="shared" si="18"/>
        <v>3.4319620583333337</v>
      </c>
      <c r="BV64" s="54">
        <f t="shared" si="18"/>
        <v>1.9523113499999996</v>
      </c>
      <c r="BW64" s="54">
        <f t="shared" si="13"/>
        <v>1.0393763083333332</v>
      </c>
      <c r="BX64" s="54"/>
      <c r="BY64" s="17">
        <f t="shared" si="19"/>
        <v>5.9766204988623374E-2</v>
      </c>
      <c r="BZ64" s="17">
        <f t="shared" si="19"/>
        <v>0.2470513553985843</v>
      </c>
      <c r="CA64" s="17">
        <f t="shared" si="19"/>
        <v>2.9145298229543454E-2</v>
      </c>
      <c r="CB64" s="17">
        <f t="shared" si="19"/>
        <v>0.14737365992234841</v>
      </c>
      <c r="CC64" s="17">
        <f t="shared" si="19"/>
        <v>0.73476933772477726</v>
      </c>
      <c r="CD64" s="17">
        <f t="shared" si="19"/>
        <v>0.53404459993211728</v>
      </c>
      <c r="CE64" s="17">
        <f t="shared" si="19"/>
        <v>1.4346680366449209</v>
      </c>
      <c r="CF64" s="17">
        <f t="shared" si="19"/>
        <v>0.26509998991222483</v>
      </c>
      <c r="CG64" s="17">
        <f t="shared" si="19"/>
        <v>0.15710201470641358</v>
      </c>
      <c r="CH64" s="17">
        <f t="shared" si="19"/>
        <v>0.45680501366329812</v>
      </c>
      <c r="CI64" s="17">
        <f t="shared" si="19"/>
        <v>0.78557497700371703</v>
      </c>
      <c r="CJ64" s="17">
        <f t="shared" si="19"/>
        <v>0.26320159644325841</v>
      </c>
      <c r="CK64" s="17">
        <f t="shared" si="19"/>
        <v>0.10616876360488345</v>
      </c>
      <c r="CL64" s="17">
        <f t="shared" si="19"/>
        <v>0.20619175149551164</v>
      </c>
      <c r="CM64" s="17">
        <f t="shared" si="19"/>
        <v>0.2836611019205032</v>
      </c>
      <c r="CN64" s="17">
        <f t="shared" si="19"/>
        <v>0.15598038972121092</v>
      </c>
      <c r="CO64" s="17">
        <f t="shared" si="22"/>
        <v>1.4939557830442514</v>
      </c>
      <c r="CP64" s="17">
        <f t="shared" si="22"/>
        <v>1.7690836256927296</v>
      </c>
      <c r="CQ64" s="17">
        <f t="shared" si="22"/>
        <v>2.8446385352906622</v>
      </c>
      <c r="CR64" s="17">
        <f t="shared" si="22"/>
        <v>0.66322294426683326</v>
      </c>
      <c r="CS64" s="17">
        <f t="shared" si="22"/>
        <v>0.67544808853569827</v>
      </c>
      <c r="CT64" s="17">
        <f t="shared" si="22"/>
        <v>0.59550115154586825</v>
      </c>
      <c r="CU64" s="17">
        <f t="shared" si="22"/>
        <v>0.75481784816617636</v>
      </c>
      <c r="CV64" s="17">
        <f t="shared" si="22"/>
        <v>0.21685421988570247</v>
      </c>
      <c r="CW64" s="17">
        <f t="shared" si="22"/>
        <v>0.76175921740723307</v>
      </c>
      <c r="CX64" s="17">
        <f t="shared" si="22"/>
        <v>0.77455101175402097</v>
      </c>
      <c r="CY64" s="17">
        <f t="shared" si="22"/>
        <v>5.558322537146379E-2</v>
      </c>
      <c r="CZ64" s="17">
        <f t="shared" si="22"/>
        <v>0.81716169573600783</v>
      </c>
      <c r="DA64" s="17">
        <f t="shared" si="22"/>
        <v>3.5476864134677832</v>
      </c>
      <c r="DB64" s="17">
        <f t="shared" si="22"/>
        <v>0.42649683596958166</v>
      </c>
      <c r="DC64" s="17">
        <f t="shared" si="20"/>
        <v>0.96897931106318747</v>
      </c>
      <c r="DD64" s="17">
        <f t="shared" si="20"/>
        <v>0.30128114376742549</v>
      </c>
      <c r="DE64" s="17">
        <f t="shared" si="15"/>
        <v>2.1359114178905743</v>
      </c>
    </row>
    <row r="65" spans="1:109" s="343" customFormat="1" x14ac:dyDescent="0.2">
      <c r="B65" s="291" t="s">
        <v>1012</v>
      </c>
      <c r="F65" s="351">
        <f>SUM(F29:F63)</f>
        <v>6180.2352704817467</v>
      </c>
      <c r="G65" s="351">
        <f t="shared" ref="G65:AL65" si="23">SUM(G29:G63)</f>
        <v>2907.7241760201891</v>
      </c>
      <c r="H65" s="351">
        <f t="shared" si="23"/>
        <v>3922.9827499760377</v>
      </c>
      <c r="I65" s="351">
        <f t="shared" si="23"/>
        <v>22122.787641291405</v>
      </c>
      <c r="J65" s="351">
        <f t="shared" si="23"/>
        <v>5302.243294460608</v>
      </c>
      <c r="K65" s="351">
        <f t="shared" si="23"/>
        <v>3981.3599973010259</v>
      </c>
      <c r="L65" s="351">
        <f t="shared" si="23"/>
        <v>2523.6441043634422</v>
      </c>
      <c r="M65" s="351">
        <f t="shared" si="23"/>
        <v>12063.262065087911</v>
      </c>
      <c r="N65" s="351">
        <f t="shared" si="23"/>
        <v>17725.921908449887</v>
      </c>
      <c r="O65" s="351">
        <f t="shared" si="23"/>
        <v>3697.2415081787226</v>
      </c>
      <c r="P65" s="351">
        <f t="shared" si="23"/>
        <v>6554.5265173715361</v>
      </c>
      <c r="Q65" s="351">
        <f t="shared" si="23"/>
        <v>2927.1240605025714</v>
      </c>
      <c r="R65" s="351">
        <f t="shared" si="23"/>
        <v>15710.752180049338</v>
      </c>
      <c r="S65" s="351">
        <f t="shared" si="23"/>
        <v>8136.0903208150494</v>
      </c>
      <c r="T65" s="351">
        <f t="shared" si="23"/>
        <v>14769.013968797588</v>
      </c>
      <c r="U65" s="351">
        <f t="shared" si="23"/>
        <v>14660.444104069726</v>
      </c>
      <c r="V65" s="351">
        <f t="shared" si="23"/>
        <v>9448.1875930177994</v>
      </c>
      <c r="W65" s="351">
        <f t="shared" si="23"/>
        <v>1322.9513285197468</v>
      </c>
      <c r="X65" s="351">
        <f t="shared" si="23"/>
        <v>441.00780926841298</v>
      </c>
      <c r="Y65" s="351">
        <f t="shared" si="23"/>
        <v>2038.1864070177637</v>
      </c>
      <c r="Z65" s="351">
        <f t="shared" si="23"/>
        <v>639.28891026060398</v>
      </c>
      <c r="AA65" s="351">
        <f t="shared" si="23"/>
        <v>2158.6740841831529</v>
      </c>
      <c r="AB65" s="351">
        <f t="shared" si="23"/>
        <v>2607.7082210305998</v>
      </c>
      <c r="AC65" s="351">
        <f t="shared" si="23"/>
        <v>8823.2907315440716</v>
      </c>
      <c r="AD65" s="351">
        <f t="shared" si="23"/>
        <v>570.13037186929864</v>
      </c>
      <c r="AE65" s="351">
        <f t="shared" si="23"/>
        <v>2540.1651164018976</v>
      </c>
      <c r="AF65" s="351">
        <f t="shared" si="23"/>
        <v>1560.5038566103615</v>
      </c>
      <c r="AG65" s="351">
        <f t="shared" si="23"/>
        <v>2050.4924518686221</v>
      </c>
      <c r="AH65" s="351">
        <f t="shared" si="23"/>
        <v>1051.378993407702</v>
      </c>
      <c r="AI65" s="351">
        <f t="shared" si="23"/>
        <v>1055.3661233652929</v>
      </c>
      <c r="AJ65" s="351">
        <f t="shared" si="23"/>
        <v>538.35131365001348</v>
      </c>
      <c r="AK65" s="351">
        <f t="shared" si="23"/>
        <v>679.59588974710516</v>
      </c>
      <c r="AL65" s="351">
        <f t="shared" si="23"/>
        <v>200.76588895369289</v>
      </c>
      <c r="AN65" s="246"/>
      <c r="AO65" s="246"/>
      <c r="AP65" s="246"/>
      <c r="AQ65" s="353">
        <f>SUM(AQ29:AQ63)</f>
        <v>67.799546038400734</v>
      </c>
      <c r="AR65" s="353">
        <f t="shared" ref="AR65:BW65" si="24">SUM(AR29:AR63)</f>
        <v>39.714199911339122</v>
      </c>
      <c r="AS65" s="353">
        <f t="shared" si="24"/>
        <v>61.636903461580161</v>
      </c>
      <c r="AT65" s="353">
        <f t="shared" si="24"/>
        <v>178.97453993631555</v>
      </c>
      <c r="AU65" s="353">
        <f t="shared" si="24"/>
        <v>62.957283190724645</v>
      </c>
      <c r="AV65" s="353">
        <f t="shared" si="24"/>
        <v>40.559874124283461</v>
      </c>
      <c r="AW65" s="353">
        <f t="shared" si="24"/>
        <v>29.116037177041509</v>
      </c>
      <c r="AX65" s="353">
        <f t="shared" si="24"/>
        <v>95.506812574316285</v>
      </c>
      <c r="AY65" s="353">
        <f t="shared" si="24"/>
        <v>194.74932497741941</v>
      </c>
      <c r="AZ65" s="353">
        <f t="shared" si="24"/>
        <v>60.998294439776529</v>
      </c>
      <c r="BA65" s="353">
        <f t="shared" si="24"/>
        <v>100.45063010320395</v>
      </c>
      <c r="BB65" s="353">
        <f t="shared" si="24"/>
        <v>35.946965537142383</v>
      </c>
      <c r="BC65" s="353">
        <f t="shared" si="24"/>
        <v>187.4262468955107</v>
      </c>
      <c r="BD65" s="353">
        <f t="shared" si="24"/>
        <v>116.8345912252673</v>
      </c>
      <c r="BE65" s="353">
        <f t="shared" si="24"/>
        <v>194.87661215233774</v>
      </c>
      <c r="BF65" s="353">
        <f t="shared" si="24"/>
        <v>220.13590321431741</v>
      </c>
      <c r="BG65" s="353">
        <f t="shared" si="24"/>
        <v>125.25844511186386</v>
      </c>
      <c r="BH65" s="353">
        <f t="shared" si="24"/>
        <v>18.158313161004205</v>
      </c>
      <c r="BI65" s="353">
        <f t="shared" si="24"/>
        <v>5.5929596423660684</v>
      </c>
      <c r="BJ65" s="353">
        <f t="shared" si="24"/>
        <v>27.624529931263737</v>
      </c>
      <c r="BK65" s="353">
        <f t="shared" si="24"/>
        <v>7.9912849952712905</v>
      </c>
      <c r="BL65" s="353">
        <f t="shared" si="24"/>
        <v>29.923591323725802</v>
      </c>
      <c r="BM65" s="353">
        <f t="shared" si="24"/>
        <v>35.305474391043276</v>
      </c>
      <c r="BN65" s="353">
        <f t="shared" si="24"/>
        <v>134.28105264455843</v>
      </c>
      <c r="BO65" s="353">
        <f t="shared" si="24"/>
        <v>7.5134427793959251</v>
      </c>
      <c r="BP65" s="353">
        <f t="shared" si="24"/>
        <v>34.16345614871328</v>
      </c>
      <c r="BQ65" s="353">
        <f t="shared" si="24"/>
        <v>22.07970465546375</v>
      </c>
      <c r="BR65" s="353">
        <f t="shared" si="24"/>
        <v>27.358750202060158</v>
      </c>
      <c r="BS65" s="353">
        <f t="shared" si="24"/>
        <v>12.376199182934178</v>
      </c>
      <c r="BT65" s="353">
        <f t="shared" si="24"/>
        <v>6.5603322557815034</v>
      </c>
      <c r="BU65" s="353">
        <f t="shared" si="24"/>
        <v>3.54183213113983</v>
      </c>
      <c r="BV65" s="353">
        <f t="shared" si="24"/>
        <v>6.4800316594227017</v>
      </c>
      <c r="BW65" s="353">
        <f t="shared" si="24"/>
        <v>0.48661957589974447</v>
      </c>
      <c r="BY65" s="354">
        <f>SUM(BY29:BY63)</f>
        <v>1</v>
      </c>
      <c r="BZ65" s="354">
        <f t="shared" ref="BZ65:DE65" si="25">SUM(BZ29:BZ63)</f>
        <v>1</v>
      </c>
      <c r="CA65" s="354">
        <f t="shared" si="25"/>
        <v>1.0000000000000004</v>
      </c>
      <c r="CB65" s="354">
        <f t="shared" si="25"/>
        <v>0.99999999999999978</v>
      </c>
      <c r="CC65" s="354">
        <f t="shared" si="25"/>
        <v>0.99999999999999956</v>
      </c>
      <c r="CD65" s="354">
        <f t="shared" si="25"/>
        <v>1.0000000000000002</v>
      </c>
      <c r="CE65" s="354">
        <f t="shared" si="25"/>
        <v>0.99999999999999989</v>
      </c>
      <c r="CF65" s="354">
        <f t="shared" si="25"/>
        <v>0.99999999999999956</v>
      </c>
      <c r="CG65" s="354">
        <f t="shared" si="25"/>
        <v>0.99999999999999956</v>
      </c>
      <c r="CH65" s="354">
        <f t="shared" si="25"/>
        <v>0.99999999999999989</v>
      </c>
      <c r="CI65" s="354">
        <f t="shared" si="25"/>
        <v>1.0000000000000004</v>
      </c>
      <c r="CJ65" s="354">
        <f t="shared" si="25"/>
        <v>0.99999999999999956</v>
      </c>
      <c r="CK65" s="354">
        <f t="shared" si="25"/>
        <v>1.0000000000000002</v>
      </c>
      <c r="CL65" s="354">
        <f t="shared" si="25"/>
        <v>1.0000000000000002</v>
      </c>
      <c r="CM65" s="354">
        <f t="shared" si="25"/>
        <v>1.0000000000000002</v>
      </c>
      <c r="CN65" s="354">
        <f t="shared" si="25"/>
        <v>1.0000000000000002</v>
      </c>
      <c r="CO65" s="354">
        <f t="shared" si="25"/>
        <v>1</v>
      </c>
      <c r="CP65" s="354">
        <f t="shared" si="25"/>
        <v>1</v>
      </c>
      <c r="CQ65" s="354">
        <f t="shared" si="25"/>
        <v>1</v>
      </c>
      <c r="CR65" s="354">
        <f t="shared" si="25"/>
        <v>0.99999999999999989</v>
      </c>
      <c r="CS65" s="354">
        <f t="shared" si="25"/>
        <v>1</v>
      </c>
      <c r="CT65" s="354">
        <f t="shared" si="25"/>
        <v>1.0000000000000002</v>
      </c>
      <c r="CU65" s="354">
        <f t="shared" si="25"/>
        <v>1</v>
      </c>
      <c r="CV65" s="354">
        <f t="shared" si="25"/>
        <v>0.99999999999999989</v>
      </c>
      <c r="CW65" s="354">
        <f t="shared" si="25"/>
        <v>0.99999999999999978</v>
      </c>
      <c r="CX65" s="354">
        <f t="shared" si="25"/>
        <v>1</v>
      </c>
      <c r="CY65" s="354">
        <f t="shared" si="25"/>
        <v>0.99999999999999989</v>
      </c>
      <c r="CZ65" s="354">
        <f t="shared" si="25"/>
        <v>1</v>
      </c>
      <c r="DA65" s="354">
        <f t="shared" si="25"/>
        <v>1</v>
      </c>
      <c r="DB65" s="354">
        <f t="shared" si="25"/>
        <v>0.99999999999999978</v>
      </c>
      <c r="DC65" s="354">
        <f t="shared" si="25"/>
        <v>0.99999999999999989</v>
      </c>
      <c r="DD65" s="354">
        <f t="shared" si="25"/>
        <v>1</v>
      </c>
      <c r="DE65" s="354">
        <f t="shared" si="25"/>
        <v>1</v>
      </c>
    </row>
    <row r="66" spans="1:109" x14ac:dyDescent="0.2">
      <c r="AN66" s="290"/>
      <c r="AO66" s="290"/>
      <c r="AP66" s="290"/>
    </row>
    <row r="67" spans="1:109" ht="38.25" x14ac:dyDescent="0.2">
      <c r="A67" s="318" t="s">
        <v>970</v>
      </c>
      <c r="B67" s="5" t="s">
        <v>971</v>
      </c>
      <c r="C67" s="334" t="s">
        <v>1013</v>
      </c>
    </row>
    <row r="68" spans="1:109" x14ac:dyDescent="0.2">
      <c r="C68" s="33" t="s">
        <v>1014</v>
      </c>
      <c r="F68" s="144" t="s">
        <v>2</v>
      </c>
      <c r="G68" s="6" t="s">
        <v>3</v>
      </c>
      <c r="H68" s="6" t="s">
        <v>4</v>
      </c>
      <c r="I68" s="6" t="s">
        <v>5</v>
      </c>
      <c r="J68" s="6" t="s">
        <v>6</v>
      </c>
      <c r="K68" s="6" t="s">
        <v>7</v>
      </c>
      <c r="L68" s="6" t="s">
        <v>8</v>
      </c>
      <c r="M68" s="6" t="s">
        <v>9</v>
      </c>
      <c r="N68" s="6" t="s">
        <v>10</v>
      </c>
      <c r="O68" s="6" t="s">
        <v>11</v>
      </c>
      <c r="P68" s="6" t="s">
        <v>12</v>
      </c>
      <c r="Q68" s="6" t="s">
        <v>13</v>
      </c>
      <c r="R68" s="6" t="s">
        <v>14</v>
      </c>
      <c r="S68" s="6" t="s">
        <v>15</v>
      </c>
      <c r="T68" s="6" t="s">
        <v>16</v>
      </c>
      <c r="U68" s="6" t="s">
        <v>17</v>
      </c>
      <c r="V68" s="6" t="s">
        <v>18</v>
      </c>
      <c r="W68" s="6" t="s">
        <v>19</v>
      </c>
      <c r="X68" s="6" t="s">
        <v>20</v>
      </c>
      <c r="Y68" s="6" t="s">
        <v>21</v>
      </c>
      <c r="Z68" s="6" t="s">
        <v>22</v>
      </c>
      <c r="AA68" s="145" t="s">
        <v>23</v>
      </c>
      <c r="AB68" s="6" t="s">
        <v>24</v>
      </c>
      <c r="AC68" s="6" t="s">
        <v>25</v>
      </c>
      <c r="AD68" s="6" t="s">
        <v>26</v>
      </c>
      <c r="AE68" s="6" t="s">
        <v>27</v>
      </c>
      <c r="AF68" s="6" t="s">
        <v>28</v>
      </c>
      <c r="AG68" s="6" t="s">
        <v>29</v>
      </c>
      <c r="AH68" s="6" t="s">
        <v>30</v>
      </c>
      <c r="AI68" s="6" t="s">
        <v>31</v>
      </c>
      <c r="AJ68" s="6" t="s">
        <v>32</v>
      </c>
      <c r="AK68" s="6" t="s">
        <v>33</v>
      </c>
      <c r="AL68" s="6" t="s">
        <v>34</v>
      </c>
    </row>
    <row r="69" spans="1:109" x14ac:dyDescent="0.2">
      <c r="C69" s="20" t="s">
        <v>1015</v>
      </c>
      <c r="E69" s="20" t="s">
        <v>972</v>
      </c>
      <c r="F69" s="15">
        <f>F72/F73*1000000</f>
        <v>40.9862845278397</v>
      </c>
      <c r="G69" s="15">
        <f t="shared" ref="G69:AL69" si="26">G72/G73*1000000</f>
        <v>42.006439436082339</v>
      </c>
      <c r="H69" s="15">
        <f t="shared" si="26"/>
        <v>27.884208924649428</v>
      </c>
      <c r="I69" s="15">
        <f t="shared" si="26"/>
        <v>54.534774008545988</v>
      </c>
      <c r="J69" s="15">
        <f t="shared" si="26"/>
        <v>40.757632654996939</v>
      </c>
      <c r="K69" s="15">
        <f t="shared" si="26"/>
        <v>58.560310835589327</v>
      </c>
      <c r="L69" s="15">
        <f t="shared" si="26"/>
        <v>55.764025590551171</v>
      </c>
      <c r="M69" s="15">
        <f t="shared" si="26"/>
        <v>52.496145058393743</v>
      </c>
      <c r="N69" s="15">
        <f t="shared" si="26"/>
        <v>32.081842887670724</v>
      </c>
      <c r="O69" s="15">
        <f t="shared" si="26"/>
        <v>31.748934402542986</v>
      </c>
      <c r="P69" s="15">
        <f t="shared" si="26"/>
        <v>36.335889030544564</v>
      </c>
      <c r="Q69" s="15">
        <f t="shared" si="26"/>
        <v>38.321585582966975</v>
      </c>
      <c r="R69" s="15">
        <f t="shared" si="26"/>
        <v>38.413485986573576</v>
      </c>
      <c r="S69" s="15">
        <f t="shared" si="26"/>
        <v>41.025194312763269</v>
      </c>
      <c r="T69" s="15">
        <f t="shared" si="26"/>
        <v>36.937104367655522</v>
      </c>
      <c r="U69" s="15">
        <f t="shared" si="26"/>
        <v>31.453181883969222</v>
      </c>
      <c r="V69" s="15">
        <f t="shared" si="26"/>
        <v>34.423433834231666</v>
      </c>
      <c r="W69" s="15">
        <f t="shared" si="26"/>
        <v>29.979903963495513</v>
      </c>
      <c r="X69" s="15">
        <f t="shared" si="26"/>
        <v>20.239702784101354</v>
      </c>
      <c r="Y69" s="15">
        <f t="shared" si="26"/>
        <v>35.435655490865287</v>
      </c>
      <c r="Z69" s="15">
        <f t="shared" si="26"/>
        <v>13.222250764252754</v>
      </c>
      <c r="AA69" s="15">
        <f t="shared" si="26"/>
        <v>20.888859720343795</v>
      </c>
      <c r="AB69" s="15">
        <f t="shared" si="26"/>
        <v>21.644470548787222</v>
      </c>
      <c r="AC69" s="15">
        <f t="shared" si="26"/>
        <v>23.414700006509314</v>
      </c>
      <c r="AD69" s="15">
        <f t="shared" si="26"/>
        <v>25.309492214402095</v>
      </c>
      <c r="AE69" s="15">
        <f t="shared" si="26"/>
        <v>26.253313271269558</v>
      </c>
      <c r="AF69" s="15">
        <f t="shared" si="26"/>
        <v>27.002244566844276</v>
      </c>
      <c r="AG69" s="15">
        <f t="shared" si="26"/>
        <v>26.007309508704683</v>
      </c>
      <c r="AH69" s="15">
        <f t="shared" si="26"/>
        <v>32.764694370148085</v>
      </c>
      <c r="AI69" s="15">
        <f t="shared" si="26"/>
        <v>13.071408742322417</v>
      </c>
      <c r="AJ69" s="15">
        <f t="shared" si="26"/>
        <v>8.8259510464339197</v>
      </c>
      <c r="AK69" s="15">
        <f t="shared" si="26"/>
        <v>9.6076593465452582</v>
      </c>
      <c r="AL69" s="15">
        <f t="shared" si="26"/>
        <v>5.6612648701141044</v>
      </c>
    </row>
    <row r="70" spans="1:109" x14ac:dyDescent="0.2">
      <c r="C70" s="20" t="s">
        <v>1016</v>
      </c>
      <c r="E70" s="20" t="s">
        <v>1017</v>
      </c>
      <c r="F70" s="46">
        <v>503.37090576198432</v>
      </c>
      <c r="G70" s="46">
        <v>422.28318491414285</v>
      </c>
      <c r="H70" s="46">
        <v>298.12107436967585</v>
      </c>
      <c r="I70" s="46">
        <v>877.94697191613341</v>
      </c>
      <c r="J70" s="46">
        <v>430.5816323565947</v>
      </c>
      <c r="K70" s="46">
        <v>770.59538577265312</v>
      </c>
      <c r="L70" s="46">
        <v>815.1242453613047</v>
      </c>
      <c r="M70" s="46">
        <v>374.78636528205243</v>
      </c>
      <c r="N70" s="46">
        <v>598.12621422326913</v>
      </c>
      <c r="O70" s="46">
        <v>700.3189538847198</v>
      </c>
      <c r="P70" s="46">
        <v>859.92913145375849</v>
      </c>
      <c r="Q70" s="46">
        <v>837.45429830304397</v>
      </c>
      <c r="R70" s="46">
        <v>244.71908358790736</v>
      </c>
      <c r="S70" s="46">
        <v>492.93456222846061</v>
      </c>
      <c r="T70" s="46">
        <v>307.40437978933056</v>
      </c>
      <c r="U70" s="46">
        <v>662.56012785160408</v>
      </c>
      <c r="V70" s="46">
        <v>616.64594035557741</v>
      </c>
      <c r="W70" s="46">
        <v>668.95962022871549</v>
      </c>
      <c r="X70" s="46">
        <v>721.44953121533592</v>
      </c>
      <c r="Y70" s="46">
        <v>590.42903960662511</v>
      </c>
      <c r="Z70" s="46">
        <v>182.7177497218814</v>
      </c>
      <c r="AA70" s="46">
        <v>223.03411298931084</v>
      </c>
      <c r="AB70" s="46">
        <v>243.06998164170943</v>
      </c>
      <c r="AC70" s="46">
        <v>288.40653145309778</v>
      </c>
      <c r="AD70" s="46">
        <v>481.04215168741268</v>
      </c>
      <c r="AE70" s="46">
        <v>180.21869502965711</v>
      </c>
      <c r="AF70" s="46">
        <v>147.85021696716717</v>
      </c>
      <c r="AG70" s="46">
        <v>480.3051918763511</v>
      </c>
      <c r="AH70" s="46">
        <v>682.25991422800496</v>
      </c>
      <c r="AI70" s="46">
        <v>65.363653078078244</v>
      </c>
      <c r="AJ70" s="46">
        <v>118.76557465978432</v>
      </c>
      <c r="AK70" s="46">
        <v>47.951001838418541</v>
      </c>
      <c r="AL70" s="46">
        <v>29.666405256338997</v>
      </c>
    </row>
    <row r="72" spans="1:109" s="338" customFormat="1" x14ac:dyDescent="0.2">
      <c r="A72" s="28"/>
      <c r="B72" s="338" t="s">
        <v>67</v>
      </c>
      <c r="E72" s="338" t="s">
        <v>66</v>
      </c>
      <c r="F72" s="339">
        <v>1.4891546757499998</v>
      </c>
      <c r="G72" s="339">
        <v>3.6057067418749997</v>
      </c>
      <c r="H72" s="339">
        <v>0.66018653049999987</v>
      </c>
      <c r="I72" s="339">
        <v>9.6932288713749983</v>
      </c>
      <c r="J72" s="339">
        <v>17.000212368562501</v>
      </c>
      <c r="K72" s="339">
        <v>7.9603372931249989</v>
      </c>
      <c r="L72" s="339">
        <v>13.937437499999998</v>
      </c>
      <c r="M72" s="339">
        <v>9.3046792308749993</v>
      </c>
      <c r="N72" s="339">
        <v>8.2871249999999996</v>
      </c>
      <c r="O72" s="339">
        <v>7.9104374999999996</v>
      </c>
      <c r="P72" s="339">
        <v>22.601249999999997</v>
      </c>
      <c r="Q72" s="339">
        <v>3.1641749999999997</v>
      </c>
      <c r="R72" s="339">
        <v>7.3128137407499985</v>
      </c>
      <c r="S72" s="339">
        <v>8.8531959075</v>
      </c>
      <c r="T72" s="339">
        <v>20.315001094062495</v>
      </c>
      <c r="U72" s="339">
        <v>11.300624999999998</v>
      </c>
      <c r="V72" s="339">
        <v>62.153437499999995</v>
      </c>
      <c r="W72" s="339">
        <v>9.0404999999999998</v>
      </c>
      <c r="X72" s="339">
        <v>4.2942375000000004</v>
      </c>
      <c r="Y72" s="339">
        <v>6.1776749999999998</v>
      </c>
      <c r="Z72" s="339">
        <v>4.1435624999999998</v>
      </c>
      <c r="AA72" s="339">
        <v>6.5486784111874998</v>
      </c>
      <c r="AB72" s="339">
        <v>9.7935818115624986</v>
      </c>
      <c r="AC72" s="339">
        <v>10.701384246874998</v>
      </c>
      <c r="AD72" s="339">
        <v>1.5067499999999998</v>
      </c>
      <c r="AE72" s="339">
        <v>9.7245422754374999</v>
      </c>
      <c r="AF72" s="339">
        <v>0.45101849099999991</v>
      </c>
      <c r="AG72" s="339">
        <v>7.5379845953124738</v>
      </c>
      <c r="AH72" s="339">
        <v>15.067499999999999</v>
      </c>
      <c r="AI72" s="339">
        <v>1.1300625</v>
      </c>
      <c r="AJ72" s="339">
        <v>1.2612460564375001</v>
      </c>
      <c r="AK72" s="339">
        <v>1.1300625</v>
      </c>
      <c r="AL72" s="339">
        <v>0.48969374999999998</v>
      </c>
      <c r="AM72" s="339"/>
      <c r="AN72" s="33"/>
      <c r="AO72" s="33"/>
      <c r="AP72" s="33"/>
    </row>
    <row r="73" spans="1:109" s="338" customFormat="1" x14ac:dyDescent="0.2">
      <c r="A73" s="28"/>
      <c r="B73" s="338" t="s">
        <v>1018</v>
      </c>
      <c r="C73" s="338" t="s">
        <v>1019</v>
      </c>
      <c r="E73" s="338" t="s">
        <v>51</v>
      </c>
      <c r="F73" s="338">
        <v>36333</v>
      </c>
      <c r="G73" s="338">
        <v>85837</v>
      </c>
      <c r="H73" s="338">
        <v>23676</v>
      </c>
      <c r="I73" s="338">
        <v>177744</v>
      </c>
      <c r="J73" s="338">
        <v>417105</v>
      </c>
      <c r="K73" s="338">
        <v>135934</v>
      </c>
      <c r="L73" s="338">
        <v>249936</v>
      </c>
      <c r="M73" s="338">
        <v>177245</v>
      </c>
      <c r="N73" s="338">
        <v>258312</v>
      </c>
      <c r="O73" s="338">
        <v>249156</v>
      </c>
      <c r="P73" s="338">
        <v>622009</v>
      </c>
      <c r="Q73" s="338">
        <v>82569</v>
      </c>
      <c r="R73" s="338">
        <v>190371</v>
      </c>
      <c r="S73" s="338">
        <v>215799</v>
      </c>
      <c r="T73" s="338">
        <v>549989</v>
      </c>
      <c r="U73" s="338">
        <v>359284</v>
      </c>
      <c r="V73" s="338">
        <v>1805556</v>
      </c>
      <c r="W73" s="338">
        <v>301552</v>
      </c>
      <c r="X73" s="338">
        <v>212169</v>
      </c>
      <c r="Y73" s="338">
        <v>174335</v>
      </c>
      <c r="Z73" s="338">
        <v>313378</v>
      </c>
      <c r="AA73" s="338">
        <v>313501</v>
      </c>
      <c r="AB73" s="338">
        <v>452475</v>
      </c>
      <c r="AC73" s="338">
        <v>457037</v>
      </c>
      <c r="AD73" s="338">
        <v>59533</v>
      </c>
      <c r="AE73" s="338">
        <v>370412</v>
      </c>
      <c r="AF73" s="338">
        <v>16703</v>
      </c>
      <c r="AG73" s="338">
        <v>289841</v>
      </c>
      <c r="AH73" s="338">
        <v>459870</v>
      </c>
      <c r="AI73" s="338">
        <v>86453</v>
      </c>
      <c r="AJ73" s="338">
        <v>142902</v>
      </c>
      <c r="AK73" s="338">
        <v>117621</v>
      </c>
      <c r="AL73" s="338">
        <v>86499</v>
      </c>
      <c r="AM73" s="338">
        <f>SUM(F73:AL73)</f>
        <v>9491136</v>
      </c>
      <c r="AN73" s="33"/>
      <c r="AO73" s="33"/>
      <c r="AP73" s="33"/>
    </row>
    <row r="74" spans="1:109" s="28" customFormat="1" x14ac:dyDescent="0.2">
      <c r="C74" s="28" t="s">
        <v>1059</v>
      </c>
      <c r="E74" s="28" t="s">
        <v>51</v>
      </c>
      <c r="F74" s="72">
        <v>0</v>
      </c>
      <c r="G74" s="72">
        <v>1.0000000000000001E-5</v>
      </c>
      <c r="H74" s="72">
        <v>0</v>
      </c>
      <c r="I74" s="72">
        <v>0</v>
      </c>
      <c r="J74" s="72">
        <f>J73/J19*J20</f>
        <v>414671.68934416695</v>
      </c>
      <c r="K74" s="72">
        <f>K73/K19*K20</f>
        <v>135361.9152342946</v>
      </c>
      <c r="L74" s="72">
        <f>L73/L19*L20</f>
        <v>248939.04136280518</v>
      </c>
      <c r="M74" s="72">
        <v>0</v>
      </c>
      <c r="N74" s="72">
        <v>0</v>
      </c>
      <c r="O74" s="72">
        <v>0</v>
      </c>
      <c r="P74" s="72">
        <f>P73/P19*P20</f>
        <v>618798.92061570333</v>
      </c>
      <c r="Q74" s="72">
        <v>0</v>
      </c>
      <c r="R74" s="72">
        <f>R73/R19*R20</f>
        <v>187139.98259348577</v>
      </c>
      <c r="S74" s="72">
        <f>S73/S19*S20</f>
        <v>212443.27575606824</v>
      </c>
      <c r="T74" s="72">
        <f>T73/T19*T20</f>
        <v>542361.52962263813</v>
      </c>
      <c r="U74" s="72">
        <v>0</v>
      </c>
      <c r="V74" s="72">
        <f t="shared" ref="V74:AC74" si="27">V73/V19*V20</f>
        <v>1794262.0238113122</v>
      </c>
      <c r="W74" s="72">
        <f t="shared" si="27"/>
        <v>297975.4357014423</v>
      </c>
      <c r="X74" s="72">
        <f t="shared" si="27"/>
        <v>201627.55224961523</v>
      </c>
      <c r="Y74" s="72">
        <f t="shared" si="27"/>
        <v>169009.65658732798</v>
      </c>
      <c r="Z74" s="72">
        <f t="shared" si="27"/>
        <v>307748.12630172586</v>
      </c>
      <c r="AA74" s="72">
        <f t="shared" si="27"/>
        <v>301868.16207329114</v>
      </c>
      <c r="AB74" s="72">
        <f t="shared" si="27"/>
        <v>449130.90692563407</v>
      </c>
      <c r="AC74" s="72">
        <f t="shared" si="27"/>
        <v>446899.56720281916</v>
      </c>
      <c r="AD74" s="72">
        <v>0</v>
      </c>
      <c r="AE74" s="72">
        <f>AE73/AE19*AE20</f>
        <v>366014.05124370166</v>
      </c>
      <c r="AF74" s="72">
        <v>0</v>
      </c>
      <c r="AG74" s="72">
        <f>AG73/AG19*AG20</f>
        <v>285778.79495126114</v>
      </c>
      <c r="AH74" s="72">
        <f>AH73/AH19*AH20</f>
        <v>457560.18580054311</v>
      </c>
      <c r="AI74" s="72">
        <v>0</v>
      </c>
      <c r="AJ74" s="72">
        <v>0</v>
      </c>
      <c r="AK74" s="72">
        <v>0</v>
      </c>
      <c r="AL74" s="72">
        <v>0</v>
      </c>
      <c r="AM74" s="351">
        <f>SUM(F74:AL74)</f>
        <v>7437590.817387837</v>
      </c>
      <c r="AN74" s="339">
        <v>314.34178085887493</v>
      </c>
      <c r="AO74" s="338"/>
      <c r="AP74" s="338"/>
    </row>
    <row r="75" spans="1:109" s="28" customFormat="1" x14ac:dyDescent="0.2">
      <c r="C75" s="334" t="s">
        <v>1060</v>
      </c>
      <c r="F75" s="72">
        <f>F74*EXP(-F76*44)</f>
        <v>0</v>
      </c>
      <c r="G75" s="72">
        <f>G74*EXP(-G76*44)</f>
        <v>6.7559532125543012E-6</v>
      </c>
      <c r="H75" s="72">
        <f>H74*EXP(-H76*44)</f>
        <v>0</v>
      </c>
      <c r="I75" s="72">
        <f>I74*EXP(-I76*44)</f>
        <v>0</v>
      </c>
      <c r="J75" s="72">
        <f>J74*EXP(-J76*44)</f>
        <v>184018.67025542085</v>
      </c>
      <c r="K75" s="72">
        <f t="shared" ref="K75:AL75" si="28">K74*EXP(-K76*44)</f>
        <v>64783.01620452854</v>
      </c>
      <c r="L75" s="72">
        <f t="shared" si="28"/>
        <v>121180.84085854053</v>
      </c>
      <c r="M75" s="72">
        <f t="shared" si="28"/>
        <v>0</v>
      </c>
      <c r="N75" s="72">
        <f t="shared" si="28"/>
        <v>0</v>
      </c>
      <c r="O75" s="72">
        <f t="shared" si="28"/>
        <v>0</v>
      </c>
      <c r="P75" s="72">
        <f t="shared" si="28"/>
        <v>394553.04916564835</v>
      </c>
      <c r="Q75" s="72">
        <f t="shared" si="28"/>
        <v>0</v>
      </c>
      <c r="R75" s="72">
        <f t="shared" si="28"/>
        <v>156188.22655464534</v>
      </c>
      <c r="S75" s="72">
        <f t="shared" si="28"/>
        <v>173970.63293380602</v>
      </c>
      <c r="T75" s="72">
        <f t="shared" si="28"/>
        <v>351311.95080539765</v>
      </c>
      <c r="U75" s="72">
        <f t="shared" si="28"/>
        <v>0</v>
      </c>
      <c r="V75" s="72">
        <f t="shared" si="28"/>
        <v>1485886.7160645798</v>
      </c>
      <c r="W75" s="72">
        <f t="shared" si="28"/>
        <v>329231.82107636885</v>
      </c>
      <c r="X75" s="72">
        <f t="shared" si="28"/>
        <v>225910.52098388507</v>
      </c>
      <c r="Y75" s="72">
        <f t="shared" si="28"/>
        <v>181872.69628349025</v>
      </c>
      <c r="Z75" s="72">
        <f t="shared" si="28"/>
        <v>259385.39612219733</v>
      </c>
      <c r="AA75" s="72">
        <f t="shared" si="28"/>
        <v>263988.24980785197</v>
      </c>
      <c r="AB75" s="72">
        <f t="shared" si="28"/>
        <v>410275.80847420736</v>
      </c>
      <c r="AC75" s="72">
        <f t="shared" si="28"/>
        <v>364214.44870486372</v>
      </c>
      <c r="AD75" s="72">
        <f t="shared" si="28"/>
        <v>0</v>
      </c>
      <c r="AE75" s="72">
        <f t="shared" si="28"/>
        <v>297637.40653395595</v>
      </c>
      <c r="AF75" s="72">
        <f t="shared" si="28"/>
        <v>0</v>
      </c>
      <c r="AG75" s="72">
        <f t="shared" si="28"/>
        <v>223173.91068037419</v>
      </c>
      <c r="AH75" s="72">
        <f t="shared" si="28"/>
        <v>415583.76339707681</v>
      </c>
      <c r="AI75" s="72">
        <f t="shared" si="28"/>
        <v>0</v>
      </c>
      <c r="AJ75" s="72">
        <f t="shared" si="28"/>
        <v>0</v>
      </c>
      <c r="AK75" s="72">
        <f t="shared" si="28"/>
        <v>0</v>
      </c>
      <c r="AL75" s="72">
        <f t="shared" si="28"/>
        <v>0</v>
      </c>
      <c r="AN75" s="338">
        <v>8047389.0723046726</v>
      </c>
      <c r="AO75" s="338"/>
      <c r="AP75" s="338"/>
    </row>
    <row r="76" spans="1:109" x14ac:dyDescent="0.2">
      <c r="C76" s="33" t="s">
        <v>1057</v>
      </c>
      <c r="E76" s="33" t="s">
        <v>1058</v>
      </c>
      <c r="F76" s="350">
        <v>1.3427230046948357E-2</v>
      </c>
      <c r="G76" s="350">
        <v>8.9127504406834347E-3</v>
      </c>
      <c r="H76" s="350">
        <v>1.4803454677536524E-2</v>
      </c>
      <c r="I76" s="350">
        <v>9.3278128212965807E-3</v>
      </c>
      <c r="J76" s="350">
        <v>1.8464769906434982E-2</v>
      </c>
      <c r="K76" s="350">
        <v>1.6747922080711325E-2</v>
      </c>
      <c r="L76" s="350">
        <v>1.6361910688054065E-2</v>
      </c>
      <c r="M76" s="350">
        <v>6.5569942569314336E-3</v>
      </c>
      <c r="N76" s="350">
        <v>1.0475076698763706E-2</v>
      </c>
      <c r="O76" s="350">
        <v>3.5334559117435444E-3</v>
      </c>
      <c r="P76" s="350">
        <v>1.0227881164334048E-2</v>
      </c>
      <c r="Q76" s="350">
        <v>-2.4475053565962655E-3</v>
      </c>
      <c r="R76" s="350">
        <v>4.1089783281733749E-3</v>
      </c>
      <c r="S76" s="350">
        <v>4.5406478723649885E-3</v>
      </c>
      <c r="T76" s="350">
        <v>9.8695052364311756E-3</v>
      </c>
      <c r="U76" s="350">
        <v>3.1598467324125989E-4</v>
      </c>
      <c r="V76" s="350">
        <v>4.2859568036449662E-3</v>
      </c>
      <c r="W76" s="350">
        <v>-2.2670698498087108E-3</v>
      </c>
      <c r="X76" s="350">
        <v>-2.5844727558963299E-3</v>
      </c>
      <c r="Y76" s="350">
        <v>-1.6670708750534135E-3</v>
      </c>
      <c r="Z76" s="350">
        <v>3.8856069329888062E-3</v>
      </c>
      <c r="AA76" s="350">
        <v>3.0474040632054175E-3</v>
      </c>
      <c r="AB76" s="350">
        <v>2.0564718248123606E-3</v>
      </c>
      <c r="AC76" s="350">
        <v>4.6497965578015188E-3</v>
      </c>
      <c r="AD76" s="350">
        <v>-1.0935302390998594E-2</v>
      </c>
      <c r="AE76" s="350">
        <v>4.6999030677739645E-3</v>
      </c>
      <c r="AF76" s="350">
        <v>7.579748317237343E-3</v>
      </c>
      <c r="AG76" s="350">
        <v>5.6196984383785628E-3</v>
      </c>
      <c r="AH76" s="350">
        <v>2.1869145255540168E-3</v>
      </c>
      <c r="AI76" s="350">
        <v>-4.9342220868526174E-3</v>
      </c>
      <c r="AJ76" s="350">
        <v>1.0836810384793696E-2</v>
      </c>
      <c r="AK76" s="350">
        <v>-3.3932498801117852E-3</v>
      </c>
      <c r="AL76" s="350">
        <v>-9.2876359808164687E-3</v>
      </c>
      <c r="AN76" s="28"/>
      <c r="AO76" s="28"/>
      <c r="AP76" s="28"/>
    </row>
    <row r="77" spans="1:109" x14ac:dyDescent="0.2">
      <c r="A77" s="318" t="s">
        <v>973</v>
      </c>
      <c r="B77" s="5" t="s">
        <v>974</v>
      </c>
      <c r="C77" s="334"/>
      <c r="AN77" s="28"/>
      <c r="AO77" s="28"/>
      <c r="AP77" s="28"/>
    </row>
    <row r="78" spans="1:109" ht="61.5" customHeight="1" x14ac:dyDescent="0.2">
      <c r="C78" s="334" t="s">
        <v>1020</v>
      </c>
    </row>
    <row r="79" spans="1:109" ht="31.5" customHeight="1" x14ac:dyDescent="0.2">
      <c r="C79" s="334" t="s">
        <v>1021</v>
      </c>
    </row>
    <row r="80" spans="1:109" x14ac:dyDescent="0.2">
      <c r="F80" s="144" t="s">
        <v>2</v>
      </c>
      <c r="G80" s="6" t="s">
        <v>3</v>
      </c>
      <c r="H80" s="6" t="s">
        <v>4</v>
      </c>
      <c r="I80" s="6" t="s">
        <v>5</v>
      </c>
      <c r="J80" s="6" t="s">
        <v>6</v>
      </c>
      <c r="K80" s="6" t="s">
        <v>7</v>
      </c>
      <c r="L80" s="6" t="s">
        <v>8</v>
      </c>
      <c r="M80" s="6" t="s">
        <v>9</v>
      </c>
      <c r="N80" s="6" t="s">
        <v>10</v>
      </c>
      <c r="O80" s="6" t="s">
        <v>11</v>
      </c>
      <c r="P80" s="6" t="s">
        <v>12</v>
      </c>
      <c r="Q80" s="6" t="s">
        <v>13</v>
      </c>
      <c r="R80" s="6" t="s">
        <v>14</v>
      </c>
      <c r="S80" s="6" t="s">
        <v>15</v>
      </c>
      <c r="T80" s="6" t="s">
        <v>16</v>
      </c>
      <c r="U80" s="6" t="s">
        <v>17</v>
      </c>
      <c r="V80" s="6" t="s">
        <v>18</v>
      </c>
      <c r="W80" s="6" t="s">
        <v>19</v>
      </c>
      <c r="X80" s="6" t="s">
        <v>20</v>
      </c>
      <c r="Y80" s="6" t="s">
        <v>21</v>
      </c>
      <c r="Z80" s="6" t="s">
        <v>22</v>
      </c>
      <c r="AA80" s="145" t="s">
        <v>23</v>
      </c>
      <c r="AB80" s="6" t="s">
        <v>24</v>
      </c>
      <c r="AC80" s="6" t="s">
        <v>25</v>
      </c>
      <c r="AD80" s="6" t="s">
        <v>26</v>
      </c>
      <c r="AE80" s="6" t="s">
        <v>27</v>
      </c>
      <c r="AF80" s="6" t="s">
        <v>28</v>
      </c>
      <c r="AG80" s="6" t="s">
        <v>29</v>
      </c>
      <c r="AH80" s="6" t="s">
        <v>30</v>
      </c>
      <c r="AI80" s="6" t="s">
        <v>31</v>
      </c>
      <c r="AJ80" s="6" t="s">
        <v>32</v>
      </c>
      <c r="AK80" s="6" t="s">
        <v>33</v>
      </c>
      <c r="AL80" s="6" t="s">
        <v>34</v>
      </c>
    </row>
    <row r="81" spans="1:41" x14ac:dyDescent="0.2">
      <c r="A81" s="33"/>
      <c r="B81" s="181" t="s">
        <v>470</v>
      </c>
      <c r="C81" s="75" t="s">
        <v>975</v>
      </c>
      <c r="E81" s="34" t="s">
        <v>976</v>
      </c>
      <c r="F81" s="340">
        <f t="shared" ref="F81:F95" si="29">F174/F$219</f>
        <v>0.14675218648464519</v>
      </c>
      <c r="G81" s="340">
        <f t="shared" ref="G81:AL89" si="30">G174/G$219</f>
        <v>0.27467545089287232</v>
      </c>
      <c r="H81" s="340">
        <f t="shared" si="30"/>
        <v>0.16086834951311951</v>
      </c>
      <c r="I81" s="340">
        <f t="shared" si="30"/>
        <v>0.33086255835065626</v>
      </c>
      <c r="J81" s="340">
        <f t="shared" si="30"/>
        <v>0.34987922682396511</v>
      </c>
      <c r="K81" s="340">
        <f t="shared" si="30"/>
        <v>0.33551952859369699</v>
      </c>
      <c r="L81" s="340">
        <f t="shared" si="30"/>
        <v>0.45921613998866634</v>
      </c>
      <c r="M81" s="340">
        <f t="shared" si="30"/>
        <v>0.36225836745788775</v>
      </c>
      <c r="N81" s="340">
        <f t="shared" si="30"/>
        <v>0.21827249567919602</v>
      </c>
      <c r="O81" s="340">
        <f t="shared" si="30"/>
        <v>0.20198445588689443</v>
      </c>
      <c r="P81" s="340">
        <f t="shared" si="30"/>
        <v>0.31639246760081313</v>
      </c>
      <c r="Q81" s="340">
        <f t="shared" si="30"/>
        <v>0.3241156840867862</v>
      </c>
      <c r="R81" s="340">
        <f t="shared" si="30"/>
        <v>0.27432001043270493</v>
      </c>
      <c r="S81" s="340">
        <f t="shared" si="30"/>
        <v>0.18460141107212572</v>
      </c>
      <c r="T81" s="340">
        <f t="shared" si="30"/>
        <v>0.26102774647346255</v>
      </c>
      <c r="U81" s="340">
        <f t="shared" si="30"/>
        <v>0.12207940720311712</v>
      </c>
      <c r="V81" s="340">
        <f t="shared" si="30"/>
        <v>0.12899329913210225</v>
      </c>
      <c r="W81" s="340">
        <f t="shared" si="30"/>
        <v>0.53371541840804249</v>
      </c>
      <c r="X81" s="340">
        <f t="shared" si="30"/>
        <v>0.54652946776898681</v>
      </c>
      <c r="Y81" s="340">
        <f t="shared" si="30"/>
        <v>0.33106811668926911</v>
      </c>
      <c r="Z81" s="340">
        <f t="shared" si="30"/>
        <v>7.5549876236195038E-2</v>
      </c>
      <c r="AA81" s="340">
        <f t="shared" si="30"/>
        <v>0.21819705972768605</v>
      </c>
      <c r="AB81" s="340">
        <f t="shared" si="30"/>
        <v>0.13352237681806062</v>
      </c>
      <c r="AC81" s="340">
        <f t="shared" si="30"/>
        <v>0.15115918132767203</v>
      </c>
      <c r="AD81" s="340">
        <f t="shared" si="30"/>
        <v>0.17927023589784943</v>
      </c>
      <c r="AE81" s="340">
        <f t="shared" si="30"/>
        <v>0.13813255462397062</v>
      </c>
      <c r="AF81" s="340">
        <f t="shared" si="30"/>
        <v>0.13766407556922769</v>
      </c>
      <c r="AG81" s="340">
        <f t="shared" si="30"/>
        <v>0.15407976498940421</v>
      </c>
      <c r="AH81" s="340">
        <f t="shared" si="30"/>
        <v>0.15990142139371946</v>
      </c>
      <c r="AI81" s="340">
        <f t="shared" si="30"/>
        <v>8.9970601009463202E-3</v>
      </c>
      <c r="AJ81" s="340">
        <f t="shared" si="30"/>
        <v>2.7248688194834423E-2</v>
      </c>
      <c r="AK81" s="340">
        <f t="shared" si="30"/>
        <v>1.1770227402563262E-2</v>
      </c>
      <c r="AL81" s="340">
        <f t="shared" si="30"/>
        <v>4.8689670763762127E-2</v>
      </c>
    </row>
    <row r="82" spans="1:41" x14ac:dyDescent="0.2">
      <c r="A82" s="33"/>
      <c r="B82" s="181" t="s">
        <v>472</v>
      </c>
      <c r="C82" s="75" t="s">
        <v>975</v>
      </c>
      <c r="F82" s="340">
        <f t="shared" si="29"/>
        <v>0.12309811734211756</v>
      </c>
      <c r="G82" s="340">
        <f t="shared" ref="G82:U82" si="31">G175/G$219</f>
        <v>0.18304350874162814</v>
      </c>
      <c r="H82" s="340">
        <f t="shared" si="31"/>
        <v>0.16154299656204052</v>
      </c>
      <c r="I82" s="340">
        <f t="shared" si="31"/>
        <v>0.17024408284779075</v>
      </c>
      <c r="J82" s="340">
        <f t="shared" si="31"/>
        <v>0.16347081671922231</v>
      </c>
      <c r="K82" s="340">
        <f t="shared" si="31"/>
        <v>0.1577684883961718</v>
      </c>
      <c r="L82" s="340">
        <f t="shared" si="31"/>
        <v>8.0306386120877912E-2</v>
      </c>
      <c r="M82" s="340">
        <f t="shared" si="31"/>
        <v>0.13871968898768403</v>
      </c>
      <c r="N82" s="340">
        <f t="shared" si="31"/>
        <v>0.26225471495834674</v>
      </c>
      <c r="O82" s="340">
        <f t="shared" si="31"/>
        <v>0.31885546828919309</v>
      </c>
      <c r="P82" s="340">
        <f t="shared" si="31"/>
        <v>0.20328434243021321</v>
      </c>
      <c r="Q82" s="340">
        <f t="shared" si="31"/>
        <v>0.11604896192242019</v>
      </c>
      <c r="R82" s="340">
        <f t="shared" si="31"/>
        <v>4.4414420351855791E-2</v>
      </c>
      <c r="S82" s="340">
        <f t="shared" si="31"/>
        <v>0.27626547884584124</v>
      </c>
      <c r="T82" s="340">
        <f t="shared" si="31"/>
        <v>0.1985029036655217</v>
      </c>
      <c r="U82" s="340">
        <f t="shared" si="31"/>
        <v>0.34202271905831499</v>
      </c>
      <c r="V82" s="340">
        <f t="shared" si="30"/>
        <v>0.44793965556410226</v>
      </c>
      <c r="W82" s="340">
        <f t="shared" si="30"/>
        <v>5.9695028325017371E-2</v>
      </c>
      <c r="X82" s="340">
        <f t="shared" si="30"/>
        <v>5.2555825762538755E-2</v>
      </c>
      <c r="Y82" s="340">
        <f t="shared" si="30"/>
        <v>0.14523901284444607</v>
      </c>
      <c r="Z82" s="340">
        <f t="shared" si="30"/>
        <v>0.10452077700580213</v>
      </c>
      <c r="AA82" s="340">
        <f t="shared" si="30"/>
        <v>0.15647199885038679</v>
      </c>
      <c r="AB82" s="340">
        <f t="shared" si="30"/>
        <v>0.35007232051308235</v>
      </c>
      <c r="AC82" s="340">
        <f t="shared" si="30"/>
        <v>0.35922694740061734</v>
      </c>
      <c r="AD82" s="340">
        <f t="shared" si="30"/>
        <v>0.30779698705044639</v>
      </c>
      <c r="AE82" s="340">
        <f t="shared" si="30"/>
        <v>0.33983321859561699</v>
      </c>
      <c r="AF82" s="340">
        <f t="shared" si="30"/>
        <v>0.19314449115621576</v>
      </c>
      <c r="AG82" s="340">
        <f t="shared" si="30"/>
        <v>0.34156078257091543</v>
      </c>
      <c r="AH82" s="340">
        <f t="shared" si="30"/>
        <v>0.48309117620105724</v>
      </c>
      <c r="AI82" s="340">
        <f t="shared" si="30"/>
        <v>7.3631166319596542E-2</v>
      </c>
      <c r="AJ82" s="340">
        <f t="shared" si="30"/>
        <v>2.5157770129507085E-2</v>
      </c>
      <c r="AK82" s="340">
        <f t="shared" si="30"/>
        <v>0.15678092205424443</v>
      </c>
      <c r="AL82" s="340">
        <f t="shared" si="30"/>
        <v>0.38654739251600229</v>
      </c>
      <c r="AN82" s="6" t="s">
        <v>977</v>
      </c>
      <c r="AO82" s="6" t="s">
        <v>978</v>
      </c>
    </row>
    <row r="83" spans="1:41" x14ac:dyDescent="0.2">
      <c r="A83" s="33"/>
      <c r="B83" s="181" t="s">
        <v>473</v>
      </c>
      <c r="C83" s="75" t="s">
        <v>975</v>
      </c>
      <c r="F83" s="340">
        <f t="shared" si="29"/>
        <v>1.5936254144262516E-2</v>
      </c>
      <c r="G83" s="340">
        <f t="shared" si="30"/>
        <v>4.1936299319738135E-2</v>
      </c>
      <c r="H83" s="340">
        <f t="shared" si="30"/>
        <v>2.1254693153479616E-2</v>
      </c>
      <c r="I83" s="340">
        <f t="shared" si="30"/>
        <v>4.1755437942922649E-2</v>
      </c>
      <c r="J83" s="340">
        <f t="shared" si="30"/>
        <v>4.9405883333679228E-2</v>
      </c>
      <c r="K83" s="340">
        <f t="shared" si="30"/>
        <v>5.338162407442882E-2</v>
      </c>
      <c r="L83" s="340">
        <f t="shared" si="30"/>
        <v>6.0858832075663095E-2</v>
      </c>
      <c r="M83" s="340">
        <f t="shared" si="30"/>
        <v>4.3982494260880009E-2</v>
      </c>
      <c r="N83" s="340">
        <f t="shared" si="30"/>
        <v>3.2342193938165668E-2</v>
      </c>
      <c r="O83" s="340">
        <f t="shared" si="30"/>
        <v>3.1142510333486206E-2</v>
      </c>
      <c r="P83" s="340">
        <f t="shared" si="30"/>
        <v>4.6497567122274826E-2</v>
      </c>
      <c r="Q83" s="340">
        <f t="shared" si="30"/>
        <v>4.3680171283739543E-2</v>
      </c>
      <c r="R83" s="340">
        <f t="shared" si="30"/>
        <v>2.4157534528100127E-2</v>
      </c>
      <c r="S83" s="340">
        <f t="shared" si="30"/>
        <v>1.8314162080269102E-2</v>
      </c>
      <c r="T83" s="340">
        <f t="shared" si="30"/>
        <v>2.9628613272295115E-2</v>
      </c>
      <c r="U83" s="340">
        <f t="shared" si="30"/>
        <v>1.2862115405781818E-2</v>
      </c>
      <c r="V83" s="340">
        <f t="shared" si="30"/>
        <v>1.3018934088760708E-2</v>
      </c>
      <c r="W83" s="340">
        <f t="shared" si="30"/>
        <v>8.2309474155200346E-2</v>
      </c>
      <c r="X83" s="340">
        <f t="shared" si="30"/>
        <v>6.9997823781044535E-2</v>
      </c>
      <c r="Y83" s="340">
        <f t="shared" si="30"/>
        <v>3.8477357922383333E-2</v>
      </c>
      <c r="Z83" s="340">
        <f t="shared" si="30"/>
        <v>2.054129868021886E-2</v>
      </c>
      <c r="AA83" s="340">
        <f t="shared" si="30"/>
        <v>2.7976794708201257E-2</v>
      </c>
      <c r="AB83" s="340">
        <f t="shared" si="30"/>
        <v>1.20861657148596E-2</v>
      </c>
      <c r="AC83" s="340">
        <f t="shared" si="30"/>
        <v>1.4590245717433309E-2</v>
      </c>
      <c r="AD83" s="340">
        <f t="shared" si="30"/>
        <v>1.7968141188788384E-2</v>
      </c>
      <c r="AE83" s="340">
        <f t="shared" si="30"/>
        <v>1.1803624798670052E-2</v>
      </c>
      <c r="AF83" s="340">
        <f t="shared" si="30"/>
        <v>9.7784358366807614E-3</v>
      </c>
      <c r="AG83" s="340">
        <f t="shared" si="30"/>
        <v>1.4626175662669069E-2</v>
      </c>
      <c r="AH83" s="340">
        <f t="shared" si="30"/>
        <v>1.59582125557414E-2</v>
      </c>
      <c r="AI83" s="340">
        <f t="shared" si="30"/>
        <v>4.8228505327783906E-4</v>
      </c>
      <c r="AJ83" s="340">
        <f t="shared" si="30"/>
        <v>2.4595036679224878E-3</v>
      </c>
      <c r="AK83" s="340">
        <f t="shared" si="30"/>
        <v>1.1433357522093492E-3</v>
      </c>
      <c r="AL83" s="340">
        <f t="shared" si="30"/>
        <v>5.2581279592348361E-3</v>
      </c>
    </row>
    <row r="84" spans="1:41" x14ac:dyDescent="0.2">
      <c r="A84" s="33"/>
      <c r="B84" s="181" t="s">
        <v>474</v>
      </c>
      <c r="C84" s="75" t="s">
        <v>975</v>
      </c>
      <c r="F84" s="340">
        <f t="shared" si="29"/>
        <v>1.9054966061730516E-2</v>
      </c>
      <c r="G84" s="340">
        <f t="shared" si="30"/>
        <v>2.9542346058319308E-2</v>
      </c>
      <c r="H84" s="340">
        <f t="shared" si="30"/>
        <v>2.6088349737227869E-2</v>
      </c>
      <c r="I84" s="340">
        <f t="shared" si="30"/>
        <v>2.5965976605067036E-2</v>
      </c>
      <c r="J84" s="340">
        <f t="shared" si="30"/>
        <v>2.5132391156260737E-2</v>
      </c>
      <c r="K84" s="340">
        <f t="shared" si="30"/>
        <v>2.8081830524686411E-2</v>
      </c>
      <c r="L84" s="340">
        <f t="shared" si="30"/>
        <v>1.415301217071235E-2</v>
      </c>
      <c r="M84" s="340">
        <f t="shared" si="30"/>
        <v>2.1378426109711801E-2</v>
      </c>
      <c r="N84" s="340">
        <f t="shared" si="30"/>
        <v>3.8650602053018034E-2</v>
      </c>
      <c r="O84" s="340">
        <f t="shared" si="30"/>
        <v>4.5785563886733063E-2</v>
      </c>
      <c r="P84" s="340">
        <f t="shared" si="30"/>
        <v>2.9961636392894137E-2</v>
      </c>
      <c r="Q84" s="340">
        <f t="shared" si="30"/>
        <v>1.5806681219583705E-2</v>
      </c>
      <c r="R84" s="340">
        <f t="shared" si="30"/>
        <v>6.1924265118377632E-3</v>
      </c>
      <c r="S84" s="340">
        <f t="shared" si="30"/>
        <v>4.5982116928456461E-2</v>
      </c>
      <c r="T84" s="340">
        <f t="shared" si="30"/>
        <v>3.3524793793350244E-2</v>
      </c>
      <c r="U84" s="340">
        <f t="shared" si="30"/>
        <v>4.2459286032358712E-2</v>
      </c>
      <c r="V84" s="340">
        <f t="shared" si="30"/>
        <v>4.825512874413098E-2</v>
      </c>
      <c r="W84" s="340">
        <f t="shared" si="30"/>
        <v>7.2091043172230092E-3</v>
      </c>
      <c r="X84" s="340">
        <f t="shared" si="30"/>
        <v>6.4068412581792808E-3</v>
      </c>
      <c r="Y84" s="340">
        <f t="shared" si="30"/>
        <v>2.0128166753192935E-2</v>
      </c>
      <c r="Z84" s="340">
        <f t="shared" si="30"/>
        <v>1.5310647172237382E-2</v>
      </c>
      <c r="AA84" s="340">
        <f t="shared" si="30"/>
        <v>2.1003252898156941E-2</v>
      </c>
      <c r="AB84" s="340">
        <f t="shared" si="30"/>
        <v>3.0672055484422887E-2</v>
      </c>
      <c r="AC84" s="340">
        <f t="shared" si="30"/>
        <v>4.444720569013498E-2</v>
      </c>
      <c r="AD84" s="340">
        <f t="shared" si="30"/>
        <v>4.2739217209963765E-2</v>
      </c>
      <c r="AE84" s="340">
        <f t="shared" si="30"/>
        <v>5.3545830396252506E-2</v>
      </c>
      <c r="AF84" s="340">
        <f t="shared" si="30"/>
        <v>3.147388103369686E-2</v>
      </c>
      <c r="AG84" s="340">
        <f t="shared" si="30"/>
        <v>3.4165214436217894E-2</v>
      </c>
      <c r="AH84" s="340">
        <f t="shared" si="30"/>
        <v>4.3152542262474891E-2</v>
      </c>
      <c r="AI84" s="340">
        <f t="shared" si="30"/>
        <v>1.2170939913840452E-2</v>
      </c>
      <c r="AJ84" s="340">
        <f t="shared" si="30"/>
        <v>2.9133165358093383E-3</v>
      </c>
      <c r="AK84" s="340">
        <f t="shared" si="30"/>
        <v>2.0057008725354701E-2</v>
      </c>
      <c r="AL84" s="340">
        <f t="shared" si="30"/>
        <v>4.0524763968648285E-2</v>
      </c>
    </row>
    <row r="85" spans="1:41" x14ac:dyDescent="0.2">
      <c r="A85" s="33"/>
      <c r="B85" s="181" t="s">
        <v>475</v>
      </c>
      <c r="C85" s="75" t="s">
        <v>975</v>
      </c>
      <c r="F85" s="340">
        <f t="shared" si="29"/>
        <v>7.5545962101465506E-3</v>
      </c>
      <c r="G85" s="340">
        <f t="shared" si="30"/>
        <v>1.2586517555211873E-2</v>
      </c>
      <c r="H85" s="340">
        <f t="shared" si="30"/>
        <v>1.0928752414525495E-2</v>
      </c>
      <c r="I85" s="340">
        <f t="shared" si="30"/>
        <v>1.0868417073504196E-2</v>
      </c>
      <c r="J85" s="340">
        <f t="shared" si="30"/>
        <v>1.4130603080969818E-2</v>
      </c>
      <c r="K85" s="340">
        <f t="shared" si="30"/>
        <v>1.1090712140524274E-2</v>
      </c>
      <c r="L85" s="340">
        <f t="shared" si="30"/>
        <v>9.0840087440736943E-3</v>
      </c>
      <c r="M85" s="340">
        <f t="shared" si="30"/>
        <v>1.068379138313762E-2</v>
      </c>
      <c r="N85" s="340">
        <f t="shared" si="30"/>
        <v>1.3311573724549894E-2</v>
      </c>
      <c r="O85" s="340">
        <f t="shared" si="30"/>
        <v>1.651028655113089E-2</v>
      </c>
      <c r="P85" s="340">
        <f t="shared" si="30"/>
        <v>1.1497060340482358E-2</v>
      </c>
      <c r="Q85" s="340">
        <f t="shared" si="30"/>
        <v>9.0480579927382579E-3</v>
      </c>
      <c r="R85" s="340">
        <f t="shared" si="30"/>
        <v>4.337879061328662E-3</v>
      </c>
      <c r="S85" s="340">
        <f t="shared" si="30"/>
        <v>1.351332555992601E-2</v>
      </c>
      <c r="T85" s="340">
        <f t="shared" si="30"/>
        <v>9.8300986688694587E-3</v>
      </c>
      <c r="U85" s="340">
        <f t="shared" si="30"/>
        <v>1.4176432104093251E-2</v>
      </c>
      <c r="V85" s="340">
        <f t="shared" si="30"/>
        <v>1.7810096606900912E-2</v>
      </c>
      <c r="W85" s="340">
        <f t="shared" si="30"/>
        <v>9.5528735325827799E-3</v>
      </c>
      <c r="X85" s="340">
        <f t="shared" si="30"/>
        <v>8.0828380456076654E-3</v>
      </c>
      <c r="Y85" s="340">
        <f t="shared" si="30"/>
        <v>1.6408065627955597E-2</v>
      </c>
      <c r="Z85" s="340">
        <f t="shared" si="30"/>
        <v>7.5798669861766614E-3</v>
      </c>
      <c r="AA85" s="340">
        <f t="shared" si="30"/>
        <v>1.4959540717361053E-2</v>
      </c>
      <c r="AB85" s="340">
        <f t="shared" si="30"/>
        <v>4.1886532879277351E-3</v>
      </c>
      <c r="AC85" s="340">
        <f t="shared" si="30"/>
        <v>4.6891076108658203E-3</v>
      </c>
      <c r="AD85" s="340">
        <f t="shared" si="30"/>
        <v>1.4211433939626622E-2</v>
      </c>
      <c r="AE85" s="340">
        <f t="shared" si="30"/>
        <v>3.9283819680824561E-3</v>
      </c>
      <c r="AF85" s="340">
        <f t="shared" si="30"/>
        <v>7.3144043884641272E-3</v>
      </c>
      <c r="AG85" s="340">
        <f t="shared" si="30"/>
        <v>7.241589430949066E-3</v>
      </c>
      <c r="AH85" s="340">
        <f t="shared" si="30"/>
        <v>4.2160444285235079E-3</v>
      </c>
      <c r="AI85" s="340">
        <f t="shared" si="30"/>
        <v>5.5782881826029708E-3</v>
      </c>
      <c r="AJ85" s="340">
        <f t="shared" si="30"/>
        <v>9.5219664244116059E-4</v>
      </c>
      <c r="AK85" s="340">
        <f t="shared" si="30"/>
        <v>9.581630758081881E-3</v>
      </c>
      <c r="AL85" s="340">
        <f t="shared" si="30"/>
        <v>4.9660097392773463E-3</v>
      </c>
    </row>
    <row r="86" spans="1:41" x14ac:dyDescent="0.2">
      <c r="A86" s="33"/>
      <c r="B86" s="181" t="s">
        <v>476</v>
      </c>
      <c r="C86" s="75" t="s">
        <v>975</v>
      </c>
      <c r="F86" s="340">
        <f t="shared" si="29"/>
        <v>1.2707053166447848E-3</v>
      </c>
      <c r="G86" s="340">
        <f t="shared" si="30"/>
        <v>2.6655479075441229E-2</v>
      </c>
      <c r="H86" s="340">
        <f t="shared" si="30"/>
        <v>2.7504307566088818E-3</v>
      </c>
      <c r="I86" s="340">
        <f t="shared" si="30"/>
        <v>2.1891454809938638E-2</v>
      </c>
      <c r="J86" s="340">
        <f t="shared" si="30"/>
        <v>2.2238335852176147E-2</v>
      </c>
      <c r="K86" s="340">
        <f t="shared" si="30"/>
        <v>4.6676081715657479E-2</v>
      </c>
      <c r="L86" s="340">
        <f t="shared" si="30"/>
        <v>2.489936550183058E-2</v>
      </c>
      <c r="M86" s="340">
        <f t="shared" si="30"/>
        <v>1.6482310856364465E-2</v>
      </c>
      <c r="N86" s="340">
        <f t="shared" si="30"/>
        <v>3.255818277851933E-2</v>
      </c>
      <c r="O86" s="340">
        <f t="shared" si="30"/>
        <v>1.4801716835075071E-2</v>
      </c>
      <c r="P86" s="340">
        <f t="shared" si="30"/>
        <v>1.7640380484483471E-2</v>
      </c>
      <c r="Q86" s="340">
        <f t="shared" si="30"/>
        <v>3.8700345107955249E-3</v>
      </c>
      <c r="R86" s="340">
        <f t="shared" si="30"/>
        <v>3.4454554824225742E-3</v>
      </c>
      <c r="S86" s="340">
        <f t="shared" si="30"/>
        <v>1.6270194639055509E-3</v>
      </c>
      <c r="T86" s="340">
        <f t="shared" si="30"/>
        <v>7.1782453956483021E-3</v>
      </c>
      <c r="U86" s="340">
        <f t="shared" si="30"/>
        <v>9.1542080356930323E-4</v>
      </c>
      <c r="V86" s="340">
        <f t="shared" si="30"/>
        <v>1.1431390178864855E-3</v>
      </c>
      <c r="W86" s="340">
        <f t="shared" si="30"/>
        <v>7.0738807082982693E-3</v>
      </c>
      <c r="X86" s="340">
        <f t="shared" si="30"/>
        <v>4.9049177774113982E-3</v>
      </c>
      <c r="Y86" s="340">
        <f t="shared" si="30"/>
        <v>2.152580444311155E-3</v>
      </c>
      <c r="Z86" s="340">
        <f t="shared" si="30"/>
        <v>9.86477809411616E-4</v>
      </c>
      <c r="AA86" s="340">
        <f t="shared" si="30"/>
        <v>2.407920120635316E-3</v>
      </c>
      <c r="AB86" s="340">
        <f t="shared" si="30"/>
        <v>6.5292562882441675E-4</v>
      </c>
      <c r="AC86" s="340">
        <f t="shared" si="30"/>
        <v>1.3591005408839735E-3</v>
      </c>
      <c r="AD86" s="340">
        <f t="shared" si="30"/>
        <v>1.1994608850411589E-3</v>
      </c>
      <c r="AE86" s="340">
        <f t="shared" si="30"/>
        <v>5.0105209025508822E-4</v>
      </c>
      <c r="AF86" s="340">
        <f t="shared" si="30"/>
        <v>1.5187621279002992E-3</v>
      </c>
      <c r="AG86" s="340">
        <f t="shared" si="30"/>
        <v>2.7106768878187248E-3</v>
      </c>
      <c r="AH86" s="340">
        <f t="shared" si="30"/>
        <v>8.9304481520910883E-4</v>
      </c>
      <c r="AI86" s="340">
        <f t="shared" si="30"/>
        <v>3.3478554470824047E-4</v>
      </c>
      <c r="AJ86" s="340">
        <f t="shared" si="30"/>
        <v>1.2896718895349841E-3</v>
      </c>
      <c r="AK86" s="340">
        <f t="shared" si="30"/>
        <v>3.7096123679431669E-4</v>
      </c>
      <c r="AL86" s="340">
        <f t="shared" si="30"/>
        <v>4.5667665018315909E-4</v>
      </c>
    </row>
    <row r="87" spans="1:41" x14ac:dyDescent="0.2">
      <c r="A87" s="33"/>
      <c r="B87" s="181" t="s">
        <v>477</v>
      </c>
      <c r="C87" s="75" t="s">
        <v>975</v>
      </c>
      <c r="F87" s="340">
        <f t="shared" si="29"/>
        <v>8.8371778839387311E-3</v>
      </c>
      <c r="G87" s="340">
        <f t="shared" si="30"/>
        <v>2.6393639443680627E-2</v>
      </c>
      <c r="H87" s="340">
        <f t="shared" si="30"/>
        <v>1.244429589265692E-2</v>
      </c>
      <c r="I87" s="340">
        <f t="shared" si="30"/>
        <v>1.5675514197176416E-2</v>
      </c>
      <c r="J87" s="340">
        <f t="shared" si="30"/>
        <v>2.2099196270758521E-2</v>
      </c>
      <c r="K87" s="340">
        <f t="shared" si="30"/>
        <v>2.7110918895375459E-2</v>
      </c>
      <c r="L87" s="340">
        <f t="shared" si="30"/>
        <v>1.3377354210226467E-2</v>
      </c>
      <c r="M87" s="340">
        <f t="shared" si="30"/>
        <v>1.4151581297938056E-2</v>
      </c>
      <c r="N87" s="340">
        <f t="shared" si="30"/>
        <v>2.3385126794943721E-2</v>
      </c>
      <c r="O87" s="340">
        <f t="shared" si="30"/>
        <v>1.8675266865861781E-2</v>
      </c>
      <c r="P87" s="340">
        <f t="shared" si="30"/>
        <v>1.3441463594376573E-2</v>
      </c>
      <c r="Q87" s="340">
        <f t="shared" si="30"/>
        <v>7.3131290964443185E-3</v>
      </c>
      <c r="R87" s="340">
        <f t="shared" si="30"/>
        <v>3.8300511802212092E-3</v>
      </c>
      <c r="S87" s="340">
        <f t="shared" si="30"/>
        <v>1.1243427134027697E-2</v>
      </c>
      <c r="T87" s="340">
        <f t="shared" si="30"/>
        <v>1.2982080512680771E-2</v>
      </c>
      <c r="U87" s="340">
        <f t="shared" si="30"/>
        <v>1.6678775421073825E-2</v>
      </c>
      <c r="V87" s="340">
        <f t="shared" si="30"/>
        <v>2.2419066032351845E-2</v>
      </c>
      <c r="W87" s="340">
        <f t="shared" si="30"/>
        <v>5.7304984505822517E-3</v>
      </c>
      <c r="X87" s="340">
        <f t="shared" si="30"/>
        <v>4.3335484499000473E-3</v>
      </c>
      <c r="Y87" s="340">
        <f t="shared" si="30"/>
        <v>9.604988578672348E-3</v>
      </c>
      <c r="Z87" s="340">
        <f t="shared" si="30"/>
        <v>5.416522002753936E-3</v>
      </c>
      <c r="AA87" s="340">
        <f t="shared" si="30"/>
        <v>1.0602686245473768E-2</v>
      </c>
      <c r="AB87" s="340">
        <f t="shared" si="30"/>
        <v>1.3983000366250232E-2</v>
      </c>
      <c r="AC87" s="340">
        <f t="shared" si="30"/>
        <v>1.7056419634065307E-2</v>
      </c>
      <c r="AD87" s="340">
        <f t="shared" si="30"/>
        <v>2.3511654570667898E-2</v>
      </c>
      <c r="AE87" s="340">
        <f t="shared" si="30"/>
        <v>1.2470203934728341E-2</v>
      </c>
      <c r="AF87" s="340">
        <f t="shared" si="30"/>
        <v>1.5167033262670663E-2</v>
      </c>
      <c r="AG87" s="340">
        <f t="shared" si="30"/>
        <v>1.7756138914656786E-2</v>
      </c>
      <c r="AH87" s="340">
        <f t="shared" si="30"/>
        <v>1.991981224787567E-2</v>
      </c>
      <c r="AI87" s="340">
        <f t="shared" si="30"/>
        <v>4.8279938457059524E-2</v>
      </c>
      <c r="AJ87" s="340">
        <f t="shared" si="30"/>
        <v>2.9460751220656985E-3</v>
      </c>
      <c r="AK87" s="340">
        <f t="shared" si="30"/>
        <v>7.9078415888281017E-2</v>
      </c>
      <c r="AL87" s="340">
        <f t="shared" si="30"/>
        <v>2.0390211837125263E-2</v>
      </c>
    </row>
    <row r="88" spans="1:41" x14ac:dyDescent="0.2">
      <c r="A88" s="33"/>
      <c r="B88" s="181" t="s">
        <v>478</v>
      </c>
      <c r="C88" s="75" t="s">
        <v>975</v>
      </c>
      <c r="F88" s="340">
        <f t="shared" si="29"/>
        <v>2.2389172208203578E-2</v>
      </c>
      <c r="G88" s="340">
        <f t="shared" si="30"/>
        <v>4.2742308913028583E-2</v>
      </c>
      <c r="H88" s="340">
        <f t="shared" si="30"/>
        <v>2.4447078588532355E-2</v>
      </c>
      <c r="I88" s="340">
        <f t="shared" si="30"/>
        <v>5.2956075733389618E-2</v>
      </c>
      <c r="J88" s="340">
        <f t="shared" si="30"/>
        <v>4.9844531204082811E-2</v>
      </c>
      <c r="K88" s="340">
        <f t="shared" si="30"/>
        <v>5.3691661906555568E-2</v>
      </c>
      <c r="L88" s="340">
        <f t="shared" si="30"/>
        <v>6.4572686473755164E-2</v>
      </c>
      <c r="M88" s="340">
        <f t="shared" si="30"/>
        <v>5.7078957272336299E-2</v>
      </c>
      <c r="N88" s="340">
        <f t="shared" si="30"/>
        <v>3.3032811657562604E-2</v>
      </c>
      <c r="O88" s="340">
        <f t="shared" si="30"/>
        <v>3.1126153504380704E-2</v>
      </c>
      <c r="P88" s="340">
        <f t="shared" si="30"/>
        <v>4.8943122426958023E-2</v>
      </c>
      <c r="Q88" s="340">
        <f t="shared" si="30"/>
        <v>5.0775156204821745E-2</v>
      </c>
      <c r="R88" s="340">
        <f t="shared" si="30"/>
        <v>4.0684114316354006E-2</v>
      </c>
      <c r="S88" s="340">
        <f t="shared" si="30"/>
        <v>2.6168735064367125E-2</v>
      </c>
      <c r="T88" s="340">
        <f t="shared" si="30"/>
        <v>4.0480352265397854E-2</v>
      </c>
      <c r="U88" s="340">
        <f t="shared" si="30"/>
        <v>1.7105699894071253E-2</v>
      </c>
      <c r="V88" s="340">
        <f t="shared" si="30"/>
        <v>1.3617973973371823E-2</v>
      </c>
      <c r="W88" s="340">
        <f t="shared" si="30"/>
        <v>9.4724978099049006E-2</v>
      </c>
      <c r="X88" s="340">
        <f t="shared" si="30"/>
        <v>6.2568539481330968E-2</v>
      </c>
      <c r="Y88" s="340">
        <f t="shared" si="30"/>
        <v>4.0826743771586529E-2</v>
      </c>
      <c r="Z88" s="340">
        <f t="shared" si="30"/>
        <v>1.6114102227484522E-2</v>
      </c>
      <c r="AA88" s="340">
        <f t="shared" si="30"/>
        <v>2.7977210566970081E-2</v>
      </c>
      <c r="AB88" s="340">
        <f t="shared" si="30"/>
        <v>1.456201279587413E-2</v>
      </c>
      <c r="AC88" s="340">
        <f t="shared" si="30"/>
        <v>1.634684906000498E-2</v>
      </c>
      <c r="AD88" s="340">
        <f t="shared" si="30"/>
        <v>1.9452118388633314E-2</v>
      </c>
      <c r="AE88" s="340">
        <f t="shared" si="30"/>
        <v>1.4139149557637128E-2</v>
      </c>
      <c r="AF88" s="340">
        <f t="shared" si="30"/>
        <v>1.4197083234789121E-2</v>
      </c>
      <c r="AG88" s="340">
        <f t="shared" si="30"/>
        <v>1.5614544556329196E-2</v>
      </c>
      <c r="AH88" s="340">
        <f t="shared" si="30"/>
        <v>1.6630347804099697E-2</v>
      </c>
      <c r="AI88" s="340">
        <f t="shared" si="30"/>
        <v>3.8491656944523501E-4</v>
      </c>
      <c r="AJ88" s="340">
        <f t="shared" si="30"/>
        <v>1.7232252543911723E-3</v>
      </c>
      <c r="AK88" s="340">
        <f t="shared" si="30"/>
        <v>7.233837433245539E-4</v>
      </c>
      <c r="AL88" s="340">
        <f t="shared" si="30"/>
        <v>4.1365560324396495E-3</v>
      </c>
    </row>
    <row r="89" spans="1:41" x14ac:dyDescent="0.2">
      <c r="A89" s="33"/>
      <c r="B89" s="181" t="s">
        <v>479</v>
      </c>
      <c r="C89" s="75" t="s">
        <v>975</v>
      </c>
      <c r="F89" s="340">
        <f t="shared" si="29"/>
        <v>1.5918504506667912E-2</v>
      </c>
      <c r="G89" s="340">
        <f t="shared" si="30"/>
        <v>2.6798488747914406E-2</v>
      </c>
      <c r="H89" s="340">
        <f t="shared" si="30"/>
        <v>2.3406537844714154E-2</v>
      </c>
      <c r="I89" s="340">
        <f t="shared" si="30"/>
        <v>2.5323472829847142E-2</v>
      </c>
      <c r="J89" s="340">
        <f t="shared" si="30"/>
        <v>2.3257046960471636E-2</v>
      </c>
      <c r="K89" s="340">
        <f t="shared" si="30"/>
        <v>2.8365209180065892E-2</v>
      </c>
      <c r="L89" s="340">
        <f t="shared" si="30"/>
        <v>1.3991633495663054E-2</v>
      </c>
      <c r="M89" s="340">
        <f t="shared" si="30"/>
        <v>2.2287201559633131E-2</v>
      </c>
      <c r="N89" s="340">
        <f t="shared" si="30"/>
        <v>3.8344727645439558E-2</v>
      </c>
      <c r="O89" s="340">
        <f t="shared" si="30"/>
        <v>4.6778032848253083E-2</v>
      </c>
      <c r="P89" s="340">
        <f t="shared" si="30"/>
        <v>3.2347647449910935E-2</v>
      </c>
      <c r="Q89" s="340">
        <f t="shared" si="30"/>
        <v>1.7263967218182689E-2</v>
      </c>
      <c r="R89" s="340">
        <f t="shared" si="30"/>
        <v>6.2072745977588516E-3</v>
      </c>
      <c r="S89" s="340">
        <f t="shared" si="30"/>
        <v>4.2809985726017449E-2</v>
      </c>
      <c r="T89" s="340">
        <f t="shared" si="30"/>
        <v>3.2543090377607047E-2</v>
      </c>
      <c r="U89" s="340">
        <f t="shared" ref="G89:AL98" si="32">U182/U$219</f>
        <v>4.1686853549230615E-2</v>
      </c>
      <c r="V89" s="340">
        <f t="shared" si="32"/>
        <v>5.2360301038285921E-2</v>
      </c>
      <c r="W89" s="340">
        <f t="shared" si="32"/>
        <v>7.6188767081223092E-3</v>
      </c>
      <c r="X89" s="340">
        <f t="shared" si="32"/>
        <v>5.8919270622008E-3</v>
      </c>
      <c r="Y89" s="340">
        <f t="shared" si="32"/>
        <v>2.1866441838704214E-2</v>
      </c>
      <c r="Z89" s="340">
        <f t="shared" si="32"/>
        <v>1.2377133299236856E-2</v>
      </c>
      <c r="AA89" s="340">
        <f t="shared" si="32"/>
        <v>2.1645448917489478E-2</v>
      </c>
      <c r="AB89" s="340">
        <f t="shared" si="32"/>
        <v>3.0512194783469442E-2</v>
      </c>
      <c r="AC89" s="340">
        <f t="shared" si="32"/>
        <v>3.2615080455712007E-2</v>
      </c>
      <c r="AD89" s="340">
        <f t="shared" si="32"/>
        <v>3.0492380902842911E-2</v>
      </c>
      <c r="AE89" s="340">
        <f t="shared" si="32"/>
        <v>3.4088180972366426E-2</v>
      </c>
      <c r="AF89" s="340">
        <f t="shared" si="32"/>
        <v>1.9410727007728491E-2</v>
      </c>
      <c r="AG89" s="340">
        <f t="shared" si="32"/>
        <v>2.882434160060483E-2</v>
      </c>
      <c r="AH89" s="340">
        <f t="shared" si="32"/>
        <v>4.5277480571197168E-2</v>
      </c>
      <c r="AI89" s="340">
        <f t="shared" si="32"/>
        <v>9.0719793380111772E-3</v>
      </c>
      <c r="AJ89" s="340">
        <f t="shared" si="32"/>
        <v>2.8370171871074179E-3</v>
      </c>
      <c r="AK89" s="340">
        <f t="shared" si="32"/>
        <v>1.5286240681305704E-2</v>
      </c>
      <c r="AL89" s="340">
        <f t="shared" si="32"/>
        <v>2.9066077959351195E-2</v>
      </c>
    </row>
    <row r="90" spans="1:41" x14ac:dyDescent="0.2">
      <c r="A90" s="33"/>
      <c r="B90" s="181" t="s">
        <v>480</v>
      </c>
      <c r="C90" s="75" t="s">
        <v>975</v>
      </c>
      <c r="F90" s="340">
        <f t="shared" si="29"/>
        <v>6.9472795424671899E-3</v>
      </c>
      <c r="G90" s="340">
        <f t="shared" si="32"/>
        <v>1.0035293492154724E-2</v>
      </c>
      <c r="H90" s="340">
        <f t="shared" si="32"/>
        <v>8.2551710015746713E-3</v>
      </c>
      <c r="I90" s="340">
        <f t="shared" si="32"/>
        <v>1.0367646352704681E-2</v>
      </c>
      <c r="J90" s="340">
        <f t="shared" si="32"/>
        <v>1.1286825333283909E-2</v>
      </c>
      <c r="K90" s="340">
        <f t="shared" si="32"/>
        <v>7.891695864511385E-3</v>
      </c>
      <c r="L90" s="340">
        <f t="shared" si="32"/>
        <v>7.959034871888853E-3</v>
      </c>
      <c r="M90" s="340">
        <f t="shared" si="32"/>
        <v>1.0377315964408855E-2</v>
      </c>
      <c r="N90" s="340">
        <f t="shared" si="32"/>
        <v>1.2391354082403586E-2</v>
      </c>
      <c r="O90" s="340">
        <f t="shared" si="32"/>
        <v>1.6280648499617974E-2</v>
      </c>
      <c r="P90" s="340">
        <f t="shared" si="32"/>
        <v>1.0918744673435727E-2</v>
      </c>
      <c r="Q90" s="340">
        <f t="shared" si="32"/>
        <v>1.0224666861797694E-2</v>
      </c>
      <c r="R90" s="340">
        <f t="shared" si="32"/>
        <v>4.7155376283432356E-3</v>
      </c>
      <c r="S90" s="340">
        <f t="shared" si="32"/>
        <v>1.1057383631940714E-2</v>
      </c>
      <c r="T90" s="340">
        <f t="shared" si="32"/>
        <v>8.4248416731268153E-3</v>
      </c>
      <c r="U90" s="340">
        <f t="shared" si="32"/>
        <v>1.3398169304800492E-2</v>
      </c>
      <c r="V90" s="340">
        <f t="shared" si="32"/>
        <v>2.0717337912449358E-2</v>
      </c>
      <c r="W90" s="340">
        <f t="shared" si="32"/>
        <v>9.0893914528154141E-3</v>
      </c>
      <c r="X90" s="340">
        <f t="shared" si="32"/>
        <v>5.5558836646668183E-3</v>
      </c>
      <c r="Y90" s="340">
        <f t="shared" si="32"/>
        <v>1.4262803838935354E-2</v>
      </c>
      <c r="Z90" s="340">
        <f t="shared" si="32"/>
        <v>6.0876850122722039E-3</v>
      </c>
      <c r="AA90" s="340">
        <f t="shared" si="32"/>
        <v>1.3030310733067369E-2</v>
      </c>
      <c r="AB90" s="340">
        <f t="shared" si="32"/>
        <v>5.3908828667569974E-3</v>
      </c>
      <c r="AC90" s="340">
        <f t="shared" si="32"/>
        <v>2.917693043834766E-3</v>
      </c>
      <c r="AD90" s="340">
        <f t="shared" si="32"/>
        <v>8.6346021998292971E-3</v>
      </c>
      <c r="AE90" s="340">
        <f t="shared" si="32"/>
        <v>2.9690337210447667E-3</v>
      </c>
      <c r="AF90" s="340">
        <f t="shared" si="32"/>
        <v>3.1690242045438258E-3</v>
      </c>
      <c r="AG90" s="340">
        <f t="shared" si="32"/>
        <v>6.0377096343537644E-3</v>
      </c>
      <c r="AH90" s="340">
        <f t="shared" si="32"/>
        <v>5.3470970395710204E-3</v>
      </c>
      <c r="AI90" s="340">
        <f t="shared" si="32"/>
        <v>3.4396538170553426E-3</v>
      </c>
      <c r="AJ90" s="340">
        <f t="shared" si="32"/>
        <v>8.4059768506886449E-4</v>
      </c>
      <c r="AK90" s="340">
        <f t="shared" si="32"/>
        <v>6.136070875393365E-3</v>
      </c>
      <c r="AL90" s="340">
        <f t="shared" si="32"/>
        <v>3.4341219891951811E-3</v>
      </c>
    </row>
    <row r="91" spans="1:41" x14ac:dyDescent="0.2">
      <c r="A91" s="33"/>
      <c r="B91" s="181" t="s">
        <v>481</v>
      </c>
      <c r="C91" s="75" t="s">
        <v>975</v>
      </c>
      <c r="F91" s="340">
        <f t="shared" si="29"/>
        <v>1.9648556775657563E-3</v>
      </c>
      <c r="G91" s="340">
        <f t="shared" si="32"/>
        <v>2.7831033752952788E-2</v>
      </c>
      <c r="H91" s="340">
        <f t="shared" si="32"/>
        <v>5.5127184492930323E-3</v>
      </c>
      <c r="I91" s="340">
        <f t="shared" si="32"/>
        <v>3.1636830741288986E-2</v>
      </c>
      <c r="J91" s="340">
        <f t="shared" si="32"/>
        <v>3.4096776804404774E-2</v>
      </c>
      <c r="K91" s="340">
        <f t="shared" si="32"/>
        <v>5.2425450933012249E-2</v>
      </c>
      <c r="L91" s="340">
        <f t="shared" si="32"/>
        <v>4.5632231200535112E-2</v>
      </c>
      <c r="M91" s="340">
        <f t="shared" si="32"/>
        <v>2.7782483739289827E-2</v>
      </c>
      <c r="N91" s="340">
        <f t="shared" si="32"/>
        <v>3.3741992283552381E-2</v>
      </c>
      <c r="O91" s="340">
        <f t="shared" si="32"/>
        <v>2.451713285494914E-2</v>
      </c>
      <c r="P91" s="340">
        <f t="shared" si="32"/>
        <v>4.7603700281741726E-2</v>
      </c>
      <c r="Q91" s="340">
        <f t="shared" si="32"/>
        <v>2.302110162584433E-2</v>
      </c>
      <c r="R91" s="340">
        <f t="shared" si="32"/>
        <v>1.0414204556055816E-2</v>
      </c>
      <c r="S91" s="340">
        <f t="shared" si="32"/>
        <v>8.8216624666319961E-3</v>
      </c>
      <c r="T91" s="340">
        <f t="shared" si="32"/>
        <v>1.7872788067948127E-2</v>
      </c>
      <c r="U91" s="340">
        <f t="shared" si="32"/>
        <v>1.3366813311528852E-3</v>
      </c>
      <c r="V91" s="340">
        <f t="shared" si="32"/>
        <v>2.0260214383180995E-3</v>
      </c>
      <c r="W91" s="340">
        <f t="shared" si="32"/>
        <v>1.8650009421171423E-2</v>
      </c>
      <c r="X91" s="340">
        <f t="shared" si="32"/>
        <v>4.2295961590450943E-3</v>
      </c>
      <c r="Y91" s="340">
        <f t="shared" si="32"/>
        <v>8.5267391994176631E-3</v>
      </c>
      <c r="Z91" s="340">
        <f t="shared" si="32"/>
        <v>1.5347105072955134E-3</v>
      </c>
      <c r="AA91" s="340">
        <f t="shared" si="32"/>
        <v>3.9074089919064582E-3</v>
      </c>
      <c r="AB91" s="340">
        <f t="shared" si="32"/>
        <v>7.4056399139362178E-4</v>
      </c>
      <c r="AC91" s="340">
        <f t="shared" si="32"/>
        <v>7.8052001576583443E-4</v>
      </c>
      <c r="AD91" s="340">
        <f t="shared" si="32"/>
        <v>7.5696314280687368E-4</v>
      </c>
      <c r="AE91" s="340">
        <f t="shared" si="32"/>
        <v>2.305790182030573E-4</v>
      </c>
      <c r="AF91" s="340">
        <f t="shared" si="32"/>
        <v>2.1908354112674114E-4</v>
      </c>
      <c r="AG91" s="340">
        <f t="shared" si="32"/>
        <v>4.5357739019887244E-4</v>
      </c>
      <c r="AH91" s="340">
        <f t="shared" si="32"/>
        <v>6.8917463388329392E-4</v>
      </c>
      <c r="AI91" s="340">
        <f t="shared" si="32"/>
        <v>2.9340755603643546E-4</v>
      </c>
      <c r="AJ91" s="340">
        <f t="shared" si="32"/>
        <v>7.0709099391086838E-4</v>
      </c>
      <c r="AK91" s="340">
        <f t="shared" si="32"/>
        <v>1.0078101687184186E-4</v>
      </c>
      <c r="AL91" s="340">
        <f t="shared" si="32"/>
        <v>1.490748142525747E-4</v>
      </c>
    </row>
    <row r="92" spans="1:41" x14ac:dyDescent="0.2">
      <c r="A92" s="33"/>
      <c r="B92" s="181" t="s">
        <v>482</v>
      </c>
      <c r="C92" s="75" t="s">
        <v>975</v>
      </c>
      <c r="F92" s="340">
        <f t="shared" si="29"/>
        <v>1.1567182472803876E-2</v>
      </c>
      <c r="G92" s="340">
        <f t="shared" si="32"/>
        <v>2.8543461880239613E-2</v>
      </c>
      <c r="H92" s="340">
        <f t="shared" si="32"/>
        <v>2.0527383649117919E-2</v>
      </c>
      <c r="I92" s="340">
        <f t="shared" si="32"/>
        <v>3.4003340354566723E-2</v>
      </c>
      <c r="J92" s="340">
        <f t="shared" si="32"/>
        <v>4.3085914099748081E-2</v>
      </c>
      <c r="K92" s="340">
        <f t="shared" si="32"/>
        <v>3.7543874803612515E-2</v>
      </c>
      <c r="L92" s="340">
        <f t="shared" si="32"/>
        <v>2.8276317291308129E-2</v>
      </c>
      <c r="M92" s="340">
        <f t="shared" si="32"/>
        <v>3.2574978987561391E-2</v>
      </c>
      <c r="N92" s="340">
        <f t="shared" si="32"/>
        <v>4.4897437936126293E-2</v>
      </c>
      <c r="O92" s="340">
        <f t="shared" si="32"/>
        <v>3.0997374067748044E-2</v>
      </c>
      <c r="P92" s="340">
        <f t="shared" si="32"/>
        <v>4.5739619747242034E-2</v>
      </c>
      <c r="Q92" s="340">
        <f t="shared" si="32"/>
        <v>3.3952797927006284E-2</v>
      </c>
      <c r="R92" s="340">
        <f t="shared" si="32"/>
        <v>1.0186211485517464E-2</v>
      </c>
      <c r="S92" s="340">
        <f t="shared" si="32"/>
        <v>3.3185252769023302E-2</v>
      </c>
      <c r="T92" s="340">
        <f t="shared" si="32"/>
        <v>3.1877619827074134E-2</v>
      </c>
      <c r="U92" s="340">
        <f t="shared" si="32"/>
        <v>1.6570761657734526E-2</v>
      </c>
      <c r="V92" s="340">
        <f t="shared" si="32"/>
        <v>2.3227393924803986E-2</v>
      </c>
      <c r="W92" s="340">
        <f t="shared" si="32"/>
        <v>1.201219591669396E-2</v>
      </c>
      <c r="X92" s="340">
        <f t="shared" si="32"/>
        <v>3.7429991085551552E-3</v>
      </c>
      <c r="Y92" s="340">
        <f t="shared" si="32"/>
        <v>1.6953003803967227E-2</v>
      </c>
      <c r="Z92" s="340">
        <f t="shared" si="32"/>
        <v>4.870557265953041E-3</v>
      </c>
      <c r="AA92" s="340">
        <f t="shared" si="32"/>
        <v>1.5444701126900036E-2</v>
      </c>
      <c r="AB92" s="340">
        <f t="shared" si="32"/>
        <v>7.9786599768887113E-3</v>
      </c>
      <c r="AC92" s="340">
        <f t="shared" si="32"/>
        <v>6.3165775597599878E-3</v>
      </c>
      <c r="AD92" s="340">
        <f t="shared" si="32"/>
        <v>8.2479782207324631E-3</v>
      </c>
      <c r="AE92" s="340">
        <f t="shared" si="32"/>
        <v>4.8841597168757626E-3</v>
      </c>
      <c r="AF92" s="340">
        <f t="shared" si="32"/>
        <v>7.4565275401031195E-3</v>
      </c>
      <c r="AG92" s="340">
        <f t="shared" si="32"/>
        <v>9.4575424992690022E-3</v>
      </c>
      <c r="AH92" s="340">
        <f t="shared" si="32"/>
        <v>8.6294106016071813E-3</v>
      </c>
      <c r="AI92" s="340">
        <f t="shared" si="32"/>
        <v>1.6764161899927934E-2</v>
      </c>
      <c r="AJ92" s="340">
        <f t="shared" si="32"/>
        <v>1.8987618298026117E-3</v>
      </c>
      <c r="AK92" s="340">
        <f t="shared" si="32"/>
        <v>2.0272661438309168E-2</v>
      </c>
      <c r="AL92" s="340">
        <f t="shared" si="32"/>
        <v>5.4379899633873992E-3</v>
      </c>
    </row>
    <row r="93" spans="1:41" x14ac:dyDescent="0.2">
      <c r="A93" s="33"/>
      <c r="B93" s="181" t="s">
        <v>483</v>
      </c>
      <c r="C93" s="75" t="s">
        <v>975</v>
      </c>
      <c r="F93" s="340">
        <f t="shared" si="29"/>
        <v>3.1988286546180515E-4</v>
      </c>
      <c r="G93" s="340">
        <f t="shared" si="32"/>
        <v>4.3916518996223256E-4</v>
      </c>
      <c r="H93" s="340">
        <f t="shared" si="32"/>
        <v>1.0190658143840016E-3</v>
      </c>
      <c r="I93" s="340">
        <f t="shared" si="32"/>
        <v>7.0512261597362224E-4</v>
      </c>
      <c r="J93" s="340">
        <f t="shared" si="32"/>
        <v>1.4110665216046159E-3</v>
      </c>
      <c r="K93" s="340">
        <f t="shared" si="32"/>
        <v>1.0280170247797002E-3</v>
      </c>
      <c r="L93" s="340">
        <f t="shared" si="32"/>
        <v>3.1866144755163506E-3</v>
      </c>
      <c r="M93" s="340">
        <f t="shared" si="32"/>
        <v>1.7217724086645079E-3</v>
      </c>
      <c r="N93" s="340">
        <f t="shared" si="32"/>
        <v>1.0817987870617915E-3</v>
      </c>
      <c r="O93" s="340">
        <f t="shared" si="32"/>
        <v>5.517064640060403E-4</v>
      </c>
      <c r="P93" s="340">
        <f t="shared" si="32"/>
        <v>8.139685402403532E-4</v>
      </c>
      <c r="Q93" s="340">
        <f t="shared" si="32"/>
        <v>1.8749629694877559E-3</v>
      </c>
      <c r="R93" s="340">
        <f t="shared" si="32"/>
        <v>3.8746567123257858E-3</v>
      </c>
      <c r="S93" s="340">
        <f t="shared" si="32"/>
        <v>2.5789982078437829E-3</v>
      </c>
      <c r="T93" s="340">
        <f t="shared" si="32"/>
        <v>2.9329687449324324E-3</v>
      </c>
      <c r="U93" s="340">
        <f t="shared" si="32"/>
        <v>7.2196587317068666E-4</v>
      </c>
      <c r="V93" s="340">
        <f t="shared" si="32"/>
        <v>1.1742622383887145E-3</v>
      </c>
      <c r="W93" s="340">
        <f t="shared" si="32"/>
        <v>1.7021757800749992E-3</v>
      </c>
      <c r="X93" s="340">
        <f t="shared" si="32"/>
        <v>2.310679071865085E-3</v>
      </c>
      <c r="Y93" s="340">
        <f t="shared" si="32"/>
        <v>2.904147232815965E-3</v>
      </c>
      <c r="Z93" s="340">
        <f t="shared" si="32"/>
        <v>5.1689049885712888E-4</v>
      </c>
      <c r="AA93" s="340">
        <f t="shared" si="32"/>
        <v>3.9853458176409007E-3</v>
      </c>
      <c r="AB93" s="340">
        <f t="shared" si="32"/>
        <v>2.1044607934816743E-3</v>
      </c>
      <c r="AC93" s="340">
        <f t="shared" si="32"/>
        <v>3.7475076507933374E-3</v>
      </c>
      <c r="AD93" s="340">
        <f t="shared" si="32"/>
        <v>2.501123025268409E-3</v>
      </c>
      <c r="AE93" s="340">
        <f t="shared" si="32"/>
        <v>5.8795770432177302E-3</v>
      </c>
      <c r="AF93" s="340">
        <f t="shared" si="32"/>
        <v>3.3430525534895316E-3</v>
      </c>
      <c r="AG93" s="340">
        <f t="shared" si="32"/>
        <v>9.8396985423207951E-3</v>
      </c>
      <c r="AH93" s="340">
        <f t="shared" si="32"/>
        <v>3.3056744166853808E-3</v>
      </c>
      <c r="AI93" s="340">
        <f t="shared" si="32"/>
        <v>6.351376582839999E-5</v>
      </c>
      <c r="AJ93" s="340">
        <f t="shared" si="32"/>
        <v>1.8377772918662432E-4</v>
      </c>
      <c r="AK93" s="340">
        <f t="shared" si="32"/>
        <v>1.6740846691489289E-4</v>
      </c>
      <c r="AL93" s="340">
        <f t="shared" si="32"/>
        <v>1.5096525573766171E-3</v>
      </c>
    </row>
    <row r="94" spans="1:41" x14ac:dyDescent="0.2">
      <c r="A94" s="33"/>
      <c r="B94" s="181" t="s">
        <v>484</v>
      </c>
      <c r="C94" s="75" t="s">
        <v>975</v>
      </c>
      <c r="F94" s="340">
        <f t="shared" si="29"/>
        <v>1.9555103473514128E-2</v>
      </c>
      <c r="G94" s="340">
        <f t="shared" si="32"/>
        <v>3.3433280228139607E-2</v>
      </c>
      <c r="H94" s="340">
        <f t="shared" si="32"/>
        <v>2.4449885150528899E-2</v>
      </c>
      <c r="I94" s="340">
        <f t="shared" si="32"/>
        <v>3.7237490497490491E-2</v>
      </c>
      <c r="J94" s="340">
        <f t="shared" si="32"/>
        <v>3.5583844686048409E-2</v>
      </c>
      <c r="K94" s="340">
        <f t="shared" si="32"/>
        <v>3.6968823970851959E-2</v>
      </c>
      <c r="L94" s="340">
        <f t="shared" si="32"/>
        <v>3.5571038291130654E-2</v>
      </c>
      <c r="M94" s="340">
        <f t="shared" si="32"/>
        <v>3.6518817059126754E-2</v>
      </c>
      <c r="N94" s="340">
        <f t="shared" si="32"/>
        <v>3.6796848125342452E-2</v>
      </c>
      <c r="O94" s="340">
        <f t="shared" si="32"/>
        <v>4.1480163994740492E-2</v>
      </c>
      <c r="P94" s="340">
        <f t="shared" si="32"/>
        <v>3.9033854621521272E-2</v>
      </c>
      <c r="Q94" s="340">
        <f t="shared" si="32"/>
        <v>3.1959008455492009E-2</v>
      </c>
      <c r="R94" s="340">
        <f t="shared" si="32"/>
        <v>2.104778000747989E-2</v>
      </c>
      <c r="S94" s="340">
        <f t="shared" si="32"/>
        <v>3.4784566262294238E-2</v>
      </c>
      <c r="T94" s="340">
        <f t="shared" si="32"/>
        <v>3.4534713971028454E-2</v>
      </c>
      <c r="U94" s="340">
        <f t="shared" si="32"/>
        <v>3.5354127076644315E-2</v>
      </c>
      <c r="V94" s="340">
        <f t="shared" si="32"/>
        <v>4.4236477290591561E-2</v>
      </c>
      <c r="W94" s="340">
        <f t="shared" si="32"/>
        <v>4.5583258266959234E-2</v>
      </c>
      <c r="X94" s="340">
        <f t="shared" si="32"/>
        <v>3.1366837361192793E-2</v>
      </c>
      <c r="Y94" s="340">
        <f t="shared" si="32"/>
        <v>3.1045967308503696E-2</v>
      </c>
      <c r="Z94" s="340">
        <f t="shared" si="32"/>
        <v>1.4821210939121872E-2</v>
      </c>
      <c r="AA94" s="340">
        <f t="shared" si="32"/>
        <v>2.4944921313930661E-2</v>
      </c>
      <c r="AB94" s="340">
        <f t="shared" si="32"/>
        <v>3.408753374873149E-2</v>
      </c>
      <c r="AC94" s="340">
        <f t="shared" si="32"/>
        <v>2.9523707422365611E-2</v>
      </c>
      <c r="AD94" s="340">
        <f t="shared" si="32"/>
        <v>2.747891013217732E-2</v>
      </c>
      <c r="AE94" s="340">
        <f t="shared" si="32"/>
        <v>2.530574970626517E-2</v>
      </c>
      <c r="AF94" s="340">
        <f t="shared" si="32"/>
        <v>1.6224139819502721E-2</v>
      </c>
      <c r="AG94" s="340">
        <f t="shared" si="32"/>
        <v>2.6796220978011962E-2</v>
      </c>
      <c r="AH94" s="340">
        <f t="shared" si="32"/>
        <v>4.0615999537057419E-2</v>
      </c>
      <c r="AI94" s="340">
        <f t="shared" si="32"/>
        <v>5.4500308855485822E-3</v>
      </c>
      <c r="AJ94" s="340">
        <f t="shared" si="32"/>
        <v>2.5121783758022109E-3</v>
      </c>
      <c r="AK94" s="340">
        <f t="shared" si="32"/>
        <v>1.1399452797281669E-2</v>
      </c>
      <c r="AL94" s="340">
        <f t="shared" si="32"/>
        <v>2.251425787715515E-2</v>
      </c>
    </row>
    <row r="95" spans="1:41" x14ac:dyDescent="0.2">
      <c r="A95" s="33"/>
      <c r="B95" s="181" t="s">
        <v>485</v>
      </c>
      <c r="C95" s="75" t="s">
        <v>975</v>
      </c>
      <c r="F95" s="340">
        <f t="shared" si="29"/>
        <v>5.9825688922156717E-3</v>
      </c>
      <c r="G95" s="340">
        <f t="shared" si="32"/>
        <v>1.4575678209291343E-2</v>
      </c>
      <c r="H95" s="340">
        <f t="shared" si="32"/>
        <v>9.1742412194302774E-3</v>
      </c>
      <c r="I95" s="340">
        <f t="shared" si="32"/>
        <v>1.5472069987950849E-2</v>
      </c>
      <c r="J95" s="340">
        <f t="shared" si="32"/>
        <v>1.7016923186094577E-2</v>
      </c>
      <c r="K95" s="340">
        <f t="shared" si="32"/>
        <v>1.8897539295251963E-2</v>
      </c>
      <c r="L95" s="340">
        <f t="shared" si="32"/>
        <v>1.458376439740269E-2</v>
      </c>
      <c r="M95" s="340">
        <f t="shared" si="32"/>
        <v>1.3171082834368273E-2</v>
      </c>
      <c r="N95" s="340">
        <f t="shared" si="32"/>
        <v>2.0134350004699975E-2</v>
      </c>
      <c r="O95" s="340">
        <f t="shared" si="32"/>
        <v>2.0719126084769373E-2</v>
      </c>
      <c r="P95" s="340">
        <f t="shared" si="32"/>
        <v>2.1312231578595905E-2</v>
      </c>
      <c r="Q95" s="340">
        <f t="shared" si="32"/>
        <v>1.2788646190051191E-2</v>
      </c>
      <c r="R95" s="340">
        <f t="shared" si="32"/>
        <v>4.6404021556807938E-3</v>
      </c>
      <c r="S95" s="340">
        <f t="shared" si="32"/>
        <v>1.5902328907098331E-2</v>
      </c>
      <c r="T95" s="340">
        <f t="shared" si="32"/>
        <v>1.4694759154539754E-2</v>
      </c>
      <c r="U95" s="340">
        <f t="shared" si="32"/>
        <v>1.4807104474381758E-2</v>
      </c>
      <c r="V95" s="340">
        <f t="shared" si="32"/>
        <v>2.1338534178283436E-2</v>
      </c>
      <c r="W95" s="340">
        <f t="shared" si="32"/>
        <v>8.3723751068768837E-3</v>
      </c>
      <c r="X95" s="340">
        <f t="shared" si="32"/>
        <v>3.6775461916016732E-3</v>
      </c>
      <c r="Y95" s="340">
        <f t="shared" si="32"/>
        <v>1.0624201211500412E-2</v>
      </c>
      <c r="Z95" s="340">
        <f t="shared" si="32"/>
        <v>5.0033608818510133E-3</v>
      </c>
      <c r="AA95" s="340">
        <f t="shared" si="32"/>
        <v>7.5443874726722178E-3</v>
      </c>
      <c r="AB95" s="340">
        <f t="shared" si="32"/>
        <v>1.6755714689702009E-2</v>
      </c>
      <c r="AC95" s="340">
        <f t="shared" si="32"/>
        <v>1.0456945061027517E-2</v>
      </c>
      <c r="AD95" s="340">
        <f t="shared" si="32"/>
        <v>7.5467952501700125E-3</v>
      </c>
      <c r="AE95" s="340">
        <f t="shared" si="32"/>
        <v>7.3620385182375904E-3</v>
      </c>
      <c r="AF95" s="340">
        <f t="shared" si="32"/>
        <v>4.1553272030471567E-3</v>
      </c>
      <c r="AG95" s="340">
        <f t="shared" si="32"/>
        <v>1.0706645541959003E-2</v>
      </c>
      <c r="AH95" s="340">
        <f t="shared" si="32"/>
        <v>1.7602265275739926E-2</v>
      </c>
      <c r="AI95" s="340">
        <f t="shared" si="32"/>
        <v>3.2234321245028512E-3</v>
      </c>
      <c r="AJ95" s="340">
        <f t="shared" si="32"/>
        <v>9.2548156895326951E-4</v>
      </c>
      <c r="AK95" s="340">
        <f t="shared" si="32"/>
        <v>6.2118432695599723E-3</v>
      </c>
      <c r="AL95" s="340">
        <f t="shared" si="32"/>
        <v>8.5102274397230691E-3</v>
      </c>
    </row>
    <row r="96" spans="1:41" x14ac:dyDescent="0.2">
      <c r="A96" s="33"/>
      <c r="B96" s="181"/>
      <c r="C96" s="75"/>
      <c r="F96" s="340"/>
      <c r="G96" s="340"/>
      <c r="H96" s="340"/>
      <c r="I96" s="340"/>
      <c r="J96" s="340"/>
      <c r="K96" s="340"/>
      <c r="L96" s="340"/>
      <c r="M96" s="340"/>
      <c r="N96" s="340"/>
      <c r="O96" s="340"/>
      <c r="P96" s="340"/>
      <c r="Q96" s="340"/>
      <c r="R96" s="340"/>
      <c r="S96" s="340"/>
      <c r="T96" s="340"/>
      <c r="U96" s="340"/>
      <c r="V96" s="340"/>
      <c r="W96" s="340"/>
      <c r="X96" s="340"/>
      <c r="Y96" s="340"/>
      <c r="Z96" s="340"/>
      <c r="AA96" s="340"/>
      <c r="AB96" s="340"/>
      <c r="AC96" s="340"/>
      <c r="AD96" s="340"/>
      <c r="AE96" s="340"/>
      <c r="AF96" s="340"/>
      <c r="AG96" s="340"/>
      <c r="AH96" s="340"/>
      <c r="AI96" s="340"/>
      <c r="AJ96" s="340"/>
      <c r="AK96" s="340"/>
      <c r="AL96" s="340"/>
    </row>
    <row r="97" spans="1:38" x14ac:dyDescent="0.2">
      <c r="A97" s="33"/>
      <c r="B97" s="76" t="s">
        <v>486</v>
      </c>
      <c r="C97" s="75" t="s">
        <v>975</v>
      </c>
      <c r="F97" s="340">
        <f>F190/F$219</f>
        <v>7.5537525345022009E-4</v>
      </c>
      <c r="G97" s="340">
        <f t="shared" si="32"/>
        <v>4.4107290497593777E-5</v>
      </c>
      <c r="H97" s="340">
        <f t="shared" si="32"/>
        <v>3.8465666554821304E-4</v>
      </c>
      <c r="I97" s="340">
        <f t="shared" si="32"/>
        <v>4.6076743078895511E-5</v>
      </c>
      <c r="J97" s="340">
        <f t="shared" si="32"/>
        <v>7.1703092782031923E-5</v>
      </c>
      <c r="K97" s="340">
        <f t="shared" si="32"/>
        <v>5.5930313315272776E-5</v>
      </c>
      <c r="L97" s="340">
        <f t="shared" si="32"/>
        <v>4.1275594806759457E-5</v>
      </c>
      <c r="M97" s="340">
        <f t="shared" si="32"/>
        <v>6.2477728736116825E-5</v>
      </c>
      <c r="N97" s="340">
        <f t="shared" si="32"/>
        <v>2.4492633971246396E-4</v>
      </c>
      <c r="O97" s="340">
        <f t="shared" si="32"/>
        <v>5.3979575553021583E-5</v>
      </c>
      <c r="P97" s="340">
        <f t="shared" si="32"/>
        <v>1.2018122455812799E-4</v>
      </c>
      <c r="Q97" s="340">
        <f t="shared" si="32"/>
        <v>3.7391565527102055E-4</v>
      </c>
      <c r="R97" s="340">
        <f t="shared" si="32"/>
        <v>1.7616198057168994E-4</v>
      </c>
      <c r="S97" s="340">
        <f t="shared" si="32"/>
        <v>3.6280197522248832E-3</v>
      </c>
      <c r="T97" s="340">
        <f t="shared" si="32"/>
        <v>2.9787211904742632E-3</v>
      </c>
      <c r="U97" s="340">
        <f t="shared" si="32"/>
        <v>6.8086476210250917E-3</v>
      </c>
      <c r="V97" s="340">
        <f t="shared" si="32"/>
        <v>6.6947375097110547E-4</v>
      </c>
      <c r="W97" s="340">
        <f t="shared" si="32"/>
        <v>1.672094087402119E-4</v>
      </c>
      <c r="X97" s="340">
        <f t="shared" si="32"/>
        <v>1.4052589979715289E-3</v>
      </c>
      <c r="Y97" s="340">
        <f t="shared" si="32"/>
        <v>1.867057824666149E-3</v>
      </c>
      <c r="Z97" s="340">
        <f t="shared" si="32"/>
        <v>2.3292608311325466E-3</v>
      </c>
      <c r="AA97" s="340">
        <f t="shared" si="32"/>
        <v>4.6677725035154504E-3</v>
      </c>
      <c r="AB97" s="340">
        <f t="shared" si="32"/>
        <v>1.9885062953141283E-3</v>
      </c>
      <c r="AC97" s="340">
        <f t="shared" si="32"/>
        <v>1.3337392077112744E-3</v>
      </c>
      <c r="AD97" s="340">
        <f t="shared" si="32"/>
        <v>4.5451481289902337E-4</v>
      </c>
      <c r="AE97" s="340">
        <f t="shared" si="32"/>
        <v>3.842451193996968E-4</v>
      </c>
      <c r="AF97" s="340">
        <f t="shared" si="32"/>
        <v>4.7062390316114754E-5</v>
      </c>
      <c r="AG97" s="340">
        <f t="shared" si="32"/>
        <v>2.5048616172195478E-3</v>
      </c>
      <c r="AH97" s="340">
        <f t="shared" si="32"/>
        <v>2.5840237955903245E-4</v>
      </c>
      <c r="AI97" s="340">
        <f t="shared" si="32"/>
        <v>2.0094366596597893E-3</v>
      </c>
      <c r="AJ97" s="340">
        <f t="shared" si="32"/>
        <v>5.8744317635147491E-3</v>
      </c>
      <c r="AK97" s="340">
        <f t="shared" si="32"/>
        <v>3.346240812666359E-3</v>
      </c>
      <c r="AL97" s="340">
        <f t="shared" si="32"/>
        <v>1.8711769861437305E-3</v>
      </c>
    </row>
    <row r="98" spans="1:38" x14ac:dyDescent="0.2">
      <c r="A98" s="33"/>
      <c r="B98" s="76" t="s">
        <v>487</v>
      </c>
      <c r="C98" s="75" t="s">
        <v>975</v>
      </c>
      <c r="F98" s="340">
        <f t="shared" ref="F98:F113" si="33">F191/F$219</f>
        <v>4.6077442663390658E-3</v>
      </c>
      <c r="G98" s="340">
        <f t="shared" si="32"/>
        <v>5.8762908861314839E-4</v>
      </c>
      <c r="H98" s="340">
        <f t="shared" si="32"/>
        <v>2.2039521411568149E-3</v>
      </c>
      <c r="I98" s="340">
        <f t="shared" si="32"/>
        <v>4.2647222152820139E-4</v>
      </c>
      <c r="J98" s="340">
        <f t="shared" si="32"/>
        <v>5.9760905376082395E-4</v>
      </c>
      <c r="K98" s="340">
        <f t="shared" si="32"/>
        <v>6.3797068660608304E-4</v>
      </c>
      <c r="L98" s="340">
        <f t="shared" si="32"/>
        <v>3.8208456581258286E-4</v>
      </c>
      <c r="M98" s="340">
        <f t="shared" si="32"/>
        <v>4.7084002627332909E-4</v>
      </c>
      <c r="N98" s="340">
        <f t="shared" si="32"/>
        <v>1.7048575881189361E-3</v>
      </c>
      <c r="O98" s="340">
        <f t="shared" si="32"/>
        <v>4.0830989592710544E-4</v>
      </c>
      <c r="P98" s="340">
        <f t="shared" si="32"/>
        <v>8.8817640702578272E-4</v>
      </c>
      <c r="Q98" s="340">
        <f t="shared" si="32"/>
        <v>3.2264504319450505E-3</v>
      </c>
      <c r="R98" s="340">
        <f t="shared" si="32"/>
        <v>1.1573740495688226E-3</v>
      </c>
      <c r="S98" s="340">
        <f t="shared" si="32"/>
        <v>2.1094364307949105E-2</v>
      </c>
      <c r="T98" s="340">
        <f t="shared" ref="G98:AL108" si="34">T191/T$219</f>
        <v>1.6095287777270116E-2</v>
      </c>
      <c r="U98" s="340">
        <f t="shared" si="34"/>
        <v>4.0441531045945896E-2</v>
      </c>
      <c r="V98" s="340">
        <f t="shared" si="34"/>
        <v>4.5779521058681109E-3</v>
      </c>
      <c r="W98" s="340">
        <f t="shared" si="34"/>
        <v>1.3746293492983E-3</v>
      </c>
      <c r="X98" s="340">
        <f t="shared" si="34"/>
        <v>1.1447607679497507E-2</v>
      </c>
      <c r="Y98" s="340">
        <f t="shared" si="34"/>
        <v>1.2269840158680396E-2</v>
      </c>
      <c r="Z98" s="340">
        <f t="shared" si="34"/>
        <v>1.6231420614363883E-2</v>
      </c>
      <c r="AA98" s="340">
        <f t="shared" si="34"/>
        <v>3.5897168044011898E-2</v>
      </c>
      <c r="AB98" s="340">
        <f t="shared" si="34"/>
        <v>1.2220369117540635E-2</v>
      </c>
      <c r="AC98" s="340">
        <f t="shared" si="34"/>
        <v>9.105572880509059E-3</v>
      </c>
      <c r="AD98" s="340">
        <f t="shared" si="34"/>
        <v>4.1931995757601096E-3</v>
      </c>
      <c r="AE98" s="340">
        <f t="shared" si="34"/>
        <v>2.9916359145365128E-3</v>
      </c>
      <c r="AF98" s="340">
        <f t="shared" si="34"/>
        <v>9.9617350209844154E-4</v>
      </c>
      <c r="AG98" s="340">
        <f t="shared" si="34"/>
        <v>1.6307603411442186E-2</v>
      </c>
      <c r="AH98" s="340">
        <f t="shared" si="34"/>
        <v>1.6784257083614837E-3</v>
      </c>
      <c r="AI98" s="340">
        <f t="shared" si="34"/>
        <v>1.2235919752927154E-2</v>
      </c>
      <c r="AJ98" s="340">
        <f t="shared" si="34"/>
        <v>4.1789263166092265E-2</v>
      </c>
      <c r="AK98" s="340">
        <f t="shared" si="34"/>
        <v>2.8931066539765106E-2</v>
      </c>
      <c r="AL98" s="340">
        <f t="shared" si="34"/>
        <v>2.0421548155266155E-2</v>
      </c>
    </row>
    <row r="99" spans="1:38" x14ac:dyDescent="0.2">
      <c r="A99" s="33"/>
      <c r="B99" s="76" t="s">
        <v>488</v>
      </c>
      <c r="C99" s="75" t="s">
        <v>975</v>
      </c>
      <c r="F99" s="340">
        <f t="shared" si="33"/>
        <v>1.8296404310269712E-4</v>
      </c>
      <c r="G99" s="340">
        <f t="shared" si="34"/>
        <v>3.9893079078764267E-5</v>
      </c>
      <c r="H99" s="340">
        <f t="shared" si="34"/>
        <v>9.0393370371696379E-5</v>
      </c>
      <c r="I99" s="340">
        <f t="shared" si="34"/>
        <v>2.6299913116565443E-5</v>
      </c>
      <c r="J99" s="340">
        <f t="shared" si="34"/>
        <v>3.6466998102307109E-5</v>
      </c>
      <c r="K99" s="340">
        <f t="shared" si="34"/>
        <v>7.9569848678347105E-5</v>
      </c>
      <c r="L99" s="340">
        <f t="shared" si="34"/>
        <v>3.2625567067216955E-5</v>
      </c>
      <c r="M99" s="340">
        <f t="shared" si="34"/>
        <v>2.9368920019703336E-5</v>
      </c>
      <c r="N99" s="340">
        <f t="shared" si="34"/>
        <v>7.5045474145263129E-5</v>
      </c>
      <c r="O99" s="340">
        <f t="shared" si="34"/>
        <v>2.4991072998033398E-5</v>
      </c>
      <c r="P99" s="340">
        <f t="shared" si="34"/>
        <v>4.8279087651438967E-5</v>
      </c>
      <c r="Q99" s="340">
        <f t="shared" si="34"/>
        <v>2.0791646358456911E-4</v>
      </c>
      <c r="R99" s="340">
        <f t="shared" si="34"/>
        <v>3.4976925878460623E-5</v>
      </c>
      <c r="S99" s="340">
        <f t="shared" si="34"/>
        <v>1.1220081817239671E-3</v>
      </c>
      <c r="T99" s="340">
        <f t="shared" si="34"/>
        <v>9.094176444885819E-4</v>
      </c>
      <c r="U99" s="340">
        <f t="shared" si="34"/>
        <v>1.5082210744001229E-3</v>
      </c>
      <c r="V99" s="340">
        <f t="shared" si="34"/>
        <v>2.1215659636368279E-4</v>
      </c>
      <c r="W99" s="340">
        <f t="shared" si="34"/>
        <v>6.7674207973765775E-5</v>
      </c>
      <c r="X99" s="340">
        <f t="shared" si="34"/>
        <v>5.058477327709197E-4</v>
      </c>
      <c r="Y99" s="340">
        <f t="shared" si="34"/>
        <v>4.9666369195743552E-4</v>
      </c>
      <c r="Z99" s="340">
        <f t="shared" si="34"/>
        <v>1.7689380249189546E-3</v>
      </c>
      <c r="AA99" s="340">
        <f t="shared" si="34"/>
        <v>2.5242449916316593E-3</v>
      </c>
      <c r="AB99" s="340">
        <f t="shared" si="34"/>
        <v>7.6367811382915352E-4</v>
      </c>
      <c r="AC99" s="340">
        <f t="shared" si="34"/>
        <v>8.2445971905163457E-4</v>
      </c>
      <c r="AD99" s="340">
        <f t="shared" si="34"/>
        <v>3.3569181511123821E-4</v>
      </c>
      <c r="AE99" s="340">
        <f t="shared" si="34"/>
        <v>1.1086749400610021E-4</v>
      </c>
      <c r="AF99" s="340">
        <f t="shared" si="34"/>
        <v>9.6409569998755963E-5</v>
      </c>
      <c r="AG99" s="340">
        <f t="shared" si="34"/>
        <v>7.3647905542937936E-4</v>
      </c>
      <c r="AH99" s="340">
        <f t="shared" si="34"/>
        <v>5.6154316352017361E-5</v>
      </c>
      <c r="AI99" s="340">
        <f t="shared" si="34"/>
        <v>9.6342714812733103E-4</v>
      </c>
      <c r="AJ99" s="340">
        <f t="shared" si="34"/>
        <v>2.8940665741161351E-3</v>
      </c>
      <c r="AK99" s="340">
        <f t="shared" si="34"/>
        <v>6.7705247029041548E-4</v>
      </c>
      <c r="AL99" s="340">
        <f t="shared" si="34"/>
        <v>5.6259538596189075E-4</v>
      </c>
    </row>
    <row r="100" spans="1:38" x14ac:dyDescent="0.2">
      <c r="A100" s="33"/>
      <c r="B100" s="76"/>
      <c r="C100" s="75"/>
      <c r="F100" s="340"/>
      <c r="G100" s="340"/>
      <c r="H100" s="340"/>
      <c r="I100" s="340"/>
      <c r="J100" s="340"/>
      <c r="K100" s="340"/>
      <c r="L100" s="340"/>
      <c r="M100" s="340"/>
      <c r="N100" s="340"/>
      <c r="O100" s="340"/>
      <c r="P100" s="340"/>
      <c r="Q100" s="340"/>
      <c r="R100" s="340"/>
      <c r="S100" s="340"/>
      <c r="T100" s="340"/>
      <c r="U100" s="340"/>
      <c r="V100" s="340"/>
      <c r="W100" s="340"/>
      <c r="X100" s="340"/>
      <c r="Y100" s="340"/>
      <c r="Z100" s="340"/>
      <c r="AA100" s="340"/>
      <c r="AB100" s="340"/>
      <c r="AC100" s="340"/>
      <c r="AD100" s="340"/>
      <c r="AE100" s="340"/>
      <c r="AF100" s="340"/>
      <c r="AG100" s="340"/>
      <c r="AH100" s="340"/>
      <c r="AI100" s="340"/>
      <c r="AJ100" s="340"/>
      <c r="AK100" s="340"/>
      <c r="AL100" s="340"/>
    </row>
    <row r="101" spans="1:38" x14ac:dyDescent="0.2">
      <c r="A101" s="33"/>
      <c r="B101" s="181" t="s">
        <v>489</v>
      </c>
      <c r="C101" s="75" t="s">
        <v>975</v>
      </c>
      <c r="F101" s="340">
        <f t="shared" si="33"/>
        <v>1.8382686369436169E-3</v>
      </c>
      <c r="G101" s="340">
        <f t="shared" si="34"/>
        <v>1.9580361687082802E-3</v>
      </c>
      <c r="H101" s="340">
        <f t="shared" si="34"/>
        <v>1.4714331531790682E-3</v>
      </c>
      <c r="I101" s="340">
        <f t="shared" si="34"/>
        <v>2.3103104484182898E-3</v>
      </c>
      <c r="J101" s="340">
        <f t="shared" si="34"/>
        <v>8.6558137937634873E-4</v>
      </c>
      <c r="K101" s="340">
        <f t="shared" si="34"/>
        <v>1.1503664586934562E-3</v>
      </c>
      <c r="L101" s="340">
        <f t="shared" si="34"/>
        <v>6.0566223366966595E-4</v>
      </c>
      <c r="M101" s="340">
        <f t="shared" si="34"/>
        <v>7.5701502576444514E-4</v>
      </c>
      <c r="N101" s="340">
        <f t="shared" si="34"/>
        <v>3.2994867268799103E-3</v>
      </c>
      <c r="O101" s="340">
        <f t="shared" si="34"/>
        <v>4.2995816944575724E-3</v>
      </c>
      <c r="P101" s="340">
        <f t="shared" si="34"/>
        <v>3.2318333267452926E-3</v>
      </c>
      <c r="Q101" s="340">
        <f t="shared" si="34"/>
        <v>2.002517161633455E-3</v>
      </c>
      <c r="R101" s="340">
        <f t="shared" si="34"/>
        <v>2.610286939819424E-4</v>
      </c>
      <c r="S101" s="340">
        <f t="shared" si="34"/>
        <v>1.7864966061120436E-3</v>
      </c>
      <c r="T101" s="340">
        <f t="shared" si="34"/>
        <v>2.031384426535574E-3</v>
      </c>
      <c r="U101" s="340">
        <f t="shared" si="34"/>
        <v>7.0680078777312022E-3</v>
      </c>
      <c r="V101" s="340">
        <f t="shared" si="34"/>
        <v>5.1030704117324315E-3</v>
      </c>
      <c r="W101" s="340">
        <f t="shared" si="34"/>
        <v>7.1000208458496506E-4</v>
      </c>
      <c r="X101" s="340">
        <f t="shared" si="34"/>
        <v>3.3397201575977443E-3</v>
      </c>
      <c r="Y101" s="340">
        <f t="shared" si="34"/>
        <v>1.4877010253657908E-3</v>
      </c>
      <c r="Z101" s="340">
        <f t="shared" si="34"/>
        <v>4.0852950101061603E-2</v>
      </c>
      <c r="AA101" s="340">
        <f t="shared" si="34"/>
        <v>7.1849283262526206E-3</v>
      </c>
      <c r="AB101" s="340">
        <f t="shared" si="34"/>
        <v>2.7499722454727239E-2</v>
      </c>
      <c r="AC101" s="340">
        <f t="shared" si="34"/>
        <v>1.0737625117622936E-2</v>
      </c>
      <c r="AD101" s="340">
        <f t="shared" si="34"/>
        <v>2.8772648243461569E-3</v>
      </c>
      <c r="AE101" s="340">
        <f t="shared" si="34"/>
        <v>2.16173373233693E-2</v>
      </c>
      <c r="AF101" s="340">
        <f t="shared" si="34"/>
        <v>7.6233313993073152E-4</v>
      </c>
      <c r="AG101" s="340">
        <f t="shared" si="34"/>
        <v>1.0289078165490078E-2</v>
      </c>
      <c r="AH101" s="340">
        <f t="shared" si="34"/>
        <v>1.5700693948949114E-3</v>
      </c>
      <c r="AI101" s="340">
        <f t="shared" si="34"/>
        <v>3.5734612141403777E-2</v>
      </c>
      <c r="AJ101" s="340">
        <f t="shared" si="34"/>
        <v>6.1114521534287702E-2</v>
      </c>
      <c r="AK101" s="340">
        <f t="shared" si="34"/>
        <v>1.8974757467260447E-2</v>
      </c>
      <c r="AL101" s="340">
        <f t="shared" si="34"/>
        <v>1.273824483163169E-2</v>
      </c>
    </row>
    <row r="102" spans="1:38" x14ac:dyDescent="0.2">
      <c r="A102" s="33"/>
      <c r="B102" s="181" t="s">
        <v>490</v>
      </c>
      <c r="C102" s="75" t="s">
        <v>975</v>
      </c>
      <c r="F102" s="340">
        <f t="shared" si="33"/>
        <v>2.7817251507701531E-2</v>
      </c>
      <c r="G102" s="340">
        <f t="shared" si="34"/>
        <v>3.3205439295755791E-2</v>
      </c>
      <c r="H102" s="340">
        <f t="shared" si="34"/>
        <v>2.5050174073743839E-2</v>
      </c>
      <c r="I102" s="340">
        <f t="shared" si="34"/>
        <v>2.4088355835429523E-2</v>
      </c>
      <c r="J102" s="340">
        <f t="shared" si="34"/>
        <v>9.7518519074841787E-3</v>
      </c>
      <c r="K102" s="340">
        <f t="shared" si="34"/>
        <v>1.5947050396650807E-2</v>
      </c>
      <c r="L102" s="340">
        <f t="shared" si="34"/>
        <v>1.1124763513338206E-2</v>
      </c>
      <c r="M102" s="340">
        <f t="shared" si="34"/>
        <v>1.0513046793861619E-2</v>
      </c>
      <c r="N102" s="340">
        <f t="shared" si="34"/>
        <v>2.9882821558996412E-2</v>
      </c>
      <c r="O102" s="340">
        <f t="shared" si="34"/>
        <v>3.7954643743889696E-2</v>
      </c>
      <c r="P102" s="340">
        <f t="shared" si="34"/>
        <v>3.7464815923225335E-2</v>
      </c>
      <c r="Q102" s="340">
        <f t="shared" si="34"/>
        <v>3.075622292642401E-2</v>
      </c>
      <c r="R102" s="340">
        <f t="shared" si="34"/>
        <v>3.1385851194457642E-3</v>
      </c>
      <c r="S102" s="340">
        <f t="shared" si="34"/>
        <v>2.0605640543551993E-2</v>
      </c>
      <c r="T102" s="340">
        <f t="shared" si="34"/>
        <v>2.1011568811525393E-2</v>
      </c>
      <c r="U102" s="340">
        <f t="shared" si="34"/>
        <v>8.1978027029125586E-2</v>
      </c>
      <c r="V102" s="340">
        <f t="shared" si="34"/>
        <v>5.698385517485071E-2</v>
      </c>
      <c r="W102" s="340">
        <f t="shared" si="34"/>
        <v>1.0920571291846032E-2</v>
      </c>
      <c r="X102" s="340">
        <f t="shared" si="34"/>
        <v>4.079835883827939E-2</v>
      </c>
      <c r="Y102" s="340">
        <f t="shared" si="34"/>
        <v>1.9963046067855515E-2</v>
      </c>
      <c r="Z102" s="340">
        <f t="shared" si="34"/>
        <v>0.50988910348153149</v>
      </c>
      <c r="AA102" s="340">
        <f t="shared" si="34"/>
        <v>9.8997986966158774E-2</v>
      </c>
      <c r="AB102" s="340">
        <f t="shared" si="34"/>
        <v>0.20178324283426327</v>
      </c>
      <c r="AC102" s="340">
        <f t="shared" si="34"/>
        <v>0.10546341357576462</v>
      </c>
      <c r="AD102" s="340">
        <f t="shared" si="34"/>
        <v>5.1946988756872425E-2</v>
      </c>
      <c r="AE102" s="340">
        <f t="shared" si="34"/>
        <v>0.20253879497779331</v>
      </c>
      <c r="AF102" s="340">
        <f t="shared" si="34"/>
        <v>1.1774395085748401E-2</v>
      </c>
      <c r="AG102" s="340">
        <f t="shared" si="34"/>
        <v>0.11944169164080649</v>
      </c>
      <c r="AH102" s="340">
        <f t="shared" si="34"/>
        <v>2.1675957000594496E-2</v>
      </c>
      <c r="AI102" s="340">
        <f t="shared" si="34"/>
        <v>0.35629562446445651</v>
      </c>
      <c r="AJ102" s="340">
        <f t="shared" si="34"/>
        <v>0.62486879666700379</v>
      </c>
      <c r="AK102" s="340">
        <f t="shared" si="34"/>
        <v>0.20446965006461709</v>
      </c>
      <c r="AL102" s="340">
        <f t="shared" si="34"/>
        <v>0.13302585725231478</v>
      </c>
    </row>
    <row r="103" spans="1:38" x14ac:dyDescent="0.2">
      <c r="A103" s="33"/>
      <c r="B103" s="181" t="s">
        <v>491</v>
      </c>
      <c r="C103" s="75" t="s">
        <v>975</v>
      </c>
      <c r="F103" s="340">
        <f t="shared" si="33"/>
        <v>2.260168112339016E-3</v>
      </c>
      <c r="G103" s="340">
        <f t="shared" si="34"/>
        <v>3.9370342180490812E-3</v>
      </c>
      <c r="H103" s="340">
        <f t="shared" si="34"/>
        <v>9.5876572618419078E-4</v>
      </c>
      <c r="I103" s="340">
        <f t="shared" si="34"/>
        <v>3.9719624746997889E-3</v>
      </c>
      <c r="J103" s="340">
        <f t="shared" si="34"/>
        <v>1.3883173187794993E-3</v>
      </c>
      <c r="K103" s="340">
        <f t="shared" si="34"/>
        <v>1.9599111303415027E-3</v>
      </c>
      <c r="L103" s="340">
        <f t="shared" si="34"/>
        <v>6.6380202762175364E-4</v>
      </c>
      <c r="M103" s="340">
        <f t="shared" si="34"/>
        <v>1.2538396936822406E-3</v>
      </c>
      <c r="N103" s="340">
        <f t="shared" si="34"/>
        <v>4.4041003237832868E-3</v>
      </c>
      <c r="O103" s="340">
        <f t="shared" si="34"/>
        <v>5.8255219068873362E-3</v>
      </c>
      <c r="P103" s="340">
        <f t="shared" si="34"/>
        <v>4.6468310306122997E-3</v>
      </c>
      <c r="Q103" s="340">
        <f t="shared" si="34"/>
        <v>1.81228578245857E-3</v>
      </c>
      <c r="R103" s="340">
        <f t="shared" si="34"/>
        <v>3.6730137969202012E-4</v>
      </c>
      <c r="S103" s="340">
        <f t="shared" si="34"/>
        <v>2.2088782545754493E-3</v>
      </c>
      <c r="T103" s="340">
        <f t="shared" si="34"/>
        <v>2.8037795843476442E-3</v>
      </c>
      <c r="U103" s="340">
        <f t="shared" si="34"/>
        <v>9.4344084309048015E-3</v>
      </c>
      <c r="V103" s="340">
        <f t="shared" si="34"/>
        <v>6.6502880375295462E-3</v>
      </c>
      <c r="W103" s="340">
        <f t="shared" si="34"/>
        <v>8.4118973307609332E-4</v>
      </c>
      <c r="X103" s="340">
        <f t="shared" si="34"/>
        <v>3.9798120619195148E-3</v>
      </c>
      <c r="Y103" s="340">
        <f t="shared" si="34"/>
        <v>2.2229894426144658E-3</v>
      </c>
      <c r="Z103" s="340">
        <f t="shared" si="34"/>
        <v>7.7985393601917141E-2</v>
      </c>
      <c r="AA103" s="340">
        <f t="shared" si="34"/>
        <v>1.0354964069339124E-2</v>
      </c>
      <c r="AB103" s="340">
        <f t="shared" si="34"/>
        <v>2.3398255623407874E-2</v>
      </c>
      <c r="AC103" s="340">
        <f t="shared" si="34"/>
        <v>1.4976286889838566E-2</v>
      </c>
      <c r="AD103" s="340">
        <f t="shared" si="34"/>
        <v>5.3549526900004661E-3</v>
      </c>
      <c r="AE103" s="340">
        <f t="shared" si="34"/>
        <v>1.2879152438856362E-2</v>
      </c>
      <c r="AF103" s="340">
        <f t="shared" si="34"/>
        <v>1.1092705757415004E-3</v>
      </c>
      <c r="AG103" s="340">
        <f t="shared" si="34"/>
        <v>1.6555112422828505E-2</v>
      </c>
      <c r="AH103" s="340">
        <f t="shared" si="34"/>
        <v>1.8962188133506122E-3</v>
      </c>
      <c r="AI103" s="340">
        <f t="shared" si="34"/>
        <v>7.5026091621386001E-2</v>
      </c>
      <c r="AJ103" s="340">
        <f t="shared" si="34"/>
        <v>2.4599349549700552E-2</v>
      </c>
      <c r="AK103" s="340">
        <f t="shared" si="34"/>
        <v>4.6478525297678937E-3</v>
      </c>
      <c r="AL103" s="340">
        <f t="shared" si="34"/>
        <v>6.3813742770596699E-3</v>
      </c>
    </row>
    <row r="104" spans="1:38" x14ac:dyDescent="0.2">
      <c r="A104" s="33"/>
      <c r="B104" s="182"/>
      <c r="C104" s="75"/>
      <c r="F104" s="340"/>
      <c r="G104" s="340"/>
      <c r="H104" s="340"/>
      <c r="I104" s="340"/>
      <c r="J104" s="340"/>
      <c r="K104" s="340"/>
      <c r="L104" s="340"/>
      <c r="M104" s="340"/>
      <c r="N104" s="340"/>
      <c r="O104" s="340"/>
      <c r="P104" s="340"/>
      <c r="Q104" s="340"/>
      <c r="R104" s="340"/>
      <c r="S104" s="340"/>
      <c r="T104" s="340"/>
      <c r="U104" s="340"/>
      <c r="V104" s="340"/>
      <c r="W104" s="340"/>
      <c r="X104" s="340"/>
      <c r="Y104" s="340"/>
      <c r="Z104" s="340"/>
      <c r="AA104" s="340"/>
      <c r="AB104" s="340"/>
      <c r="AC104" s="340"/>
      <c r="AD104" s="340"/>
      <c r="AE104" s="340"/>
      <c r="AF104" s="340"/>
      <c r="AG104" s="340"/>
      <c r="AH104" s="340"/>
      <c r="AI104" s="340"/>
      <c r="AJ104" s="340"/>
      <c r="AK104" s="340"/>
      <c r="AL104" s="340"/>
    </row>
    <row r="105" spans="1:38" x14ac:dyDescent="0.2">
      <c r="A105" s="33"/>
      <c r="B105" s="76" t="s">
        <v>492</v>
      </c>
      <c r="C105" s="75" t="s">
        <v>975</v>
      </c>
      <c r="F105" s="340">
        <f t="shared" si="33"/>
        <v>1.1536550557101305E-3</v>
      </c>
      <c r="G105" s="340">
        <f t="shared" si="34"/>
        <v>3.3192701275748617E-3</v>
      </c>
      <c r="H105" s="340">
        <f t="shared" si="34"/>
        <v>1.4828694202989006E-2</v>
      </c>
      <c r="I105" s="340">
        <f t="shared" si="34"/>
        <v>4.2340102590738091E-3</v>
      </c>
      <c r="J105" s="340">
        <f t="shared" si="34"/>
        <v>3.8608186268999532E-3</v>
      </c>
      <c r="K105" s="340">
        <f t="shared" si="34"/>
        <v>3.723105914122499E-3</v>
      </c>
      <c r="L105" s="340">
        <f t="shared" si="34"/>
        <v>1.029672451070999E-2</v>
      </c>
      <c r="M105" s="340">
        <f t="shared" si="34"/>
        <v>1.1593199288495334E-2</v>
      </c>
      <c r="N105" s="340">
        <f t="shared" si="34"/>
        <v>8.4372409547225358E-3</v>
      </c>
      <c r="O105" s="340">
        <f t="shared" si="34"/>
        <v>1.4099209380537786E-3</v>
      </c>
      <c r="P105" s="340">
        <f t="shared" si="34"/>
        <v>1.9252148179215356E-3</v>
      </c>
      <c r="Q105" s="340">
        <f t="shared" si="34"/>
        <v>7.7750096970295984E-3</v>
      </c>
      <c r="R105" s="340">
        <f t="shared" si="34"/>
        <v>5.0675170234406465E-2</v>
      </c>
      <c r="S105" s="340">
        <f t="shared" si="34"/>
        <v>7.7394251736662345E-3</v>
      </c>
      <c r="T105" s="340">
        <f t="shared" si="34"/>
        <v>1.093883645345547E-2</v>
      </c>
      <c r="U105" s="340">
        <f t="shared" si="34"/>
        <v>7.4259065941918402E-3</v>
      </c>
      <c r="V105" s="340">
        <f t="shared" si="34"/>
        <v>2.5614242042448772E-3</v>
      </c>
      <c r="W105" s="340">
        <f t="shared" si="34"/>
        <v>2.3970532802783176E-3</v>
      </c>
      <c r="X105" s="340">
        <f t="shared" si="34"/>
        <v>6.8171362920382286E-4</v>
      </c>
      <c r="Y105" s="340">
        <f t="shared" si="34"/>
        <v>8.2910492488042775E-3</v>
      </c>
      <c r="Z105" s="340">
        <f t="shared" si="34"/>
        <v>1.0339958571852791E-3</v>
      </c>
      <c r="AA105" s="340">
        <f t="shared" si="34"/>
        <v>2.8057342882381129E-3</v>
      </c>
      <c r="AB105" s="340">
        <f t="shared" si="34"/>
        <v>4.614788767461543E-3</v>
      </c>
      <c r="AC105" s="340">
        <f t="shared" si="34"/>
        <v>3.4860916399681689E-3</v>
      </c>
      <c r="AD105" s="340">
        <f t="shared" si="34"/>
        <v>4.989823419335627E-3</v>
      </c>
      <c r="AE105" s="340">
        <f t="shared" si="34"/>
        <v>6.8509678917902028E-3</v>
      </c>
      <c r="AF105" s="340">
        <f t="shared" si="34"/>
        <v>9.6995856915020086E-3</v>
      </c>
      <c r="AG105" s="340">
        <f t="shared" si="34"/>
        <v>5.6560887610667835E-3</v>
      </c>
      <c r="AH105" s="340">
        <f t="shared" si="34"/>
        <v>2.7467018718596052E-3</v>
      </c>
      <c r="AI105" s="340">
        <f t="shared" si="34"/>
        <v>3.2347073852854484E-3</v>
      </c>
      <c r="AJ105" s="340">
        <f t="shared" si="34"/>
        <v>1.2135098933959833E-4</v>
      </c>
      <c r="AK105" s="340">
        <f t="shared" si="34"/>
        <v>4.7327263207050878E-4</v>
      </c>
      <c r="AL105" s="340">
        <f t="shared" si="34"/>
        <v>2.3261432368880018E-5</v>
      </c>
    </row>
    <row r="106" spans="1:38" x14ac:dyDescent="0.2">
      <c r="A106" s="33"/>
      <c r="B106" s="76" t="s">
        <v>493</v>
      </c>
      <c r="C106" s="75" t="s">
        <v>975</v>
      </c>
      <c r="F106" s="340">
        <f t="shared" si="33"/>
        <v>1.5864606612619218E-3</v>
      </c>
      <c r="G106" s="340">
        <f t="shared" si="34"/>
        <v>3.2938101767232796E-3</v>
      </c>
      <c r="H106" s="340">
        <f t="shared" si="34"/>
        <v>1.1539939627920251E-2</v>
      </c>
      <c r="I106" s="340">
        <f t="shared" si="34"/>
        <v>2.7417117493379311E-3</v>
      </c>
      <c r="J106" s="340">
        <f t="shared" si="34"/>
        <v>1.4174238805194801E-3</v>
      </c>
      <c r="K106" s="340">
        <f t="shared" si="34"/>
        <v>2.3498895215878775E-3</v>
      </c>
      <c r="L106" s="340">
        <f t="shared" si="34"/>
        <v>3.8010050190170823E-3</v>
      </c>
      <c r="M106" s="340">
        <f t="shared" si="34"/>
        <v>6.5304081063753509E-3</v>
      </c>
      <c r="N106" s="340">
        <f t="shared" si="34"/>
        <v>4.1757202956203892E-3</v>
      </c>
      <c r="O106" s="340">
        <f t="shared" si="34"/>
        <v>7.6873425687066924E-4</v>
      </c>
      <c r="P106" s="340">
        <f t="shared" si="34"/>
        <v>1.5129243622945526E-3</v>
      </c>
      <c r="Q106" s="340">
        <f t="shared" si="34"/>
        <v>5.1114797860946828E-3</v>
      </c>
      <c r="R106" s="340">
        <f t="shared" si="34"/>
        <v>2.050435975809203E-2</v>
      </c>
      <c r="S106" s="340">
        <f t="shared" si="34"/>
        <v>3.3284563286458944E-3</v>
      </c>
      <c r="T106" s="340">
        <f t="shared" si="34"/>
        <v>4.4461123469874079E-3</v>
      </c>
      <c r="U106" s="340">
        <f t="shared" si="34"/>
        <v>3.7323565305728296E-3</v>
      </c>
      <c r="V106" s="340">
        <f t="shared" si="34"/>
        <v>1.1109581917809175E-3</v>
      </c>
      <c r="W106" s="340">
        <f t="shared" si="34"/>
        <v>2.1410506085452734E-3</v>
      </c>
      <c r="X106" s="340">
        <f t="shared" si="34"/>
        <v>5.8602257938770714E-4</v>
      </c>
      <c r="Y106" s="340">
        <f t="shared" si="34"/>
        <v>4.2764164281666557E-3</v>
      </c>
      <c r="Z106" s="340">
        <f t="shared" si="34"/>
        <v>1.9648966834260335E-3</v>
      </c>
      <c r="AA106" s="340">
        <f t="shared" si="34"/>
        <v>2.1751859837748368E-3</v>
      </c>
      <c r="AB106" s="340">
        <f t="shared" si="34"/>
        <v>1.7035654047061546E-3</v>
      </c>
      <c r="AC106" s="340">
        <f t="shared" si="34"/>
        <v>1.7558591048036254E-3</v>
      </c>
      <c r="AD106" s="340">
        <f t="shared" si="34"/>
        <v>1.2535314636396122E-3</v>
      </c>
      <c r="AE106" s="340">
        <f t="shared" si="34"/>
        <v>4.0233861925310825E-3</v>
      </c>
      <c r="AF106" s="340">
        <f t="shared" si="34"/>
        <v>4.5731660658900478E-3</v>
      </c>
      <c r="AG106" s="340">
        <f t="shared" si="34"/>
        <v>2.7662187300070669E-3</v>
      </c>
      <c r="AH106" s="340">
        <f t="shared" si="34"/>
        <v>1.0671715876431707E-3</v>
      </c>
      <c r="AI106" s="340">
        <f t="shared" si="34"/>
        <v>1.3785670106968321E-3</v>
      </c>
      <c r="AJ106" s="340">
        <f t="shared" si="34"/>
        <v>1.443163378597804E-4</v>
      </c>
      <c r="AK106" s="340">
        <f t="shared" si="34"/>
        <v>3.7256626780375715E-4</v>
      </c>
      <c r="AL106" s="340">
        <f t="shared" si="34"/>
        <v>3.6499924025874966E-4</v>
      </c>
    </row>
    <row r="107" spans="1:38" x14ac:dyDescent="0.2">
      <c r="A107" s="33"/>
      <c r="B107" s="76" t="s">
        <v>494</v>
      </c>
      <c r="C107" s="75" t="s">
        <v>975</v>
      </c>
      <c r="F107" s="340">
        <f t="shared" si="33"/>
        <v>1.389592194559064E-3</v>
      </c>
      <c r="G107" s="340">
        <f t="shared" si="34"/>
        <v>7.1992062054185629E-3</v>
      </c>
      <c r="H107" s="340">
        <f t="shared" si="34"/>
        <v>2.5301005033663782E-2</v>
      </c>
      <c r="I107" s="340">
        <f t="shared" si="34"/>
        <v>6.3812022657322295E-3</v>
      </c>
      <c r="J107" s="340">
        <f t="shared" si="34"/>
        <v>4.7776665401435322E-3</v>
      </c>
      <c r="K107" s="340">
        <f t="shared" si="34"/>
        <v>6.0457766960328842E-3</v>
      </c>
      <c r="L107" s="340">
        <f t="shared" si="34"/>
        <v>1.3226597239331785E-2</v>
      </c>
      <c r="M107" s="340">
        <f t="shared" si="34"/>
        <v>1.7277405358825295E-2</v>
      </c>
      <c r="N107" s="340">
        <f t="shared" si="34"/>
        <v>1.3495262084212539E-2</v>
      </c>
      <c r="O107" s="340">
        <f t="shared" si="34"/>
        <v>2.7719716374105864E-3</v>
      </c>
      <c r="P107" s="340">
        <f t="shared" si="34"/>
        <v>3.6889830469159874E-3</v>
      </c>
      <c r="Q107" s="340">
        <f t="shared" si="34"/>
        <v>1.3249749001628421E-2</v>
      </c>
      <c r="R107" s="340">
        <f t="shared" si="34"/>
        <v>6.0696593861903618E-2</v>
      </c>
      <c r="S107" s="340">
        <f t="shared" si="34"/>
        <v>9.859677287072573E-3</v>
      </c>
      <c r="T107" s="340">
        <f t="shared" si="34"/>
        <v>1.4970139552417614E-2</v>
      </c>
      <c r="U107" s="340">
        <f t="shared" si="34"/>
        <v>1.2062472986357592E-2</v>
      </c>
      <c r="V107" s="340">
        <f t="shared" si="34"/>
        <v>3.6353259168554401E-3</v>
      </c>
      <c r="W107" s="340">
        <f t="shared" si="34"/>
        <v>2.8692302493001751E-3</v>
      </c>
      <c r="X107" s="340">
        <f t="shared" si="34"/>
        <v>1.7506923410429069E-3</v>
      </c>
      <c r="Y107" s="340">
        <f t="shared" si="34"/>
        <v>1.2603177789765998E-2</v>
      </c>
      <c r="Z107" s="340">
        <f t="shared" si="34"/>
        <v>2.4390744836312313E-3</v>
      </c>
      <c r="AA107" s="340">
        <f t="shared" si="34"/>
        <v>1.9428065499818873E-3</v>
      </c>
      <c r="AB107" s="340">
        <f t="shared" si="34"/>
        <v>6.2794572133961736E-3</v>
      </c>
      <c r="AC107" s="340">
        <f t="shared" si="34"/>
        <v>6.0833196824708596E-3</v>
      </c>
      <c r="AD107" s="340">
        <f t="shared" si="34"/>
        <v>7.0933286552728987E-3</v>
      </c>
      <c r="AE107" s="340">
        <f t="shared" si="34"/>
        <v>1.0536256088722239E-2</v>
      </c>
      <c r="AF107" s="340">
        <f t="shared" si="34"/>
        <v>1.4398582439062267E-2</v>
      </c>
      <c r="AG107" s="340">
        <f t="shared" si="34"/>
        <v>9.0218162429529861E-3</v>
      </c>
      <c r="AH107" s="340">
        <f t="shared" si="34"/>
        <v>3.3568816790751576E-3</v>
      </c>
      <c r="AI107" s="340">
        <f t="shared" si="34"/>
        <v>2.8831777407323927E-3</v>
      </c>
      <c r="AJ107" s="340">
        <f t="shared" si="34"/>
        <v>7.1351909385551258E-4</v>
      </c>
      <c r="AK107" s="340">
        <f t="shared" si="34"/>
        <v>1.4245769997860299E-3</v>
      </c>
      <c r="AL107" s="340">
        <f t="shared" si="34"/>
        <v>1.0192180235311901E-4</v>
      </c>
    </row>
    <row r="108" spans="1:38" x14ac:dyDescent="0.2">
      <c r="A108" s="33"/>
      <c r="B108" s="76" t="s">
        <v>495</v>
      </c>
      <c r="C108" s="75" t="s">
        <v>975</v>
      </c>
      <c r="F108" s="340">
        <f t="shared" si="33"/>
        <v>5.3307321097652011E-5</v>
      </c>
      <c r="G108" s="340">
        <f t="shared" si="34"/>
        <v>1.8956021725940862E-4</v>
      </c>
      <c r="H108" s="340">
        <f t="shared" si="34"/>
        <v>6.713611639767459E-4</v>
      </c>
      <c r="I108" s="340">
        <f t="shared" si="34"/>
        <v>2.7029049196240957E-4</v>
      </c>
      <c r="J108" s="340">
        <f t="shared" si="34"/>
        <v>1.0428492827278812E-4</v>
      </c>
      <c r="K108" s="340">
        <f t="shared" si="34"/>
        <v>7.6308396170735542E-5</v>
      </c>
      <c r="L108" s="340">
        <f t="shared" si="34"/>
        <v>1.7340429539475095E-4</v>
      </c>
      <c r="M108" s="340">
        <f t="shared" si="34"/>
        <v>4.0489516983359283E-4</v>
      </c>
      <c r="N108" s="340">
        <f t="shared" si="34"/>
        <v>3.4129997107438717E-4</v>
      </c>
      <c r="O108" s="340">
        <f t="shared" si="34"/>
        <v>1.2145557462295556E-4</v>
      </c>
      <c r="P108" s="340">
        <f t="shared" si="34"/>
        <v>1.7271728775782508E-4</v>
      </c>
      <c r="Q108" s="340">
        <f t="shared" si="34"/>
        <v>1.7575253787760069E-4</v>
      </c>
      <c r="R108" s="340">
        <f t="shared" si="34"/>
        <v>7.3570657287535884E-4</v>
      </c>
      <c r="S108" s="340">
        <f t="shared" ref="G108:AL117" si="35">S201/S$219</f>
        <v>1.1709118858442806E-4</v>
      </c>
      <c r="T108" s="340">
        <f t="shared" si="35"/>
        <v>3.2061215037101589E-4</v>
      </c>
      <c r="U108" s="340">
        <f t="shared" si="35"/>
        <v>5.3598196813523197E-4</v>
      </c>
      <c r="V108" s="340">
        <f t="shared" si="35"/>
        <v>1.0933943593756394E-4</v>
      </c>
      <c r="W108" s="340">
        <f t="shared" si="35"/>
        <v>1.3178661552785961E-4</v>
      </c>
      <c r="X108" s="340">
        <f t="shared" si="35"/>
        <v>2.3864037969536024E-5</v>
      </c>
      <c r="Y108" s="340">
        <f t="shared" si="35"/>
        <v>2.0657620580250187E-4</v>
      </c>
      <c r="Z108" s="340">
        <f t="shared" si="35"/>
        <v>7.3441013475781313E-5</v>
      </c>
      <c r="AA108" s="340">
        <f t="shared" si="35"/>
        <v>7.3720751686943734E-5</v>
      </c>
      <c r="AB108" s="340">
        <f t="shared" si="35"/>
        <v>1.3248032187851229E-4</v>
      </c>
      <c r="AC108" s="340">
        <f t="shared" si="35"/>
        <v>1.5029611237047779E-4</v>
      </c>
      <c r="AD108" s="340">
        <f t="shared" si="35"/>
        <v>4.1485099243394506E-4</v>
      </c>
      <c r="AE108" s="340">
        <f t="shared" si="35"/>
        <v>2.6925784984253918E-4</v>
      </c>
      <c r="AF108" s="340">
        <f t="shared" si="35"/>
        <v>2.7138813508287686E-4</v>
      </c>
      <c r="AG108" s="340">
        <f t="shared" si="35"/>
        <v>3.6461312212249236E-4</v>
      </c>
      <c r="AH108" s="340">
        <f t="shared" si="35"/>
        <v>1.12281732835421E-4</v>
      </c>
      <c r="AI108" s="340">
        <f t="shared" si="35"/>
        <v>1.2847431447749246E-5</v>
      </c>
      <c r="AJ108" s="340">
        <f t="shared" si="35"/>
        <v>3.9639949658639586E-5</v>
      </c>
      <c r="AK108" s="340">
        <f t="shared" si="35"/>
        <v>2.6792819966891889E-4</v>
      </c>
      <c r="AL108" s="340">
        <f t="shared" si="35"/>
        <v>1.998466712806255E-5</v>
      </c>
    </row>
    <row r="109" spans="1:38" x14ac:dyDescent="0.2">
      <c r="A109" s="33"/>
      <c r="B109" s="76" t="s">
        <v>496</v>
      </c>
      <c r="C109" s="75" t="s">
        <v>975</v>
      </c>
      <c r="F109" s="340">
        <f t="shared" si="33"/>
        <v>8.8585747962419883E-3</v>
      </c>
      <c r="G109" s="340">
        <f t="shared" si="35"/>
        <v>1.460184838175646E-2</v>
      </c>
      <c r="H109" s="340">
        <f t="shared" si="35"/>
        <v>5.693659708618256E-2</v>
      </c>
      <c r="I109" s="340">
        <f t="shared" si="35"/>
        <v>1.5432301087729531E-2</v>
      </c>
      <c r="J109" s="340">
        <f t="shared" si="35"/>
        <v>1.3786145048671095E-2</v>
      </c>
      <c r="K109" s="340">
        <f t="shared" si="35"/>
        <v>1.265414295821406E-2</v>
      </c>
      <c r="L109" s="340">
        <f t="shared" si="35"/>
        <v>3.3224460050576755E-2</v>
      </c>
      <c r="M109" s="340">
        <f t="shared" si="35"/>
        <v>4.1150248545454626E-2</v>
      </c>
      <c r="N109" s="340">
        <f t="shared" si="35"/>
        <v>2.6878629150351649E-2</v>
      </c>
      <c r="O109" s="340">
        <f t="shared" si="35"/>
        <v>5.3393574814525648E-3</v>
      </c>
      <c r="P109" s="340">
        <f t="shared" si="35"/>
        <v>7.2052954903784891E-3</v>
      </c>
      <c r="Q109" s="340">
        <f t="shared" si="35"/>
        <v>3.0779115350978246E-2</v>
      </c>
      <c r="R109" s="340">
        <f t="shared" si="35"/>
        <v>0.17465647219406483</v>
      </c>
      <c r="S109" s="340">
        <f t="shared" si="35"/>
        <v>2.5437119562104826E-2</v>
      </c>
      <c r="T109" s="340">
        <f t="shared" si="35"/>
        <v>3.7437422088942914E-2</v>
      </c>
      <c r="U109" s="340">
        <f t="shared" si="35"/>
        <v>2.4440851733018118E-2</v>
      </c>
      <c r="V109" s="340">
        <f t="shared" si="35"/>
        <v>9.591908894037748E-3</v>
      </c>
      <c r="W109" s="340">
        <f t="shared" si="35"/>
        <v>1.6603019572016809E-2</v>
      </c>
      <c r="X109" s="340">
        <f t="shared" si="35"/>
        <v>1.1580563893710495E-2</v>
      </c>
      <c r="Y109" s="340">
        <f t="shared" si="35"/>
        <v>3.1989715525518589E-2</v>
      </c>
      <c r="Z109" s="340">
        <f t="shared" si="35"/>
        <v>6.2904611958994675E-3</v>
      </c>
      <c r="AA109" s="340">
        <f t="shared" si="35"/>
        <v>2.0783573057295578E-2</v>
      </c>
      <c r="AB109" s="340">
        <f t="shared" si="35"/>
        <v>1.8931522098865023E-2</v>
      </c>
      <c r="AC109" s="340">
        <f t="shared" si="35"/>
        <v>1.6762364306474046E-2</v>
      </c>
      <c r="AD109" s="340">
        <f t="shared" si="35"/>
        <v>1.7341412893325789E-2</v>
      </c>
      <c r="AE109" s="340">
        <f t="shared" si="35"/>
        <v>3.3396872220945784E-2</v>
      </c>
      <c r="AF109" s="340">
        <f t="shared" si="35"/>
        <v>4.6546390923197831E-2</v>
      </c>
      <c r="AG109" s="340">
        <f t="shared" si="35"/>
        <v>1.9788497932350387E-2</v>
      </c>
      <c r="AH109" s="340">
        <f t="shared" si="35"/>
        <v>9.7445396112632345E-3</v>
      </c>
      <c r="AI109" s="340">
        <f t="shared" si="35"/>
        <v>5.5602805590947513E-3</v>
      </c>
      <c r="AJ109" s="340">
        <f t="shared" si="35"/>
        <v>3.7954633711614265E-4</v>
      </c>
      <c r="AK109" s="340">
        <f t="shared" si="35"/>
        <v>6.4535061943379705E-3</v>
      </c>
      <c r="AL109" s="340">
        <f t="shared" si="35"/>
        <v>1.6342056449369204E-3</v>
      </c>
    </row>
    <row r="110" spans="1:38" x14ac:dyDescent="0.2">
      <c r="A110" s="33"/>
      <c r="B110" s="12"/>
      <c r="C110" s="75"/>
      <c r="F110" s="340"/>
      <c r="G110" s="340"/>
      <c r="H110" s="340"/>
      <c r="I110" s="340"/>
      <c r="J110" s="340"/>
      <c r="K110" s="340"/>
      <c r="L110" s="340"/>
      <c r="M110" s="340"/>
      <c r="N110" s="340"/>
      <c r="O110" s="340"/>
      <c r="P110" s="340"/>
      <c r="Q110" s="340"/>
      <c r="R110" s="340"/>
      <c r="S110" s="340"/>
      <c r="T110" s="340"/>
      <c r="U110" s="340"/>
      <c r="V110" s="340"/>
      <c r="W110" s="340"/>
      <c r="X110" s="340"/>
      <c r="Y110" s="340"/>
      <c r="Z110" s="340"/>
      <c r="AA110" s="340"/>
      <c r="AB110" s="340"/>
      <c r="AC110" s="340"/>
      <c r="AD110" s="340"/>
      <c r="AE110" s="340"/>
      <c r="AF110" s="340"/>
      <c r="AG110" s="340"/>
      <c r="AH110" s="340"/>
      <c r="AI110" s="340"/>
      <c r="AJ110" s="340"/>
      <c r="AK110" s="340"/>
      <c r="AL110" s="340"/>
    </row>
    <row r="111" spans="1:38" x14ac:dyDescent="0.2">
      <c r="A111" s="33"/>
      <c r="B111" s="181" t="s">
        <v>497</v>
      </c>
      <c r="C111" s="75" t="s">
        <v>975</v>
      </c>
      <c r="F111" s="340">
        <f t="shared" si="33"/>
        <v>9.8376201812423215E-3</v>
      </c>
      <c r="G111" s="340">
        <f t="shared" si="35"/>
        <v>4.3116666247233221E-3</v>
      </c>
      <c r="H111" s="340">
        <f t="shared" si="35"/>
        <v>1.3166273147439933E-2</v>
      </c>
      <c r="I111" s="340">
        <f t="shared" si="35"/>
        <v>2.9478981459074691E-4</v>
      </c>
      <c r="J111" s="340">
        <f t="shared" si="35"/>
        <v>8.8172746117472895E-4</v>
      </c>
      <c r="K111" s="340">
        <f t="shared" si="35"/>
        <v>2.0035988750276134E-3</v>
      </c>
      <c r="L111" s="340">
        <f t="shared" si="35"/>
        <v>6.0743727925848077E-4</v>
      </c>
      <c r="M111" s="340">
        <f t="shared" si="35"/>
        <v>5.1869282361102168E-3</v>
      </c>
      <c r="N111" s="340">
        <f t="shared" si="35"/>
        <v>9.8439208895441193E-4</v>
      </c>
      <c r="O111" s="340">
        <f t="shared" si="35"/>
        <v>1.0543822458576281E-3</v>
      </c>
      <c r="P111" s="340">
        <f t="shared" si="35"/>
        <v>6.1857442680035427E-4</v>
      </c>
      <c r="Q111" s="340">
        <f t="shared" si="35"/>
        <v>1.8159811834450998E-3</v>
      </c>
      <c r="R111" s="340">
        <f t="shared" si="35"/>
        <v>1.2109620138581018E-2</v>
      </c>
      <c r="S111" s="340">
        <f t="shared" si="35"/>
        <v>7.2238510481419651E-3</v>
      </c>
      <c r="T111" s="340">
        <f t="shared" si="35"/>
        <v>7.7209813337617127E-3</v>
      </c>
      <c r="U111" s="340">
        <f t="shared" si="35"/>
        <v>5.2685786601506116E-3</v>
      </c>
      <c r="V111" s="340">
        <f t="shared" si="35"/>
        <v>7.1159817352534614E-4</v>
      </c>
      <c r="W111" s="340">
        <f t="shared" si="35"/>
        <v>7.5301755555646805E-4</v>
      </c>
      <c r="X111" s="340">
        <f t="shared" si="35"/>
        <v>1.5637243842558518E-3</v>
      </c>
      <c r="Y111" s="340">
        <f t="shared" si="35"/>
        <v>1.2374756508606265E-3</v>
      </c>
      <c r="Z111" s="340">
        <f t="shared" si="35"/>
        <v>5.7485260514389631E-5</v>
      </c>
      <c r="AA111" s="340">
        <f t="shared" si="35"/>
        <v>1.9029996103036421E-3</v>
      </c>
      <c r="AB111" s="340">
        <f t="shared" si="35"/>
        <v>4.0809820994024192E-4</v>
      </c>
      <c r="AC111" s="340">
        <f t="shared" si="35"/>
        <v>1.0378046974881359E-3</v>
      </c>
      <c r="AD111" s="340">
        <f t="shared" si="35"/>
        <v>3.4223478156119691E-3</v>
      </c>
      <c r="AE111" s="340">
        <f t="shared" si="35"/>
        <v>5.7893975716250673E-4</v>
      </c>
      <c r="AF111" s="340">
        <f t="shared" si="35"/>
        <v>3.4533457749382061E-3</v>
      </c>
      <c r="AG111" s="340">
        <f t="shared" si="35"/>
        <v>1.7193066068588001E-3</v>
      </c>
      <c r="AH111" s="340">
        <f t="shared" si="35"/>
        <v>4.4146243523951733E-4</v>
      </c>
      <c r="AI111" s="340">
        <f t="shared" si="35"/>
        <v>4.4004819640497923E-5</v>
      </c>
      <c r="AJ111" s="340">
        <f t="shared" si="35"/>
        <v>8.3116383045264854E-5</v>
      </c>
      <c r="AK111" s="340">
        <f t="shared" si="35"/>
        <v>5.3836828211707482E-4</v>
      </c>
      <c r="AL111" s="340">
        <f t="shared" si="35"/>
        <v>7.3108909419753983E-4</v>
      </c>
    </row>
    <row r="112" spans="1:38" x14ac:dyDescent="0.2">
      <c r="A112" s="33"/>
      <c r="B112" s="181" t="s">
        <v>498</v>
      </c>
      <c r="C112" s="75" t="s">
        <v>975</v>
      </c>
      <c r="F112" s="340">
        <f t="shared" si="33"/>
        <v>0.10471190567622095</v>
      </c>
      <c r="G112" s="340">
        <f t="shared" si="35"/>
        <v>1.188896576448302E-2</v>
      </c>
      <c r="H112" s="340">
        <f t="shared" si="35"/>
        <v>3.6304608941279203E-2</v>
      </c>
      <c r="I112" s="340">
        <f t="shared" si="35"/>
        <v>4.2556185178558664E-2</v>
      </c>
      <c r="J112" s="340">
        <f t="shared" si="35"/>
        <v>7.6923476747790586E-3</v>
      </c>
      <c r="K112" s="340">
        <f t="shared" si="35"/>
        <v>5.5247124845809598E-3</v>
      </c>
      <c r="L112" s="340">
        <f t="shared" si="35"/>
        <v>5.2993911933430608E-3</v>
      </c>
      <c r="M112" s="340">
        <f t="shared" si="35"/>
        <v>2.4294366079031654E-2</v>
      </c>
      <c r="N112" s="340">
        <f t="shared" si="35"/>
        <v>8.7974346747639945E-3</v>
      </c>
      <c r="O112" s="340">
        <f t="shared" si="35"/>
        <v>4.8019540490139099E-3</v>
      </c>
      <c r="P112" s="340">
        <f t="shared" si="35"/>
        <v>4.4788218809351556E-3</v>
      </c>
      <c r="Q112" s="340">
        <f t="shared" si="35"/>
        <v>4.5703459491306574E-2</v>
      </c>
      <c r="R112" s="340">
        <f t="shared" si="35"/>
        <v>5.7571637569900497E-2</v>
      </c>
      <c r="S112" s="340">
        <f t="shared" si="35"/>
        <v>1.7078059500369315E-2</v>
      </c>
      <c r="T112" s="340">
        <f t="shared" si="35"/>
        <v>1.4789402676125208E-2</v>
      </c>
      <c r="U112" s="340">
        <f t="shared" si="35"/>
        <v>1.6762555565586128E-2</v>
      </c>
      <c r="V112" s="340">
        <f t="shared" si="35"/>
        <v>5.2037628171535894E-3</v>
      </c>
      <c r="W112" s="340">
        <f t="shared" si="35"/>
        <v>4.1105314748858032E-3</v>
      </c>
      <c r="X112" s="340">
        <f t="shared" si="35"/>
        <v>3.5907385394993066E-2</v>
      </c>
      <c r="Y112" s="340">
        <f t="shared" si="35"/>
        <v>2.841582286479339E-2</v>
      </c>
      <c r="Z112" s="340">
        <f t="shared" si="35"/>
        <v>2.0471139994290979E-2</v>
      </c>
      <c r="AA112" s="340">
        <f t="shared" si="35"/>
        <v>4.3698071796848238E-2</v>
      </c>
      <c r="AB112" s="340">
        <f t="shared" si="35"/>
        <v>4.6770242376133805E-3</v>
      </c>
      <c r="AC112" s="340">
        <f t="shared" si="35"/>
        <v>9.8052368182888396E-3</v>
      </c>
      <c r="AD112" s="340">
        <f t="shared" si="35"/>
        <v>1.8855488524984195E-2</v>
      </c>
      <c r="AE112" s="340">
        <f t="shared" si="35"/>
        <v>5.1365982320410557E-3</v>
      </c>
      <c r="AF112" s="340">
        <f t="shared" si="35"/>
        <v>1.9026272354642746E-2</v>
      </c>
      <c r="AG112" s="340">
        <f t="shared" si="35"/>
        <v>1.0267150261459452E-2</v>
      </c>
      <c r="AH112" s="340">
        <f t="shared" si="35"/>
        <v>3.2678571846298911E-3</v>
      </c>
      <c r="AI112" s="340">
        <f t="shared" si="35"/>
        <v>1.5670605216421756E-2</v>
      </c>
      <c r="AJ112" s="340">
        <f t="shared" si="35"/>
        <v>2.9598667517785983E-2</v>
      </c>
      <c r="AK112" s="340">
        <f t="shared" si="35"/>
        <v>1.3978795046132883E-2</v>
      </c>
      <c r="AL112" s="340">
        <f t="shared" si="35"/>
        <v>1.5641906201435733E-2</v>
      </c>
    </row>
    <row r="113" spans="1:55" x14ac:dyDescent="0.2">
      <c r="B113" s="181" t="s">
        <v>499</v>
      </c>
      <c r="C113" s="75" t="s">
        <v>975</v>
      </c>
      <c r="F113" s="340">
        <f t="shared" si="33"/>
        <v>2.0531137972808625E-3</v>
      </c>
      <c r="G113" s="340">
        <f t="shared" si="35"/>
        <v>2.1569758326624488E-3</v>
      </c>
      <c r="H113" s="340">
        <f t="shared" si="35"/>
        <v>6.5866254182123524E-3</v>
      </c>
      <c r="I113" s="340">
        <f t="shared" si="35"/>
        <v>2.450399180202564E-3</v>
      </c>
      <c r="J113" s="340">
        <f t="shared" si="35"/>
        <v>2.1416039446315758E-3</v>
      </c>
      <c r="K113" s="340">
        <f t="shared" si="35"/>
        <v>1.0023303580576699E-3</v>
      </c>
      <c r="L113" s="340">
        <f t="shared" si="35"/>
        <v>1.4753879522398611E-3</v>
      </c>
      <c r="M113" s="340">
        <f t="shared" si="35"/>
        <v>3.3155829292243815E-3</v>
      </c>
      <c r="N113" s="340">
        <f t="shared" si="35"/>
        <v>9.4825854888195226E-4</v>
      </c>
      <c r="O113" s="340">
        <f t="shared" si="35"/>
        <v>3.984710527876233E-4</v>
      </c>
      <c r="P113" s="340">
        <f t="shared" si="35"/>
        <v>1.9670022474431482E-3</v>
      </c>
      <c r="Q113" s="340">
        <f t="shared" si="35"/>
        <v>7.7851879659658939E-3</v>
      </c>
      <c r="R113" s="340">
        <f t="shared" si="35"/>
        <v>1.5530190085088907E-2</v>
      </c>
      <c r="S113" s="340">
        <f t="shared" si="35"/>
        <v>3.8447752525646909E-3</v>
      </c>
      <c r="T113" s="340">
        <f t="shared" si="35"/>
        <v>3.7559052733974769E-3</v>
      </c>
      <c r="U113" s="340">
        <f t="shared" si="35"/>
        <v>2.924886514326121E-3</v>
      </c>
      <c r="V113" s="340">
        <f t="shared" si="35"/>
        <v>8.0799257741623386E-4</v>
      </c>
      <c r="W113" s="340">
        <f t="shared" si="35"/>
        <v>2.8147315846401352E-4</v>
      </c>
      <c r="X113" s="340">
        <f t="shared" si="35"/>
        <v>5.794401663496547E-3</v>
      </c>
      <c r="Y113" s="340">
        <f t="shared" si="35"/>
        <v>4.5854826093893542E-3</v>
      </c>
      <c r="Z113" s="340">
        <f t="shared" si="35"/>
        <v>1.0206343619955491E-3</v>
      </c>
      <c r="AA113" s="340">
        <f t="shared" si="35"/>
        <v>7.0515905607138885E-3</v>
      </c>
      <c r="AB113" s="340">
        <f t="shared" si="35"/>
        <v>5.9563849430440817E-4</v>
      </c>
      <c r="AC113" s="340">
        <f t="shared" si="35"/>
        <v>9.9428090620920051E-4</v>
      </c>
      <c r="AD113" s="340">
        <f t="shared" si="35"/>
        <v>2.1938406801814583E-3</v>
      </c>
      <c r="AE113" s="340">
        <f t="shared" si="35"/>
        <v>4.7161645896582802E-4</v>
      </c>
      <c r="AF113" s="340">
        <f t="shared" si="35"/>
        <v>2.2137114203389283E-3</v>
      </c>
      <c r="AG113" s="340">
        <f t="shared" si="35"/>
        <v>1.143149450732521E-3</v>
      </c>
      <c r="AH113" s="340">
        <f t="shared" si="35"/>
        <v>6.6271701188182772E-3</v>
      </c>
      <c r="AI113" s="340">
        <f t="shared" si="35"/>
        <v>7.8129298913529835E-4</v>
      </c>
      <c r="AJ113" s="340">
        <f t="shared" si="35"/>
        <v>1.4757076130766896E-3</v>
      </c>
      <c r="AK113" s="340">
        <f t="shared" si="35"/>
        <v>2.7316320928410672E-3</v>
      </c>
      <c r="AL113" s="340">
        <f t="shared" si="35"/>
        <v>3.2056774762648801E-3</v>
      </c>
    </row>
    <row r="114" spans="1:55" x14ac:dyDescent="0.2">
      <c r="B114" s="181" t="s">
        <v>500</v>
      </c>
      <c r="C114" s="75" t="s">
        <v>975</v>
      </c>
      <c r="F114" s="340">
        <f t="shared" ref="F114:F124" si="36">F207/F$219</f>
        <v>3.4101289891492595E-2</v>
      </c>
      <c r="G114" s="340">
        <f t="shared" si="35"/>
        <v>2.0590498851087019E-2</v>
      </c>
      <c r="H114" s="340">
        <f t="shared" si="35"/>
        <v>6.2875949304836656E-2</v>
      </c>
      <c r="I114" s="340">
        <f t="shared" si="35"/>
        <v>1.6931120007952188E-2</v>
      </c>
      <c r="J114" s="340">
        <f t="shared" si="35"/>
        <v>1.0600489718295681E-2</v>
      </c>
      <c r="K114" s="340">
        <f t="shared" si="35"/>
        <v>9.5682491076041001E-3</v>
      </c>
      <c r="L114" s="340">
        <f t="shared" si="35"/>
        <v>7.3028604833404506E-3</v>
      </c>
      <c r="M114" s="340">
        <f t="shared" si="35"/>
        <v>3.2189654986813636E-2</v>
      </c>
      <c r="N114" s="340">
        <f t="shared" si="35"/>
        <v>2.8690292177317257E-2</v>
      </c>
      <c r="O114" s="340">
        <f t="shared" si="35"/>
        <v>1.841392499651217E-2</v>
      </c>
      <c r="P114" s="340">
        <f t="shared" si="35"/>
        <v>1.955407108904818E-3</v>
      </c>
      <c r="Q114" s="340">
        <f t="shared" si="35"/>
        <v>2.7706642323745995E-2</v>
      </c>
      <c r="R114" s="340">
        <f t="shared" si="35"/>
        <v>6.346338598762713E-2</v>
      </c>
      <c r="S114" s="340">
        <f t="shared" si="35"/>
        <v>3.9400418440875322E-2</v>
      </c>
      <c r="T114" s="340">
        <f t="shared" si="35"/>
        <v>3.9358292123687404E-2</v>
      </c>
      <c r="U114" s="340">
        <f t="shared" si="35"/>
        <v>2.7777590364183941E-2</v>
      </c>
      <c r="V114" s="340">
        <f t="shared" si="35"/>
        <v>9.4847020824806432E-3</v>
      </c>
      <c r="W114" s="340">
        <f t="shared" si="35"/>
        <v>2.0368027099720155E-3</v>
      </c>
      <c r="X114" s="340">
        <f t="shared" si="35"/>
        <v>2.3236380277381959E-2</v>
      </c>
      <c r="Y114" s="340">
        <f t="shared" si="35"/>
        <v>1.8388441784823854E-2</v>
      </c>
      <c r="Z114" s="340">
        <f t="shared" si="35"/>
        <v>1.0441480462402383E-2</v>
      </c>
      <c r="AA114" s="340">
        <f t="shared" si="35"/>
        <v>2.827788775179076E-2</v>
      </c>
      <c r="AB114" s="340">
        <f t="shared" si="35"/>
        <v>7.814160274023485E-3</v>
      </c>
      <c r="AC114" s="340">
        <f t="shared" si="35"/>
        <v>1.7186258520673146E-2</v>
      </c>
      <c r="AD114" s="340">
        <f t="shared" si="35"/>
        <v>4.5918266013941014E-2</v>
      </c>
      <c r="AE114" s="340">
        <f t="shared" si="35"/>
        <v>9.1588770162878662E-3</v>
      </c>
      <c r="AF114" s="340">
        <f t="shared" si="35"/>
        <v>4.6334171298534933E-2</v>
      </c>
      <c r="AG114" s="340">
        <f t="shared" si="35"/>
        <v>2.3636017397567453E-2</v>
      </c>
      <c r="AH114" s="340">
        <f t="shared" si="35"/>
        <v>7.2040549680697577E-3</v>
      </c>
      <c r="AI114" s="340">
        <f t="shared" si="35"/>
        <v>7.9929265418008256E-3</v>
      </c>
      <c r="AJ114" s="340">
        <f t="shared" si="35"/>
        <v>1.5097054130170373E-2</v>
      </c>
      <c r="AK114" s="340">
        <f t="shared" si="35"/>
        <v>2.0348684483448981E-2</v>
      </c>
      <c r="AL114" s="340">
        <f t="shared" si="35"/>
        <v>2.3043053584310629E-2</v>
      </c>
    </row>
    <row r="115" spans="1:55" x14ac:dyDescent="0.2">
      <c r="B115" s="181" t="s">
        <v>501</v>
      </c>
      <c r="C115" s="75" t="s">
        <v>975</v>
      </c>
      <c r="F115" s="340">
        <f t="shared" si="36"/>
        <v>3.345329190457635E-4</v>
      </c>
      <c r="G115" s="340">
        <f t="shared" si="35"/>
        <v>4.8099803206621639E-4</v>
      </c>
      <c r="H115" s="340">
        <f t="shared" si="35"/>
        <v>1.468794325899735E-3</v>
      </c>
      <c r="I115" s="340">
        <f t="shared" si="35"/>
        <v>1.0724432322925021E-4</v>
      </c>
      <c r="J115" s="340">
        <f t="shared" si="35"/>
        <v>7.7786674863329692E-5</v>
      </c>
      <c r="K115" s="340">
        <f t="shared" si="35"/>
        <v>2.2351614812061437E-4</v>
      </c>
      <c r="L115" s="340">
        <f t="shared" si="35"/>
        <v>5.3588584026398581E-5</v>
      </c>
      <c r="M115" s="340">
        <f t="shared" si="35"/>
        <v>8.3457488273704615E-5</v>
      </c>
      <c r="N115" s="340">
        <f t="shared" si="35"/>
        <v>7.8623621888421343E-5</v>
      </c>
      <c r="O115" s="340">
        <f t="shared" si="35"/>
        <v>6.8845226025734678E-5</v>
      </c>
      <c r="P115" s="340">
        <f t="shared" si="35"/>
        <v>8.274938537320312E-5</v>
      </c>
      <c r="Q115" s="340">
        <f t="shared" si="35"/>
        <v>1.2460699843191221E-3</v>
      </c>
      <c r="R115" s="340">
        <f t="shared" si="35"/>
        <v>1.7839671693629352E-3</v>
      </c>
      <c r="S115" s="340">
        <f t="shared" si="35"/>
        <v>5.9399040357803268E-3</v>
      </c>
      <c r="T115" s="340">
        <f t="shared" si="35"/>
        <v>4.9237712247937725E-3</v>
      </c>
      <c r="U115" s="340">
        <f t="shared" si="35"/>
        <v>2.2470183142088824E-3</v>
      </c>
      <c r="V115" s="340">
        <f t="shared" si="35"/>
        <v>4.0624240033295468E-4</v>
      </c>
      <c r="W115" s="340">
        <f t="shared" si="35"/>
        <v>6.5803944803255698E-5</v>
      </c>
      <c r="X115" s="340">
        <f t="shared" si="35"/>
        <v>1.8606458028408253E-4</v>
      </c>
      <c r="Y115" s="340">
        <f t="shared" si="35"/>
        <v>1.4724486610773568E-4</v>
      </c>
      <c r="Z115" s="340">
        <f t="shared" si="35"/>
        <v>1.3093416981117635E-4</v>
      </c>
      <c r="AA115" s="340">
        <f t="shared" si="35"/>
        <v>2.2643429196150857E-4</v>
      </c>
      <c r="AB115" s="340">
        <f t="shared" si="35"/>
        <v>6.8326294391579988E-3</v>
      </c>
      <c r="AC115" s="340">
        <f t="shared" si="35"/>
        <v>1.9368788537472544E-2</v>
      </c>
      <c r="AD115" s="340">
        <f t="shared" si="35"/>
        <v>5.6872231125367143E-2</v>
      </c>
      <c r="AE115" s="340">
        <f t="shared" si="35"/>
        <v>1.1122931670150769E-2</v>
      </c>
      <c r="AF115" s="340">
        <f t="shared" si="35"/>
        <v>5.7387352089745568E-2</v>
      </c>
      <c r="AG115" s="340">
        <f t="shared" si="35"/>
        <v>2.9184346316335784E-2</v>
      </c>
      <c r="AH115" s="340">
        <f t="shared" si="35"/>
        <v>3.4261281837594866E-2</v>
      </c>
      <c r="AI115" s="340">
        <f t="shared" si="35"/>
        <v>1.0022977152337818E-4</v>
      </c>
      <c r="AJ115" s="340">
        <f t="shared" si="35"/>
        <v>1.8931417400492304E-4</v>
      </c>
      <c r="AK115" s="340">
        <f t="shared" si="35"/>
        <v>1.5613189417840628E-3</v>
      </c>
      <c r="AL115" s="340">
        <f t="shared" si="35"/>
        <v>1.82252434603121E-3</v>
      </c>
    </row>
    <row r="116" spans="1:55" x14ac:dyDescent="0.2">
      <c r="B116" s="181" t="s">
        <v>502</v>
      </c>
      <c r="C116" s="75" t="s">
        <v>975</v>
      </c>
      <c r="F116" s="340">
        <f t="shared" si="36"/>
        <v>1.1413476061561346E-3</v>
      </c>
      <c r="G116" s="340">
        <f t="shared" si="35"/>
        <v>9.8892216261960001E-4</v>
      </c>
      <c r="H116" s="340">
        <f t="shared" si="35"/>
        <v>3.0198112349287174E-3</v>
      </c>
      <c r="I116" s="340">
        <f t="shared" si="35"/>
        <v>1.3755250153316874E-4</v>
      </c>
      <c r="J116" s="340">
        <f t="shared" si="35"/>
        <v>6.0019491172955521E-4</v>
      </c>
      <c r="K116" s="340">
        <f t="shared" si="35"/>
        <v>4.5954465058894756E-4</v>
      </c>
      <c r="L116" s="340">
        <f t="shared" si="35"/>
        <v>4.1348464265823456E-4</v>
      </c>
      <c r="M116" s="340">
        <f t="shared" si="35"/>
        <v>1.2252269555075785E-4</v>
      </c>
      <c r="N116" s="340">
        <f t="shared" si="35"/>
        <v>1.6589710336206572E-3</v>
      </c>
      <c r="O116" s="340">
        <f t="shared" si="35"/>
        <v>1.833447250979227E-3</v>
      </c>
      <c r="P116" s="340">
        <f t="shared" si="35"/>
        <v>8.4875788638267974E-5</v>
      </c>
      <c r="Q116" s="340">
        <f t="shared" si="35"/>
        <v>3.3747728741976218E-4</v>
      </c>
      <c r="R116" s="340">
        <f t="shared" si="35"/>
        <v>7.0004505623059727E-3</v>
      </c>
      <c r="S116" s="340">
        <f t="shared" si="35"/>
        <v>2.0207873435499887E-2</v>
      </c>
      <c r="T116" s="340">
        <f t="shared" si="35"/>
        <v>2.1492512838953346E-2</v>
      </c>
      <c r="U116" s="340">
        <f t="shared" si="35"/>
        <v>3.4647781965807269E-3</v>
      </c>
      <c r="V116" s="340">
        <f t="shared" si="35"/>
        <v>8.5877683680569018E-4</v>
      </c>
      <c r="W116" s="340">
        <f t="shared" si="35"/>
        <v>8.2785607978289445E-5</v>
      </c>
      <c r="X116" s="340">
        <f t="shared" si="35"/>
        <v>3.9049859365353624E-3</v>
      </c>
      <c r="Y116" s="340">
        <f t="shared" si="35"/>
        <v>3.0902664574840063E-3</v>
      </c>
      <c r="Z116" s="340">
        <f t="shared" si="35"/>
        <v>2.0731243553436259E-4</v>
      </c>
      <c r="AA116" s="340">
        <f t="shared" si="35"/>
        <v>4.7522356179182839E-3</v>
      </c>
      <c r="AB116" s="340">
        <f t="shared" si="35"/>
        <v>4.3064701273726847E-4</v>
      </c>
      <c r="AC116" s="340">
        <f t="shared" si="35"/>
        <v>1.1069448427621141E-3</v>
      </c>
      <c r="AD116" s="340">
        <f t="shared" si="35"/>
        <v>3.0802791233435294E-3</v>
      </c>
      <c r="AE116" s="340">
        <f t="shared" si="35"/>
        <v>6.1939212737820376E-4</v>
      </c>
      <c r="AF116" s="340">
        <f t="shared" si="35"/>
        <v>3.108178791093047E-3</v>
      </c>
      <c r="AG116" s="340">
        <f t="shared" si="35"/>
        <v>1.5875861497941074E-3</v>
      </c>
      <c r="AH116" s="340">
        <f t="shared" si="35"/>
        <v>1.8349566182368951E-4</v>
      </c>
      <c r="AI116" s="340">
        <f t="shared" si="35"/>
        <v>1.5869713824534872E-4</v>
      </c>
      <c r="AJ116" s="340">
        <f t="shared" si="35"/>
        <v>2.9974744217446154E-4</v>
      </c>
      <c r="AK116" s="340">
        <f t="shared" si="35"/>
        <v>5.2400430237958275E-4</v>
      </c>
      <c r="AL116" s="340">
        <f t="shared" si="35"/>
        <v>7.6241058300110381E-4</v>
      </c>
    </row>
    <row r="117" spans="1:55" x14ac:dyDescent="0.2">
      <c r="B117" s="181" t="s">
        <v>503</v>
      </c>
      <c r="C117" s="75" t="s">
        <v>975</v>
      </c>
      <c r="F117" s="340">
        <f t="shared" si="36"/>
        <v>7.0448050816533713E-4</v>
      </c>
      <c r="G117" s="340">
        <f t="shared" si="35"/>
        <v>1.567208059221974E-2</v>
      </c>
      <c r="H117" s="340">
        <f t="shared" si="35"/>
        <v>4.7856875734008819E-2</v>
      </c>
      <c r="I117" s="340">
        <f t="shared" si="35"/>
        <v>8.2666599519414345E-3</v>
      </c>
      <c r="J117" s="340">
        <f t="shared" si="35"/>
        <v>6.6741640510441323E-3</v>
      </c>
      <c r="K117" s="340">
        <f t="shared" si="35"/>
        <v>7.2826973365382871E-3</v>
      </c>
      <c r="L117" s="340">
        <f t="shared" si="35"/>
        <v>4.5979469065074458E-3</v>
      </c>
      <c r="M117" s="340">
        <f t="shared" si="35"/>
        <v>5.2964671006410667E-3</v>
      </c>
      <c r="N117" s="340">
        <f t="shared" si="35"/>
        <v>6.3323106423648868E-3</v>
      </c>
      <c r="O117" s="340">
        <f t="shared" si="35"/>
        <v>4.2757552339294028E-3</v>
      </c>
      <c r="P117" s="340">
        <f t="shared" si="35"/>
        <v>3.5030793714642834E-4</v>
      </c>
      <c r="Q117" s="340">
        <f t="shared" si="35"/>
        <v>1.3201022792447596E-3</v>
      </c>
      <c r="R117" s="340">
        <f t="shared" ref="G117:AL124" si="37">R210/R$219</f>
        <v>4.9031947190547411E-2</v>
      </c>
      <c r="S117" s="340">
        <f t="shared" si="37"/>
        <v>2.6952975674041296E-2</v>
      </c>
      <c r="T117" s="340">
        <f t="shared" si="37"/>
        <v>2.6487835172274817E-2</v>
      </c>
      <c r="U117" s="340">
        <f t="shared" si="37"/>
        <v>2.0952214114192146E-2</v>
      </c>
      <c r="V117" s="340">
        <f t="shared" si="37"/>
        <v>3.3872418418661667E-3</v>
      </c>
      <c r="W117" s="340">
        <f t="shared" si="37"/>
        <v>1.2366010874203851E-3</v>
      </c>
      <c r="X117" s="340">
        <f t="shared" si="37"/>
        <v>2.4077365403063902E-2</v>
      </c>
      <c r="Y117" s="340">
        <f t="shared" si="37"/>
        <v>1.9053967389109052E-2</v>
      </c>
      <c r="Z117" s="340">
        <f t="shared" si="37"/>
        <v>1.154094765789125E-4</v>
      </c>
      <c r="AA117" s="340">
        <f t="shared" si="37"/>
        <v>2.9301338164508795E-2</v>
      </c>
      <c r="AB117" s="340">
        <f t="shared" si="37"/>
        <v>1.5902678692089798E-3</v>
      </c>
      <c r="AC117" s="340">
        <f t="shared" si="37"/>
        <v>2.7481233435060776E-3</v>
      </c>
      <c r="AD117" s="340">
        <f t="shared" si="37"/>
        <v>3.6381241446884027E-3</v>
      </c>
      <c r="AE117" s="340">
        <f t="shared" si="37"/>
        <v>1.3262528264956924E-3</v>
      </c>
      <c r="AF117" s="340">
        <f t="shared" si="37"/>
        <v>3.6710765008885525E-3</v>
      </c>
      <c r="AG117" s="340">
        <f t="shared" si="37"/>
        <v>2.1178119692093597E-3</v>
      </c>
      <c r="AH117" s="340">
        <f t="shared" si="37"/>
        <v>3.7858187555910223E-3</v>
      </c>
      <c r="AI117" s="340">
        <f t="shared" si="37"/>
        <v>8.83456586299727E-5</v>
      </c>
      <c r="AJ117" s="340">
        <f t="shared" si="37"/>
        <v>1.6686744004552705E-4</v>
      </c>
      <c r="AK117" s="340">
        <f t="shared" si="37"/>
        <v>6.9433335745989885E-3</v>
      </c>
      <c r="AL117" s="340">
        <f t="shared" si="37"/>
        <v>9.3225126661659261E-3</v>
      </c>
    </row>
    <row r="118" spans="1:55" x14ac:dyDescent="0.2">
      <c r="B118" s="181" t="s">
        <v>504</v>
      </c>
      <c r="C118" s="75" t="s">
        <v>975</v>
      </c>
      <c r="F118" s="340">
        <f t="shared" si="36"/>
        <v>6.4599460229526758E-4</v>
      </c>
      <c r="G118" s="340">
        <f t="shared" si="37"/>
        <v>2.5254823408653489E-4</v>
      </c>
      <c r="H118" s="340">
        <f t="shared" si="37"/>
        <v>7.7119112452259477E-4</v>
      </c>
      <c r="I118" s="340">
        <f t="shared" si="37"/>
        <v>1.0933454242262389E-4</v>
      </c>
      <c r="J118" s="340">
        <f t="shared" si="37"/>
        <v>1.2228845593717819E-4</v>
      </c>
      <c r="K118" s="340">
        <f t="shared" si="37"/>
        <v>1.17357254571708E-4</v>
      </c>
      <c r="L118" s="340">
        <f t="shared" si="37"/>
        <v>8.4246629746830386E-5</v>
      </c>
      <c r="M118" s="340">
        <f t="shared" si="37"/>
        <v>1.0409224509559636E-4</v>
      </c>
      <c r="N118" s="340">
        <f t="shared" si="37"/>
        <v>1.8046847114956951E-4</v>
      </c>
      <c r="O118" s="340">
        <f t="shared" si="37"/>
        <v>1.2272305737574582E-4</v>
      </c>
      <c r="P118" s="340">
        <f t="shared" si="37"/>
        <v>7.6448007321728101E-5</v>
      </c>
      <c r="Q118" s="340">
        <f t="shared" si="37"/>
        <v>6.3914796609472219E-4</v>
      </c>
      <c r="R118" s="340">
        <f t="shared" si="37"/>
        <v>2.7797075167739529E-4</v>
      </c>
      <c r="S118" s="340">
        <f t="shared" si="37"/>
        <v>8.2995787728141416E-4</v>
      </c>
      <c r="T118" s="340">
        <f t="shared" si="37"/>
        <v>7.2600522949407137E-4</v>
      </c>
      <c r="U118" s="340">
        <f t="shared" si="37"/>
        <v>4.7578985033422031E-4</v>
      </c>
      <c r="V118" s="340">
        <f t="shared" si="37"/>
        <v>1.1398473637085588E-4</v>
      </c>
      <c r="W118" s="340">
        <f t="shared" si="37"/>
        <v>2.9864304204369672E-5</v>
      </c>
      <c r="X118" s="340">
        <f t="shared" si="37"/>
        <v>3.0568044377881335E-4</v>
      </c>
      <c r="Y118" s="340">
        <f t="shared" si="37"/>
        <v>2.4190459004741106E-4</v>
      </c>
      <c r="Z118" s="340">
        <f t="shared" si="37"/>
        <v>1.1513177000637922E-4</v>
      </c>
      <c r="AA118" s="340">
        <f t="shared" si="37"/>
        <v>3.72002746293012E-4</v>
      </c>
      <c r="AB118" s="340">
        <f t="shared" si="37"/>
        <v>8.494336657387737E-4</v>
      </c>
      <c r="AC118" s="340">
        <f t="shared" si="37"/>
        <v>2.4028390766016702E-3</v>
      </c>
      <c r="AD118" s="340">
        <f t="shared" si="37"/>
        <v>3.607523939391667E-3</v>
      </c>
      <c r="AE118" s="340">
        <f t="shared" si="37"/>
        <v>1.3791516774076052E-3</v>
      </c>
      <c r="AF118" s="340">
        <f t="shared" si="37"/>
        <v>3.6401991338390473E-3</v>
      </c>
      <c r="AG118" s="340">
        <f t="shared" si="37"/>
        <v>2.1261415108110916E-3</v>
      </c>
      <c r="AH118" s="340">
        <f t="shared" si="37"/>
        <v>1.3415718094358932E-2</v>
      </c>
      <c r="AI118" s="340">
        <f t="shared" si="37"/>
        <v>8.8133074960211816E-5</v>
      </c>
      <c r="AJ118" s="340">
        <f t="shared" si="37"/>
        <v>1.6646591162501858E-4</v>
      </c>
      <c r="AK118" s="340">
        <f t="shared" si="37"/>
        <v>2.1314179224166002E-4</v>
      </c>
      <c r="AL118" s="340">
        <f t="shared" si="37"/>
        <v>5.9590712234569023E-4</v>
      </c>
    </row>
    <row r="119" spans="1:55" x14ac:dyDescent="0.2">
      <c r="B119" s="181" t="s">
        <v>505</v>
      </c>
      <c r="C119" s="75" t="s">
        <v>975</v>
      </c>
      <c r="F119" s="340">
        <f t="shared" si="36"/>
        <v>1.0108691045520785E-3</v>
      </c>
      <c r="G119" s="340">
        <f t="shared" si="37"/>
        <v>1.8842480975377258E-3</v>
      </c>
      <c r="H119" s="340">
        <f t="shared" si="37"/>
        <v>5.7538133833150169E-3</v>
      </c>
      <c r="I119" s="340">
        <f t="shared" si="37"/>
        <v>3.3872270005440346E-4</v>
      </c>
      <c r="J119" s="340">
        <f t="shared" si="37"/>
        <v>9.434667879769864E-4</v>
      </c>
      <c r="K119" s="340">
        <f t="shared" si="37"/>
        <v>8.755958419539837E-4</v>
      </c>
      <c r="L119" s="340">
        <f t="shared" si="37"/>
        <v>6.4997056799834653E-4</v>
      </c>
      <c r="M119" s="340">
        <f t="shared" si="37"/>
        <v>7.0946008618096652E-4</v>
      </c>
      <c r="N119" s="340">
        <f t="shared" si="37"/>
        <v>5.4248120924177716E-4</v>
      </c>
      <c r="O119" s="340">
        <f t="shared" si="37"/>
        <v>6.0463399238996711E-4</v>
      </c>
      <c r="P119" s="340">
        <f t="shared" si="37"/>
        <v>7.7398766862830243E-5</v>
      </c>
      <c r="Q119" s="340">
        <f t="shared" si="37"/>
        <v>1.212309467502594E-4</v>
      </c>
      <c r="R119" s="340">
        <f t="shared" si="37"/>
        <v>2.0566114533063138E-3</v>
      </c>
      <c r="S119" s="340">
        <f t="shared" si="37"/>
        <v>5.7344940871071684E-3</v>
      </c>
      <c r="T119" s="340">
        <f t="shared" si="37"/>
        <v>5.1777934548498028E-3</v>
      </c>
      <c r="U119" s="340">
        <f t="shared" si="37"/>
        <v>3.3104388582748667E-3</v>
      </c>
      <c r="V119" s="340">
        <f t="shared" si="37"/>
        <v>6.7887147749266504E-4</v>
      </c>
      <c r="W119" s="340">
        <f t="shared" si="37"/>
        <v>1.3657830251447489E-4</v>
      </c>
      <c r="X119" s="340">
        <f t="shared" si="37"/>
        <v>1.7378248483675884E-3</v>
      </c>
      <c r="Y119" s="340">
        <f t="shared" si="37"/>
        <v>1.3752525425628904E-3</v>
      </c>
      <c r="Z119" s="340">
        <f t="shared" si="37"/>
        <v>4.7274616921698137E-4</v>
      </c>
      <c r="AA119" s="340">
        <f t="shared" si="37"/>
        <v>2.1148739781232519E-3</v>
      </c>
      <c r="AB119" s="340">
        <f t="shared" si="37"/>
        <v>7.524490368791938E-4</v>
      </c>
      <c r="AC119" s="340">
        <f t="shared" si="37"/>
        <v>1.8866188563308455E-3</v>
      </c>
      <c r="AD119" s="340">
        <f t="shared" si="37"/>
        <v>4.1146606633942944E-3</v>
      </c>
      <c r="AE119" s="340">
        <f t="shared" si="37"/>
        <v>1.0481621389670955E-3</v>
      </c>
      <c r="AF119" s="340">
        <f t="shared" si="37"/>
        <v>4.1519292552373941E-3</v>
      </c>
      <c r="AG119" s="340">
        <f t="shared" si="37"/>
        <v>2.2108143850051161E-3</v>
      </c>
      <c r="AH119" s="340">
        <f t="shared" si="37"/>
        <v>4.8129093858302662E-4</v>
      </c>
      <c r="AI119" s="340">
        <f t="shared" si="37"/>
        <v>3.618859813103252E-4</v>
      </c>
      <c r="AJ119" s="340">
        <f t="shared" si="37"/>
        <v>6.8353089700244943E-4</v>
      </c>
      <c r="AK119" s="340">
        <f t="shared" si="37"/>
        <v>1.0931374897534866E-3</v>
      </c>
      <c r="AL119" s="340">
        <f t="shared" si="37"/>
        <v>1.2960681838228476E-3</v>
      </c>
    </row>
    <row r="120" spans="1:55" x14ac:dyDescent="0.2">
      <c r="B120" s="181" t="s">
        <v>506</v>
      </c>
      <c r="C120" s="75" t="s">
        <v>975</v>
      </c>
      <c r="F120" s="340">
        <f t="shared" si="36"/>
        <v>3.3475910763200135E-5</v>
      </c>
      <c r="G120" s="340">
        <f t="shared" si="37"/>
        <v>5.1873034279144162E-4</v>
      </c>
      <c r="H120" s="340">
        <f t="shared" si="37"/>
        <v>1.5840151796280241E-3</v>
      </c>
      <c r="I120" s="340">
        <f t="shared" si="37"/>
        <v>2.4362921147674317E-5</v>
      </c>
      <c r="J120" s="340">
        <f t="shared" si="37"/>
        <v>1.2459337532221639E-5</v>
      </c>
      <c r="K120" s="340">
        <f t="shared" si="37"/>
        <v>2.410500675771318E-4</v>
      </c>
      <c r="L120" s="340">
        <f t="shared" si="37"/>
        <v>8.5834528527131913E-6</v>
      </c>
      <c r="M120" s="340">
        <f t="shared" si="37"/>
        <v>8.1990866445046765E-5</v>
      </c>
      <c r="N120" s="340">
        <f t="shared" si="37"/>
        <v>1.4011835437295221E-4</v>
      </c>
      <c r="O120" s="340">
        <f t="shared" si="37"/>
        <v>1.4180467871071451E-4</v>
      </c>
      <c r="P120" s="340">
        <f t="shared" si="37"/>
        <v>6.310875798961372E-4</v>
      </c>
      <c r="Q120" s="340">
        <f t="shared" si="37"/>
        <v>8.3591380653044533E-5</v>
      </c>
      <c r="R120" s="340">
        <f t="shared" si="37"/>
        <v>1.6217366392357903E-4</v>
      </c>
      <c r="S120" s="340">
        <f t="shared" si="37"/>
        <v>2.315848660874299E-3</v>
      </c>
      <c r="T120" s="340">
        <f t="shared" si="37"/>
        <v>2.09647149585644E-3</v>
      </c>
      <c r="U120" s="340">
        <f t="shared" si="37"/>
        <v>1.0845376652711487E-3</v>
      </c>
      <c r="V120" s="340">
        <f t="shared" si="37"/>
        <v>1.0343195761265818E-4</v>
      </c>
      <c r="W120" s="340">
        <f t="shared" si="37"/>
        <v>6.7062233063967374E-6</v>
      </c>
      <c r="X120" s="340">
        <f t="shared" si="37"/>
        <v>9.4352273876540684E-4</v>
      </c>
      <c r="Y120" s="340">
        <f t="shared" si="37"/>
        <v>7.466702105634528E-4</v>
      </c>
      <c r="Z120" s="340">
        <f t="shared" si="37"/>
        <v>3.4206283114873823E-4</v>
      </c>
      <c r="AA120" s="340">
        <f t="shared" si="37"/>
        <v>1.1482352147611046E-3</v>
      </c>
      <c r="AB120" s="340">
        <f t="shared" si="37"/>
        <v>5.1946974537178821E-4</v>
      </c>
      <c r="AC120" s="340">
        <f t="shared" si="37"/>
        <v>1.4845047374910162E-3</v>
      </c>
      <c r="AD120" s="340">
        <f t="shared" si="37"/>
        <v>4.6915118898909784E-3</v>
      </c>
      <c r="AE120" s="340">
        <f t="shared" si="37"/>
        <v>8.5421677620921006E-4</v>
      </c>
      <c r="AF120" s="340">
        <f t="shared" si="37"/>
        <v>4.7340053191321533E-3</v>
      </c>
      <c r="AG120" s="340">
        <f t="shared" si="37"/>
        <v>2.3816290242005744E-3</v>
      </c>
      <c r="AH120" s="340">
        <f t="shared" si="37"/>
        <v>3.1856795193000473E-4</v>
      </c>
      <c r="AI120" s="340">
        <f t="shared" si="37"/>
        <v>2.6184822084350518E-4</v>
      </c>
      <c r="AJ120" s="340">
        <f t="shared" si="37"/>
        <v>4.9457939382895337E-4</v>
      </c>
      <c r="AK120" s="340">
        <f t="shared" si="37"/>
        <v>7.4067562998461186E-5</v>
      </c>
      <c r="AL120" s="340">
        <f t="shared" si="37"/>
        <v>1.1999218245872403E-4</v>
      </c>
    </row>
    <row r="121" spans="1:55" x14ac:dyDescent="0.2">
      <c r="B121" s="181" t="s">
        <v>507</v>
      </c>
      <c r="C121" s="75" t="s">
        <v>975</v>
      </c>
      <c r="F121" s="340">
        <f t="shared" si="36"/>
        <v>5.0356041827578284E-4</v>
      </c>
      <c r="G121" s="340">
        <f t="shared" si="37"/>
        <v>2.231501919406711E-4</v>
      </c>
      <c r="H121" s="340">
        <f t="shared" si="37"/>
        <v>6.8142011795335842E-4</v>
      </c>
      <c r="I121" s="340">
        <f t="shared" si="37"/>
        <v>1.5660565341122894E-4</v>
      </c>
      <c r="J121" s="340">
        <f t="shared" si="37"/>
        <v>3.1243269351827077E-4</v>
      </c>
      <c r="K121" s="340">
        <f t="shared" si="37"/>
        <v>1.0369620669900824E-4</v>
      </c>
      <c r="L121" s="340">
        <f t="shared" si="37"/>
        <v>2.1524027963163158E-4</v>
      </c>
      <c r="M121" s="340">
        <f t="shared" si="37"/>
        <v>6.7306570513661829E-4</v>
      </c>
      <c r="N121" s="340">
        <f t="shared" si="37"/>
        <v>3.3651185778559484E-4</v>
      </c>
      <c r="O121" s="340">
        <f t="shared" si="37"/>
        <v>1.8905829671284608E-4</v>
      </c>
      <c r="P121" s="340">
        <f t="shared" si="37"/>
        <v>2.0764915734838513E-4</v>
      </c>
      <c r="Q121" s="340">
        <f t="shared" si="37"/>
        <v>1.1106229613588726E-3</v>
      </c>
      <c r="R121" s="340">
        <f t="shared" si="37"/>
        <v>6.1352509595040991E-4</v>
      </c>
      <c r="S121" s="340">
        <f t="shared" si="37"/>
        <v>1.5593459923714966E-3</v>
      </c>
      <c r="T121" s="340">
        <f t="shared" si="37"/>
        <v>1.3658578611873205E-3</v>
      </c>
      <c r="U121" s="340">
        <f t="shared" si="37"/>
        <v>6.3488501377142949E-4</v>
      </c>
      <c r="V121" s="340">
        <f t="shared" si="37"/>
        <v>2.2585929899987512E-4</v>
      </c>
      <c r="W121" s="340">
        <f t="shared" si="37"/>
        <v>2.2406593504594997E-4</v>
      </c>
      <c r="X121" s="340">
        <f t="shared" si="37"/>
        <v>6.0463934278545965E-4</v>
      </c>
      <c r="Y121" s="340">
        <f t="shared" si="37"/>
        <v>4.7848998952935388E-4</v>
      </c>
      <c r="Z121" s="340">
        <f t="shared" si="37"/>
        <v>1.5705650418237167E-4</v>
      </c>
      <c r="AA121" s="340">
        <f t="shared" si="37"/>
        <v>7.3582560026557537E-4</v>
      </c>
      <c r="AB121" s="340">
        <f t="shared" si="37"/>
        <v>2.6204533870412451E-4</v>
      </c>
      <c r="AC121" s="340">
        <f t="shared" si="37"/>
        <v>6.5820944926705703E-4</v>
      </c>
      <c r="AD121" s="340">
        <f t="shared" si="37"/>
        <v>2.8270655151714063E-4</v>
      </c>
      <c r="AE121" s="340">
        <f t="shared" si="37"/>
        <v>3.6587735343615818E-4</v>
      </c>
      <c r="AF121" s="340">
        <f t="shared" si="37"/>
        <v>2.8526716974104318E-4</v>
      </c>
      <c r="AG121" s="340">
        <f t="shared" si="37"/>
        <v>2.7183268012623231E-4</v>
      </c>
      <c r="AH121" s="340">
        <f t="shared" si="37"/>
        <v>2.5447125265326783E-3</v>
      </c>
      <c r="AI121" s="340">
        <f t="shared" si="37"/>
        <v>1.2022635155636739E-4</v>
      </c>
      <c r="AJ121" s="340">
        <f t="shared" si="37"/>
        <v>2.2708375059211219E-4</v>
      </c>
      <c r="AK121" s="340">
        <f t="shared" si="37"/>
        <v>3.7627305356354351E-4</v>
      </c>
      <c r="AL121" s="340">
        <f t="shared" si="37"/>
        <v>6.7354912276015877E-4</v>
      </c>
    </row>
    <row r="122" spans="1:55" x14ac:dyDescent="0.2">
      <c r="B122" s="181"/>
      <c r="C122" s="75"/>
      <c r="F122" s="340"/>
      <c r="G122" s="340"/>
      <c r="H122" s="340"/>
      <c r="I122" s="340"/>
      <c r="J122" s="340"/>
      <c r="K122" s="340"/>
      <c r="L122" s="340"/>
      <c r="M122" s="340"/>
      <c r="N122" s="340"/>
      <c r="O122" s="340"/>
      <c r="P122" s="340"/>
      <c r="Q122" s="340"/>
      <c r="R122" s="340"/>
      <c r="S122" s="340"/>
      <c r="T122" s="340"/>
      <c r="U122" s="340"/>
      <c r="V122" s="340"/>
      <c r="W122" s="340"/>
      <c r="X122" s="340"/>
      <c r="Y122" s="340"/>
      <c r="Z122" s="340"/>
      <c r="AA122" s="340"/>
      <c r="AB122" s="340"/>
      <c r="AC122" s="340"/>
      <c r="AD122" s="340"/>
      <c r="AE122" s="340"/>
      <c r="AF122" s="340"/>
      <c r="AG122" s="340"/>
      <c r="AH122" s="340"/>
      <c r="AI122" s="340"/>
      <c r="AJ122" s="340"/>
      <c r="AK122" s="340"/>
      <c r="AL122" s="340"/>
    </row>
    <row r="123" spans="1:55" x14ac:dyDescent="0.2">
      <c r="B123" s="230" t="s">
        <v>508</v>
      </c>
      <c r="C123" s="75" t="s">
        <v>975</v>
      </c>
      <c r="F123" s="340">
        <f t="shared" si="36"/>
        <v>0.38726989445337701</v>
      </c>
      <c r="G123" s="340">
        <f t="shared" si="37"/>
        <v>9.3423429523771903E-2</v>
      </c>
      <c r="H123" s="340">
        <f t="shared" si="37"/>
        <v>0.16782370009582515</v>
      </c>
      <c r="I123" s="340">
        <f t="shared" si="37"/>
        <v>4.3732538794581062E-2</v>
      </c>
      <c r="J123" s="340">
        <f t="shared" si="37"/>
        <v>7.1343787480954463E-2</v>
      </c>
      <c r="K123" s="340">
        <f t="shared" si="37"/>
        <v>3.1476172029083919E-2</v>
      </c>
      <c r="L123" s="340">
        <f t="shared" si="37"/>
        <v>3.0051038101799574E-2</v>
      </c>
      <c r="M123" s="340">
        <f t="shared" si="37"/>
        <v>2.8730396745182345E-2</v>
      </c>
      <c r="N123" s="340">
        <f t="shared" si="37"/>
        <v>1.7174536403112655E-2</v>
      </c>
      <c r="O123" s="340">
        <f t="shared" si="37"/>
        <v>4.8910925174742145E-2</v>
      </c>
      <c r="P123" s="340">
        <f t="shared" si="37"/>
        <v>4.3136618423059298E-2</v>
      </c>
      <c r="Q123" s="340">
        <f t="shared" si="37"/>
        <v>0.11491704386957879</v>
      </c>
      <c r="R123" s="340">
        <f t="shared" si="37"/>
        <v>1.5526830553260549E-2</v>
      </c>
      <c r="S123" s="340">
        <f t="shared" si="37"/>
        <v>4.5129464689112539E-2</v>
      </c>
      <c r="T123" s="340">
        <f t="shared" si="37"/>
        <v>2.2126273425319958E-2</v>
      </c>
      <c r="U123" s="340">
        <f t="shared" si="37"/>
        <v>2.7484794802215731E-2</v>
      </c>
      <c r="V123" s="340">
        <f t="shared" si="37"/>
        <v>2.8534161899043051E-2</v>
      </c>
      <c r="W123" s="340">
        <f t="shared" si="37"/>
        <v>4.9772814645951187E-2</v>
      </c>
      <c r="X123" s="340">
        <f t="shared" si="37"/>
        <v>1.3483292092814108E-2</v>
      </c>
      <c r="Y123" s="340">
        <f t="shared" si="37"/>
        <v>0.11647641056986981</v>
      </c>
      <c r="Z123" s="340">
        <f t="shared" si="37"/>
        <v>1.4378554150906324E-2</v>
      </c>
      <c r="AA123" s="340">
        <f t="shared" si="37"/>
        <v>0.12291143092614658</v>
      </c>
      <c r="AB123" s="340">
        <f t="shared" si="37"/>
        <v>1.8643026971204641E-2</v>
      </c>
      <c r="AC123" s="340">
        <f t="shared" si="37"/>
        <v>7.540827378638712E-2</v>
      </c>
      <c r="AD123" s="340">
        <f t="shared" si="37"/>
        <v>6.5259457623846787E-2</v>
      </c>
      <c r="AE123" s="340">
        <f t="shared" si="37"/>
        <v>1.7265875792281612E-2</v>
      </c>
      <c r="AF123" s="340">
        <f t="shared" si="37"/>
        <v>0.2974836848941127</v>
      </c>
      <c r="AG123" s="340">
        <f t="shared" si="37"/>
        <v>4.0051529510504891E-2</v>
      </c>
      <c r="AH123" s="340">
        <f t="shared" si="37"/>
        <v>1.8076061646596947E-2</v>
      </c>
      <c r="AI123" s="340">
        <f t="shared" si="37"/>
        <v>0.29083155279232686</v>
      </c>
      <c r="AJ123" s="340">
        <f t="shared" si="37"/>
        <v>0.11438371057776509</v>
      </c>
      <c r="AK123" s="340">
        <f t="shared" si="37"/>
        <v>0.34249842909361566</v>
      </c>
      <c r="AL123" s="340">
        <f t="shared" si="37"/>
        <v>0.18404932769466797</v>
      </c>
    </row>
    <row r="124" spans="1:55" x14ac:dyDescent="0.2">
      <c r="B124" s="230" t="s">
        <v>509</v>
      </c>
      <c r="C124" s="75" t="s">
        <v>975</v>
      </c>
      <c r="F124" s="340">
        <f t="shared" si="36"/>
        <v>0</v>
      </c>
      <c r="G124" s="340">
        <f t="shared" si="37"/>
        <v>0</v>
      </c>
      <c r="H124" s="340">
        <f t="shared" si="37"/>
        <v>0</v>
      </c>
      <c r="I124" s="340">
        <f t="shared" si="37"/>
        <v>0</v>
      </c>
      <c r="J124" s="340">
        <f t="shared" si="37"/>
        <v>0</v>
      </c>
      <c r="K124" s="340">
        <f t="shared" si="37"/>
        <v>0</v>
      </c>
      <c r="L124" s="340">
        <f t="shared" si="37"/>
        <v>0</v>
      </c>
      <c r="M124" s="340">
        <f t="shared" si="37"/>
        <v>0</v>
      </c>
      <c r="N124" s="340">
        <f t="shared" si="37"/>
        <v>0</v>
      </c>
      <c r="O124" s="340">
        <f t="shared" si="37"/>
        <v>0</v>
      </c>
      <c r="P124" s="340">
        <f t="shared" si="37"/>
        <v>0</v>
      </c>
      <c r="Q124" s="340">
        <f t="shared" si="37"/>
        <v>0</v>
      </c>
      <c r="R124" s="340">
        <f t="shared" si="37"/>
        <v>0</v>
      </c>
      <c r="S124" s="340">
        <f t="shared" si="37"/>
        <v>0</v>
      </c>
      <c r="T124" s="340">
        <f t="shared" si="37"/>
        <v>0</v>
      </c>
      <c r="U124" s="340">
        <f t="shared" si="37"/>
        <v>0</v>
      </c>
      <c r="V124" s="340">
        <f t="shared" si="37"/>
        <v>0</v>
      </c>
      <c r="W124" s="340">
        <f t="shared" si="37"/>
        <v>0</v>
      </c>
      <c r="X124" s="340">
        <f t="shared" si="37"/>
        <v>0</v>
      </c>
      <c r="Y124" s="340">
        <f t="shared" si="37"/>
        <v>0</v>
      </c>
      <c r="Z124" s="340">
        <f t="shared" si="37"/>
        <v>0</v>
      </c>
      <c r="AA124" s="340">
        <f t="shared" si="37"/>
        <v>0</v>
      </c>
      <c r="AB124" s="340">
        <f t="shared" si="37"/>
        <v>0</v>
      </c>
      <c r="AC124" s="340">
        <f t="shared" si="37"/>
        <v>0</v>
      </c>
      <c r="AD124" s="340">
        <f t="shared" si="37"/>
        <v>0</v>
      </c>
      <c r="AE124" s="340">
        <f t="shared" si="37"/>
        <v>0</v>
      </c>
      <c r="AF124" s="340">
        <f t="shared" si="37"/>
        <v>0</v>
      </c>
      <c r="AG124" s="340">
        <f t="shared" si="37"/>
        <v>0</v>
      </c>
      <c r="AH124" s="340">
        <f t="shared" si="37"/>
        <v>0</v>
      </c>
      <c r="AI124" s="340">
        <f t="shared" si="37"/>
        <v>0</v>
      </c>
      <c r="AJ124" s="340">
        <f t="shared" si="37"/>
        <v>0</v>
      </c>
      <c r="AK124" s="340">
        <f t="shared" si="37"/>
        <v>0</v>
      </c>
      <c r="AL124" s="340">
        <f t="shared" si="37"/>
        <v>0</v>
      </c>
    </row>
    <row r="125" spans="1:55" s="40" customFormat="1" x14ac:dyDescent="0.2">
      <c r="A125" s="36"/>
      <c r="B125" s="293"/>
      <c r="C125" s="294"/>
      <c r="F125" s="341">
        <f>SUM(F81:F124)</f>
        <v>1.0000000000000002</v>
      </c>
      <c r="G125" s="341">
        <f t="shared" ref="G125:AL125" si="38">SUM(G81:G124)</f>
        <v>0.99999999999999989</v>
      </c>
      <c r="H125" s="341">
        <f t="shared" si="38"/>
        <v>0.99999999999999956</v>
      </c>
      <c r="I125" s="341">
        <f t="shared" si="38"/>
        <v>1.0000000000000002</v>
      </c>
      <c r="J125" s="341">
        <f t="shared" si="38"/>
        <v>1</v>
      </c>
      <c r="K125" s="341">
        <f t="shared" si="38"/>
        <v>1.0000000000000002</v>
      </c>
      <c r="L125" s="341">
        <f t="shared" si="38"/>
        <v>0.99999999999999967</v>
      </c>
      <c r="M125" s="341">
        <f t="shared" si="38"/>
        <v>0.99999999999999989</v>
      </c>
      <c r="N125" s="341">
        <f t="shared" si="38"/>
        <v>1.0000000000000002</v>
      </c>
      <c r="O125" s="341">
        <f t="shared" si="38"/>
        <v>0.99999999999999978</v>
      </c>
      <c r="P125" s="341">
        <f t="shared" si="38"/>
        <v>1.0000000000000002</v>
      </c>
      <c r="Q125" s="341">
        <f t="shared" si="38"/>
        <v>0.99999999999999944</v>
      </c>
      <c r="R125" s="341">
        <f t="shared" si="38"/>
        <v>0.99999999999999989</v>
      </c>
      <c r="S125" s="341">
        <f t="shared" si="38"/>
        <v>0.99999999999999978</v>
      </c>
      <c r="T125" s="341">
        <f t="shared" si="38"/>
        <v>1.0000000000000004</v>
      </c>
      <c r="U125" s="341">
        <f t="shared" si="38"/>
        <v>0.99999999999999989</v>
      </c>
      <c r="V125" s="341">
        <f t="shared" si="38"/>
        <v>1.0000000000000002</v>
      </c>
      <c r="W125" s="341">
        <f t="shared" si="38"/>
        <v>1.0000000000000004</v>
      </c>
      <c r="X125" s="341">
        <f t="shared" si="38"/>
        <v>1.0000000000000002</v>
      </c>
      <c r="Y125" s="341">
        <f t="shared" si="38"/>
        <v>1.0000000000000004</v>
      </c>
      <c r="Z125" s="341">
        <f t="shared" si="38"/>
        <v>0.99999999999999967</v>
      </c>
      <c r="AA125" s="341">
        <f t="shared" si="38"/>
        <v>0.99999999999999989</v>
      </c>
      <c r="AB125" s="341">
        <f t="shared" si="38"/>
        <v>1.0000000000000002</v>
      </c>
      <c r="AC125" s="341">
        <f t="shared" si="38"/>
        <v>0.99999999999999978</v>
      </c>
      <c r="AD125" s="341">
        <f t="shared" si="38"/>
        <v>1.0000000000000004</v>
      </c>
      <c r="AE125" s="341">
        <f t="shared" si="38"/>
        <v>1.0000000000000004</v>
      </c>
      <c r="AF125" s="341">
        <f t="shared" si="38"/>
        <v>1.0000000000000002</v>
      </c>
      <c r="AG125" s="341">
        <f t="shared" si="38"/>
        <v>1</v>
      </c>
      <c r="AH125" s="341">
        <f t="shared" si="38"/>
        <v>1</v>
      </c>
      <c r="AI125" s="341">
        <f t="shared" si="38"/>
        <v>1</v>
      </c>
      <c r="AJ125" s="341">
        <f t="shared" si="38"/>
        <v>0.99999999999999989</v>
      </c>
      <c r="AK125" s="341">
        <f t="shared" si="38"/>
        <v>1</v>
      </c>
      <c r="AL125" s="341">
        <f t="shared" si="38"/>
        <v>1</v>
      </c>
      <c r="AN125" s="33"/>
      <c r="AO125" s="33"/>
      <c r="AP125" s="33"/>
    </row>
    <row r="126" spans="1:55" x14ac:dyDescent="0.2">
      <c r="B126" s="230"/>
      <c r="C126" s="231"/>
      <c r="F126" s="342"/>
      <c r="G126" s="342"/>
      <c r="H126" s="342"/>
      <c r="I126" s="342"/>
      <c r="J126" s="342"/>
      <c r="K126" s="342"/>
      <c r="L126" s="342"/>
      <c r="M126" s="342"/>
      <c r="N126" s="342"/>
      <c r="O126" s="342"/>
      <c r="P126" s="342"/>
      <c r="Q126" s="342"/>
      <c r="R126" s="342"/>
      <c r="S126" s="342"/>
      <c r="T126" s="342"/>
      <c r="U126" s="342"/>
      <c r="V126" s="342"/>
      <c r="W126" s="342"/>
      <c r="X126" s="342"/>
      <c r="Y126" s="342"/>
      <c r="Z126" s="342"/>
      <c r="AA126" s="342"/>
      <c r="AB126" s="342"/>
      <c r="AC126" s="342"/>
      <c r="AD126" s="342"/>
      <c r="AE126" s="342"/>
      <c r="AF126" s="342"/>
      <c r="AG126" s="342"/>
      <c r="AH126" s="342"/>
      <c r="AI126" s="342"/>
      <c r="AJ126" s="342"/>
      <c r="AK126" s="342"/>
      <c r="AL126" s="342"/>
    </row>
    <row r="127" spans="1:55" x14ac:dyDescent="0.2">
      <c r="F127" s="144" t="s">
        <v>2</v>
      </c>
      <c r="G127" s="6" t="s">
        <v>3</v>
      </c>
      <c r="H127" s="6" t="s">
        <v>4</v>
      </c>
      <c r="I127" s="6" t="s">
        <v>5</v>
      </c>
      <c r="J127" s="6" t="s">
        <v>6</v>
      </c>
      <c r="K127" s="6" t="s">
        <v>7</v>
      </c>
      <c r="L127" s="6" t="s">
        <v>8</v>
      </c>
      <c r="M127" s="6" t="s">
        <v>9</v>
      </c>
      <c r="N127" s="6" t="s">
        <v>10</v>
      </c>
      <c r="O127" s="6" t="s">
        <v>11</v>
      </c>
      <c r="P127" s="6" t="s">
        <v>12</v>
      </c>
      <c r="Q127" s="6" t="s">
        <v>13</v>
      </c>
      <c r="R127" s="6" t="s">
        <v>14</v>
      </c>
      <c r="S127" s="6" t="s">
        <v>15</v>
      </c>
      <c r="T127" s="6" t="s">
        <v>16</v>
      </c>
      <c r="U127" s="6" t="s">
        <v>17</v>
      </c>
      <c r="V127" s="6" t="s">
        <v>18</v>
      </c>
      <c r="W127" s="6" t="s">
        <v>19</v>
      </c>
      <c r="X127" s="6" t="s">
        <v>20</v>
      </c>
      <c r="Y127" s="6" t="s">
        <v>21</v>
      </c>
      <c r="Z127" s="6" t="s">
        <v>22</v>
      </c>
      <c r="AA127" s="145" t="s">
        <v>23</v>
      </c>
      <c r="AB127" s="6" t="s">
        <v>24</v>
      </c>
      <c r="AC127" s="6" t="s">
        <v>25</v>
      </c>
      <c r="AD127" s="6" t="s">
        <v>26</v>
      </c>
      <c r="AE127" s="6" t="s">
        <v>27</v>
      </c>
      <c r="AF127" s="6" t="s">
        <v>28</v>
      </c>
      <c r="AG127" s="6" t="s">
        <v>29</v>
      </c>
      <c r="AH127" s="6" t="s">
        <v>30</v>
      </c>
      <c r="AI127" s="6" t="s">
        <v>31</v>
      </c>
      <c r="AJ127" s="6" t="s">
        <v>32</v>
      </c>
      <c r="AK127" s="6" t="s">
        <v>33</v>
      </c>
      <c r="AL127" s="6" t="s">
        <v>34</v>
      </c>
      <c r="AN127" s="40"/>
      <c r="AO127" s="40"/>
      <c r="AP127" s="40"/>
    </row>
    <row r="128" spans="1:55" s="290" customFormat="1" x14ac:dyDescent="0.2">
      <c r="A128" s="295"/>
      <c r="B128" s="296" t="s">
        <v>470</v>
      </c>
      <c r="C128" s="297" t="s">
        <v>471</v>
      </c>
      <c r="D128" s="298"/>
      <c r="E128" s="284"/>
      <c r="F128" s="299">
        <v>6852.333333333333</v>
      </c>
      <c r="G128" s="300">
        <v>36213.5</v>
      </c>
      <c r="H128" s="299">
        <v>7729.333333333333</v>
      </c>
      <c r="I128" s="299">
        <v>130893</v>
      </c>
      <c r="J128" s="299">
        <v>214304.16666666666</v>
      </c>
      <c r="K128" s="299">
        <v>101752</v>
      </c>
      <c r="L128" s="299">
        <v>242646.16666666666</v>
      </c>
      <c r="M128" s="299">
        <v>188149.83333333334</v>
      </c>
      <c r="N128" s="299">
        <v>77570.666666666672</v>
      </c>
      <c r="O128" s="299">
        <v>60021.833333333336</v>
      </c>
      <c r="P128" s="299">
        <v>242339</v>
      </c>
      <c r="Q128" s="299">
        <v>45964.833333333336</v>
      </c>
      <c r="R128" s="299">
        <v>569789.16666666663</v>
      </c>
      <c r="S128" s="299">
        <v>126423</v>
      </c>
      <c r="T128" s="299">
        <v>477762</v>
      </c>
      <c r="U128" s="299">
        <v>75601.5</v>
      </c>
      <c r="V128" s="299">
        <v>278492</v>
      </c>
      <c r="W128" s="299">
        <v>151615.16666666666</v>
      </c>
      <c r="X128" s="299">
        <v>83196</v>
      </c>
      <c r="Y128" s="299">
        <v>82316.166666666672</v>
      </c>
      <c r="Z128" s="299">
        <v>6712.833333333333</v>
      </c>
      <c r="AA128" s="299">
        <v>54059</v>
      </c>
      <c r="AB128" s="299">
        <v>73463.333333333328</v>
      </c>
      <c r="AC128" s="299">
        <v>87212.5</v>
      </c>
      <c r="AD128" s="299">
        <v>8706.6666666666661</v>
      </c>
      <c r="AE128" s="299">
        <v>53458.666666666664</v>
      </c>
      <c r="AF128" s="299">
        <v>11721.833333333334</v>
      </c>
      <c r="AG128" s="299">
        <v>49991.333333333336</v>
      </c>
      <c r="AH128" s="299">
        <v>86462.833333333328</v>
      </c>
      <c r="AI128" s="299">
        <v>565.33333333333337</v>
      </c>
      <c r="AJ128" s="299">
        <v>601.16666666666663</v>
      </c>
      <c r="AK128" s="299">
        <v>573.33333333333337</v>
      </c>
      <c r="AL128" s="299">
        <v>819.5</v>
      </c>
      <c r="AM128" s="301"/>
      <c r="AN128" s="33"/>
      <c r="AO128" s="33"/>
      <c r="AP128" s="33"/>
      <c r="AQ128" s="8"/>
      <c r="AR128" s="8"/>
      <c r="AS128" s="8"/>
      <c r="AT128" s="8"/>
      <c r="AU128" s="8"/>
      <c r="AV128" s="8"/>
      <c r="AW128" s="8"/>
      <c r="AX128" s="8"/>
      <c r="AY128" s="8"/>
      <c r="AZ128" s="8"/>
      <c r="BA128" s="8"/>
      <c r="BB128" s="8"/>
      <c r="BC128" s="8"/>
    </row>
    <row r="129" spans="1:55" s="290" customFormat="1" x14ac:dyDescent="0.2">
      <c r="A129" s="295"/>
      <c r="B129" s="296" t="s">
        <v>472</v>
      </c>
      <c r="C129" s="297" t="s">
        <v>471</v>
      </c>
      <c r="D129" s="298"/>
      <c r="E129" s="284"/>
      <c r="F129" s="299">
        <v>6451.666666666667</v>
      </c>
      <c r="G129" s="300">
        <v>27087.666666666668</v>
      </c>
      <c r="H129" s="299">
        <v>8712.1666666666661</v>
      </c>
      <c r="I129" s="299">
        <v>75597.5</v>
      </c>
      <c r="J129" s="299">
        <v>112387.83333333333</v>
      </c>
      <c r="K129" s="299">
        <v>53704.666666666664</v>
      </c>
      <c r="L129" s="299">
        <v>47629.166666666664</v>
      </c>
      <c r="M129" s="299">
        <v>80870.5</v>
      </c>
      <c r="N129" s="299">
        <v>104613.66666666667</v>
      </c>
      <c r="O129" s="299">
        <v>106353.5</v>
      </c>
      <c r="P129" s="299">
        <v>174770.33333333334</v>
      </c>
      <c r="Q129" s="299">
        <v>18472.833333333332</v>
      </c>
      <c r="R129" s="299">
        <v>103549.33333333333</v>
      </c>
      <c r="S129" s="299">
        <v>212365.66666666666</v>
      </c>
      <c r="T129" s="299">
        <v>407810.5</v>
      </c>
      <c r="U129" s="299">
        <v>237744</v>
      </c>
      <c r="V129" s="299">
        <v>1085504.6666666667</v>
      </c>
      <c r="W129" s="299">
        <v>19034.333333333332</v>
      </c>
      <c r="X129" s="299">
        <v>8980</v>
      </c>
      <c r="Y129" s="299">
        <v>40533.833333333336</v>
      </c>
      <c r="Z129" s="299">
        <v>10424.166666666666</v>
      </c>
      <c r="AA129" s="299">
        <v>43513.333333333336</v>
      </c>
      <c r="AB129" s="299">
        <v>216192.66666666666</v>
      </c>
      <c r="AC129" s="299">
        <v>232637.5</v>
      </c>
      <c r="AD129" s="299">
        <v>16779.333333333332</v>
      </c>
      <c r="AE129" s="299">
        <v>147623.16666666666</v>
      </c>
      <c r="AF129" s="299">
        <v>18459.666666666668</v>
      </c>
      <c r="AG129" s="299">
        <v>124389.5</v>
      </c>
      <c r="AH129" s="299">
        <v>293206</v>
      </c>
      <c r="AI129" s="299">
        <v>5193.166666666667</v>
      </c>
      <c r="AJ129" s="299">
        <v>623</v>
      </c>
      <c r="AK129" s="299">
        <v>8572</v>
      </c>
      <c r="AL129" s="299">
        <v>7302.666666666667</v>
      </c>
      <c r="AM129" s="301"/>
      <c r="AN129" s="33"/>
      <c r="AO129" s="33"/>
      <c r="AP129" s="33"/>
      <c r="AQ129" s="8"/>
      <c r="AR129" s="8"/>
      <c r="AS129" s="8"/>
      <c r="AT129" s="8"/>
      <c r="AU129" s="8"/>
      <c r="AV129" s="8"/>
      <c r="AW129" s="8"/>
      <c r="AX129" s="8"/>
      <c r="AY129" s="8"/>
      <c r="AZ129" s="8"/>
      <c r="BA129" s="8"/>
      <c r="BB129" s="8"/>
      <c r="BC129" s="8"/>
    </row>
    <row r="130" spans="1:55" s="290" customFormat="1" x14ac:dyDescent="0.2">
      <c r="A130" s="295"/>
      <c r="B130" s="296" t="s">
        <v>473</v>
      </c>
      <c r="C130" s="297" t="s">
        <v>471</v>
      </c>
      <c r="D130" s="298"/>
      <c r="E130" s="284"/>
      <c r="F130" s="299">
        <v>1387.3333333333333</v>
      </c>
      <c r="G130" s="300">
        <v>10308.166666666666</v>
      </c>
      <c r="H130" s="299">
        <v>1904</v>
      </c>
      <c r="I130" s="299">
        <v>30798</v>
      </c>
      <c r="J130" s="299">
        <v>56419.833333333336</v>
      </c>
      <c r="K130" s="299">
        <v>30182.666666666668</v>
      </c>
      <c r="L130" s="299">
        <v>59954.333333333336</v>
      </c>
      <c r="M130" s="299">
        <v>42589.833333333336</v>
      </c>
      <c r="N130" s="299">
        <v>21429.333333333332</v>
      </c>
      <c r="O130" s="299">
        <v>17253.833333333332</v>
      </c>
      <c r="P130" s="299">
        <v>66400</v>
      </c>
      <c r="Q130" s="299">
        <v>11549.166666666666</v>
      </c>
      <c r="R130" s="299">
        <v>93551.333333333328</v>
      </c>
      <c r="S130" s="299">
        <v>23384</v>
      </c>
      <c r="T130" s="299">
        <v>101106</v>
      </c>
      <c r="U130" s="299">
        <v>14850.5</v>
      </c>
      <c r="V130" s="299">
        <v>52403.666666666664</v>
      </c>
      <c r="W130" s="299">
        <v>43593.666666666664</v>
      </c>
      <c r="X130" s="299">
        <v>19866.166666666668</v>
      </c>
      <c r="Y130" s="299">
        <v>17836.666666666668</v>
      </c>
      <c r="Z130" s="299">
        <v>3402.8333333333335</v>
      </c>
      <c r="AA130" s="299">
        <v>12922.833333333334</v>
      </c>
      <c r="AB130" s="299">
        <v>12397.833333333334</v>
      </c>
      <c r="AC130" s="299">
        <v>15694.5</v>
      </c>
      <c r="AD130" s="299">
        <v>1627</v>
      </c>
      <c r="AE130" s="299">
        <v>8516.8333333333339</v>
      </c>
      <c r="AF130" s="299">
        <v>1552.3333333333333</v>
      </c>
      <c r="AG130" s="299">
        <v>8847.5</v>
      </c>
      <c r="AH130" s="299">
        <v>16088</v>
      </c>
      <c r="AI130" s="299">
        <v>56.5</v>
      </c>
      <c r="AJ130" s="299">
        <v>101.16666666666667</v>
      </c>
      <c r="AK130" s="299">
        <v>103.83333333333333</v>
      </c>
      <c r="AL130" s="299">
        <v>165</v>
      </c>
      <c r="AM130" s="301"/>
      <c r="AN130" s="8"/>
      <c r="AO130" s="8"/>
      <c r="AP130" s="8"/>
      <c r="AQ130" s="8"/>
      <c r="AR130" s="8"/>
      <c r="AS130" s="8"/>
      <c r="AT130" s="8"/>
      <c r="AU130" s="8"/>
      <c r="AV130" s="8"/>
      <c r="AW130" s="8"/>
      <c r="AX130" s="8"/>
      <c r="AY130" s="8"/>
      <c r="AZ130" s="8"/>
      <c r="BA130" s="8"/>
      <c r="BB130" s="8"/>
      <c r="BC130" s="8"/>
    </row>
    <row r="131" spans="1:55" s="290" customFormat="1" x14ac:dyDescent="0.2">
      <c r="A131" s="295"/>
      <c r="B131" s="296" t="s">
        <v>474</v>
      </c>
      <c r="C131" s="297" t="s">
        <v>471</v>
      </c>
      <c r="D131" s="298"/>
      <c r="E131" s="284"/>
      <c r="F131" s="299">
        <v>1658.8333333333333</v>
      </c>
      <c r="G131" s="300">
        <v>7261.666666666667</v>
      </c>
      <c r="H131" s="299">
        <v>2337</v>
      </c>
      <c r="I131" s="299">
        <v>19152</v>
      </c>
      <c r="J131" s="299">
        <v>28700.333333333332</v>
      </c>
      <c r="K131" s="299">
        <v>15877.833333333334</v>
      </c>
      <c r="L131" s="299">
        <v>13942.666666666666</v>
      </c>
      <c r="M131" s="299">
        <v>20701.5</v>
      </c>
      <c r="N131" s="299">
        <v>25609.166666666668</v>
      </c>
      <c r="O131" s="299">
        <v>25366.5</v>
      </c>
      <c r="P131" s="299">
        <v>42786.166666666664</v>
      </c>
      <c r="Q131" s="299">
        <v>4179.333333333333</v>
      </c>
      <c r="R131" s="299">
        <v>23980.5</v>
      </c>
      <c r="S131" s="299">
        <v>58711.166666666664</v>
      </c>
      <c r="T131" s="299">
        <v>114401.5</v>
      </c>
      <c r="U131" s="299">
        <v>49023.166666666664</v>
      </c>
      <c r="V131" s="299">
        <v>194236</v>
      </c>
      <c r="W131" s="299">
        <v>3818.1666666666665</v>
      </c>
      <c r="X131" s="299">
        <v>1818.3333333333333</v>
      </c>
      <c r="Y131" s="299">
        <v>9330.6666666666661</v>
      </c>
      <c r="Z131" s="299">
        <v>2536.3333333333335</v>
      </c>
      <c r="AA131" s="299">
        <v>9701.6666666666661</v>
      </c>
      <c r="AB131" s="299">
        <v>31463</v>
      </c>
      <c r="AC131" s="299">
        <v>47811.166666666664</v>
      </c>
      <c r="AD131" s="299">
        <v>3870</v>
      </c>
      <c r="AE131" s="299">
        <v>38635.666666666664</v>
      </c>
      <c r="AF131" s="299">
        <v>4996.5</v>
      </c>
      <c r="AG131" s="299">
        <v>20666.833333333332</v>
      </c>
      <c r="AH131" s="299">
        <v>43503.5</v>
      </c>
      <c r="AI131" s="299">
        <v>1425.8333333333333</v>
      </c>
      <c r="AJ131" s="299">
        <v>119.83333333333333</v>
      </c>
      <c r="AK131" s="299">
        <v>1821.5</v>
      </c>
      <c r="AL131" s="299">
        <v>1271.6666666666667</v>
      </c>
      <c r="AM131" s="301"/>
      <c r="AN131" s="8"/>
      <c r="AO131" s="8"/>
      <c r="AP131" s="8"/>
      <c r="AQ131" s="8"/>
      <c r="AR131" s="8"/>
      <c r="AS131" s="8"/>
      <c r="AT131" s="8"/>
      <c r="AU131" s="8"/>
      <c r="AV131" s="8"/>
      <c r="AW131" s="8"/>
      <c r="AX131" s="8"/>
      <c r="AY131" s="8"/>
      <c r="AZ131" s="8"/>
      <c r="BA131" s="8"/>
      <c r="BB131" s="8"/>
      <c r="BC131" s="8"/>
    </row>
    <row r="132" spans="1:55" s="290" customFormat="1" x14ac:dyDescent="0.2">
      <c r="A132" s="295"/>
      <c r="B132" s="296" t="s">
        <v>475</v>
      </c>
      <c r="C132" s="297" t="s">
        <v>471</v>
      </c>
      <c r="D132" s="298"/>
      <c r="E132" s="284"/>
      <c r="F132" s="299">
        <v>657.66666666666663</v>
      </c>
      <c r="G132" s="300">
        <v>3093.8333333333335</v>
      </c>
      <c r="H132" s="299">
        <v>979</v>
      </c>
      <c r="I132" s="299">
        <v>8016.333333333333</v>
      </c>
      <c r="J132" s="299">
        <v>16136.666666666666</v>
      </c>
      <c r="K132" s="299">
        <v>6270.833333333333</v>
      </c>
      <c r="L132" s="299">
        <v>8949</v>
      </c>
      <c r="M132" s="299">
        <v>10345.5</v>
      </c>
      <c r="N132" s="299">
        <v>8820</v>
      </c>
      <c r="O132" s="299">
        <v>9147.1666666666661</v>
      </c>
      <c r="P132" s="299">
        <v>16418.166666666668</v>
      </c>
      <c r="Q132" s="299">
        <v>2392.3333333333335</v>
      </c>
      <c r="R132" s="299">
        <v>16798.666666666668</v>
      </c>
      <c r="S132" s="299">
        <v>17254.166666666668</v>
      </c>
      <c r="T132" s="299">
        <v>33544.666666666664</v>
      </c>
      <c r="U132" s="299">
        <v>16368</v>
      </c>
      <c r="V132" s="299">
        <v>71689</v>
      </c>
      <c r="W132" s="299">
        <v>5059.5</v>
      </c>
      <c r="X132" s="299">
        <v>2294</v>
      </c>
      <c r="Y132" s="299">
        <v>7606.166666666667</v>
      </c>
      <c r="Z132" s="299">
        <v>1255.6666666666667</v>
      </c>
      <c r="AA132" s="299">
        <v>6910</v>
      </c>
      <c r="AB132" s="299">
        <v>4296.666666666667</v>
      </c>
      <c r="AC132" s="299">
        <v>5044</v>
      </c>
      <c r="AD132" s="299">
        <v>1286.8333333333333</v>
      </c>
      <c r="AE132" s="299">
        <v>2834.5</v>
      </c>
      <c r="AF132" s="299">
        <v>1161.1666666666667</v>
      </c>
      <c r="AG132" s="299">
        <v>4380.5</v>
      </c>
      <c r="AH132" s="299">
        <v>4250.333333333333</v>
      </c>
      <c r="AI132" s="299">
        <v>653.5</v>
      </c>
      <c r="AJ132" s="299">
        <v>39.166666666666664</v>
      </c>
      <c r="AK132" s="299">
        <v>870.16666666666663</v>
      </c>
      <c r="AL132" s="299">
        <v>155.83333333333334</v>
      </c>
      <c r="AM132" s="301"/>
      <c r="AN132" s="8"/>
      <c r="AO132" s="8"/>
      <c r="AP132" s="8"/>
      <c r="AQ132" s="8"/>
      <c r="AR132" s="8"/>
      <c r="AS132" s="8"/>
      <c r="AT132" s="8"/>
      <c r="AU132" s="8"/>
      <c r="AV132" s="8"/>
      <c r="AW132" s="8"/>
      <c r="AX132" s="8"/>
      <c r="AY132" s="8"/>
      <c r="AZ132" s="8"/>
      <c r="BA132" s="8"/>
      <c r="BB132" s="8"/>
      <c r="BC132" s="8"/>
    </row>
    <row r="133" spans="1:55" s="290" customFormat="1" x14ac:dyDescent="0.2">
      <c r="A133" s="295"/>
      <c r="B133" s="296" t="s">
        <v>476</v>
      </c>
      <c r="C133" s="297" t="s">
        <v>471</v>
      </c>
      <c r="D133" s="298"/>
      <c r="E133" s="284"/>
      <c r="F133" s="299">
        <v>73.333333333333329</v>
      </c>
      <c r="G133" s="300">
        <v>4343.5</v>
      </c>
      <c r="H133" s="299">
        <v>163.33333333333334</v>
      </c>
      <c r="I133" s="299">
        <v>10704</v>
      </c>
      <c r="J133" s="299">
        <v>16835.166666666668</v>
      </c>
      <c r="K133" s="299">
        <v>17495.333333333332</v>
      </c>
      <c r="L133" s="299">
        <v>16261</v>
      </c>
      <c r="M133" s="299">
        <v>10580.5</v>
      </c>
      <c r="N133" s="299">
        <v>14300.833333333334</v>
      </c>
      <c r="O133" s="299">
        <v>5436.333333333333</v>
      </c>
      <c r="P133" s="299">
        <v>16699.666666666668</v>
      </c>
      <c r="Q133" s="299">
        <v>678.33333333333337</v>
      </c>
      <c r="R133" s="299">
        <v>8845.1666666666661</v>
      </c>
      <c r="S133" s="299">
        <v>1377.1666666666667</v>
      </c>
      <c r="T133" s="299">
        <v>16238.5</v>
      </c>
      <c r="U133" s="299">
        <v>700.66666666666663</v>
      </c>
      <c r="V133" s="299">
        <v>3050.3333333333335</v>
      </c>
      <c r="W133" s="299">
        <v>2483.6666666666665</v>
      </c>
      <c r="X133" s="299">
        <v>922.83333333333337</v>
      </c>
      <c r="Y133" s="299">
        <v>661.5</v>
      </c>
      <c r="Z133" s="299">
        <v>108.33333333333333</v>
      </c>
      <c r="AA133" s="299">
        <v>737.33333333333337</v>
      </c>
      <c r="AB133" s="299">
        <v>444</v>
      </c>
      <c r="AC133" s="299">
        <v>969.16666666666663</v>
      </c>
      <c r="AD133" s="299">
        <v>72</v>
      </c>
      <c r="AE133" s="299">
        <v>239.66666666666666</v>
      </c>
      <c r="AF133" s="299">
        <v>159.83333333333334</v>
      </c>
      <c r="AG133" s="299">
        <v>1087</v>
      </c>
      <c r="AH133" s="299">
        <v>596.83333333333337</v>
      </c>
      <c r="AI133" s="299">
        <v>26</v>
      </c>
      <c r="AJ133" s="299">
        <v>35.166666666666664</v>
      </c>
      <c r="AK133" s="299">
        <v>22.333333333333332</v>
      </c>
      <c r="AL133" s="299">
        <v>9.5</v>
      </c>
      <c r="AM133" s="301"/>
      <c r="AN133" s="8"/>
      <c r="AO133" s="8"/>
      <c r="AP133" s="8"/>
      <c r="AQ133" s="8"/>
      <c r="AR133" s="8"/>
      <c r="AS133" s="8"/>
      <c r="AT133" s="8"/>
      <c r="AU133" s="8"/>
      <c r="AV133" s="8"/>
      <c r="AW133" s="8"/>
      <c r="AX133" s="8"/>
      <c r="AY133" s="8"/>
      <c r="AZ133" s="8"/>
      <c r="BA133" s="8"/>
      <c r="BB133" s="8"/>
      <c r="BC133" s="8"/>
    </row>
    <row r="134" spans="1:55" s="290" customFormat="1" x14ac:dyDescent="0.2">
      <c r="A134" s="295"/>
      <c r="B134" s="296" t="s">
        <v>477</v>
      </c>
      <c r="C134" s="297" t="s">
        <v>471</v>
      </c>
      <c r="D134" s="298"/>
      <c r="E134" s="284"/>
      <c r="F134" s="299">
        <v>510</v>
      </c>
      <c r="G134" s="300">
        <v>4300.833333333333</v>
      </c>
      <c r="H134" s="299">
        <v>739</v>
      </c>
      <c r="I134" s="299">
        <v>7664.666666666667</v>
      </c>
      <c r="J134" s="299">
        <v>16729.833333333332</v>
      </c>
      <c r="K134" s="299">
        <v>10161.833333333334</v>
      </c>
      <c r="L134" s="299">
        <v>8736.3333333333339</v>
      </c>
      <c r="M134" s="299">
        <v>9084.3333333333339</v>
      </c>
      <c r="N134" s="299">
        <v>10271.666666666666</v>
      </c>
      <c r="O134" s="299">
        <v>6859</v>
      </c>
      <c r="P134" s="299">
        <v>12724.666666666666</v>
      </c>
      <c r="Q134" s="299">
        <v>1281.8333333333333</v>
      </c>
      <c r="R134" s="299">
        <v>9832.5</v>
      </c>
      <c r="S134" s="299">
        <v>9516.8333333333339</v>
      </c>
      <c r="T134" s="299">
        <v>29367.833333333332</v>
      </c>
      <c r="U134" s="299">
        <v>12766</v>
      </c>
      <c r="V134" s="299">
        <v>59822.666666666664</v>
      </c>
      <c r="W134" s="299">
        <v>2012</v>
      </c>
      <c r="X134" s="299">
        <v>815.33333333333337</v>
      </c>
      <c r="Y134" s="299">
        <v>2951.6666666666665</v>
      </c>
      <c r="Z134" s="299">
        <v>594.83333333333337</v>
      </c>
      <c r="AA134" s="299">
        <v>3246.6666666666665</v>
      </c>
      <c r="AB134" s="299">
        <v>9508.6666666666661</v>
      </c>
      <c r="AC134" s="299">
        <v>12162.833333333334</v>
      </c>
      <c r="AD134" s="299">
        <v>1411.3333333333333</v>
      </c>
      <c r="AE134" s="299">
        <v>5964.833333333333</v>
      </c>
      <c r="AF134" s="299">
        <v>1596.1666666666667</v>
      </c>
      <c r="AG134" s="299">
        <v>7120.333333333333</v>
      </c>
      <c r="AH134" s="299">
        <v>13312.666666666666</v>
      </c>
      <c r="AI134" s="299">
        <v>3749.5</v>
      </c>
      <c r="AJ134" s="299">
        <v>80.333333333333329</v>
      </c>
      <c r="AK134" s="299">
        <v>4760.833333333333</v>
      </c>
      <c r="AL134" s="299">
        <v>424.16666666666669</v>
      </c>
      <c r="AM134" s="301"/>
      <c r="AN134" s="8"/>
      <c r="AO134" s="8"/>
      <c r="AP134" s="8"/>
      <c r="AQ134" s="8"/>
      <c r="AR134" s="8"/>
      <c r="AS134" s="8"/>
      <c r="AT134" s="8"/>
      <c r="AU134" s="8"/>
      <c r="AV134" s="8"/>
      <c r="AW134" s="8"/>
      <c r="AX134" s="8"/>
      <c r="AY134" s="8"/>
      <c r="AZ134" s="8"/>
      <c r="BA134" s="8"/>
      <c r="BB134" s="8"/>
      <c r="BC134" s="8"/>
    </row>
    <row r="135" spans="1:55" s="290" customFormat="1" x14ac:dyDescent="0.2">
      <c r="A135" s="295"/>
      <c r="B135" s="296" t="s">
        <v>478</v>
      </c>
      <c r="C135" s="297" t="s">
        <v>471</v>
      </c>
      <c r="D135" s="298"/>
      <c r="E135" s="284"/>
      <c r="F135" s="299">
        <v>2254.8333333333335</v>
      </c>
      <c r="G135" s="300">
        <v>12154.333333333334</v>
      </c>
      <c r="H135" s="299">
        <v>2533.5</v>
      </c>
      <c r="I135" s="299">
        <v>45186.333333333336</v>
      </c>
      <c r="J135" s="299">
        <v>65849.5</v>
      </c>
      <c r="K135" s="299">
        <v>35120</v>
      </c>
      <c r="L135" s="299">
        <v>73591.5</v>
      </c>
      <c r="M135" s="299">
        <v>63941.666666666664</v>
      </c>
      <c r="N135" s="299">
        <v>25320.166666666668</v>
      </c>
      <c r="O135" s="299">
        <v>19949.833333333332</v>
      </c>
      <c r="P135" s="299">
        <v>80855.833333333328</v>
      </c>
      <c r="Q135" s="299">
        <v>15531</v>
      </c>
      <c r="R135" s="299">
        <v>182265.33333333334</v>
      </c>
      <c r="S135" s="299">
        <v>38654.166666666664</v>
      </c>
      <c r="T135" s="299">
        <v>159805.5</v>
      </c>
      <c r="U135" s="299">
        <v>22848.166666666668</v>
      </c>
      <c r="V135" s="299">
        <v>63413.333333333336</v>
      </c>
      <c r="W135" s="299">
        <v>58039</v>
      </c>
      <c r="X135" s="299">
        <v>20543.166666666668</v>
      </c>
      <c r="Y135" s="299">
        <v>21894.5</v>
      </c>
      <c r="Z135" s="299">
        <v>3088.1666666666665</v>
      </c>
      <c r="AA135" s="299">
        <v>14950.166666666666</v>
      </c>
      <c r="AB135" s="299">
        <v>17280.666666666668</v>
      </c>
      <c r="AC135" s="299">
        <v>20342.333333333332</v>
      </c>
      <c r="AD135" s="299">
        <v>2037.6666666666667</v>
      </c>
      <c r="AE135" s="299">
        <v>11802.333333333334</v>
      </c>
      <c r="AF135" s="299">
        <v>2607.3333333333335</v>
      </c>
      <c r="AG135" s="299">
        <v>10927</v>
      </c>
      <c r="AH135" s="299">
        <v>19395.5</v>
      </c>
      <c r="AI135" s="299">
        <v>52.166666666666664</v>
      </c>
      <c r="AJ135" s="299">
        <v>82</v>
      </c>
      <c r="AK135" s="299">
        <v>76</v>
      </c>
      <c r="AL135" s="299">
        <v>150.16666666666666</v>
      </c>
      <c r="AM135" s="301"/>
      <c r="AN135" s="8"/>
      <c r="AO135" s="8"/>
      <c r="AP135" s="8"/>
      <c r="AQ135" s="8"/>
      <c r="AR135" s="8"/>
      <c r="AS135" s="8"/>
      <c r="AT135" s="8"/>
      <c r="AU135" s="8"/>
      <c r="AV135" s="8"/>
      <c r="AW135" s="8"/>
      <c r="AX135" s="8"/>
      <c r="AY135" s="8"/>
      <c r="AZ135" s="8"/>
      <c r="BA135" s="8"/>
      <c r="BB135" s="8"/>
      <c r="BC135" s="8"/>
    </row>
    <row r="136" spans="1:55" s="290" customFormat="1" x14ac:dyDescent="0.2">
      <c r="A136" s="295"/>
      <c r="B136" s="296" t="s">
        <v>479</v>
      </c>
      <c r="C136" s="297" t="s">
        <v>471</v>
      </c>
      <c r="D136" s="298"/>
      <c r="E136" s="284"/>
      <c r="F136" s="299">
        <v>1603.1666666666667</v>
      </c>
      <c r="G136" s="300">
        <v>7620.5</v>
      </c>
      <c r="H136" s="299">
        <v>2425.6666666666665</v>
      </c>
      <c r="I136" s="299">
        <v>21608</v>
      </c>
      <c r="J136" s="299">
        <v>30724.833333333332</v>
      </c>
      <c r="K136" s="299">
        <v>18553.833333333332</v>
      </c>
      <c r="L136" s="299">
        <v>15945.833333333334</v>
      </c>
      <c r="M136" s="299">
        <v>24966.833333333332</v>
      </c>
      <c r="N136" s="299">
        <v>29391.833333333332</v>
      </c>
      <c r="O136" s="299">
        <v>29981.666666666668</v>
      </c>
      <c r="P136" s="299">
        <v>53439.5</v>
      </c>
      <c r="Q136" s="299">
        <v>5280.666666666667</v>
      </c>
      <c r="R136" s="299">
        <v>27808.666666666668</v>
      </c>
      <c r="S136" s="299">
        <v>63235.166666666664</v>
      </c>
      <c r="T136" s="299">
        <v>128471.33333333333</v>
      </c>
      <c r="U136" s="299">
        <v>55681.333333333336</v>
      </c>
      <c r="V136" s="299">
        <v>243820.5</v>
      </c>
      <c r="W136" s="299">
        <v>4668.166666666667</v>
      </c>
      <c r="X136" s="299">
        <v>1934.5</v>
      </c>
      <c r="Y136" s="299">
        <v>11726.5</v>
      </c>
      <c r="Z136" s="299">
        <v>2372</v>
      </c>
      <c r="AA136" s="299">
        <v>11566.666666666666</v>
      </c>
      <c r="AB136" s="299">
        <v>36208.666666666664</v>
      </c>
      <c r="AC136" s="299">
        <v>40586.833333333336</v>
      </c>
      <c r="AD136" s="299">
        <v>3194.1666666666665</v>
      </c>
      <c r="AE136" s="299">
        <v>28454.333333333332</v>
      </c>
      <c r="AF136" s="299">
        <v>3564.8333333333335</v>
      </c>
      <c r="AG136" s="299">
        <v>20171.166666666668</v>
      </c>
      <c r="AH136" s="299">
        <v>52805.833333333336</v>
      </c>
      <c r="AI136" s="299">
        <v>1229.5</v>
      </c>
      <c r="AJ136" s="299">
        <v>135</v>
      </c>
      <c r="AK136" s="299">
        <v>1606</v>
      </c>
      <c r="AL136" s="299">
        <v>1055.1666666666667</v>
      </c>
      <c r="AM136" s="301"/>
      <c r="AN136" s="8"/>
      <c r="AO136" s="8"/>
      <c r="AP136" s="8"/>
      <c r="AQ136" s="8"/>
      <c r="AR136" s="8"/>
      <c r="AS136" s="8"/>
      <c r="AT136" s="8"/>
      <c r="AU136" s="8"/>
      <c r="AV136" s="8"/>
      <c r="AW136" s="8"/>
      <c r="AX136" s="8"/>
      <c r="AY136" s="8"/>
      <c r="AZ136" s="8"/>
      <c r="BA136" s="8"/>
      <c r="BB136" s="8"/>
      <c r="BC136" s="8"/>
    </row>
    <row r="137" spans="1:55" s="290" customFormat="1" x14ac:dyDescent="0.2">
      <c r="A137" s="295"/>
      <c r="B137" s="296" t="s">
        <v>480</v>
      </c>
      <c r="C137" s="297" t="s">
        <v>471</v>
      </c>
      <c r="D137" s="298"/>
      <c r="E137" s="284"/>
      <c r="F137" s="299">
        <v>699.66666666666663</v>
      </c>
      <c r="G137" s="300">
        <v>2853.6666666666665</v>
      </c>
      <c r="H137" s="299">
        <v>855.5</v>
      </c>
      <c r="I137" s="299">
        <v>8846.5</v>
      </c>
      <c r="J137" s="299">
        <v>14911</v>
      </c>
      <c r="K137" s="299">
        <v>5162</v>
      </c>
      <c r="L137" s="299">
        <v>9070.6666666666661</v>
      </c>
      <c r="M137" s="299">
        <v>11625</v>
      </c>
      <c r="N137" s="299">
        <v>9498.1666666666661</v>
      </c>
      <c r="O137" s="299">
        <v>10434.833333333334</v>
      </c>
      <c r="P137" s="299">
        <v>18038.166666666668</v>
      </c>
      <c r="Q137" s="299">
        <v>3127.5</v>
      </c>
      <c r="R137" s="299">
        <v>21125.666666666668</v>
      </c>
      <c r="S137" s="299">
        <v>16333</v>
      </c>
      <c r="T137" s="299">
        <v>33259</v>
      </c>
      <c r="U137" s="299">
        <v>17896</v>
      </c>
      <c r="V137" s="299">
        <v>96472.166666666672</v>
      </c>
      <c r="W137" s="299">
        <v>5569.166666666667</v>
      </c>
      <c r="X137" s="299">
        <v>1824.1666666666667</v>
      </c>
      <c r="Y137" s="299">
        <v>7648.833333333333</v>
      </c>
      <c r="Z137" s="299">
        <v>1166.6666666666667</v>
      </c>
      <c r="AA137" s="299">
        <v>6963</v>
      </c>
      <c r="AB137" s="299">
        <v>6397.333333333333</v>
      </c>
      <c r="AC137" s="299">
        <v>3630.8333333333335</v>
      </c>
      <c r="AD137" s="299">
        <v>904.5</v>
      </c>
      <c r="AE137" s="299">
        <v>2478.3333333333335</v>
      </c>
      <c r="AF137" s="299">
        <v>582</v>
      </c>
      <c r="AG137" s="299">
        <v>4225.166666666667</v>
      </c>
      <c r="AH137" s="299">
        <v>6236.166666666667</v>
      </c>
      <c r="AI137" s="299">
        <v>466.16666666666669</v>
      </c>
      <c r="AJ137" s="299">
        <v>40</v>
      </c>
      <c r="AK137" s="299">
        <v>644.66666666666663</v>
      </c>
      <c r="AL137" s="299">
        <v>124.66666666666667</v>
      </c>
      <c r="AM137" s="301"/>
      <c r="AN137" s="8"/>
      <c r="AO137" s="8"/>
      <c r="AP137" s="8"/>
      <c r="AQ137" s="8"/>
      <c r="AR137" s="8"/>
      <c r="AS137" s="8"/>
      <c r="AT137" s="8"/>
      <c r="AU137" s="8"/>
      <c r="AV137" s="8"/>
      <c r="AW137" s="8"/>
      <c r="AX137" s="8"/>
      <c r="AY137" s="8"/>
      <c r="AZ137" s="8"/>
      <c r="BA137" s="8"/>
      <c r="BB137" s="8"/>
      <c r="BC137" s="8"/>
    </row>
    <row r="138" spans="1:55" s="290" customFormat="1" x14ac:dyDescent="0.2">
      <c r="A138" s="295"/>
      <c r="B138" s="296" t="s">
        <v>481</v>
      </c>
      <c r="C138" s="297" t="s">
        <v>471</v>
      </c>
      <c r="D138" s="298"/>
      <c r="E138" s="284"/>
      <c r="F138" s="299">
        <v>140.16666666666666</v>
      </c>
      <c r="G138" s="300">
        <v>5605.833333333333</v>
      </c>
      <c r="H138" s="299">
        <v>404.66666666666669</v>
      </c>
      <c r="I138" s="299">
        <v>19121.5</v>
      </c>
      <c r="J138" s="299">
        <v>31907</v>
      </c>
      <c r="K138" s="299">
        <v>24290</v>
      </c>
      <c r="L138" s="299">
        <v>36837.333333333336</v>
      </c>
      <c r="M138" s="299">
        <v>22045.333333333332</v>
      </c>
      <c r="N138" s="299">
        <v>18320.166666666668</v>
      </c>
      <c r="O138" s="299">
        <v>11130.666666666666</v>
      </c>
      <c r="P138" s="299">
        <v>55705.5</v>
      </c>
      <c r="Q138" s="299">
        <v>4987.833333333333</v>
      </c>
      <c r="R138" s="299">
        <v>33047.833333333336</v>
      </c>
      <c r="S138" s="299">
        <v>9230</v>
      </c>
      <c r="T138" s="299">
        <v>49977.833333333336</v>
      </c>
      <c r="U138" s="299">
        <v>1264.6666666666667</v>
      </c>
      <c r="V138" s="299">
        <v>6682.666666666667</v>
      </c>
      <c r="W138" s="299">
        <v>8094.166666666667</v>
      </c>
      <c r="X138" s="299">
        <v>983.66666666666663</v>
      </c>
      <c r="Y138" s="299">
        <v>3239</v>
      </c>
      <c r="Z138" s="299">
        <v>208.33333333333334</v>
      </c>
      <c r="AA138" s="299">
        <v>1479</v>
      </c>
      <c r="AB138" s="299">
        <v>622.5</v>
      </c>
      <c r="AC138" s="299">
        <v>688</v>
      </c>
      <c r="AD138" s="299">
        <v>56.166666666666664</v>
      </c>
      <c r="AE138" s="299">
        <v>136.33333333333334</v>
      </c>
      <c r="AF138" s="299">
        <v>28.5</v>
      </c>
      <c r="AG138" s="299">
        <v>224.83333333333334</v>
      </c>
      <c r="AH138" s="299">
        <v>569.33333333333337</v>
      </c>
      <c r="AI138" s="299">
        <v>28.166666666666668</v>
      </c>
      <c r="AJ138" s="299">
        <v>23.833333333333332</v>
      </c>
      <c r="AK138" s="299">
        <v>7.5</v>
      </c>
      <c r="AL138" s="299">
        <v>3.8333333333333335</v>
      </c>
      <c r="AM138" s="301"/>
      <c r="AN138" s="8"/>
      <c r="AO138" s="8"/>
      <c r="AP138" s="8"/>
      <c r="AQ138" s="8"/>
      <c r="AR138" s="8"/>
      <c r="AS138" s="8"/>
      <c r="AT138" s="8"/>
      <c r="AU138" s="8"/>
      <c r="AV138" s="8"/>
      <c r="AW138" s="8"/>
      <c r="AX138" s="8"/>
      <c r="AY138" s="8"/>
      <c r="AZ138" s="8"/>
      <c r="BA138" s="8"/>
      <c r="BB138" s="8"/>
      <c r="BC138" s="8"/>
    </row>
    <row r="139" spans="1:55" s="290" customFormat="1" x14ac:dyDescent="0.2">
      <c r="A139" s="295"/>
      <c r="B139" s="296" t="s">
        <v>482</v>
      </c>
      <c r="C139" s="297" t="s">
        <v>471</v>
      </c>
      <c r="D139" s="298"/>
      <c r="E139" s="284"/>
      <c r="F139" s="299">
        <v>825.16666666666663</v>
      </c>
      <c r="G139" s="300">
        <v>5749.333333333333</v>
      </c>
      <c r="H139" s="299">
        <v>1506.8333333333333</v>
      </c>
      <c r="I139" s="299">
        <v>20551.833333333332</v>
      </c>
      <c r="J139" s="299">
        <v>40318.833333333336</v>
      </c>
      <c r="K139" s="299">
        <v>17395</v>
      </c>
      <c r="L139" s="299">
        <v>22826.5</v>
      </c>
      <c r="M139" s="299">
        <v>25848.166666666668</v>
      </c>
      <c r="N139" s="299">
        <v>24377</v>
      </c>
      <c r="O139" s="299">
        <v>14072.666666666666</v>
      </c>
      <c r="P139" s="299">
        <v>53524.166666666664</v>
      </c>
      <c r="Q139" s="299">
        <v>7356.333333333333</v>
      </c>
      <c r="R139" s="299">
        <v>32324.333333333332</v>
      </c>
      <c r="S139" s="299">
        <v>34721.333333333336</v>
      </c>
      <c r="T139" s="299">
        <v>89139.666666666672</v>
      </c>
      <c r="U139" s="299">
        <v>15678</v>
      </c>
      <c r="V139" s="299">
        <v>76613.666666666672</v>
      </c>
      <c r="W139" s="299">
        <v>5213.333333333333</v>
      </c>
      <c r="X139" s="299">
        <v>870.5</v>
      </c>
      <c r="Y139" s="299">
        <v>6439.833333333333</v>
      </c>
      <c r="Z139" s="299">
        <v>661.16666666666663</v>
      </c>
      <c r="AA139" s="299">
        <v>5846</v>
      </c>
      <c r="AB139" s="299">
        <v>6706.666666666667</v>
      </c>
      <c r="AC139" s="299">
        <v>5567.833333333333</v>
      </c>
      <c r="AD139" s="299">
        <v>612</v>
      </c>
      <c r="AE139" s="299">
        <v>2887.8333333333335</v>
      </c>
      <c r="AF139" s="299">
        <v>970</v>
      </c>
      <c r="AG139" s="299">
        <v>4688</v>
      </c>
      <c r="AH139" s="299">
        <v>7128.833333333333</v>
      </c>
      <c r="AI139" s="299">
        <v>1609.3333333333333</v>
      </c>
      <c r="AJ139" s="299">
        <v>64</v>
      </c>
      <c r="AK139" s="299">
        <v>1508.6666666666667</v>
      </c>
      <c r="AL139" s="299">
        <v>139.83333333333334</v>
      </c>
      <c r="AM139" s="301"/>
      <c r="AN139" s="8"/>
      <c r="AO139" s="8"/>
      <c r="AP139" s="8"/>
      <c r="AQ139" s="8"/>
      <c r="AR139" s="8"/>
      <c r="AS139" s="8"/>
      <c r="AT139" s="8"/>
      <c r="AU139" s="8"/>
      <c r="AV139" s="8"/>
      <c r="AW139" s="8"/>
      <c r="AX139" s="8"/>
      <c r="AY139" s="8"/>
      <c r="AZ139" s="8"/>
      <c r="BA139" s="8"/>
      <c r="BB139" s="8"/>
      <c r="BC139" s="8"/>
    </row>
    <row r="140" spans="1:55" s="290" customFormat="1" x14ac:dyDescent="0.2">
      <c r="A140" s="295"/>
      <c r="B140" s="296" t="s">
        <v>483</v>
      </c>
      <c r="C140" s="297" t="s">
        <v>471</v>
      </c>
      <c r="D140" s="298"/>
      <c r="E140" s="284"/>
      <c r="F140" s="299">
        <v>273.83333333333331</v>
      </c>
      <c r="G140" s="300">
        <v>1061.5</v>
      </c>
      <c r="H140" s="299">
        <v>897.66666666666663</v>
      </c>
      <c r="I140" s="299">
        <v>5114.166666666667</v>
      </c>
      <c r="J140" s="299">
        <v>15845.333333333334</v>
      </c>
      <c r="K140" s="299">
        <v>5715.666666666667</v>
      </c>
      <c r="L140" s="299">
        <v>30869.333333333332</v>
      </c>
      <c r="M140" s="299">
        <v>16394.666666666668</v>
      </c>
      <c r="N140" s="299">
        <v>7048.333333333333</v>
      </c>
      <c r="O140" s="299">
        <v>3005.6666666666665</v>
      </c>
      <c r="P140" s="299">
        <v>11430</v>
      </c>
      <c r="Q140" s="299">
        <v>4874.833333333333</v>
      </c>
      <c r="R140" s="299">
        <v>147547.33333333334</v>
      </c>
      <c r="S140" s="299">
        <v>32380.5</v>
      </c>
      <c r="T140" s="299">
        <v>98417.833333333328</v>
      </c>
      <c r="U140" s="299">
        <v>8196.8333333333339</v>
      </c>
      <c r="V140" s="299">
        <v>46478.5</v>
      </c>
      <c r="W140" s="299">
        <v>8865</v>
      </c>
      <c r="X140" s="299">
        <v>6448.666666666667</v>
      </c>
      <c r="Y140" s="299">
        <v>13238.166666666666</v>
      </c>
      <c r="Z140" s="299">
        <v>842</v>
      </c>
      <c r="AA140" s="299">
        <v>18102</v>
      </c>
      <c r="AB140" s="299">
        <v>21227.5</v>
      </c>
      <c r="AC140" s="299">
        <v>39639.5</v>
      </c>
      <c r="AD140" s="299">
        <v>2227</v>
      </c>
      <c r="AE140" s="299">
        <v>41716.666666666664</v>
      </c>
      <c r="AF140" s="299">
        <v>5218.666666666667</v>
      </c>
      <c r="AG140" s="299">
        <v>58529.166666666664</v>
      </c>
      <c r="AH140" s="299">
        <v>32770.166666666664</v>
      </c>
      <c r="AI140" s="299">
        <v>73.166666666666671</v>
      </c>
      <c r="AJ140" s="299">
        <v>74.333333333333329</v>
      </c>
      <c r="AK140" s="299">
        <v>149.5</v>
      </c>
      <c r="AL140" s="299">
        <v>465.83333333333331</v>
      </c>
      <c r="AM140" s="301"/>
      <c r="AN140" s="8"/>
      <c r="AO140" s="8"/>
      <c r="AP140" s="8"/>
      <c r="AQ140" s="8"/>
      <c r="AR140" s="8"/>
      <c r="AS140" s="8"/>
      <c r="AT140" s="8"/>
      <c r="AU140" s="8"/>
      <c r="AV140" s="8"/>
      <c r="AW140" s="8"/>
      <c r="AX140" s="8"/>
      <c r="AY140" s="8"/>
      <c r="AZ140" s="8"/>
      <c r="BA140" s="8"/>
      <c r="BB140" s="8"/>
      <c r="BC140" s="8"/>
    </row>
    <row r="141" spans="1:55" s="290" customFormat="1" x14ac:dyDescent="0.2">
      <c r="A141" s="295"/>
      <c r="B141" s="296" t="s">
        <v>484</v>
      </c>
      <c r="C141" s="297" t="s">
        <v>471</v>
      </c>
      <c r="D141" s="298"/>
      <c r="E141" s="284"/>
      <c r="F141" s="299">
        <v>5022</v>
      </c>
      <c r="G141" s="300">
        <v>24243.333333333332</v>
      </c>
      <c r="H141" s="299">
        <v>6461.166666666667</v>
      </c>
      <c r="I141" s="299">
        <v>81023.666666666672</v>
      </c>
      <c r="J141" s="299">
        <v>119874.83333333333</v>
      </c>
      <c r="K141" s="299">
        <v>61662.833333333336</v>
      </c>
      <c r="L141" s="299">
        <v>103375</v>
      </c>
      <c r="M141" s="299">
        <v>104319.33333333333</v>
      </c>
      <c r="N141" s="299">
        <v>71923.666666666672</v>
      </c>
      <c r="O141" s="299">
        <v>67794.5</v>
      </c>
      <c r="P141" s="299">
        <v>164437.66666666666</v>
      </c>
      <c r="Q141" s="299">
        <v>24927.666666666668</v>
      </c>
      <c r="R141" s="299">
        <v>240450.5</v>
      </c>
      <c r="S141" s="299">
        <v>131020.83333333333</v>
      </c>
      <c r="T141" s="299">
        <v>347651</v>
      </c>
      <c r="U141" s="299">
        <v>120417.83333333333</v>
      </c>
      <c r="V141" s="299">
        <v>525277.5</v>
      </c>
      <c r="W141" s="299">
        <v>71219.833333333328</v>
      </c>
      <c r="X141" s="299">
        <v>26261.666666666668</v>
      </c>
      <c r="Y141" s="299">
        <v>42455.666666666664</v>
      </c>
      <c r="Z141" s="299">
        <v>7243</v>
      </c>
      <c r="AA141" s="299">
        <v>33991</v>
      </c>
      <c r="AB141" s="299">
        <v>103151.33333333333</v>
      </c>
      <c r="AC141" s="299">
        <v>93686.666666666672</v>
      </c>
      <c r="AD141" s="299">
        <v>7340.166666666667</v>
      </c>
      <c r="AE141" s="299">
        <v>53864.666666666664</v>
      </c>
      <c r="AF141" s="299">
        <v>7598</v>
      </c>
      <c r="AG141" s="299">
        <v>47817.333333333336</v>
      </c>
      <c r="AH141" s="299">
        <v>120791.66666666667</v>
      </c>
      <c r="AI141" s="299">
        <v>1883.5</v>
      </c>
      <c r="AJ141" s="299">
        <v>304.83333333333331</v>
      </c>
      <c r="AK141" s="299">
        <v>3054</v>
      </c>
      <c r="AL141" s="299">
        <v>2084.1666666666665</v>
      </c>
      <c r="AM141" s="301"/>
      <c r="AN141" s="8"/>
      <c r="AO141" s="8"/>
      <c r="AP141" s="8"/>
      <c r="AQ141" s="8"/>
      <c r="AR141" s="8"/>
      <c r="AS141" s="8"/>
      <c r="AT141" s="8"/>
      <c r="AU141" s="8"/>
      <c r="AV141" s="8"/>
      <c r="AW141" s="8"/>
      <c r="AX141" s="8"/>
      <c r="AY141" s="8"/>
      <c r="AZ141" s="8"/>
      <c r="BA141" s="8"/>
      <c r="BB141" s="8"/>
      <c r="BC141" s="8"/>
    </row>
    <row r="142" spans="1:55" s="290" customFormat="1" x14ac:dyDescent="0.2">
      <c r="A142" s="295"/>
      <c r="B142" s="296" t="s">
        <v>485</v>
      </c>
      <c r="C142" s="297" t="s">
        <v>471</v>
      </c>
      <c r="D142" s="298"/>
      <c r="E142" s="284"/>
      <c r="F142" s="299">
        <v>2560.6666666666665</v>
      </c>
      <c r="G142" s="300">
        <v>17615.333333333332</v>
      </c>
      <c r="H142" s="299">
        <v>4040.6666666666665</v>
      </c>
      <c r="I142" s="299">
        <v>56108.5</v>
      </c>
      <c r="J142" s="299">
        <v>95544.333333333328</v>
      </c>
      <c r="K142" s="299">
        <v>52534.166666666664</v>
      </c>
      <c r="L142" s="299">
        <v>70637.833333333328</v>
      </c>
      <c r="M142" s="299">
        <v>62707.333333333336</v>
      </c>
      <c r="N142" s="299">
        <v>65591.5</v>
      </c>
      <c r="O142" s="299">
        <v>56438.333333333336</v>
      </c>
      <c r="P142" s="299">
        <v>149636.5</v>
      </c>
      <c r="Q142" s="299">
        <v>16625</v>
      </c>
      <c r="R142" s="299">
        <v>88353.5</v>
      </c>
      <c r="S142" s="299">
        <v>99830.5</v>
      </c>
      <c r="T142" s="299">
        <v>246546.5</v>
      </c>
      <c r="U142" s="299">
        <v>84056.166666666672</v>
      </c>
      <c r="V142" s="299">
        <v>422300.5</v>
      </c>
      <c r="W142" s="299">
        <v>21801.833333333332</v>
      </c>
      <c r="X142" s="299">
        <v>5131.666666666667</v>
      </c>
      <c r="Y142" s="299">
        <v>24214.5</v>
      </c>
      <c r="Z142" s="299">
        <v>4075.1666666666665</v>
      </c>
      <c r="AA142" s="299">
        <v>17133.833333333332</v>
      </c>
      <c r="AB142" s="299">
        <v>84506.666666666672</v>
      </c>
      <c r="AC142" s="299">
        <v>55304.5</v>
      </c>
      <c r="AD142" s="299">
        <v>3359.8333333333335</v>
      </c>
      <c r="AE142" s="299">
        <v>26117.5</v>
      </c>
      <c r="AF142" s="299">
        <v>3243.3333333333335</v>
      </c>
      <c r="AG142" s="299">
        <v>31843</v>
      </c>
      <c r="AH142" s="299">
        <v>87248.333333333328</v>
      </c>
      <c r="AI142" s="299">
        <v>1856.6666666666667</v>
      </c>
      <c r="AJ142" s="299">
        <v>187.16666666666666</v>
      </c>
      <c r="AK142" s="299">
        <v>2773.6666666666665</v>
      </c>
      <c r="AL142" s="299">
        <v>1313</v>
      </c>
      <c r="AM142" s="301"/>
      <c r="AN142" s="8"/>
      <c r="AO142" s="8"/>
      <c r="AP142" s="8"/>
      <c r="AQ142" s="8"/>
      <c r="AR142" s="8"/>
      <c r="AS142" s="8"/>
      <c r="AT142" s="8"/>
      <c r="AU142" s="8"/>
      <c r="AV142" s="8"/>
      <c r="AW142" s="8"/>
      <c r="AX142" s="8"/>
      <c r="AY142" s="8"/>
      <c r="AZ142" s="8"/>
      <c r="BA142" s="8"/>
      <c r="BB142" s="8"/>
      <c r="BC142" s="8"/>
    </row>
    <row r="143" spans="1:55" s="290" customFormat="1" x14ac:dyDescent="0.2">
      <c r="A143" s="8"/>
      <c r="B143" s="296"/>
      <c r="C143" s="297"/>
      <c r="D143" s="298"/>
      <c r="E143" s="284"/>
      <c r="F143" s="299"/>
      <c r="G143" s="300"/>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99"/>
      <c r="AE143" s="299"/>
      <c r="AF143" s="299"/>
      <c r="AG143" s="299"/>
      <c r="AH143" s="299"/>
      <c r="AI143" s="299"/>
      <c r="AJ143" s="299"/>
      <c r="AK143" s="299"/>
      <c r="AL143" s="299"/>
      <c r="AM143" s="82"/>
      <c r="AN143" s="8"/>
      <c r="AO143" s="8"/>
      <c r="AP143" s="8"/>
      <c r="AQ143" s="8"/>
      <c r="AR143" s="8"/>
      <c r="AS143" s="8"/>
      <c r="AT143" s="8"/>
      <c r="AU143" s="8"/>
      <c r="AV143" s="8"/>
      <c r="AW143" s="8"/>
      <c r="AX143" s="8"/>
      <c r="AY143" s="8"/>
      <c r="AZ143" s="8"/>
      <c r="BA143" s="8"/>
      <c r="BB143" s="8"/>
      <c r="BC143" s="8"/>
    </row>
    <row r="144" spans="1:55" s="290" customFormat="1" x14ac:dyDescent="0.2">
      <c r="A144" s="8"/>
      <c r="B144" s="298" t="s">
        <v>486</v>
      </c>
      <c r="C144" s="297" t="s">
        <v>471</v>
      </c>
      <c r="D144" s="298"/>
      <c r="E144" s="284"/>
      <c r="F144" s="299">
        <v>510.5</v>
      </c>
      <c r="G144" s="299">
        <v>84.166666666666671</v>
      </c>
      <c r="H144" s="299">
        <v>267.5</v>
      </c>
      <c r="I144" s="299">
        <v>263.83333333333331</v>
      </c>
      <c r="J144" s="299">
        <v>635.66666666666663</v>
      </c>
      <c r="K144" s="299">
        <v>245.5</v>
      </c>
      <c r="L144" s="299">
        <v>315.66666666666669</v>
      </c>
      <c r="M144" s="299">
        <v>469.66666666666669</v>
      </c>
      <c r="N144" s="299">
        <v>1259.8333333333333</v>
      </c>
      <c r="O144" s="299">
        <v>232.16666666666666</v>
      </c>
      <c r="P144" s="299">
        <v>1332.3333333333333</v>
      </c>
      <c r="Q144" s="299">
        <v>767.5</v>
      </c>
      <c r="R144" s="299">
        <v>5296</v>
      </c>
      <c r="S144" s="299">
        <v>35961.666666666664</v>
      </c>
      <c r="T144" s="299">
        <v>78910.333333333328</v>
      </c>
      <c r="U144" s="299">
        <v>61027.833333333336</v>
      </c>
      <c r="V144" s="299">
        <v>20919.833333333332</v>
      </c>
      <c r="W144" s="299">
        <v>687.5</v>
      </c>
      <c r="X144" s="299">
        <v>3096.1666666666665</v>
      </c>
      <c r="Y144" s="299">
        <v>6719</v>
      </c>
      <c r="Z144" s="299">
        <v>2995.5</v>
      </c>
      <c r="AA144" s="299">
        <v>16738.166666666668</v>
      </c>
      <c r="AB144" s="299">
        <v>15835.166666666666</v>
      </c>
      <c r="AC144" s="299">
        <v>11137.666666666666</v>
      </c>
      <c r="AD144" s="299">
        <v>319.5</v>
      </c>
      <c r="AE144" s="299">
        <v>2152.3333333333335</v>
      </c>
      <c r="AF144" s="299">
        <v>58</v>
      </c>
      <c r="AG144" s="299">
        <v>11762.833333333334</v>
      </c>
      <c r="AH144" s="299">
        <v>2022.3333333333333</v>
      </c>
      <c r="AI144" s="299">
        <v>1827.5</v>
      </c>
      <c r="AJ144" s="299">
        <v>1875.8333333333333</v>
      </c>
      <c r="AK144" s="299">
        <v>2359.1666666666665</v>
      </c>
      <c r="AL144" s="299">
        <v>455.83333333333331</v>
      </c>
      <c r="AM144" s="302"/>
      <c r="AN144" s="8"/>
      <c r="AO144" s="8"/>
      <c r="AP144" s="8"/>
      <c r="AQ144" s="8"/>
      <c r="AR144" s="8"/>
      <c r="AS144" s="8"/>
      <c r="AT144" s="8"/>
      <c r="AU144" s="8"/>
      <c r="AV144" s="8"/>
      <c r="AW144" s="8"/>
      <c r="AX144" s="8"/>
      <c r="AY144" s="8"/>
      <c r="AZ144" s="8"/>
      <c r="BA144" s="8"/>
      <c r="BB144" s="8"/>
      <c r="BC144" s="8"/>
    </row>
    <row r="145" spans="1:55" s="290" customFormat="1" x14ac:dyDescent="0.2">
      <c r="A145" s="8"/>
      <c r="B145" s="298" t="s">
        <v>487</v>
      </c>
      <c r="C145" s="297" t="s">
        <v>471</v>
      </c>
      <c r="D145" s="298"/>
      <c r="E145" s="284"/>
      <c r="F145" s="299">
        <v>1546.8333333333333</v>
      </c>
      <c r="G145" s="299">
        <v>557</v>
      </c>
      <c r="H145" s="299">
        <v>761.33333333333337</v>
      </c>
      <c r="I145" s="299">
        <v>1213</v>
      </c>
      <c r="J145" s="299">
        <v>2631.6666666666665</v>
      </c>
      <c r="K145" s="299">
        <v>1391</v>
      </c>
      <c r="L145" s="299">
        <v>1451.5</v>
      </c>
      <c r="M145" s="299">
        <v>1758.1666666666667</v>
      </c>
      <c r="N145" s="299">
        <v>4356</v>
      </c>
      <c r="O145" s="299">
        <v>872.33333333333337</v>
      </c>
      <c r="P145" s="299">
        <v>4891</v>
      </c>
      <c r="Q145" s="299">
        <v>3289.6666666666665</v>
      </c>
      <c r="R145" s="299">
        <v>17283.5</v>
      </c>
      <c r="S145" s="299">
        <v>103862.5</v>
      </c>
      <c r="T145" s="299">
        <v>211799.5</v>
      </c>
      <c r="U145" s="299">
        <v>180059.83333333334</v>
      </c>
      <c r="V145" s="299">
        <v>71058.833333333328</v>
      </c>
      <c r="W145" s="299">
        <v>2807.5</v>
      </c>
      <c r="X145" s="299">
        <v>12528.666666666666</v>
      </c>
      <c r="Y145" s="299">
        <v>21933.5</v>
      </c>
      <c r="Z145" s="299">
        <v>10368.833333333334</v>
      </c>
      <c r="AA145" s="299">
        <v>63941.166666666664</v>
      </c>
      <c r="AB145" s="299">
        <v>48339.5</v>
      </c>
      <c r="AC145" s="299">
        <v>37770.5</v>
      </c>
      <c r="AD145" s="299">
        <v>1464.1666666666667</v>
      </c>
      <c r="AE145" s="299">
        <v>8324</v>
      </c>
      <c r="AF145" s="299">
        <v>609.83333333333337</v>
      </c>
      <c r="AG145" s="299">
        <v>38040</v>
      </c>
      <c r="AH145" s="299">
        <v>6525</v>
      </c>
      <c r="AI145" s="299">
        <v>5527.666666666667</v>
      </c>
      <c r="AJ145" s="299">
        <v>6628.5</v>
      </c>
      <c r="AK145" s="299">
        <v>10131.833333333334</v>
      </c>
      <c r="AL145" s="299">
        <v>2471.1666666666665</v>
      </c>
      <c r="AM145" s="302"/>
      <c r="AN145" s="8"/>
      <c r="AO145" s="8"/>
      <c r="AP145" s="8"/>
      <c r="AQ145" s="8"/>
      <c r="AR145" s="8"/>
      <c r="AS145" s="8"/>
      <c r="AT145" s="8"/>
      <c r="AU145" s="8"/>
      <c r="AV145" s="8"/>
      <c r="AW145" s="8"/>
      <c r="AX145" s="8"/>
      <c r="AY145" s="8"/>
      <c r="AZ145" s="8"/>
      <c r="BA145" s="8"/>
      <c r="BB145" s="8"/>
      <c r="BC145" s="8"/>
    </row>
    <row r="146" spans="1:55" s="290" customFormat="1" x14ac:dyDescent="0.2">
      <c r="A146" s="8"/>
      <c r="B146" s="298" t="s">
        <v>488</v>
      </c>
      <c r="C146" s="297" t="s">
        <v>471</v>
      </c>
      <c r="D146" s="298"/>
      <c r="E146" s="284"/>
      <c r="F146" s="299">
        <v>149.16666666666666</v>
      </c>
      <c r="G146" s="299">
        <v>91.833333333333329</v>
      </c>
      <c r="H146" s="299">
        <v>75.833333333333329</v>
      </c>
      <c r="I146" s="299">
        <v>181.66666666666666</v>
      </c>
      <c r="J146" s="299">
        <v>390</v>
      </c>
      <c r="K146" s="299">
        <v>421.33333333333331</v>
      </c>
      <c r="L146" s="299">
        <v>301</v>
      </c>
      <c r="M146" s="299">
        <v>266.33333333333331</v>
      </c>
      <c r="N146" s="299">
        <v>465.66666666666669</v>
      </c>
      <c r="O146" s="299">
        <v>129.66666666666666</v>
      </c>
      <c r="P146" s="299">
        <v>645.66666666666663</v>
      </c>
      <c r="Q146" s="299">
        <v>514.83333333333337</v>
      </c>
      <c r="R146" s="299">
        <v>1268.5</v>
      </c>
      <c r="S146" s="299">
        <v>13416.5</v>
      </c>
      <c r="T146" s="299">
        <v>29063</v>
      </c>
      <c r="U146" s="299">
        <v>16308.166666666666</v>
      </c>
      <c r="V146" s="299">
        <v>7997.5</v>
      </c>
      <c r="W146" s="299">
        <v>335.66666666666669</v>
      </c>
      <c r="X146" s="299">
        <v>1344.5</v>
      </c>
      <c r="Y146" s="299">
        <v>2156.1666666666665</v>
      </c>
      <c r="Z146" s="299">
        <v>2744.3333333333335</v>
      </c>
      <c r="AA146" s="299">
        <v>10919.5</v>
      </c>
      <c r="AB146" s="299">
        <v>7336.333333333333</v>
      </c>
      <c r="AC146" s="299">
        <v>8305.5</v>
      </c>
      <c r="AD146" s="299">
        <v>284.66666666666669</v>
      </c>
      <c r="AE146" s="299">
        <v>749.16666666666663</v>
      </c>
      <c r="AF146" s="299">
        <v>143.33333333333334</v>
      </c>
      <c r="AG146" s="299">
        <v>4172.166666666667</v>
      </c>
      <c r="AH146" s="299">
        <v>530.16666666666663</v>
      </c>
      <c r="AI146" s="299">
        <v>1057</v>
      </c>
      <c r="AJ146" s="299">
        <v>1114.8333333333333</v>
      </c>
      <c r="AK146" s="299">
        <v>575.83333333333337</v>
      </c>
      <c r="AL146" s="299">
        <v>165.33333333333334</v>
      </c>
      <c r="AM146" s="302"/>
      <c r="AN146" s="8"/>
      <c r="AO146" s="8"/>
      <c r="AP146" s="8"/>
      <c r="AQ146" s="8"/>
      <c r="AR146" s="8"/>
      <c r="AS146" s="8"/>
      <c r="AT146" s="8"/>
      <c r="AU146" s="8"/>
      <c r="AV146" s="8"/>
      <c r="AW146" s="8"/>
      <c r="AX146" s="8"/>
      <c r="AY146" s="8"/>
      <c r="AZ146" s="8"/>
      <c r="BA146" s="8"/>
      <c r="BB146" s="8"/>
      <c r="BC146" s="8"/>
    </row>
    <row r="147" spans="1:55" s="290" customFormat="1" x14ac:dyDescent="0.2">
      <c r="A147" s="8"/>
      <c r="B147" s="298"/>
      <c r="C147" s="297"/>
      <c r="D147" s="298"/>
      <c r="E147" s="284"/>
      <c r="F147" s="299"/>
      <c r="G147" s="299"/>
      <c r="H147" s="299"/>
      <c r="I147" s="299"/>
      <c r="J147" s="299"/>
      <c r="K147" s="298"/>
      <c r="L147" s="298"/>
      <c r="M147" s="299"/>
      <c r="N147" s="298"/>
      <c r="O147" s="299"/>
      <c r="P147" s="299"/>
      <c r="Q147" s="299"/>
      <c r="R147" s="299"/>
      <c r="S147" s="299"/>
      <c r="T147" s="299"/>
      <c r="U147" s="299"/>
      <c r="V147" s="299"/>
      <c r="W147" s="299"/>
      <c r="X147" s="299"/>
      <c r="Y147" s="299"/>
      <c r="Z147" s="299"/>
      <c r="AA147" s="299"/>
      <c r="AB147" s="299"/>
      <c r="AC147" s="299"/>
      <c r="AD147" s="299"/>
      <c r="AE147" s="299"/>
      <c r="AF147" s="299"/>
      <c r="AG147" s="299"/>
      <c r="AH147" s="299"/>
      <c r="AI147" s="299"/>
      <c r="AJ147" s="299"/>
      <c r="AK147" s="299"/>
      <c r="AL147" s="299"/>
      <c r="AM147" s="302"/>
      <c r="AN147" s="8"/>
      <c r="AO147" s="8"/>
      <c r="AP147" s="8"/>
      <c r="AQ147" s="8"/>
      <c r="AR147" s="8"/>
      <c r="AS147" s="8"/>
      <c r="AT147" s="8"/>
      <c r="AU147" s="8"/>
      <c r="AV147" s="8"/>
      <c r="AW147" s="8"/>
      <c r="AX147" s="8"/>
      <c r="AY147" s="8"/>
      <c r="AZ147" s="8"/>
      <c r="BA147" s="8"/>
      <c r="BB147" s="8"/>
      <c r="BC147" s="8"/>
    </row>
    <row r="148" spans="1:55" s="290" customFormat="1" x14ac:dyDescent="0.2">
      <c r="A148" s="8"/>
      <c r="B148" s="296" t="s">
        <v>489</v>
      </c>
      <c r="C148" s="297" t="s">
        <v>471</v>
      </c>
      <c r="D148" s="298"/>
      <c r="E148" s="284"/>
      <c r="F148" s="299">
        <v>1329.8333333333333</v>
      </c>
      <c r="G148" s="299">
        <v>3999.5</v>
      </c>
      <c r="H148" s="299">
        <v>1095.3333333333333</v>
      </c>
      <c r="I148" s="299">
        <v>14160.333333333334</v>
      </c>
      <c r="J148" s="299">
        <v>8214</v>
      </c>
      <c r="K148" s="299">
        <v>5405</v>
      </c>
      <c r="L148" s="299">
        <v>4958.166666666667</v>
      </c>
      <c r="M148" s="299">
        <v>6091.5</v>
      </c>
      <c r="N148" s="299">
        <v>18166.833333333332</v>
      </c>
      <c r="O148" s="299">
        <v>19794.833333333332</v>
      </c>
      <c r="P148" s="299">
        <v>38351.333333333336</v>
      </c>
      <c r="Q148" s="299">
        <v>4399.833333333333</v>
      </c>
      <c r="R148" s="299">
        <v>8400</v>
      </c>
      <c r="S148" s="299">
        <v>18955.166666666668</v>
      </c>
      <c r="T148" s="299">
        <v>57603.833333333336</v>
      </c>
      <c r="U148" s="299">
        <v>67814</v>
      </c>
      <c r="V148" s="299">
        <v>170691.33333333334</v>
      </c>
      <c r="W148" s="299">
        <v>3124.8333333333335</v>
      </c>
      <c r="X148" s="299">
        <v>7876.5</v>
      </c>
      <c r="Y148" s="299">
        <v>5730.833333333333</v>
      </c>
      <c r="Z148" s="299">
        <v>56238</v>
      </c>
      <c r="AA148" s="299">
        <v>27578.833333333332</v>
      </c>
      <c r="AB148" s="299">
        <v>234411.66666666666</v>
      </c>
      <c r="AC148" s="299">
        <v>95981.333333333328</v>
      </c>
      <c r="AD148" s="299">
        <v>2165</v>
      </c>
      <c r="AE148" s="299">
        <v>129616</v>
      </c>
      <c r="AF148" s="299">
        <v>1005.6666666666666</v>
      </c>
      <c r="AG148" s="299">
        <v>51720.166666666664</v>
      </c>
      <c r="AH148" s="299">
        <v>13153.166666666666</v>
      </c>
      <c r="AI148" s="299">
        <v>34787.833333333336</v>
      </c>
      <c r="AJ148" s="299">
        <v>20889.5</v>
      </c>
      <c r="AK148" s="299">
        <v>14319.666666666666</v>
      </c>
      <c r="AL148" s="299">
        <v>3321.6666666666665</v>
      </c>
      <c r="AM148" s="302"/>
      <c r="AN148" s="8"/>
      <c r="AO148" s="8"/>
      <c r="AP148" s="8"/>
      <c r="AQ148" s="8"/>
      <c r="AR148" s="8"/>
      <c r="AS148" s="8"/>
      <c r="AT148" s="8"/>
      <c r="AU148" s="8"/>
      <c r="AV148" s="8"/>
      <c r="AW148" s="8"/>
      <c r="AX148" s="8"/>
      <c r="AY148" s="8"/>
      <c r="AZ148" s="8"/>
      <c r="BA148" s="8"/>
      <c r="BB148" s="8"/>
      <c r="BC148" s="8"/>
    </row>
    <row r="149" spans="1:55" s="290" customFormat="1" x14ac:dyDescent="0.2">
      <c r="A149" s="8"/>
      <c r="B149" s="296" t="s">
        <v>490</v>
      </c>
      <c r="C149" s="297" t="s">
        <v>471</v>
      </c>
      <c r="D149" s="298"/>
      <c r="E149" s="284"/>
      <c r="F149" s="299">
        <v>9338.3333333333339</v>
      </c>
      <c r="G149" s="299">
        <v>31474.666666666668</v>
      </c>
      <c r="H149" s="299">
        <v>8653.3333333333339</v>
      </c>
      <c r="I149" s="299">
        <v>68513.666666666672</v>
      </c>
      <c r="J149" s="299">
        <v>42943.833333333336</v>
      </c>
      <c r="K149" s="299">
        <v>34770.166666666664</v>
      </c>
      <c r="L149" s="299">
        <v>42261.833333333336</v>
      </c>
      <c r="M149" s="299">
        <v>39256.833333333336</v>
      </c>
      <c r="N149" s="299">
        <v>76352.166666666672</v>
      </c>
      <c r="O149" s="299">
        <v>81088.166666666672</v>
      </c>
      <c r="P149" s="299">
        <v>206310.83333333334</v>
      </c>
      <c r="Q149" s="299">
        <v>31358.833333333332</v>
      </c>
      <c r="R149" s="299">
        <v>46869.666666666664</v>
      </c>
      <c r="S149" s="299">
        <v>101456.16666666667</v>
      </c>
      <c r="T149" s="299">
        <v>276493.33333333331</v>
      </c>
      <c r="U149" s="299">
        <v>364994.83333333331</v>
      </c>
      <c r="V149" s="299">
        <v>884501.66666666663</v>
      </c>
      <c r="W149" s="299">
        <v>22303.833333333332</v>
      </c>
      <c r="X149" s="299">
        <v>44651.166666666664</v>
      </c>
      <c r="Y149" s="299">
        <v>35685.833333333336</v>
      </c>
      <c r="Z149" s="299">
        <v>325723.5</v>
      </c>
      <c r="AA149" s="299">
        <v>176338.33333333334</v>
      </c>
      <c r="AB149" s="299">
        <v>798183.83333333337</v>
      </c>
      <c r="AC149" s="299">
        <v>437469</v>
      </c>
      <c r="AD149" s="299">
        <v>18138.666666666668</v>
      </c>
      <c r="AE149" s="299">
        <v>563548.83333333337</v>
      </c>
      <c r="AF149" s="299">
        <v>7208</v>
      </c>
      <c r="AG149" s="299">
        <v>278616.16666666669</v>
      </c>
      <c r="AH149" s="299">
        <v>84266.833333333328</v>
      </c>
      <c r="AI149" s="299">
        <v>160959.16666666666</v>
      </c>
      <c r="AJ149" s="299">
        <v>99115</v>
      </c>
      <c r="AK149" s="299">
        <v>71606.5</v>
      </c>
      <c r="AL149" s="299">
        <v>16097.166666666666</v>
      </c>
      <c r="AM149" s="302"/>
      <c r="AN149" s="8"/>
      <c r="AO149" s="8"/>
      <c r="AP149" s="8"/>
      <c r="AQ149" s="8"/>
      <c r="AR149" s="8"/>
      <c r="AS149" s="8"/>
      <c r="AT149" s="8"/>
      <c r="AU149" s="8"/>
      <c r="AV149" s="8"/>
      <c r="AW149" s="8"/>
      <c r="AX149" s="8"/>
      <c r="AY149" s="8"/>
      <c r="AZ149" s="8"/>
      <c r="BA149" s="8"/>
      <c r="BB149" s="8"/>
      <c r="BC149" s="8"/>
    </row>
    <row r="150" spans="1:55" s="290" customFormat="1" x14ac:dyDescent="0.2">
      <c r="A150" s="8"/>
      <c r="B150" s="296" t="s">
        <v>491</v>
      </c>
      <c r="C150" s="297" t="s">
        <v>471</v>
      </c>
      <c r="D150" s="298"/>
      <c r="E150" s="284"/>
      <c r="F150" s="299">
        <v>1842.6666666666667</v>
      </c>
      <c r="G150" s="299">
        <v>9063</v>
      </c>
      <c r="H150" s="299">
        <v>804.33333333333337</v>
      </c>
      <c r="I150" s="299">
        <v>27436.333333333332</v>
      </c>
      <c r="J150" s="299">
        <v>14847.5</v>
      </c>
      <c r="K150" s="299">
        <v>10378</v>
      </c>
      <c r="L150" s="299">
        <v>6124.166666666667</v>
      </c>
      <c r="M150" s="299">
        <v>11370.5</v>
      </c>
      <c r="N150" s="299">
        <v>27328</v>
      </c>
      <c r="O150" s="299">
        <v>30225.833333333332</v>
      </c>
      <c r="P150" s="299">
        <v>62145</v>
      </c>
      <c r="Q150" s="299">
        <v>4487.5</v>
      </c>
      <c r="R150" s="299">
        <v>13320.833333333334</v>
      </c>
      <c r="S150" s="299">
        <v>26412.833333333332</v>
      </c>
      <c r="T150" s="299">
        <v>89602.666666666672</v>
      </c>
      <c r="U150" s="299">
        <v>102012.83333333333</v>
      </c>
      <c r="V150" s="299">
        <v>250690.66666666666</v>
      </c>
      <c r="W150" s="299">
        <v>4172.333333333333</v>
      </c>
      <c r="X150" s="299">
        <v>10578</v>
      </c>
      <c r="Y150" s="299">
        <v>9650.6666666666661</v>
      </c>
      <c r="Z150" s="299">
        <v>120986.66666666667</v>
      </c>
      <c r="AA150" s="299">
        <v>44794</v>
      </c>
      <c r="AB150" s="299">
        <v>224777.16666666666</v>
      </c>
      <c r="AC150" s="299">
        <v>150869.16666666666</v>
      </c>
      <c r="AD150" s="299">
        <v>4541</v>
      </c>
      <c r="AE150" s="299">
        <v>87028.5</v>
      </c>
      <c r="AF150" s="299">
        <v>1649.1666666666667</v>
      </c>
      <c r="AG150" s="299">
        <v>93785</v>
      </c>
      <c r="AH150" s="299">
        <v>17902.666666666668</v>
      </c>
      <c r="AI150" s="299">
        <v>82313</v>
      </c>
      <c r="AJ150" s="299">
        <v>9476</v>
      </c>
      <c r="AK150" s="299">
        <v>3953</v>
      </c>
      <c r="AL150" s="299">
        <v>1875.3333333333333</v>
      </c>
      <c r="AM150" s="302"/>
      <c r="AN150" s="8"/>
      <c r="AO150" s="8"/>
      <c r="AP150" s="8"/>
      <c r="AQ150" s="8"/>
      <c r="AR150" s="8"/>
      <c r="AS150" s="8"/>
      <c r="AT150" s="8"/>
      <c r="AU150" s="8"/>
      <c r="AV150" s="8"/>
      <c r="AW150" s="8"/>
      <c r="AX150" s="8"/>
      <c r="AY150" s="8"/>
      <c r="AZ150" s="8"/>
      <c r="BA150" s="8"/>
      <c r="BB150" s="8"/>
      <c r="BC150" s="8"/>
    </row>
    <row r="151" spans="1:55" s="290" customFormat="1" x14ac:dyDescent="0.2">
      <c r="A151" s="8"/>
      <c r="B151" s="303"/>
      <c r="C151" s="297"/>
      <c r="D151" s="298"/>
      <c r="E151" s="284"/>
      <c r="F151" s="298"/>
      <c r="G151" s="298"/>
      <c r="H151" s="298"/>
      <c r="I151" s="298"/>
      <c r="J151" s="298"/>
      <c r="K151" s="298"/>
      <c r="L151" s="298"/>
      <c r="M151" s="298"/>
      <c r="N151" s="298"/>
      <c r="O151" s="298"/>
      <c r="P151" s="298"/>
      <c r="Q151" s="298"/>
      <c r="R151" s="298"/>
      <c r="S151" s="298"/>
      <c r="T151" s="298"/>
      <c r="U151" s="298"/>
      <c r="V151" s="298"/>
      <c r="W151" s="298"/>
      <c r="X151" s="298"/>
      <c r="Y151" s="298"/>
      <c r="Z151" s="298"/>
      <c r="AA151" s="298"/>
      <c r="AB151" s="298"/>
      <c r="AC151" s="298"/>
      <c r="AD151" s="298"/>
      <c r="AE151" s="298"/>
      <c r="AF151" s="298"/>
      <c r="AG151" s="298"/>
      <c r="AH151" s="298"/>
      <c r="AI151" s="298"/>
      <c r="AJ151" s="298"/>
      <c r="AK151" s="298"/>
      <c r="AL151" s="298"/>
      <c r="AM151" s="302"/>
      <c r="AN151" s="8"/>
      <c r="AO151" s="8"/>
      <c r="AP151" s="8"/>
      <c r="AQ151" s="8"/>
      <c r="AR151" s="8"/>
      <c r="AS151" s="8"/>
      <c r="AT151" s="8"/>
      <c r="AU151" s="8"/>
      <c r="AV151" s="8"/>
      <c r="AW151" s="8"/>
      <c r="AX151" s="8"/>
      <c r="AY151" s="8"/>
      <c r="AZ151" s="8"/>
      <c r="BA151" s="8"/>
      <c r="BB151" s="8"/>
      <c r="BC151" s="8"/>
    </row>
    <row r="152" spans="1:55" s="290" customFormat="1" x14ac:dyDescent="0.2">
      <c r="A152" s="8"/>
      <c r="B152" s="298" t="s">
        <v>492</v>
      </c>
      <c r="C152" s="297" t="s">
        <v>471</v>
      </c>
      <c r="D152" s="298"/>
      <c r="E152" s="284"/>
      <c r="F152" s="299">
        <v>1559.3333333333333</v>
      </c>
      <c r="G152" s="299">
        <v>12667.833333333334</v>
      </c>
      <c r="H152" s="299">
        <v>20624.5</v>
      </c>
      <c r="I152" s="299">
        <v>48487.5</v>
      </c>
      <c r="J152" s="299">
        <v>68454.333333333328</v>
      </c>
      <c r="K152" s="299">
        <v>32684.333333333332</v>
      </c>
      <c r="L152" s="299">
        <v>157494.16666666666</v>
      </c>
      <c r="M152" s="299">
        <v>174300.16666666666</v>
      </c>
      <c r="N152" s="299">
        <v>86797.666666666672</v>
      </c>
      <c r="O152" s="299">
        <v>12128.166666666666</v>
      </c>
      <c r="P152" s="299">
        <v>42686</v>
      </c>
      <c r="Q152" s="299">
        <v>31918</v>
      </c>
      <c r="R152" s="299">
        <v>3046919.6666666665</v>
      </c>
      <c r="S152" s="299">
        <v>153429.5</v>
      </c>
      <c r="T152" s="299">
        <v>579569</v>
      </c>
      <c r="U152" s="299">
        <v>133121</v>
      </c>
      <c r="V152" s="299">
        <v>160079.66666666666</v>
      </c>
      <c r="W152" s="299">
        <v>19711.5</v>
      </c>
      <c r="X152" s="299">
        <v>3004</v>
      </c>
      <c r="Y152" s="299">
        <v>59674.166666666664</v>
      </c>
      <c r="Z152" s="299">
        <v>2659.5</v>
      </c>
      <c r="AA152" s="299">
        <v>20122.166666666668</v>
      </c>
      <c r="AB152" s="299">
        <v>73498.333333333328</v>
      </c>
      <c r="AC152" s="299">
        <v>58222.666666666664</v>
      </c>
      <c r="AD152" s="299">
        <v>7015.166666666667</v>
      </c>
      <c r="AE152" s="299">
        <v>76750.833333333328</v>
      </c>
      <c r="AF152" s="299">
        <v>23907.666666666668</v>
      </c>
      <c r="AG152" s="299">
        <v>53122</v>
      </c>
      <c r="AH152" s="299">
        <v>42993</v>
      </c>
      <c r="AI152" s="299">
        <v>5883.666666666667</v>
      </c>
      <c r="AJ152" s="299">
        <v>77.5</v>
      </c>
      <c r="AK152" s="299">
        <v>667.33333333333337</v>
      </c>
      <c r="AL152" s="299">
        <v>11.333333333333334</v>
      </c>
      <c r="AM152" s="302"/>
      <c r="AN152" s="8"/>
      <c r="AO152" s="8"/>
      <c r="AP152" s="8"/>
      <c r="AQ152" s="8"/>
      <c r="AR152" s="8"/>
      <c r="AS152" s="8"/>
      <c r="AT152" s="8"/>
      <c r="AU152" s="8"/>
      <c r="AV152" s="8"/>
      <c r="AW152" s="8"/>
      <c r="AX152" s="8"/>
      <c r="AY152" s="8"/>
      <c r="AZ152" s="8"/>
      <c r="BA152" s="8"/>
      <c r="BB152" s="8"/>
      <c r="BC152" s="8"/>
    </row>
    <row r="153" spans="1:55" s="290" customFormat="1" x14ac:dyDescent="0.2">
      <c r="A153" s="8"/>
      <c r="B153" s="298" t="s">
        <v>493</v>
      </c>
      <c r="C153" s="297" t="s">
        <v>471</v>
      </c>
      <c r="D153" s="298"/>
      <c r="E153" s="284"/>
      <c r="F153" s="299">
        <v>2144.3333333333335</v>
      </c>
      <c r="G153" s="299">
        <v>12570.666666666666</v>
      </c>
      <c r="H153" s="299">
        <v>16050.333333333334</v>
      </c>
      <c r="I153" s="299">
        <v>31397.833333333332</v>
      </c>
      <c r="J153" s="299">
        <v>25131.666666666668</v>
      </c>
      <c r="K153" s="299">
        <v>20629.166666666668</v>
      </c>
      <c r="L153" s="299">
        <v>58138.5</v>
      </c>
      <c r="M153" s="299">
        <v>98182.666666666672</v>
      </c>
      <c r="N153" s="299">
        <v>42957.5</v>
      </c>
      <c r="O153" s="299">
        <v>6612.666666666667</v>
      </c>
      <c r="P153" s="299">
        <v>33544.666666666664</v>
      </c>
      <c r="Q153" s="299">
        <v>20983.666666666668</v>
      </c>
      <c r="R153" s="299">
        <v>1232855</v>
      </c>
      <c r="S153" s="299">
        <v>65984.666666666672</v>
      </c>
      <c r="T153" s="299">
        <v>235567</v>
      </c>
      <c r="U153" s="299">
        <v>66908.333333333328</v>
      </c>
      <c r="V153" s="299">
        <v>69430.833333333328</v>
      </c>
      <c r="W153" s="299">
        <v>17606.333333333332</v>
      </c>
      <c r="X153" s="299">
        <v>2582.3333333333335</v>
      </c>
      <c r="Y153" s="299">
        <v>30779.166666666668</v>
      </c>
      <c r="Z153" s="299">
        <v>5053.833333333333</v>
      </c>
      <c r="AA153" s="299">
        <v>15600</v>
      </c>
      <c r="AB153" s="299">
        <v>27132.166666666668</v>
      </c>
      <c r="AC153" s="299">
        <v>29325.333333333332</v>
      </c>
      <c r="AD153" s="299">
        <v>1762.3333333333333</v>
      </c>
      <c r="AE153" s="299">
        <v>45073.666666666664</v>
      </c>
      <c r="AF153" s="299">
        <v>11272</v>
      </c>
      <c r="AG153" s="299">
        <v>25980.333333333332</v>
      </c>
      <c r="AH153" s="299">
        <v>16704</v>
      </c>
      <c r="AI153" s="299">
        <v>2507.5</v>
      </c>
      <c r="AJ153" s="299">
        <v>92.166666666666671</v>
      </c>
      <c r="AK153" s="299">
        <v>525.33333333333337</v>
      </c>
      <c r="AL153" s="299">
        <v>177.83333333333334</v>
      </c>
      <c r="AM153" s="302"/>
      <c r="AN153" s="8"/>
      <c r="AO153" s="8"/>
      <c r="AP153" s="8"/>
      <c r="AQ153" s="8"/>
      <c r="AR153" s="8"/>
      <c r="AS153" s="8"/>
      <c r="AT153" s="8"/>
      <c r="AU153" s="8"/>
      <c r="AV153" s="8"/>
      <c r="AW153" s="8"/>
      <c r="AX153" s="8"/>
      <c r="AY153" s="8"/>
      <c r="AZ153" s="8"/>
      <c r="BA153" s="8"/>
      <c r="BB153" s="8"/>
      <c r="BC153" s="8"/>
    </row>
    <row r="154" spans="1:55" s="290" customFormat="1" x14ac:dyDescent="0.2">
      <c r="A154" s="8"/>
      <c r="B154" s="298" t="s">
        <v>494</v>
      </c>
      <c r="C154" s="297" t="s">
        <v>471</v>
      </c>
      <c r="D154" s="298"/>
      <c r="E154" s="284"/>
      <c r="F154" s="299">
        <v>321.5</v>
      </c>
      <c r="G154" s="299">
        <v>4703</v>
      </c>
      <c r="H154" s="299">
        <v>6023.5</v>
      </c>
      <c r="I154" s="299">
        <v>12508.666666666666</v>
      </c>
      <c r="J154" s="299">
        <v>14500</v>
      </c>
      <c r="K154" s="299">
        <v>9084.8333333333339</v>
      </c>
      <c r="L154" s="299">
        <v>34629.333333333336</v>
      </c>
      <c r="M154" s="299">
        <v>44463.5</v>
      </c>
      <c r="N154" s="299">
        <v>23764</v>
      </c>
      <c r="O154" s="299">
        <v>4081.5</v>
      </c>
      <c r="P154" s="299">
        <v>14000.5</v>
      </c>
      <c r="Q154" s="299">
        <v>9310.5</v>
      </c>
      <c r="R154" s="299">
        <v>624684.5</v>
      </c>
      <c r="S154" s="299">
        <v>33457.5</v>
      </c>
      <c r="T154" s="299">
        <v>135765.83333333334</v>
      </c>
      <c r="U154" s="299">
        <v>37013.833333333336</v>
      </c>
      <c r="V154" s="299">
        <v>38889.166666666664</v>
      </c>
      <c r="W154" s="299">
        <v>4038.6666666666665</v>
      </c>
      <c r="X154" s="299">
        <v>1320.5</v>
      </c>
      <c r="Y154" s="299">
        <v>15527</v>
      </c>
      <c r="Z154" s="299">
        <v>1073.8333333333333</v>
      </c>
      <c r="AA154" s="299">
        <v>2385</v>
      </c>
      <c r="AB154" s="299">
        <v>17119</v>
      </c>
      <c r="AC154" s="299">
        <v>17391</v>
      </c>
      <c r="AD154" s="299">
        <v>1707</v>
      </c>
      <c r="AE154" s="299">
        <v>20204.5</v>
      </c>
      <c r="AF154" s="299">
        <v>6074.833333333333</v>
      </c>
      <c r="AG154" s="299">
        <v>14503.833333333334</v>
      </c>
      <c r="AH154" s="299">
        <v>8994</v>
      </c>
      <c r="AI154" s="299">
        <v>897.66666666666663</v>
      </c>
      <c r="AJ154" s="299">
        <v>78</v>
      </c>
      <c r="AK154" s="299">
        <v>343.83333333333331</v>
      </c>
      <c r="AL154" s="299">
        <v>8.5</v>
      </c>
      <c r="AM154" s="302"/>
      <c r="AN154" s="8"/>
      <c r="AO154" s="8"/>
      <c r="AP154" s="8"/>
      <c r="AQ154" s="8"/>
      <c r="AR154" s="8"/>
      <c r="AS154" s="8"/>
      <c r="AT154" s="8"/>
      <c r="AU154" s="8"/>
      <c r="AV154" s="8"/>
      <c r="AW154" s="8"/>
      <c r="AX154" s="8"/>
      <c r="AY154" s="8"/>
      <c r="AZ154" s="8"/>
      <c r="BA154" s="8"/>
      <c r="BB154" s="8"/>
      <c r="BC154" s="8"/>
    </row>
    <row r="155" spans="1:55" s="290" customFormat="1" x14ac:dyDescent="0.2">
      <c r="A155" s="8"/>
      <c r="B155" s="298" t="s">
        <v>495</v>
      </c>
      <c r="C155" s="297" t="s">
        <v>471</v>
      </c>
      <c r="D155" s="298"/>
      <c r="E155" s="284"/>
      <c r="F155" s="299">
        <v>12.333333333333334</v>
      </c>
      <c r="G155" s="299">
        <v>123.83333333333333</v>
      </c>
      <c r="H155" s="299">
        <v>159.83333333333334</v>
      </c>
      <c r="I155" s="299">
        <v>529.83333333333337</v>
      </c>
      <c r="J155" s="299">
        <v>316.5</v>
      </c>
      <c r="K155" s="299">
        <v>114.66666666666667</v>
      </c>
      <c r="L155" s="299">
        <v>454</v>
      </c>
      <c r="M155" s="299">
        <v>1042</v>
      </c>
      <c r="N155" s="299">
        <v>601</v>
      </c>
      <c r="O155" s="299">
        <v>178.83333333333334</v>
      </c>
      <c r="P155" s="299">
        <v>655.5</v>
      </c>
      <c r="Q155" s="299">
        <v>123.50000016666667</v>
      </c>
      <c r="R155" s="299">
        <v>7571.833333333333</v>
      </c>
      <c r="S155" s="299">
        <v>397.33333333333331</v>
      </c>
      <c r="T155" s="299">
        <v>2907.6666666666665</v>
      </c>
      <c r="U155" s="299">
        <v>1644.6666666666667</v>
      </c>
      <c r="V155" s="299">
        <v>1169.6666666666667</v>
      </c>
      <c r="W155" s="299">
        <v>185.5</v>
      </c>
      <c r="X155" s="299">
        <v>18</v>
      </c>
      <c r="Y155" s="299">
        <v>254.5</v>
      </c>
      <c r="Z155" s="299">
        <v>32.333333333333336</v>
      </c>
      <c r="AA155" s="299">
        <v>90.5</v>
      </c>
      <c r="AB155" s="299">
        <v>361.16666666666669</v>
      </c>
      <c r="AC155" s="299">
        <v>429.66666666666669</v>
      </c>
      <c r="AD155" s="299">
        <v>99.833333333333329</v>
      </c>
      <c r="AE155" s="299">
        <v>516.33333333333337</v>
      </c>
      <c r="AF155" s="299">
        <v>114.5</v>
      </c>
      <c r="AG155" s="299">
        <v>586.16666666666663</v>
      </c>
      <c r="AH155" s="299">
        <v>300.83333333333331</v>
      </c>
      <c r="AI155" s="299">
        <v>4</v>
      </c>
      <c r="AJ155" s="299">
        <v>4.333333333333333</v>
      </c>
      <c r="AK155" s="299">
        <v>64.666666666666671</v>
      </c>
      <c r="AL155" s="299">
        <v>1.6666666666666667</v>
      </c>
      <c r="AM155" s="302"/>
      <c r="AN155" s="8"/>
      <c r="AO155" s="8"/>
      <c r="AP155" s="8"/>
      <c r="AQ155" s="8"/>
      <c r="AR155" s="8"/>
      <c r="AS155" s="8"/>
      <c r="AT155" s="8"/>
      <c r="AU155" s="8"/>
      <c r="AV155" s="8"/>
      <c r="AW155" s="8"/>
      <c r="AX155" s="8"/>
      <c r="AY155" s="8"/>
      <c r="AZ155" s="8"/>
      <c r="BA155" s="8"/>
      <c r="BB155" s="8"/>
      <c r="BC155" s="8"/>
    </row>
    <row r="156" spans="1:55" s="290" customFormat="1" x14ac:dyDescent="0.2">
      <c r="A156" s="8"/>
      <c r="B156" s="298" t="s">
        <v>496</v>
      </c>
      <c r="C156" s="297" t="s">
        <v>471</v>
      </c>
      <c r="D156" s="298"/>
      <c r="E156" s="284"/>
      <c r="F156" s="299">
        <v>3729.5</v>
      </c>
      <c r="G156" s="299">
        <v>17357.666666666668</v>
      </c>
      <c r="H156" s="299">
        <v>24665.833333333332</v>
      </c>
      <c r="I156" s="299">
        <v>55046.833333333336</v>
      </c>
      <c r="J156" s="299">
        <v>76135.666666666672</v>
      </c>
      <c r="K156" s="299">
        <v>34601.166666666664</v>
      </c>
      <c r="L156" s="299">
        <v>158287.66666666666</v>
      </c>
      <c r="M156" s="299">
        <v>192704</v>
      </c>
      <c r="N156" s="299">
        <v>86126.833333333328</v>
      </c>
      <c r="O156" s="299">
        <v>14305.833333333334</v>
      </c>
      <c r="P156" s="299">
        <v>49760.166666666664</v>
      </c>
      <c r="Q156" s="299">
        <v>39356.333333333336</v>
      </c>
      <c r="R156" s="299">
        <v>3270952.5</v>
      </c>
      <c r="S156" s="299">
        <v>157069.5</v>
      </c>
      <c r="T156" s="299">
        <v>617822.5</v>
      </c>
      <c r="U156" s="299">
        <v>136470</v>
      </c>
      <c r="V156" s="299">
        <v>186716.83333333334</v>
      </c>
      <c r="W156" s="299">
        <v>42525.833333333336</v>
      </c>
      <c r="X156" s="299">
        <v>15894.666666666666</v>
      </c>
      <c r="Y156" s="299">
        <v>71715.166666666672</v>
      </c>
      <c r="Z156" s="299">
        <v>5039.5</v>
      </c>
      <c r="AA156" s="299">
        <v>46427.166666666664</v>
      </c>
      <c r="AB156" s="299">
        <v>93915</v>
      </c>
      <c r="AC156" s="299">
        <v>87199.166666666672</v>
      </c>
      <c r="AD156" s="299">
        <v>7593.833333333333</v>
      </c>
      <c r="AE156" s="299">
        <v>116536.16666666667</v>
      </c>
      <c r="AF156" s="299">
        <v>35735</v>
      </c>
      <c r="AG156" s="299">
        <v>57888.833333333336</v>
      </c>
      <c r="AH156" s="299">
        <v>47508.5</v>
      </c>
      <c r="AI156" s="299">
        <v>3150.1666666666665</v>
      </c>
      <c r="AJ156" s="299">
        <v>75.5</v>
      </c>
      <c r="AK156" s="299">
        <v>2834.3333333333335</v>
      </c>
      <c r="AL156" s="299">
        <v>248</v>
      </c>
      <c r="AM156" s="302"/>
      <c r="AN156" s="8"/>
      <c r="AO156" s="8"/>
      <c r="AP156" s="8"/>
      <c r="AQ156" s="8"/>
      <c r="AR156" s="8"/>
      <c r="AS156" s="8"/>
      <c r="AT156" s="8"/>
      <c r="AU156" s="8"/>
      <c r="AV156" s="8"/>
      <c r="AW156" s="8"/>
      <c r="AX156" s="8"/>
      <c r="AY156" s="8"/>
      <c r="AZ156" s="8"/>
      <c r="BA156" s="8"/>
      <c r="BB156" s="8"/>
      <c r="BC156" s="8"/>
    </row>
    <row r="157" spans="1:55" s="290" customFormat="1" x14ac:dyDescent="0.2">
      <c r="A157" s="8"/>
      <c r="C157" s="297"/>
      <c r="D157" s="298"/>
      <c r="E157" s="284"/>
      <c r="F157" s="298"/>
      <c r="G157" s="298"/>
      <c r="H157" s="298"/>
      <c r="I157" s="298"/>
      <c r="J157" s="299"/>
      <c r="K157" s="298"/>
      <c r="L157" s="298"/>
      <c r="M157" s="298"/>
      <c r="N157" s="298"/>
      <c r="O157" s="298"/>
      <c r="P157" s="298"/>
      <c r="Q157" s="298"/>
      <c r="R157" s="298"/>
      <c r="S157" s="298"/>
      <c r="T157" s="298"/>
      <c r="U157" s="298"/>
      <c r="V157" s="298"/>
      <c r="W157" s="298"/>
      <c r="X157" s="298"/>
      <c r="Y157" s="298"/>
      <c r="Z157" s="298"/>
      <c r="AA157" s="298"/>
      <c r="AB157" s="298"/>
      <c r="AC157" s="298"/>
      <c r="AD157" s="298"/>
      <c r="AE157" s="298"/>
      <c r="AF157" s="298"/>
      <c r="AG157" s="298"/>
      <c r="AH157" s="298"/>
      <c r="AI157" s="298"/>
      <c r="AJ157" s="298"/>
      <c r="AK157" s="298"/>
      <c r="AL157" s="298"/>
      <c r="AM157" s="82"/>
      <c r="AN157" s="8"/>
      <c r="AO157" s="8"/>
      <c r="AP157" s="8"/>
      <c r="AQ157" s="8"/>
      <c r="AR157" s="8"/>
      <c r="AS157" s="8"/>
      <c r="AT157" s="8"/>
      <c r="AU157" s="8"/>
      <c r="AV157" s="8"/>
      <c r="AW157" s="8"/>
      <c r="AX157" s="8"/>
      <c r="AY157" s="8"/>
      <c r="AZ157" s="8"/>
      <c r="BA157" s="8"/>
      <c r="BB157" s="8"/>
      <c r="BC157" s="8"/>
    </row>
    <row r="158" spans="1:55" s="290" customFormat="1" x14ac:dyDescent="0.2">
      <c r="A158" s="8"/>
      <c r="B158" s="296" t="s">
        <v>497</v>
      </c>
      <c r="C158" s="297" t="s">
        <v>471</v>
      </c>
      <c r="D158" s="298"/>
      <c r="E158" s="284"/>
      <c r="F158" s="304">
        <v>70867.499094669984</v>
      </c>
      <c r="G158" s="304">
        <v>87699.87700751597</v>
      </c>
      <c r="H158" s="304">
        <v>97597.219943874283</v>
      </c>
      <c r="I158" s="304">
        <v>17992.206516583337</v>
      </c>
      <c r="J158" s="304">
        <v>83320.137730357863</v>
      </c>
      <c r="K158" s="304">
        <v>93743.051370089132</v>
      </c>
      <c r="L158" s="304">
        <v>49517.748295532394</v>
      </c>
      <c r="M158" s="304">
        <v>415622.26710910589</v>
      </c>
      <c r="N158" s="304">
        <v>53972.157616831275</v>
      </c>
      <c r="O158" s="304">
        <v>48338.430768703263</v>
      </c>
      <c r="P158" s="304">
        <v>73095.777931387609</v>
      </c>
      <c r="Q158" s="304">
        <v>39731.973945334168</v>
      </c>
      <c r="R158" s="304">
        <v>3880524.0077004172</v>
      </c>
      <c r="S158" s="304">
        <v>763243.32221797796</v>
      </c>
      <c r="T158" s="304">
        <v>2180221.3484941497</v>
      </c>
      <c r="U158" s="304">
        <v>503366.86550048803</v>
      </c>
      <c r="V158" s="304">
        <v>237019.21405040214</v>
      </c>
      <c r="W158" s="304">
        <v>33002.06801624105</v>
      </c>
      <c r="X158" s="304">
        <v>36724.190100912594</v>
      </c>
      <c r="Y158" s="304">
        <v>47468.728313812811</v>
      </c>
      <c r="Z158" s="304">
        <v>788.01006851184241</v>
      </c>
      <c r="AA158" s="304">
        <v>72737.935149062963</v>
      </c>
      <c r="AB158" s="304">
        <v>34640.521435733921</v>
      </c>
      <c r="AC158" s="304">
        <v>92376.81667890989</v>
      </c>
      <c r="AD158" s="304">
        <v>25643.129661673996</v>
      </c>
      <c r="AE158" s="304">
        <v>34566.754789884886</v>
      </c>
      <c r="AF158" s="304">
        <v>45364.710107965882</v>
      </c>
      <c r="AG158" s="304">
        <v>86060.843841341819</v>
      </c>
      <c r="AH158" s="304">
        <v>36827.653526371803</v>
      </c>
      <c r="AI158" s="304">
        <v>426.58676012237333</v>
      </c>
      <c r="AJ158" s="304">
        <v>282.90399724229059</v>
      </c>
      <c r="AK158" s="304">
        <v>4045.8051185975128</v>
      </c>
      <c r="AL158" s="304">
        <v>1898.3906264170516</v>
      </c>
      <c r="AM158" s="82"/>
      <c r="AN158" s="8"/>
      <c r="AO158" s="8"/>
      <c r="AP158" s="8"/>
      <c r="AQ158" s="8"/>
      <c r="AR158" s="8"/>
      <c r="AS158" s="8"/>
      <c r="AT158" s="8"/>
      <c r="AU158" s="8"/>
      <c r="AV158" s="8"/>
      <c r="AW158" s="8"/>
      <c r="AX158" s="8"/>
      <c r="AY158" s="8"/>
      <c r="AZ158" s="8"/>
      <c r="BA158" s="8"/>
      <c r="BB158" s="8"/>
      <c r="BC158" s="8"/>
    </row>
    <row r="159" spans="1:55" s="290" customFormat="1" x14ac:dyDescent="0.2">
      <c r="A159" s="8"/>
      <c r="B159" s="296" t="s">
        <v>498</v>
      </c>
      <c r="C159" s="297" t="s">
        <v>471</v>
      </c>
      <c r="D159" s="298"/>
      <c r="E159" s="284"/>
      <c r="F159" s="304">
        <v>754315.65195614763</v>
      </c>
      <c r="G159" s="304">
        <v>241823.15703933535</v>
      </c>
      <c r="H159" s="304">
        <v>269114.03585055663</v>
      </c>
      <c r="I159" s="304">
        <v>2597374.924074545</v>
      </c>
      <c r="J159" s="304">
        <v>726899.74618515244</v>
      </c>
      <c r="K159" s="304">
        <v>258486.57268781305</v>
      </c>
      <c r="L159" s="304">
        <v>432001.67028250266</v>
      </c>
      <c r="M159" s="304">
        <v>1946678.0815378802</v>
      </c>
      <c r="N159" s="304">
        <v>482344.92761362315</v>
      </c>
      <c r="O159" s="304">
        <v>220146.84358038395</v>
      </c>
      <c r="P159" s="304">
        <v>529253.96754033479</v>
      </c>
      <c r="Q159" s="304">
        <v>999949.05138571106</v>
      </c>
      <c r="R159" s="304">
        <v>18448813.356320914</v>
      </c>
      <c r="S159" s="304">
        <v>1804399.7285147253</v>
      </c>
      <c r="T159" s="304">
        <v>4176175.2881035805</v>
      </c>
      <c r="U159" s="304">
        <v>1601516.3855569428</v>
      </c>
      <c r="V159" s="304">
        <v>1733270.0095561987</v>
      </c>
      <c r="W159" s="304">
        <v>180149.90263651055</v>
      </c>
      <c r="X159" s="304">
        <v>843287.76896319166</v>
      </c>
      <c r="Y159" s="304">
        <v>1090011.7302867451</v>
      </c>
      <c r="Z159" s="304">
        <v>280619.14106449502</v>
      </c>
      <c r="AA159" s="304">
        <v>1670261.7779259989</v>
      </c>
      <c r="AB159" s="304">
        <v>396998.9439116072</v>
      </c>
      <c r="AC159" s="304">
        <v>872781.32990597747</v>
      </c>
      <c r="AD159" s="304">
        <v>141281.29668021956</v>
      </c>
      <c r="AE159" s="304">
        <v>306690.85918602761</v>
      </c>
      <c r="AF159" s="304">
        <v>249937.7085455679</v>
      </c>
      <c r="AG159" s="304">
        <v>513927.88919796218</v>
      </c>
      <c r="AH159" s="304">
        <v>272610.99147409765</v>
      </c>
      <c r="AI159" s="304">
        <v>151912.28513246737</v>
      </c>
      <c r="AJ159" s="304">
        <v>100745.25679572682</v>
      </c>
      <c r="AK159" s="304">
        <v>105049.80034684007</v>
      </c>
      <c r="AL159" s="304">
        <v>40616.729681481098</v>
      </c>
      <c r="AM159" s="82"/>
      <c r="AN159" s="8"/>
      <c r="AO159" s="8"/>
      <c r="AP159" s="8"/>
      <c r="AQ159" s="8"/>
      <c r="AR159" s="8"/>
      <c r="AS159" s="8"/>
      <c r="AT159" s="8"/>
      <c r="AU159" s="8"/>
      <c r="AV159" s="8"/>
      <c r="AW159" s="8"/>
      <c r="AX159" s="8"/>
      <c r="AY159" s="8"/>
      <c r="AZ159" s="8"/>
      <c r="BA159" s="8"/>
      <c r="BB159" s="8"/>
      <c r="BC159" s="8"/>
    </row>
    <row r="160" spans="1:55" s="290" customFormat="1" x14ac:dyDescent="0.2">
      <c r="A160" s="8"/>
      <c r="B160" s="296" t="s">
        <v>499</v>
      </c>
      <c r="C160" s="297" t="s">
        <v>471</v>
      </c>
      <c r="D160" s="298"/>
      <c r="E160" s="284"/>
      <c r="F160" s="304">
        <v>33691.106126974249</v>
      </c>
      <c r="G160" s="304">
        <v>99941.136011556067</v>
      </c>
      <c r="H160" s="304">
        <v>111219.96250832333</v>
      </c>
      <c r="I160" s="304">
        <v>340685.76228160114</v>
      </c>
      <c r="J160" s="304">
        <v>460998.97800575924</v>
      </c>
      <c r="K160" s="304">
        <v>106827.82424328203</v>
      </c>
      <c r="L160" s="304">
        <v>273974.95946612646</v>
      </c>
      <c r="M160" s="304">
        <v>605192.6638907342</v>
      </c>
      <c r="N160" s="304">
        <v>118433.24371627213</v>
      </c>
      <c r="O160" s="304">
        <v>41613.709653196907</v>
      </c>
      <c r="P160" s="304">
        <v>529480.99896627374</v>
      </c>
      <c r="Q160" s="304">
        <v>388010.15560004162</v>
      </c>
      <c r="R160" s="304">
        <v>11336573.763395747</v>
      </c>
      <c r="S160" s="304">
        <v>925359.27250895556</v>
      </c>
      <c r="T160" s="304">
        <v>2415949.8121729051</v>
      </c>
      <c r="U160" s="304">
        <v>636568.82858577801</v>
      </c>
      <c r="V160" s="304">
        <v>613057.61659717886</v>
      </c>
      <c r="W160" s="304">
        <v>28100.770786106237</v>
      </c>
      <c r="X160" s="304">
        <v>309988.66054124368</v>
      </c>
      <c r="Y160" s="304">
        <v>400683.24086007214</v>
      </c>
      <c r="Z160" s="304">
        <v>31870.629437590065</v>
      </c>
      <c r="AA160" s="304">
        <v>613980.45880482346</v>
      </c>
      <c r="AB160" s="304">
        <v>115172.20466859288</v>
      </c>
      <c r="AC160" s="304">
        <v>201605.16391675931</v>
      </c>
      <c r="AD160" s="304">
        <v>37445.28676239965</v>
      </c>
      <c r="AE160" s="304">
        <v>64144.493424528649</v>
      </c>
      <c r="AF160" s="304">
        <v>66243.652834028573</v>
      </c>
      <c r="AG160" s="304">
        <v>130346.82959281439</v>
      </c>
      <c r="AH160" s="304">
        <v>1259370.7590955468</v>
      </c>
      <c r="AI160" s="304">
        <v>17253.064520504879</v>
      </c>
      <c r="AJ160" s="304">
        <v>11441.894999577087</v>
      </c>
      <c r="AK160" s="304">
        <v>46761.980091696838</v>
      </c>
      <c r="AL160" s="304">
        <v>18961.831954561014</v>
      </c>
      <c r="AM160" s="82"/>
      <c r="AN160" s="8"/>
      <c r="AO160" s="8"/>
      <c r="AP160" s="8"/>
      <c r="AQ160" s="8"/>
      <c r="AR160" s="8"/>
      <c r="AS160" s="8"/>
      <c r="AT160" s="8"/>
      <c r="AU160" s="8"/>
      <c r="AV160" s="8"/>
      <c r="AW160" s="8"/>
      <c r="AX160" s="8"/>
      <c r="AY160" s="8"/>
      <c r="AZ160" s="8"/>
      <c r="BA160" s="8"/>
      <c r="BB160" s="8"/>
      <c r="BC160" s="8"/>
    </row>
    <row r="161" spans="1:55" s="290" customFormat="1" x14ac:dyDescent="0.2">
      <c r="A161" s="8"/>
      <c r="B161" s="296" t="s">
        <v>500</v>
      </c>
      <c r="C161" s="297" t="s">
        <v>471</v>
      </c>
      <c r="D161" s="298"/>
      <c r="E161" s="284"/>
      <c r="F161" s="304">
        <v>557811.86055547034</v>
      </c>
      <c r="G161" s="304">
        <v>951000.09534005949</v>
      </c>
      <c r="H161" s="304">
        <v>1058324.9217509718</v>
      </c>
      <c r="I161" s="304">
        <v>2346483.5998710766</v>
      </c>
      <c r="J161" s="304">
        <v>2274581.0838854383</v>
      </c>
      <c r="K161" s="304">
        <v>1016531.0811414551</v>
      </c>
      <c r="L161" s="304">
        <v>1351799.6568143051</v>
      </c>
      <c r="M161" s="304">
        <v>5856859.0337831872</v>
      </c>
      <c r="N161" s="304">
        <v>3571877.1867987476</v>
      </c>
      <c r="O161" s="304">
        <v>1916905.5498865563</v>
      </c>
      <c r="P161" s="304">
        <v>524683.49482588435</v>
      </c>
      <c r="Q161" s="304">
        <v>1376488.4697379367</v>
      </c>
      <c r="R161" s="304">
        <v>46178835.360523522</v>
      </c>
      <c r="S161" s="304">
        <v>9452679.7965460178</v>
      </c>
      <c r="T161" s="304">
        <v>25236214.607762743</v>
      </c>
      <c r="U161" s="304">
        <v>6026228.6629016297</v>
      </c>
      <c r="V161" s="304">
        <v>7173519.8579214411</v>
      </c>
      <c r="W161" s="304">
        <v>202695.86989513066</v>
      </c>
      <c r="X161" s="304">
        <v>1239139.9973091425</v>
      </c>
      <c r="Y161" s="304">
        <v>1601679.9747909138</v>
      </c>
      <c r="Z161" s="304">
        <v>325010.37492399546</v>
      </c>
      <c r="AA161" s="304">
        <v>2454308.305158312</v>
      </c>
      <c r="AB161" s="304">
        <v>1506128.1557928182</v>
      </c>
      <c r="AC161" s="304">
        <v>3473670.1944080312</v>
      </c>
      <c r="AD161" s="304">
        <v>781253.98335983604</v>
      </c>
      <c r="AE161" s="304">
        <v>1241730.4852098338</v>
      </c>
      <c r="AF161" s="304">
        <v>1382099.6478749986</v>
      </c>
      <c r="AG161" s="304">
        <v>2686497.5620440771</v>
      </c>
      <c r="AH161" s="304">
        <v>1364637.1613927053</v>
      </c>
      <c r="AI161" s="304">
        <v>175943.3392860278</v>
      </c>
      <c r="AJ161" s="304">
        <v>116682.18197370922</v>
      </c>
      <c r="AK161" s="304">
        <v>347233.57651590987</v>
      </c>
      <c r="AL161" s="304">
        <v>135867.37564647617</v>
      </c>
      <c r="AM161" s="82"/>
      <c r="AN161" s="8"/>
      <c r="AO161" s="8"/>
      <c r="AP161" s="8"/>
      <c r="AQ161" s="8"/>
      <c r="AR161" s="8"/>
      <c r="AS161" s="8"/>
      <c r="AT161" s="8"/>
      <c r="AU161" s="8"/>
      <c r="AV161" s="8"/>
      <c r="AW161" s="8"/>
      <c r="AX161" s="8"/>
      <c r="AY161" s="8"/>
      <c r="AZ161" s="8"/>
      <c r="BA161" s="8"/>
      <c r="BB161" s="8"/>
      <c r="BC161" s="8"/>
    </row>
    <row r="162" spans="1:55" s="290" customFormat="1" x14ac:dyDescent="0.2">
      <c r="A162" s="8"/>
      <c r="B162" s="296" t="s">
        <v>501</v>
      </c>
      <c r="C162" s="297" t="s">
        <v>471</v>
      </c>
      <c r="D162" s="298"/>
      <c r="E162" s="284"/>
      <c r="F162" s="304">
        <v>2821.4226805840503</v>
      </c>
      <c r="G162" s="304">
        <v>11454.320925208965</v>
      </c>
      <c r="H162" s="304">
        <v>12746.994828163044</v>
      </c>
      <c r="I162" s="304">
        <v>7663.3472200262358</v>
      </c>
      <c r="J162" s="304">
        <v>8605.8358219148959</v>
      </c>
      <c r="K162" s="304">
        <v>12243.60890277336</v>
      </c>
      <c r="L162" s="304">
        <v>5114.5092136230642</v>
      </c>
      <c r="M162" s="304">
        <v>7829.3573363238384</v>
      </c>
      <c r="N162" s="304">
        <v>5046.926134666317</v>
      </c>
      <c r="O162" s="304">
        <v>3695.2219624263744</v>
      </c>
      <c r="P162" s="304">
        <v>11448.203614404601</v>
      </c>
      <c r="Q162" s="304">
        <v>31918.573211314477</v>
      </c>
      <c r="R162" s="304">
        <v>669297.10950121377</v>
      </c>
      <c r="S162" s="304">
        <v>734760.66175411677</v>
      </c>
      <c r="T162" s="304">
        <v>1627789.2967729487</v>
      </c>
      <c r="U162" s="304">
        <v>251344.85822400823</v>
      </c>
      <c r="V162" s="304">
        <v>158418.61636308394</v>
      </c>
      <c r="W162" s="304">
        <v>3376.449202981757</v>
      </c>
      <c r="X162" s="304">
        <v>5115.9696946258018</v>
      </c>
      <c r="Y162" s="304">
        <v>6612.7687180733037</v>
      </c>
      <c r="Z162" s="304">
        <v>2101.3601826982463</v>
      </c>
      <c r="AA162" s="304">
        <v>10132.968782966182</v>
      </c>
      <c r="AB162" s="304">
        <v>679015.73118247103</v>
      </c>
      <c r="AC162" s="304">
        <v>2018468.8663456959</v>
      </c>
      <c r="AD162" s="304">
        <v>498906.75782970217</v>
      </c>
      <c r="AE162" s="304">
        <v>777529.25883690815</v>
      </c>
      <c r="AF162" s="304">
        <v>882605.23338835279</v>
      </c>
      <c r="AG162" s="304">
        <v>1710308.5841950749</v>
      </c>
      <c r="AH162" s="304">
        <v>3346232.6982773896</v>
      </c>
      <c r="AI162" s="304">
        <v>1137.5646936596625</v>
      </c>
      <c r="AJ162" s="304">
        <v>754.4106593127749</v>
      </c>
      <c r="AK162" s="304">
        <v>13736.919705005508</v>
      </c>
      <c r="AL162" s="304">
        <v>5540.6517119846503</v>
      </c>
      <c r="AM162" s="82"/>
      <c r="AN162" s="8"/>
      <c r="AO162" s="8"/>
      <c r="AP162" s="8"/>
      <c r="AQ162" s="8"/>
      <c r="AR162" s="8"/>
      <c r="AS162" s="8"/>
      <c r="AT162" s="8"/>
      <c r="AU162" s="8"/>
      <c r="AV162" s="8"/>
      <c r="AW162" s="8"/>
      <c r="AX162" s="8"/>
      <c r="AY162" s="8"/>
      <c r="AZ162" s="8"/>
      <c r="BA162" s="8"/>
      <c r="BB162" s="8"/>
      <c r="BC162" s="8"/>
    </row>
    <row r="163" spans="1:55" s="290" customFormat="1" x14ac:dyDescent="0.2">
      <c r="A163" s="8"/>
      <c r="B163" s="296" t="s">
        <v>502</v>
      </c>
      <c r="C163" s="297" t="s">
        <v>471</v>
      </c>
      <c r="D163" s="298"/>
      <c r="E163" s="284"/>
      <c r="F163" s="304">
        <v>9626.0303219926445</v>
      </c>
      <c r="G163" s="304">
        <v>23549.850655391459</v>
      </c>
      <c r="H163" s="304">
        <v>26207.561885892468</v>
      </c>
      <c r="I163" s="304">
        <v>9829.075782207563</v>
      </c>
      <c r="J163" s="304">
        <v>66401.846853184252</v>
      </c>
      <c r="K163" s="304">
        <v>25172.610670333012</v>
      </c>
      <c r="L163" s="304">
        <v>39463.088136932514</v>
      </c>
      <c r="M163" s="304">
        <v>11494.162898007338</v>
      </c>
      <c r="N163" s="304">
        <v>106490.95100346058</v>
      </c>
      <c r="O163" s="304">
        <v>98409.068280728359</v>
      </c>
      <c r="P163" s="304">
        <v>11742.387038668201</v>
      </c>
      <c r="Q163" s="304">
        <v>8644.6135780643363</v>
      </c>
      <c r="R163" s="304">
        <v>2626383.1571691483</v>
      </c>
      <c r="S163" s="304">
        <v>2499695.3433374376</v>
      </c>
      <c r="T163" s="304">
        <v>7105383.4068963602</v>
      </c>
      <c r="U163" s="304">
        <v>387559.89619240072</v>
      </c>
      <c r="V163" s="304">
        <v>334889.31273525464</v>
      </c>
      <c r="W163" s="304">
        <v>4247.7909327835014</v>
      </c>
      <c r="X163" s="304">
        <v>107370.19199867528</v>
      </c>
      <c r="Y163" s="304">
        <v>138783.90398758938</v>
      </c>
      <c r="Z163" s="304">
        <v>3327.1536226055564</v>
      </c>
      <c r="AA163" s="304">
        <v>212663.26203741124</v>
      </c>
      <c r="AB163" s="304">
        <v>42797.007921942626</v>
      </c>
      <c r="AC163" s="304">
        <v>115357.43175441887</v>
      </c>
      <c r="AD163" s="304">
        <v>27021.483775627359</v>
      </c>
      <c r="AE163" s="304">
        <v>43297.533061556845</v>
      </c>
      <c r="AF163" s="304">
        <v>47803.126776703131</v>
      </c>
      <c r="AG163" s="304">
        <v>93038.308643638054</v>
      </c>
      <c r="AH163" s="304">
        <v>17921.664066658399</v>
      </c>
      <c r="AI163" s="304">
        <v>1801.1440982944653</v>
      </c>
      <c r="AJ163" s="304">
        <v>1194.483543911894</v>
      </c>
      <c r="AK163" s="304">
        <v>4610.3360653785612</v>
      </c>
      <c r="AL163" s="304">
        <v>2317.8025089975631</v>
      </c>
      <c r="AM163" s="82"/>
      <c r="AN163" s="8"/>
      <c r="AO163" s="8"/>
      <c r="AP163" s="8"/>
      <c r="AQ163" s="8"/>
      <c r="AR163" s="8"/>
      <c r="AS163" s="8"/>
      <c r="AT163" s="8"/>
      <c r="AU163" s="8"/>
      <c r="AV163" s="8"/>
      <c r="AW163" s="8"/>
      <c r="AX163" s="8"/>
      <c r="AY163" s="8"/>
      <c r="AZ163" s="8"/>
      <c r="BA163" s="8"/>
      <c r="BB163" s="8"/>
      <c r="BC163" s="8"/>
    </row>
    <row r="164" spans="1:55" s="290" customFormat="1" x14ac:dyDescent="0.2">
      <c r="A164" s="8"/>
      <c r="B164" s="296" t="s">
        <v>503</v>
      </c>
      <c r="C164" s="297" t="s">
        <v>471</v>
      </c>
      <c r="D164" s="298"/>
      <c r="E164" s="284"/>
      <c r="F164" s="304">
        <v>3651.2528807558297</v>
      </c>
      <c r="G164" s="304">
        <v>229348.73119712304</v>
      </c>
      <c r="H164" s="304">
        <v>255231.81247535619</v>
      </c>
      <c r="I164" s="304">
        <v>363009.42592254706</v>
      </c>
      <c r="J164" s="304">
        <v>453762.25242823997</v>
      </c>
      <c r="K164" s="304">
        <v>245152.566045607</v>
      </c>
      <c r="L164" s="304">
        <v>269674.12217285251</v>
      </c>
      <c r="M164" s="304">
        <v>305344.93611662969</v>
      </c>
      <c r="N164" s="304">
        <v>249792.70573437889</v>
      </c>
      <c r="O164" s="304">
        <v>141033.78924038788</v>
      </c>
      <c r="P164" s="304">
        <v>29782.845186534909</v>
      </c>
      <c r="Q164" s="304">
        <v>20780.321101116198</v>
      </c>
      <c r="R164" s="304">
        <v>11304591.42267294</v>
      </c>
      <c r="S164" s="304">
        <v>2048881.4263415765</v>
      </c>
      <c r="T164" s="304">
        <v>5381339.9230889464</v>
      </c>
      <c r="U164" s="304">
        <v>1440246.9190181319</v>
      </c>
      <c r="V164" s="304">
        <v>811728.52873394114</v>
      </c>
      <c r="W164" s="304">
        <v>38992.542408628033</v>
      </c>
      <c r="X164" s="304">
        <v>406833.64100256766</v>
      </c>
      <c r="Y164" s="304">
        <v>525862.53149773995</v>
      </c>
      <c r="Z164" s="304">
        <v>1138.2367656282165</v>
      </c>
      <c r="AA164" s="304">
        <v>805796.91245434899</v>
      </c>
      <c r="AB164" s="304">
        <v>97119.377608284864</v>
      </c>
      <c r="AC164" s="304">
        <v>175994.64621736424</v>
      </c>
      <c r="AD164" s="304">
        <v>19612.830413128042</v>
      </c>
      <c r="AE164" s="304">
        <v>56972.78270136955</v>
      </c>
      <c r="AF164" s="304">
        <v>34696.637182240418</v>
      </c>
      <c r="AG164" s="304">
        <v>76270.315320495793</v>
      </c>
      <c r="AH164" s="304">
        <v>227224.93499106399</v>
      </c>
      <c r="AI164" s="304">
        <v>616.18087573231708</v>
      </c>
      <c r="AJ164" s="304">
        <v>408.63910712775305</v>
      </c>
      <c r="AK164" s="304">
        <v>37541.30796093971</v>
      </c>
      <c r="AL164" s="304">
        <v>17416.630281895978</v>
      </c>
      <c r="AM164" s="82"/>
      <c r="AN164" s="8"/>
      <c r="AO164" s="8"/>
      <c r="AP164" s="8"/>
      <c r="AQ164" s="8"/>
      <c r="AR164" s="8"/>
      <c r="AS164" s="8"/>
      <c r="AT164" s="8"/>
      <c r="AU164" s="8"/>
      <c r="AV164" s="8"/>
      <c r="AW164" s="8"/>
      <c r="AX164" s="8"/>
      <c r="AY164" s="8"/>
      <c r="AZ164" s="8"/>
      <c r="BA164" s="8"/>
      <c r="BB164" s="8"/>
      <c r="BC164" s="8"/>
    </row>
    <row r="165" spans="1:55" s="290" customFormat="1" x14ac:dyDescent="0.2">
      <c r="A165" s="8"/>
      <c r="B165" s="296" t="s">
        <v>504</v>
      </c>
      <c r="C165" s="297" t="s">
        <v>471</v>
      </c>
      <c r="D165" s="298"/>
      <c r="E165" s="284"/>
      <c r="F165" s="304">
        <v>2323.5245604809829</v>
      </c>
      <c r="G165" s="304">
        <v>2564.8352198941188</v>
      </c>
      <c r="H165" s="304">
        <v>2854.2889182655158</v>
      </c>
      <c r="I165" s="304">
        <v>3331.8900956635807</v>
      </c>
      <c r="J165" s="304">
        <v>5769.8217442383966</v>
      </c>
      <c r="K165" s="304">
        <v>2741.5714591451792</v>
      </c>
      <c r="L165" s="304">
        <v>3429.0459500427369</v>
      </c>
      <c r="M165" s="304">
        <v>4164.5517746403393</v>
      </c>
      <c r="N165" s="304">
        <v>4940.4251823434161</v>
      </c>
      <c r="O165" s="304">
        <v>2809.1954206138412</v>
      </c>
      <c r="P165" s="304">
        <v>4510.5325705187715</v>
      </c>
      <c r="Q165" s="304">
        <v>6982.1878899750418</v>
      </c>
      <c r="R165" s="304">
        <v>44475.442567651589</v>
      </c>
      <c r="S165" s="304">
        <v>43783.613804573542</v>
      </c>
      <c r="T165" s="304">
        <v>102359.73592224385</v>
      </c>
      <c r="U165" s="304">
        <v>22696.957877165307</v>
      </c>
      <c r="V165" s="304">
        <v>18956.438686240592</v>
      </c>
      <c r="W165" s="304">
        <v>653.50629735130804</v>
      </c>
      <c r="X165" s="304">
        <v>3584.4373656613898</v>
      </c>
      <c r="Y165" s="304">
        <v>4633.1500572488103</v>
      </c>
      <c r="Z165" s="304">
        <v>788.01006851184229</v>
      </c>
      <c r="AA165" s="304">
        <v>7099.5322683202539</v>
      </c>
      <c r="AB165" s="304">
        <v>36000.664975859705</v>
      </c>
      <c r="AC165" s="304">
        <v>106790.68412329759</v>
      </c>
      <c r="AD165" s="304">
        <v>13496.384032459997</v>
      </c>
      <c r="AE165" s="304">
        <v>41114.838493638854</v>
      </c>
      <c r="AF165" s="304">
        <v>23876.163214718879</v>
      </c>
      <c r="AG165" s="304">
        <v>53138.067626679986</v>
      </c>
      <c r="AH165" s="304">
        <v>558798.89706170897</v>
      </c>
      <c r="AI165" s="304">
        <v>426.58676012237333</v>
      </c>
      <c r="AJ165" s="304">
        <v>282.9039972422907</v>
      </c>
      <c r="AK165" s="304">
        <v>799.75217460648526</v>
      </c>
      <c r="AL165" s="304">
        <v>772.60083633252088</v>
      </c>
      <c r="AM165" s="82"/>
      <c r="AN165" s="8"/>
      <c r="AO165" s="8"/>
      <c r="AP165" s="8"/>
      <c r="AQ165" s="8"/>
      <c r="AR165" s="8"/>
      <c r="AS165" s="8"/>
      <c r="AT165" s="8"/>
      <c r="AU165" s="8"/>
      <c r="AV165" s="8"/>
      <c r="AW165" s="8"/>
      <c r="AX165" s="8"/>
      <c r="AY165" s="8"/>
      <c r="AZ165" s="8"/>
      <c r="BA165" s="8"/>
      <c r="BB165" s="8"/>
      <c r="BC165" s="8"/>
    </row>
    <row r="166" spans="1:55" s="290" customFormat="1" x14ac:dyDescent="0.2">
      <c r="A166" s="8"/>
      <c r="B166" s="296" t="s">
        <v>505</v>
      </c>
      <c r="C166" s="297" t="s">
        <v>471</v>
      </c>
      <c r="D166" s="298"/>
      <c r="E166" s="284"/>
      <c r="F166" s="304">
        <v>16430.637963401237</v>
      </c>
      <c r="G166" s="304">
        <v>86475.751107111966</v>
      </c>
      <c r="H166" s="304">
        <v>96234.945687429383</v>
      </c>
      <c r="I166" s="304">
        <v>46646.46133929013</v>
      </c>
      <c r="J166" s="304">
        <v>201161.41233726067</v>
      </c>
      <c r="K166" s="304">
        <v>92434.574082769846</v>
      </c>
      <c r="L166" s="304">
        <v>119551.65286843911</v>
      </c>
      <c r="M166" s="304">
        <v>128268.19465892244</v>
      </c>
      <c r="N166" s="304">
        <v>67110.243070671611</v>
      </c>
      <c r="O166" s="304">
        <v>62544.54966377269</v>
      </c>
      <c r="P166" s="304">
        <v>20636.536968279299</v>
      </c>
      <c r="Q166" s="304">
        <v>5984.7324771214635</v>
      </c>
      <c r="R166" s="304">
        <v>1487012.2689191976</v>
      </c>
      <c r="S166" s="304">
        <v>1367073.2559085235</v>
      </c>
      <c r="T166" s="304">
        <v>3298946.3654757128</v>
      </c>
      <c r="U166" s="304">
        <v>713639.98316080298</v>
      </c>
      <c r="V166" s="304">
        <v>510197.98442706629</v>
      </c>
      <c r="W166" s="304">
        <v>13505.796811927028</v>
      </c>
      <c r="X166" s="304">
        <v>92087.454503264438</v>
      </c>
      <c r="Y166" s="304">
        <v>119029.83692531944</v>
      </c>
      <c r="Z166" s="304">
        <v>14621.964604608629</v>
      </c>
      <c r="AA166" s="304">
        <v>182393.43809339125</v>
      </c>
      <c r="AB166" s="304">
        <v>144111.70911567085</v>
      </c>
      <c r="AC166" s="304">
        <v>378908.17749009113</v>
      </c>
      <c r="AD166" s="304">
        <v>69563.809188583706</v>
      </c>
      <c r="AE166" s="304">
        <v>141206.97510816375</v>
      </c>
      <c r="AF166" s="304">
        <v>123063.84125033296</v>
      </c>
      <c r="AG166" s="304">
        <v>249693.36202026819</v>
      </c>
      <c r="AH166" s="304">
        <v>90592.120716976759</v>
      </c>
      <c r="AI166" s="304">
        <v>7915.5543267151506</v>
      </c>
      <c r="AJ166" s="304">
        <v>5249.4408377180598</v>
      </c>
      <c r="AK166" s="304">
        <v>18535.432752644421</v>
      </c>
      <c r="AL166" s="304">
        <v>7593.5625056682065</v>
      </c>
      <c r="AM166" s="82"/>
      <c r="AN166" s="8"/>
      <c r="AO166" s="8"/>
      <c r="AP166" s="8"/>
      <c r="AQ166" s="8"/>
      <c r="AR166" s="8"/>
      <c r="AS166" s="8"/>
      <c r="AT166" s="8"/>
      <c r="AU166" s="8"/>
      <c r="AV166" s="8"/>
      <c r="AW166" s="8"/>
      <c r="AX166" s="8"/>
      <c r="AY166" s="8"/>
      <c r="AZ166" s="8"/>
      <c r="BA166" s="8"/>
      <c r="BB166" s="8"/>
      <c r="BC166" s="8"/>
    </row>
    <row r="167" spans="1:55" s="290" customFormat="1" x14ac:dyDescent="0.2">
      <c r="A167" s="8"/>
      <c r="B167" s="296" t="s">
        <v>506</v>
      </c>
      <c r="C167" s="297" t="s">
        <v>471</v>
      </c>
      <c r="D167" s="298"/>
      <c r="E167" s="284"/>
      <c r="F167" s="304">
        <v>1161.7622802404915</v>
      </c>
      <c r="G167" s="304">
        <v>50830.370721538005</v>
      </c>
      <c r="H167" s="304">
        <v>56566.816743807496</v>
      </c>
      <c r="I167" s="304">
        <v>7163.5637056766982</v>
      </c>
      <c r="J167" s="304">
        <v>5672.0281553529994</v>
      </c>
      <c r="K167" s="304">
        <v>54332.961644877185</v>
      </c>
      <c r="L167" s="304">
        <v>3370.926527160656</v>
      </c>
      <c r="M167" s="304">
        <v>31650.593487266582</v>
      </c>
      <c r="N167" s="304">
        <v>37010.462107447813</v>
      </c>
      <c r="O167" s="304">
        <v>31319.357042471751</v>
      </c>
      <c r="P167" s="304">
        <v>359267.37328282528</v>
      </c>
      <c r="Q167" s="304">
        <v>8810.856146873266</v>
      </c>
      <c r="R167" s="304">
        <v>250361.76097071287</v>
      </c>
      <c r="S167" s="304">
        <v>1178778.5388187962</v>
      </c>
      <c r="T167" s="304">
        <v>2851969.4024685603</v>
      </c>
      <c r="U167" s="304">
        <v>499187.39422010985</v>
      </c>
      <c r="V167" s="304">
        <v>165970.64734725203</v>
      </c>
      <c r="W167" s="304">
        <v>1415.9303109278342</v>
      </c>
      <c r="X167" s="304">
        <v>106751.06190824286</v>
      </c>
      <c r="Y167" s="304">
        <v>137983.63261406458</v>
      </c>
      <c r="Z167" s="304">
        <v>22589.621964006146</v>
      </c>
      <c r="AA167" s="304">
        <v>211436.97919106504</v>
      </c>
      <c r="AB167" s="304">
        <v>212426.06491644689</v>
      </c>
      <c r="AC167" s="304">
        <v>636585.52987355518</v>
      </c>
      <c r="AD167" s="304">
        <v>169350.90389666564</v>
      </c>
      <c r="AE167" s="304">
        <v>245709.04564562507</v>
      </c>
      <c r="AF167" s="304">
        <v>299595.04799745663</v>
      </c>
      <c r="AG167" s="304">
        <v>574320.33914151241</v>
      </c>
      <c r="AH167" s="304">
        <v>128029.54200851562</v>
      </c>
      <c r="AI167" s="304">
        <v>12228.820456841369</v>
      </c>
      <c r="AJ167" s="304">
        <v>8109.9145876123321</v>
      </c>
      <c r="AK167" s="304">
        <v>2681.5219972099799</v>
      </c>
      <c r="AL167" s="304">
        <v>1501.0530534460406</v>
      </c>
      <c r="AM167" s="82"/>
      <c r="AN167" s="8"/>
      <c r="AO167" s="8"/>
      <c r="AP167" s="8"/>
      <c r="AQ167" s="8"/>
      <c r="AR167" s="8"/>
      <c r="AS167" s="8"/>
      <c r="AT167" s="8"/>
      <c r="AU167" s="8"/>
      <c r="AV167" s="8"/>
      <c r="AW167" s="8"/>
      <c r="AX167" s="8"/>
      <c r="AY167" s="8"/>
      <c r="AZ167" s="8"/>
      <c r="BA167" s="8"/>
      <c r="BB167" s="8"/>
      <c r="BC167" s="8"/>
    </row>
    <row r="168" spans="1:55" s="290" customFormat="1" x14ac:dyDescent="0.2">
      <c r="A168" s="8"/>
      <c r="B168" s="296" t="s">
        <v>507</v>
      </c>
      <c r="C168" s="297" t="s">
        <v>471</v>
      </c>
      <c r="D168" s="298"/>
      <c r="E168" s="284"/>
      <c r="F168" s="304">
        <v>2655.4566405496948</v>
      </c>
      <c r="G168" s="304">
        <v>3322.6274439537451</v>
      </c>
      <c r="H168" s="304">
        <v>3697.6015532075999</v>
      </c>
      <c r="I168" s="304">
        <v>6996.969200893519</v>
      </c>
      <c r="J168" s="304">
        <v>21612.383143672636</v>
      </c>
      <c r="K168" s="304">
        <v>3551.5812084380736</v>
      </c>
      <c r="L168" s="304">
        <v>12844.39245693974</v>
      </c>
      <c r="M168" s="304">
        <v>39479.950823590421</v>
      </c>
      <c r="N168" s="304">
        <v>13506.182393156816</v>
      </c>
      <c r="O168" s="304">
        <v>6344.8414926686746</v>
      </c>
      <c r="P168" s="304">
        <v>17962.264083822836</v>
      </c>
      <c r="Q168" s="304">
        <v>17787.954862555463</v>
      </c>
      <c r="R168" s="304">
        <v>143920.53325262535</v>
      </c>
      <c r="S168" s="304">
        <v>120605.54962572979</v>
      </c>
      <c r="T168" s="304">
        <v>282334.63959653489</v>
      </c>
      <c r="U168" s="304">
        <v>44403.459208798442</v>
      </c>
      <c r="V168" s="304">
        <v>55070.279140269966</v>
      </c>
      <c r="W168" s="304">
        <v>7188.5692708643865</v>
      </c>
      <c r="X168" s="304">
        <v>10394.868360418031</v>
      </c>
      <c r="Y168" s="304">
        <v>13436.13516602155</v>
      </c>
      <c r="Z168" s="304">
        <v>1576.0201370236846</v>
      </c>
      <c r="AA168" s="304">
        <v>20588.643578128736</v>
      </c>
      <c r="AB168" s="304">
        <v>16282.71205020217</v>
      </c>
      <c r="AC168" s="304">
        <v>42888.617376625247</v>
      </c>
      <c r="AD168" s="304">
        <v>1550.6483781975314</v>
      </c>
      <c r="AE168" s="304">
        <v>15991.578569031795</v>
      </c>
      <c r="AF168" s="304">
        <v>2743.2187523294033</v>
      </c>
      <c r="AG168" s="304">
        <v>9960.5772509876933</v>
      </c>
      <c r="AH168" s="304">
        <v>155399.49195679917</v>
      </c>
      <c r="AI168" s="304">
        <v>853.17352024474667</v>
      </c>
      <c r="AJ168" s="304">
        <v>565.8079944845814</v>
      </c>
      <c r="AK168" s="304">
        <v>2069.9468048638441</v>
      </c>
      <c r="AL168" s="304">
        <v>1280.3099573510347</v>
      </c>
      <c r="AM168" s="82"/>
      <c r="AN168" s="8"/>
      <c r="AO168" s="8"/>
      <c r="AP168" s="8"/>
      <c r="AQ168" s="8"/>
      <c r="AR168" s="8"/>
      <c r="AS168" s="8"/>
      <c r="AT168" s="8"/>
      <c r="AU168" s="8"/>
      <c r="AV168" s="8"/>
      <c r="AW168" s="8"/>
      <c r="AX168" s="8"/>
      <c r="AY168" s="8"/>
      <c r="AZ168" s="8"/>
      <c r="BA168" s="8"/>
      <c r="BB168" s="8"/>
      <c r="BC168" s="8"/>
    </row>
    <row r="169" spans="1:55" s="290" customFormat="1" x14ac:dyDescent="0.2">
      <c r="A169" s="8"/>
      <c r="B169" s="296"/>
      <c r="C169" s="297"/>
      <c r="D169" s="298"/>
      <c r="E169" s="284"/>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c r="AE169" s="305"/>
      <c r="AF169" s="305"/>
      <c r="AG169" s="305"/>
      <c r="AH169" s="305"/>
      <c r="AI169" s="305"/>
      <c r="AJ169" s="305"/>
      <c r="AK169" s="305"/>
      <c r="AL169" s="305"/>
      <c r="AM169" s="82"/>
      <c r="AN169" s="8"/>
      <c r="AO169" s="8"/>
      <c r="AP169" s="8"/>
      <c r="AQ169" s="8"/>
      <c r="AR169" s="8"/>
      <c r="AS169" s="8"/>
      <c r="AT169" s="8"/>
      <c r="AU169" s="8"/>
      <c r="AV169" s="8"/>
      <c r="AW169" s="8"/>
      <c r="AX169" s="8"/>
      <c r="AY169" s="8"/>
      <c r="AZ169" s="8"/>
      <c r="BA169" s="8"/>
      <c r="BB169" s="8"/>
      <c r="BC169" s="8"/>
    </row>
    <row r="170" spans="1:55" s="290" customFormat="1" x14ac:dyDescent="0.2">
      <c r="A170" s="8"/>
      <c r="B170" s="306" t="s">
        <v>508</v>
      </c>
      <c r="C170" s="307" t="s">
        <v>471</v>
      </c>
      <c r="D170" s="298"/>
      <c r="E170" s="284"/>
      <c r="F170" s="292">
        <v>16575.974762624279</v>
      </c>
      <c r="G170" s="292">
        <v>11290.622834657299</v>
      </c>
      <c r="H170" s="292">
        <v>7391.560943674157</v>
      </c>
      <c r="I170" s="292">
        <v>15859.333333333334</v>
      </c>
      <c r="J170" s="292">
        <v>40057.150977286685</v>
      </c>
      <c r="K170" s="292">
        <v>8750.2104986760332</v>
      </c>
      <c r="L170" s="292">
        <v>14555.502702077521</v>
      </c>
      <c r="M170" s="292">
        <v>13678.5</v>
      </c>
      <c r="N170" s="292">
        <v>5594.934051617277</v>
      </c>
      <c r="O170" s="292">
        <v>13323.20237523449</v>
      </c>
      <c r="P170" s="292">
        <v>30286.892195488093</v>
      </c>
      <c r="Q170" s="292">
        <v>14939</v>
      </c>
      <c r="R170" s="292">
        <v>29563.166666666668</v>
      </c>
      <c r="S170" s="292">
        <v>28331.051702970482</v>
      </c>
      <c r="T170" s="292">
        <v>37123.134946858569</v>
      </c>
      <c r="U170" s="292">
        <v>15602.419073163461</v>
      </c>
      <c r="V170" s="292">
        <v>56470.565111779317</v>
      </c>
      <c r="W170" s="292">
        <v>12960.941137845237</v>
      </c>
      <c r="X170" s="292">
        <v>1881.4654387655557</v>
      </c>
      <c r="Y170" s="292">
        <v>26547.10681393238</v>
      </c>
      <c r="Z170" s="292">
        <v>1171.1128973962325</v>
      </c>
      <c r="AA170" s="292">
        <v>27914.048421802276</v>
      </c>
      <c r="AB170" s="292">
        <v>9402.5238259848029</v>
      </c>
      <c r="AC170" s="292">
        <v>39881.790076168334</v>
      </c>
      <c r="AD170" s="292">
        <v>2905.3511294733366</v>
      </c>
      <c r="AE170" s="292">
        <v>6125.2261841312202</v>
      </c>
      <c r="AF170" s="292">
        <v>23219.320746447513</v>
      </c>
      <c r="AG170" s="292">
        <v>11911.862115962545</v>
      </c>
      <c r="AH170" s="292">
        <v>8959.6777868687004</v>
      </c>
      <c r="AI170" s="292">
        <v>16751.624629530572</v>
      </c>
      <c r="AJ170" s="292">
        <v>2313.2624730731977</v>
      </c>
      <c r="AK170" s="292">
        <v>15292.988488905517</v>
      </c>
      <c r="AL170" s="292">
        <v>2839.6040995934036</v>
      </c>
      <c r="AM170" s="82"/>
      <c r="AN170" s="8"/>
      <c r="AO170" s="8"/>
      <c r="AP170" s="8"/>
      <c r="AQ170" s="8"/>
      <c r="AR170" s="8"/>
      <c r="AS170" s="8"/>
      <c r="AT170" s="8"/>
      <c r="AU170" s="8"/>
      <c r="AV170" s="8"/>
      <c r="AW170" s="8"/>
      <c r="AX170" s="8"/>
      <c r="AY170" s="8"/>
      <c r="AZ170" s="8"/>
      <c r="BA170" s="8"/>
      <c r="BB170" s="8"/>
      <c r="BC170" s="8"/>
    </row>
    <row r="171" spans="1:55" s="290" customFormat="1" x14ac:dyDescent="0.2">
      <c r="A171" s="8"/>
      <c r="B171" s="306" t="s">
        <v>509</v>
      </c>
      <c r="C171" s="307" t="s">
        <v>471</v>
      </c>
      <c r="D171" s="298"/>
      <c r="E171" s="284"/>
      <c r="F171" s="305">
        <v>0</v>
      </c>
      <c r="G171" s="305">
        <v>0</v>
      </c>
      <c r="H171" s="305">
        <v>0</v>
      </c>
      <c r="I171" s="305">
        <v>0</v>
      </c>
      <c r="J171" s="305">
        <v>0</v>
      </c>
      <c r="K171" s="305">
        <v>0</v>
      </c>
      <c r="L171" s="305">
        <v>0</v>
      </c>
      <c r="M171" s="305">
        <v>0</v>
      </c>
      <c r="N171" s="305">
        <v>0</v>
      </c>
      <c r="O171" s="305">
        <v>0</v>
      </c>
      <c r="P171" s="305">
        <v>0</v>
      </c>
      <c r="Q171" s="305">
        <v>0</v>
      </c>
      <c r="R171" s="305">
        <v>0</v>
      </c>
      <c r="S171" s="305">
        <v>0</v>
      </c>
      <c r="T171" s="305">
        <v>0</v>
      </c>
      <c r="U171" s="305">
        <v>0</v>
      </c>
      <c r="V171" s="305">
        <v>0</v>
      </c>
      <c r="W171" s="305">
        <v>0</v>
      </c>
      <c r="X171" s="305">
        <v>0</v>
      </c>
      <c r="Y171" s="305">
        <v>0</v>
      </c>
      <c r="Z171" s="305">
        <v>0</v>
      </c>
      <c r="AA171" s="305">
        <v>0</v>
      </c>
      <c r="AB171" s="305">
        <v>0</v>
      </c>
      <c r="AC171" s="305">
        <v>0</v>
      </c>
      <c r="AD171" s="305">
        <v>0</v>
      </c>
      <c r="AE171" s="305">
        <v>0</v>
      </c>
      <c r="AF171" s="305">
        <v>0</v>
      </c>
      <c r="AG171" s="305">
        <v>0</v>
      </c>
      <c r="AH171" s="305">
        <v>0</v>
      </c>
      <c r="AI171" s="305">
        <v>0</v>
      </c>
      <c r="AJ171" s="305">
        <v>0</v>
      </c>
      <c r="AK171" s="305">
        <v>0</v>
      </c>
      <c r="AL171" s="305">
        <v>0</v>
      </c>
      <c r="AM171" s="308"/>
      <c r="AN171" s="8"/>
      <c r="AO171" s="8"/>
      <c r="AP171" s="8"/>
      <c r="AQ171" s="8"/>
      <c r="AR171" s="8"/>
      <c r="AS171" s="8"/>
      <c r="AT171" s="8"/>
      <c r="AU171" s="8"/>
      <c r="AV171" s="8"/>
      <c r="AW171" s="8"/>
      <c r="AX171" s="8"/>
      <c r="AY171" s="8"/>
      <c r="AZ171" s="8"/>
      <c r="BA171" s="8"/>
      <c r="BB171" s="8"/>
      <c r="BC171" s="8"/>
    </row>
    <row r="172" spans="1:55" s="8" customFormat="1" x14ac:dyDescent="0.2">
      <c r="B172" s="309"/>
      <c r="C172" s="310"/>
      <c r="D172" s="82"/>
      <c r="E172" s="17"/>
      <c r="F172" s="311"/>
      <c r="G172" s="311"/>
      <c r="H172" s="311"/>
      <c r="I172" s="311"/>
      <c r="J172" s="311"/>
      <c r="K172" s="311"/>
      <c r="L172" s="311"/>
      <c r="M172" s="311"/>
      <c r="N172" s="311"/>
      <c r="O172" s="311"/>
      <c r="P172" s="311"/>
      <c r="Q172" s="311"/>
      <c r="R172" s="311"/>
      <c r="S172" s="311"/>
      <c r="T172" s="311"/>
      <c r="U172" s="311"/>
      <c r="V172" s="311"/>
      <c r="W172" s="311"/>
      <c r="X172" s="311"/>
      <c r="Y172" s="311"/>
      <c r="Z172" s="311"/>
      <c r="AA172" s="311"/>
      <c r="AB172" s="311"/>
      <c r="AC172" s="311"/>
      <c r="AD172" s="311"/>
      <c r="AE172" s="311"/>
      <c r="AF172" s="311"/>
      <c r="AG172" s="311"/>
      <c r="AH172" s="311"/>
      <c r="AI172" s="311"/>
      <c r="AJ172" s="311"/>
      <c r="AK172" s="311"/>
      <c r="AL172" s="311"/>
      <c r="AM172" s="308"/>
    </row>
    <row r="173" spans="1:55" x14ac:dyDescent="0.2">
      <c r="AM173" s="28"/>
      <c r="AN173" s="8"/>
      <c r="AO173" s="8"/>
      <c r="AP173" s="8"/>
      <c r="AQ173" s="28"/>
      <c r="AR173" s="28"/>
      <c r="AS173" s="28"/>
      <c r="AT173" s="28"/>
      <c r="AU173" s="28"/>
      <c r="AV173" s="28"/>
      <c r="AW173" s="28"/>
      <c r="AX173" s="28"/>
      <c r="AY173" s="28"/>
      <c r="AZ173" s="28"/>
      <c r="BA173" s="28"/>
      <c r="BB173" s="28"/>
      <c r="BC173" s="28"/>
    </row>
    <row r="174" spans="1:55" s="290" customFormat="1" x14ac:dyDescent="0.2">
      <c r="A174" s="295"/>
      <c r="B174" s="296" t="s">
        <v>470</v>
      </c>
      <c r="C174" s="297" t="s">
        <v>77</v>
      </c>
      <c r="D174" s="298"/>
      <c r="E174" s="284"/>
      <c r="F174" s="299">
        <f>F128*pvar!F1069</f>
        <v>753756.66666666663</v>
      </c>
      <c r="G174" s="299">
        <f>G128*pvar!G1069</f>
        <v>3983485</v>
      </c>
      <c r="H174" s="299">
        <f>H128*pvar!H1069</f>
        <v>850226.66666666663</v>
      </c>
      <c r="I174" s="299">
        <f>I128*pvar!I1069</f>
        <v>14398230</v>
      </c>
      <c r="J174" s="299">
        <f>J128*pvar!J1069</f>
        <v>23573458.333333332</v>
      </c>
      <c r="K174" s="299">
        <f>K128*pvar!K1069</f>
        <v>11192720</v>
      </c>
      <c r="L174" s="299">
        <f>L128*pvar!L1069</f>
        <v>26691078.333333332</v>
      </c>
      <c r="M174" s="299">
        <f>M128*pvar!M1069</f>
        <v>20696481.666666668</v>
      </c>
      <c r="N174" s="299">
        <f>N128*pvar!N1069</f>
        <v>8532773.333333334</v>
      </c>
      <c r="O174" s="299">
        <f>O128*pvar!O1069</f>
        <v>6602401.666666667</v>
      </c>
      <c r="P174" s="299">
        <f>P128*pvar!P1069</f>
        <v>26657290</v>
      </c>
      <c r="Q174" s="299">
        <f>Q128*pvar!Q1069</f>
        <v>5056131.666666667</v>
      </c>
      <c r="R174" s="299">
        <f>R128*pvar!R1069</f>
        <v>62676808.333333328</v>
      </c>
      <c r="S174" s="299">
        <f>S128*pvar!S1069</f>
        <v>13906530</v>
      </c>
      <c r="T174" s="299">
        <f>T128*pvar!T1069</f>
        <v>52553820</v>
      </c>
      <c r="U174" s="299">
        <f>U128*pvar!U1069</f>
        <v>8316165</v>
      </c>
      <c r="V174" s="299">
        <f>V128*pvar!V1069</f>
        <v>30634120</v>
      </c>
      <c r="W174" s="299">
        <f>W128*pvar!W1069</f>
        <v>16677668.333333332</v>
      </c>
      <c r="X174" s="299">
        <f>X128*pvar!X1069</f>
        <v>9151560</v>
      </c>
      <c r="Y174" s="299">
        <f>Y128*pvar!Y1069</f>
        <v>9054778.333333334</v>
      </c>
      <c r="Z174" s="299">
        <f>Z128*pvar!Z1069</f>
        <v>738411.66666666663</v>
      </c>
      <c r="AA174" s="299">
        <f>AA128*pvar!AA1069</f>
        <v>5946490</v>
      </c>
      <c r="AB174" s="299">
        <f>AB128*pvar!AB1069</f>
        <v>8080966.666666666</v>
      </c>
      <c r="AC174" s="299">
        <f>AC128*pvar!AC1069</f>
        <v>9593375</v>
      </c>
      <c r="AD174" s="299">
        <f>AD128*pvar!AD1069</f>
        <v>957733.33333333326</v>
      </c>
      <c r="AE174" s="299">
        <f>AE128*pvar!AE1069</f>
        <v>5880453.333333333</v>
      </c>
      <c r="AF174" s="299">
        <f>AF128*pvar!AF1069</f>
        <v>1289401.6666666667</v>
      </c>
      <c r="AG174" s="299">
        <f>AG128*pvar!AG1069</f>
        <v>5499046.666666667</v>
      </c>
      <c r="AH174" s="299">
        <f>AH128*pvar!AH1069</f>
        <v>9510911.666666666</v>
      </c>
      <c r="AI174" s="299">
        <f>AI128*pvar!AI1069</f>
        <v>62186.666666666672</v>
      </c>
      <c r="AJ174" s="299">
        <f>AJ128*pvar!AJ1069</f>
        <v>66128.333333333328</v>
      </c>
      <c r="AK174" s="299">
        <f>AK128*pvar!AK1069</f>
        <v>63066.666666666672</v>
      </c>
      <c r="AL174" s="299">
        <f>AL128*pvar!AL1069</f>
        <v>90145</v>
      </c>
      <c r="AM174" s="301"/>
      <c r="AN174" s="8"/>
      <c r="AO174" s="8"/>
      <c r="AP174" s="8"/>
      <c r="AQ174" s="8"/>
      <c r="AR174" s="8"/>
      <c r="AS174" s="8"/>
      <c r="AT174" s="8"/>
      <c r="AU174" s="8"/>
      <c r="AV174" s="8"/>
      <c r="AW174" s="8"/>
      <c r="AX174" s="8"/>
      <c r="AY174" s="8"/>
      <c r="AZ174" s="8"/>
      <c r="BA174" s="8"/>
      <c r="BB174" s="8"/>
      <c r="BC174" s="8"/>
    </row>
    <row r="175" spans="1:55" s="290" customFormat="1" x14ac:dyDescent="0.2">
      <c r="A175" s="295"/>
      <c r="B175" s="296" t="s">
        <v>472</v>
      </c>
      <c r="C175" s="297" t="s">
        <v>77</v>
      </c>
      <c r="D175" s="298"/>
      <c r="E175" s="284"/>
      <c r="F175" s="299">
        <f>F129*pvar!F1070</f>
        <v>632263.33333333337</v>
      </c>
      <c r="G175" s="299">
        <f>G129*pvar!G1070</f>
        <v>2654591.3333333335</v>
      </c>
      <c r="H175" s="299">
        <f>H129*pvar!H1070</f>
        <v>853792.33333333326</v>
      </c>
      <c r="I175" s="299">
        <f>I129*pvar!I1070</f>
        <v>7408555</v>
      </c>
      <c r="J175" s="299">
        <f>J129*pvar!J1070</f>
        <v>11014007.666666666</v>
      </c>
      <c r="K175" s="299">
        <f>K129*pvar!K1070</f>
        <v>5263057.333333333</v>
      </c>
      <c r="L175" s="299">
        <f>L129*pvar!L1070</f>
        <v>4667658.333333333</v>
      </c>
      <c r="M175" s="299">
        <f>M129*pvar!M1070</f>
        <v>7925309</v>
      </c>
      <c r="N175" s="299">
        <f>N129*pvar!N1070</f>
        <v>10252139.333333334</v>
      </c>
      <c r="O175" s="299">
        <f>O129*pvar!O1070</f>
        <v>10422643</v>
      </c>
      <c r="P175" s="299">
        <f>P129*pvar!P1070</f>
        <v>17127492.666666668</v>
      </c>
      <c r="Q175" s="299">
        <f>Q129*pvar!Q1070</f>
        <v>1810337.6666666665</v>
      </c>
      <c r="R175" s="299">
        <f>R129*pvar!R1070</f>
        <v>10147834.666666666</v>
      </c>
      <c r="S175" s="299">
        <f>S129*pvar!S1070</f>
        <v>20811835.333333332</v>
      </c>
      <c r="T175" s="299">
        <f>T129*pvar!T1070</f>
        <v>39965429</v>
      </c>
      <c r="U175" s="299">
        <f>U129*pvar!U1070</f>
        <v>23298912</v>
      </c>
      <c r="V175" s="299">
        <f>V129*pvar!V1070</f>
        <v>106379457.33333334</v>
      </c>
      <c r="W175" s="299">
        <f>W129*pvar!W1070</f>
        <v>1865364.6666666665</v>
      </c>
      <c r="X175" s="299">
        <f>X129*pvar!X1070</f>
        <v>880040</v>
      </c>
      <c r="Y175" s="299">
        <f>Y129*pvar!Y1070</f>
        <v>3972315.666666667</v>
      </c>
      <c r="Z175" s="299">
        <f>Z129*pvar!Z1070</f>
        <v>1021568.3333333333</v>
      </c>
      <c r="AA175" s="299">
        <f>AA129*pvar!AA1070</f>
        <v>4264306.666666667</v>
      </c>
      <c r="AB175" s="299">
        <f>AB129*pvar!AB1070</f>
        <v>21186881.333333332</v>
      </c>
      <c r="AC175" s="299">
        <f>AC129*pvar!AC1070</f>
        <v>22798475</v>
      </c>
      <c r="AD175" s="299">
        <f>AD129*pvar!AD1070</f>
        <v>1644374.6666666665</v>
      </c>
      <c r="AE175" s="299">
        <f>AE129*pvar!AE1070</f>
        <v>14467070.333333332</v>
      </c>
      <c r="AF175" s="299">
        <f>AF129*pvar!AF1070</f>
        <v>1809047.3333333335</v>
      </c>
      <c r="AG175" s="299">
        <f>AG129*pvar!AG1070</f>
        <v>12190171</v>
      </c>
      <c r="AH175" s="299">
        <f>AH129*pvar!AH1070</f>
        <v>28734188</v>
      </c>
      <c r="AI175" s="299">
        <f>AI129*pvar!AI1070</f>
        <v>508930.33333333337</v>
      </c>
      <c r="AJ175" s="299">
        <f>AJ129*pvar!AJ1070</f>
        <v>61054</v>
      </c>
      <c r="AK175" s="299">
        <f>AK129*pvar!AK1070</f>
        <v>840056</v>
      </c>
      <c r="AL175" s="299">
        <f>AL129*pvar!AL1070</f>
        <v>715661.33333333337</v>
      </c>
      <c r="AM175" s="301"/>
      <c r="AN175" s="28"/>
      <c r="AO175" s="28"/>
      <c r="AP175" s="28"/>
      <c r="AQ175" s="8"/>
      <c r="AR175" s="8"/>
      <c r="AS175" s="8"/>
      <c r="AT175" s="8"/>
      <c r="AU175" s="8"/>
      <c r="AV175" s="8"/>
      <c r="AW175" s="8"/>
      <c r="AX175" s="8"/>
      <c r="AY175" s="8"/>
      <c r="AZ175" s="8"/>
      <c r="BA175" s="8"/>
      <c r="BB175" s="8"/>
      <c r="BC175" s="8"/>
    </row>
    <row r="176" spans="1:55" s="290" customFormat="1" x14ac:dyDescent="0.2">
      <c r="A176" s="295"/>
      <c r="B176" s="296" t="s">
        <v>473</v>
      </c>
      <c r="C176" s="297" t="s">
        <v>77</v>
      </c>
      <c r="D176" s="298"/>
      <c r="E176" s="284"/>
      <c r="F176" s="299">
        <f>F130*pvar!F1071</f>
        <v>81852.666666666657</v>
      </c>
      <c r="G176" s="299">
        <f>G130*pvar!G1071</f>
        <v>608181.83333333326</v>
      </c>
      <c r="H176" s="299">
        <f>H130*pvar!H1071</f>
        <v>112336</v>
      </c>
      <c r="I176" s="299">
        <f>I130*pvar!I1071</f>
        <v>1817082</v>
      </c>
      <c r="J176" s="299">
        <f>J130*pvar!J1071</f>
        <v>3328770.166666667</v>
      </c>
      <c r="K176" s="299">
        <f>K130*pvar!K1071</f>
        <v>1780777.3333333335</v>
      </c>
      <c r="L176" s="299">
        <f>L130*pvar!L1071</f>
        <v>3537305.666666667</v>
      </c>
      <c r="M176" s="299">
        <f>M130*pvar!M1071</f>
        <v>2512800.166666667</v>
      </c>
      <c r="N176" s="299">
        <f>N130*pvar!N1071</f>
        <v>1264330.6666666665</v>
      </c>
      <c r="O176" s="299">
        <f>O130*pvar!O1071</f>
        <v>1017976.1666666666</v>
      </c>
      <c r="P176" s="299">
        <f>P130*pvar!P1071</f>
        <v>3917600</v>
      </c>
      <c r="Q176" s="299">
        <f>Q130*pvar!Q1071</f>
        <v>681400.83333333326</v>
      </c>
      <c r="R176" s="299">
        <f>R130*pvar!R1071</f>
        <v>5519528.666666666</v>
      </c>
      <c r="S176" s="299">
        <f>S130*pvar!S1071</f>
        <v>1379656</v>
      </c>
      <c r="T176" s="299">
        <f>T130*pvar!T1071</f>
        <v>5965254</v>
      </c>
      <c r="U176" s="299">
        <f>U130*pvar!U1071</f>
        <v>876179.5</v>
      </c>
      <c r="V176" s="299">
        <f>V130*pvar!V1071</f>
        <v>3091816.333333333</v>
      </c>
      <c r="W176" s="299">
        <f>W130*pvar!W1071</f>
        <v>2572026.333333333</v>
      </c>
      <c r="X176" s="299">
        <f>X130*pvar!X1071</f>
        <v>1172103.8333333335</v>
      </c>
      <c r="Y176" s="299">
        <f>Y130*pvar!Y1071</f>
        <v>1052363.3333333335</v>
      </c>
      <c r="Z176" s="299">
        <f>Z130*pvar!Z1071</f>
        <v>200767.16666666669</v>
      </c>
      <c r="AA176" s="299">
        <f>AA130*pvar!AA1071</f>
        <v>762447.16666666674</v>
      </c>
      <c r="AB176" s="299">
        <f>AB130*pvar!AB1071</f>
        <v>731472.16666666674</v>
      </c>
      <c r="AC176" s="299">
        <f>AC130*pvar!AC1071</f>
        <v>925975.5</v>
      </c>
      <c r="AD176" s="299">
        <f>AD130*pvar!AD1071</f>
        <v>95993</v>
      </c>
      <c r="AE176" s="299">
        <f>AE130*pvar!AE1071</f>
        <v>502493.16666666669</v>
      </c>
      <c r="AF176" s="299">
        <f>AF130*pvar!AF1071</f>
        <v>91587.666666666657</v>
      </c>
      <c r="AG176" s="299">
        <f>AG130*pvar!AG1071</f>
        <v>522002.5</v>
      </c>
      <c r="AH176" s="299">
        <f>AH130*pvar!AH1071</f>
        <v>949192</v>
      </c>
      <c r="AI176" s="299">
        <f>AI130*pvar!AI1071</f>
        <v>3333.5</v>
      </c>
      <c r="AJ176" s="299">
        <f>AJ130*pvar!AJ1071</f>
        <v>5968.8333333333339</v>
      </c>
      <c r="AK176" s="299">
        <f>AK130*pvar!AK1071</f>
        <v>6126.1666666666661</v>
      </c>
      <c r="AL176" s="299">
        <f>AL130*pvar!AL1071</f>
        <v>9735</v>
      </c>
      <c r="AM176" s="301"/>
      <c r="AN176" s="8"/>
      <c r="AO176" s="8"/>
      <c r="AP176" s="8"/>
      <c r="AQ176" s="8"/>
      <c r="AR176" s="8"/>
      <c r="AS176" s="8"/>
      <c r="AT176" s="8"/>
      <c r="AU176" s="8"/>
      <c r="AV176" s="8"/>
      <c r="AW176" s="8"/>
      <c r="AX176" s="8"/>
      <c r="AY176" s="8"/>
      <c r="AZ176" s="8"/>
      <c r="BA176" s="8"/>
      <c r="BB176" s="8"/>
      <c r="BC176" s="8"/>
    </row>
    <row r="177" spans="1:55" s="290" customFormat="1" x14ac:dyDescent="0.2">
      <c r="A177" s="295"/>
      <c r="B177" s="296" t="s">
        <v>474</v>
      </c>
      <c r="C177" s="297" t="s">
        <v>77</v>
      </c>
      <c r="D177" s="298"/>
      <c r="E177" s="284"/>
      <c r="F177" s="299">
        <f>F131*pvar!F1072</f>
        <v>97871.166666666657</v>
      </c>
      <c r="G177" s="299">
        <f>G131*pvar!G1072</f>
        <v>428438.33333333337</v>
      </c>
      <c r="H177" s="299">
        <f>H131*pvar!H1072</f>
        <v>137883</v>
      </c>
      <c r="I177" s="299">
        <f>I131*pvar!I1072</f>
        <v>1129968</v>
      </c>
      <c r="J177" s="299">
        <f>J131*pvar!J1072</f>
        <v>1693319.6666666665</v>
      </c>
      <c r="K177" s="299">
        <f>K131*pvar!K1072</f>
        <v>936792.16666666674</v>
      </c>
      <c r="L177" s="299">
        <f>L131*pvar!L1072</f>
        <v>822617.33333333326</v>
      </c>
      <c r="M177" s="299">
        <f>M131*pvar!M1072</f>
        <v>1221388.5</v>
      </c>
      <c r="N177" s="299">
        <f>N131*pvar!N1072</f>
        <v>1510940.8333333335</v>
      </c>
      <c r="O177" s="299">
        <f>O131*pvar!O1072</f>
        <v>1496623.5</v>
      </c>
      <c r="P177" s="299">
        <f>P131*pvar!P1072</f>
        <v>2524383.833333333</v>
      </c>
      <c r="Q177" s="299">
        <f>Q131*pvar!Q1072</f>
        <v>246580.66666666666</v>
      </c>
      <c r="R177" s="299">
        <f>R131*pvar!R1072</f>
        <v>1414849.5</v>
      </c>
      <c r="S177" s="299">
        <f>S131*pvar!S1072</f>
        <v>3463958.833333333</v>
      </c>
      <c r="T177" s="299">
        <f>T131*pvar!T1072</f>
        <v>6749688.5</v>
      </c>
      <c r="U177" s="299">
        <f>U131*pvar!U1072</f>
        <v>2892366.833333333</v>
      </c>
      <c r="V177" s="299">
        <f>V131*pvar!V1072</f>
        <v>11459924</v>
      </c>
      <c r="W177" s="299">
        <f>W131*pvar!W1072</f>
        <v>225271.83333333331</v>
      </c>
      <c r="X177" s="299">
        <f>X131*pvar!X1072</f>
        <v>107281.66666666666</v>
      </c>
      <c r="Y177" s="299">
        <f>Y131*pvar!Y1072</f>
        <v>550509.33333333326</v>
      </c>
      <c r="Z177" s="299">
        <f>Z131*pvar!Z1072</f>
        <v>149643.66666666669</v>
      </c>
      <c r="AA177" s="299">
        <f>AA131*pvar!AA1072</f>
        <v>572398.33333333326</v>
      </c>
      <c r="AB177" s="299">
        <f>AB131*pvar!AB1072</f>
        <v>1856317</v>
      </c>
      <c r="AC177" s="299">
        <f>AC131*pvar!AC1072</f>
        <v>2820858.833333333</v>
      </c>
      <c r="AD177" s="299">
        <f>AD131*pvar!AD1072</f>
        <v>228330</v>
      </c>
      <c r="AE177" s="299">
        <f>AE131*pvar!AE1072</f>
        <v>2279504.333333333</v>
      </c>
      <c r="AF177" s="299">
        <f>AF131*pvar!AF1072</f>
        <v>294793.5</v>
      </c>
      <c r="AG177" s="299">
        <f>AG131*pvar!AG1072</f>
        <v>1219343.1666666665</v>
      </c>
      <c r="AH177" s="299">
        <f>AH131*pvar!AH1072</f>
        <v>2566706.5</v>
      </c>
      <c r="AI177" s="299">
        <f>AI131*pvar!AI1072</f>
        <v>84124.166666666657</v>
      </c>
      <c r="AJ177" s="299">
        <f>AJ131*pvar!AJ1072</f>
        <v>7070.1666666666661</v>
      </c>
      <c r="AK177" s="299">
        <f>AK131*pvar!AK1072</f>
        <v>107468.5</v>
      </c>
      <c r="AL177" s="299">
        <f>AL131*pvar!AL1072</f>
        <v>75028.333333333343</v>
      </c>
      <c r="AM177" s="301"/>
      <c r="AN177" s="8"/>
      <c r="AO177" s="8"/>
      <c r="AP177" s="8"/>
      <c r="AQ177" s="8"/>
      <c r="AR177" s="8"/>
      <c r="AS177" s="8"/>
      <c r="AT177" s="8"/>
      <c r="AU177" s="8"/>
      <c r="AV177" s="8"/>
      <c r="AW177" s="8"/>
      <c r="AX177" s="8"/>
      <c r="AY177" s="8"/>
      <c r="AZ177" s="8"/>
      <c r="BA177" s="8"/>
      <c r="BB177" s="8"/>
      <c r="BC177" s="8"/>
    </row>
    <row r="178" spans="1:55" s="290" customFormat="1" x14ac:dyDescent="0.2">
      <c r="A178" s="295"/>
      <c r="B178" s="296" t="s">
        <v>475</v>
      </c>
      <c r="C178" s="297" t="s">
        <v>77</v>
      </c>
      <c r="D178" s="298"/>
      <c r="E178" s="284"/>
      <c r="F178" s="299">
        <f>F132*pvar!F1073</f>
        <v>38802.333333333328</v>
      </c>
      <c r="G178" s="299">
        <f>G132*pvar!G1073</f>
        <v>182536.16666666669</v>
      </c>
      <c r="H178" s="299">
        <f>H132*pvar!H1073</f>
        <v>57761</v>
      </c>
      <c r="I178" s="299">
        <f>I132*pvar!I1073</f>
        <v>472963.66666666663</v>
      </c>
      <c r="J178" s="299">
        <f>J132*pvar!J1073</f>
        <v>952063.33333333326</v>
      </c>
      <c r="K178" s="299">
        <f>K132*pvar!K1073</f>
        <v>369979.16666666663</v>
      </c>
      <c r="L178" s="299">
        <f>L132*pvar!L1073</f>
        <v>527991</v>
      </c>
      <c r="M178" s="299">
        <f>M132*pvar!M1073</f>
        <v>610384.5</v>
      </c>
      <c r="N178" s="299">
        <f>N132*pvar!N1073</f>
        <v>520380</v>
      </c>
      <c r="O178" s="299">
        <f>O132*pvar!O1073</f>
        <v>539682.83333333326</v>
      </c>
      <c r="P178" s="299">
        <f>P132*pvar!P1073</f>
        <v>968671.83333333337</v>
      </c>
      <c r="Q178" s="299">
        <f>Q132*pvar!Q1073</f>
        <v>141147.66666666669</v>
      </c>
      <c r="R178" s="299">
        <f>R132*pvar!R1073</f>
        <v>991121.33333333337</v>
      </c>
      <c r="S178" s="299">
        <f>S132*pvar!S1073</f>
        <v>1017995.8333333334</v>
      </c>
      <c r="T178" s="299">
        <f>T132*pvar!T1073</f>
        <v>1979135.3333333333</v>
      </c>
      <c r="U178" s="299">
        <f>U132*pvar!U1073</f>
        <v>965712</v>
      </c>
      <c r="V178" s="299">
        <f>V132*pvar!V1073</f>
        <v>4229651</v>
      </c>
      <c r="W178" s="299">
        <f>W132*pvar!W1073</f>
        <v>298510.5</v>
      </c>
      <c r="X178" s="299">
        <f>X132*pvar!X1073</f>
        <v>135346</v>
      </c>
      <c r="Y178" s="299">
        <f>Y132*pvar!Y1073</f>
        <v>448763.83333333337</v>
      </c>
      <c r="Z178" s="299">
        <f>Z132*pvar!Z1073</f>
        <v>74084.333333333343</v>
      </c>
      <c r="AA178" s="299">
        <f>AA132*pvar!AA1073</f>
        <v>407690</v>
      </c>
      <c r="AB178" s="299">
        <f>AB132*pvar!AB1073</f>
        <v>253503.33333333334</v>
      </c>
      <c r="AC178" s="299">
        <f>AC132*pvar!AC1073</f>
        <v>297596</v>
      </c>
      <c r="AD178" s="299">
        <f>AD132*pvar!AD1073</f>
        <v>75923.166666666657</v>
      </c>
      <c r="AE178" s="299">
        <f>AE132*pvar!AE1073</f>
        <v>167235.5</v>
      </c>
      <c r="AF178" s="299">
        <f>AF132*pvar!AF1073</f>
        <v>68508.833333333343</v>
      </c>
      <c r="AG178" s="299">
        <f>AG132*pvar!AG1073</f>
        <v>258449.5</v>
      </c>
      <c r="AH178" s="299">
        <f>AH132*pvar!AH1073</f>
        <v>250769.66666666666</v>
      </c>
      <c r="AI178" s="299">
        <f>AI132*pvar!AI1073</f>
        <v>38556.5</v>
      </c>
      <c r="AJ178" s="299">
        <f>AJ132*pvar!AJ1073</f>
        <v>2310.833333333333</v>
      </c>
      <c r="AK178" s="299">
        <f>AK132*pvar!AK1073</f>
        <v>51339.833333333328</v>
      </c>
      <c r="AL178" s="299">
        <f>AL132*pvar!AL1073</f>
        <v>9194.1666666666679</v>
      </c>
      <c r="AM178" s="301"/>
      <c r="AN178" s="8"/>
      <c r="AO178" s="8"/>
      <c r="AP178" s="8"/>
      <c r="AQ178" s="8"/>
      <c r="AR178" s="8"/>
      <c r="AS178" s="8"/>
      <c r="AT178" s="8"/>
      <c r="AU178" s="8"/>
      <c r="AV178" s="8"/>
      <c r="AW178" s="8"/>
      <c r="AX178" s="8"/>
      <c r="AY178" s="8"/>
      <c r="AZ178" s="8"/>
      <c r="BA178" s="8"/>
      <c r="BB178" s="8"/>
      <c r="BC178" s="8"/>
    </row>
    <row r="179" spans="1:55" s="290" customFormat="1" x14ac:dyDescent="0.2">
      <c r="A179" s="295"/>
      <c r="B179" s="296" t="s">
        <v>476</v>
      </c>
      <c r="C179" s="297" t="s">
        <v>77</v>
      </c>
      <c r="D179" s="298"/>
      <c r="E179" s="284"/>
      <c r="F179" s="299">
        <f>F133*pvar!F1074</f>
        <v>6526.6666666666661</v>
      </c>
      <c r="G179" s="299">
        <f>G133*pvar!G1074</f>
        <v>386571.5</v>
      </c>
      <c r="H179" s="299">
        <f>H133*pvar!H1074</f>
        <v>14536.666666666668</v>
      </c>
      <c r="I179" s="299">
        <f>I133*pvar!I1074</f>
        <v>952656</v>
      </c>
      <c r="J179" s="299">
        <f>J133*pvar!J1074</f>
        <v>1498329.8333333335</v>
      </c>
      <c r="K179" s="299">
        <f>K133*pvar!K1074</f>
        <v>1557084.6666666665</v>
      </c>
      <c r="L179" s="299">
        <f>L133*pvar!L1074</f>
        <v>1447229</v>
      </c>
      <c r="M179" s="299">
        <f>M133*pvar!M1074</f>
        <v>941664.5</v>
      </c>
      <c r="N179" s="299">
        <f>N133*pvar!N1074</f>
        <v>1272774.1666666667</v>
      </c>
      <c r="O179" s="299">
        <f>O133*pvar!O1074</f>
        <v>483833.66666666663</v>
      </c>
      <c r="P179" s="299">
        <f>P133*pvar!P1074</f>
        <v>1486270.3333333335</v>
      </c>
      <c r="Q179" s="299">
        <f>Q133*pvar!Q1074</f>
        <v>60371.666666666672</v>
      </c>
      <c r="R179" s="299">
        <f>R133*pvar!R1074</f>
        <v>787219.83333333326</v>
      </c>
      <c r="S179" s="299">
        <f>S133*pvar!S1074</f>
        <v>122567.83333333334</v>
      </c>
      <c r="T179" s="299">
        <f>T133*pvar!T1074</f>
        <v>1445226.5</v>
      </c>
      <c r="U179" s="299">
        <f>U133*pvar!U1074</f>
        <v>62359.333333333328</v>
      </c>
      <c r="V179" s="299">
        <f>V133*pvar!V1074</f>
        <v>271479.66666666669</v>
      </c>
      <c r="W179" s="299">
        <f>W133*pvar!W1074</f>
        <v>221046.33333333331</v>
      </c>
      <c r="X179" s="299">
        <f>X133*pvar!X1074</f>
        <v>82132.166666666672</v>
      </c>
      <c r="Y179" s="299">
        <f>Y133*pvar!Y1074</f>
        <v>58873.5</v>
      </c>
      <c r="Z179" s="299">
        <f>Z133*pvar!Z1074</f>
        <v>9641.6666666666661</v>
      </c>
      <c r="AA179" s="299">
        <f>AA133*pvar!AA1074</f>
        <v>65622.666666666672</v>
      </c>
      <c r="AB179" s="299">
        <f>AB133*pvar!AB1074</f>
        <v>39516</v>
      </c>
      <c r="AC179" s="299">
        <f>AC133*pvar!AC1074</f>
        <v>86255.833333333328</v>
      </c>
      <c r="AD179" s="299">
        <f>AD133*pvar!AD1074</f>
        <v>6408</v>
      </c>
      <c r="AE179" s="299">
        <f>AE133*pvar!AE1074</f>
        <v>21330.333333333332</v>
      </c>
      <c r="AF179" s="299">
        <f>AF133*pvar!AF1074</f>
        <v>14225.166666666668</v>
      </c>
      <c r="AG179" s="299">
        <f>AG133*pvar!AG1074</f>
        <v>96743</v>
      </c>
      <c r="AH179" s="299">
        <f>AH133*pvar!AH1074</f>
        <v>53118.166666666672</v>
      </c>
      <c r="AI179" s="299">
        <f>AI133*pvar!AI1074</f>
        <v>2314</v>
      </c>
      <c r="AJ179" s="299">
        <f>AJ133*pvar!AJ1074</f>
        <v>3129.833333333333</v>
      </c>
      <c r="AK179" s="299">
        <f>AK133*pvar!AK1074</f>
        <v>1987.6666666666665</v>
      </c>
      <c r="AL179" s="299">
        <f>AL133*pvar!AL1074</f>
        <v>845.5</v>
      </c>
      <c r="AM179" s="301"/>
      <c r="AN179" s="8"/>
      <c r="AO179" s="8"/>
      <c r="AP179" s="8"/>
      <c r="AQ179" s="8"/>
      <c r="AR179" s="8"/>
      <c r="AS179" s="8"/>
      <c r="AT179" s="8"/>
      <c r="AU179" s="8"/>
      <c r="AV179" s="8"/>
      <c r="AW179" s="8"/>
      <c r="AX179" s="8"/>
      <c r="AY179" s="8"/>
      <c r="AZ179" s="8"/>
      <c r="BA179" s="8"/>
      <c r="BB179" s="8"/>
      <c r="BC179" s="8"/>
    </row>
    <row r="180" spans="1:55" s="290" customFormat="1" x14ac:dyDescent="0.2">
      <c r="A180" s="295"/>
      <c r="B180" s="296" t="s">
        <v>477</v>
      </c>
      <c r="C180" s="297" t="s">
        <v>77</v>
      </c>
      <c r="D180" s="298"/>
      <c r="E180" s="284"/>
      <c r="F180" s="299">
        <f>F134*pvar!F1075</f>
        <v>45390</v>
      </c>
      <c r="G180" s="299">
        <f>G134*pvar!G1075</f>
        <v>382774.16666666663</v>
      </c>
      <c r="H180" s="299">
        <f>H134*pvar!H1075</f>
        <v>65771</v>
      </c>
      <c r="I180" s="299">
        <f>I134*pvar!I1075</f>
        <v>682155.33333333337</v>
      </c>
      <c r="J180" s="299">
        <f>J134*pvar!J1075</f>
        <v>1488955.1666666665</v>
      </c>
      <c r="K180" s="299">
        <f>K134*pvar!K1075</f>
        <v>904403.16666666674</v>
      </c>
      <c r="L180" s="299">
        <f>L134*pvar!L1075</f>
        <v>777533.66666666674</v>
      </c>
      <c r="M180" s="299">
        <f>M134*pvar!M1075</f>
        <v>808505.66666666674</v>
      </c>
      <c r="N180" s="299">
        <f>N134*pvar!N1075</f>
        <v>914178.33333333326</v>
      </c>
      <c r="O180" s="299">
        <f>O134*pvar!O1075</f>
        <v>610451</v>
      </c>
      <c r="P180" s="299">
        <f>P134*pvar!P1075</f>
        <v>1132495.3333333333</v>
      </c>
      <c r="Q180" s="299">
        <f>Q134*pvar!Q1075</f>
        <v>114083.16666666666</v>
      </c>
      <c r="R180" s="299">
        <f>R134*pvar!R1075</f>
        <v>875092.5</v>
      </c>
      <c r="S180" s="299">
        <f>S134*pvar!S1075</f>
        <v>846998.16666666674</v>
      </c>
      <c r="T180" s="299">
        <f>T134*pvar!T1075</f>
        <v>2613737.1666666665</v>
      </c>
      <c r="U180" s="299">
        <f>U134*pvar!U1075</f>
        <v>1136174</v>
      </c>
      <c r="V180" s="299">
        <f>V134*pvar!V1075</f>
        <v>5324217.333333333</v>
      </c>
      <c r="W180" s="299">
        <f>W134*pvar!W1075</f>
        <v>179068</v>
      </c>
      <c r="X180" s="299">
        <f>X134*pvar!X1075</f>
        <v>72564.666666666672</v>
      </c>
      <c r="Y180" s="299">
        <f>Y134*pvar!Y1075</f>
        <v>262698.33333333331</v>
      </c>
      <c r="Z180" s="299">
        <f>Z134*pvar!Z1075</f>
        <v>52940.166666666672</v>
      </c>
      <c r="AA180" s="299">
        <f>AA134*pvar!AA1075</f>
        <v>288953.33333333331</v>
      </c>
      <c r="AB180" s="299">
        <f>AB134*pvar!AB1075</f>
        <v>846271.33333333326</v>
      </c>
      <c r="AC180" s="299">
        <f>AC134*pvar!AC1075</f>
        <v>1082492.1666666667</v>
      </c>
      <c r="AD180" s="299">
        <f>AD134*pvar!AD1075</f>
        <v>125608.66666666666</v>
      </c>
      <c r="AE180" s="299">
        <f>AE134*pvar!AE1075</f>
        <v>530870.16666666663</v>
      </c>
      <c r="AF180" s="299">
        <f>AF134*pvar!AF1075</f>
        <v>142058.83333333334</v>
      </c>
      <c r="AG180" s="299">
        <f>AG134*pvar!AG1075</f>
        <v>633709.66666666663</v>
      </c>
      <c r="AH180" s="299">
        <f>AH134*pvar!AH1075</f>
        <v>1184827.3333333333</v>
      </c>
      <c r="AI180" s="299">
        <f>AI134*pvar!AI1075</f>
        <v>333705.5</v>
      </c>
      <c r="AJ180" s="299">
        <f>AJ134*pvar!AJ1075</f>
        <v>7149.6666666666661</v>
      </c>
      <c r="AK180" s="299">
        <f>AK134*pvar!AK1075</f>
        <v>423714.16666666663</v>
      </c>
      <c r="AL180" s="299">
        <f>AL134*pvar!AL1075</f>
        <v>37750.833333333336</v>
      </c>
      <c r="AM180" s="301"/>
      <c r="AN180" s="8"/>
      <c r="AO180" s="8"/>
      <c r="AP180" s="8"/>
      <c r="AQ180" s="8"/>
      <c r="AR180" s="8"/>
      <c r="AS180" s="8"/>
      <c r="AT180" s="8"/>
      <c r="AU180" s="8"/>
      <c r="AV180" s="8"/>
      <c r="AW180" s="8"/>
      <c r="AX180" s="8"/>
      <c r="AY180" s="8"/>
      <c r="AZ180" s="8"/>
      <c r="BA180" s="8"/>
      <c r="BB180" s="8"/>
      <c r="BC180" s="8"/>
    </row>
    <row r="181" spans="1:55" s="290" customFormat="1" x14ac:dyDescent="0.2">
      <c r="A181" s="295"/>
      <c r="B181" s="296" t="s">
        <v>478</v>
      </c>
      <c r="C181" s="297" t="s">
        <v>77</v>
      </c>
      <c r="D181" s="298"/>
      <c r="E181" s="284"/>
      <c r="F181" s="299">
        <f>F135*pvar!F1076</f>
        <v>114996.50000000001</v>
      </c>
      <c r="G181" s="299">
        <f>G135*pvar!G1076</f>
        <v>619871</v>
      </c>
      <c r="H181" s="299">
        <f>H135*pvar!H1076</f>
        <v>129208.5</v>
      </c>
      <c r="I181" s="299">
        <f>I135*pvar!I1076</f>
        <v>2304503</v>
      </c>
      <c r="J181" s="299">
        <f>J135*pvar!J1076</f>
        <v>3358324.5</v>
      </c>
      <c r="K181" s="299">
        <f>K135*pvar!K1076</f>
        <v>1791120</v>
      </c>
      <c r="L181" s="299">
        <f>L135*pvar!L1076</f>
        <v>3753166.5</v>
      </c>
      <c r="M181" s="299">
        <f>M135*pvar!M1076</f>
        <v>3261025</v>
      </c>
      <c r="N181" s="299">
        <f>N135*pvar!N1076</f>
        <v>1291328.5</v>
      </c>
      <c r="O181" s="299">
        <f>O135*pvar!O1076</f>
        <v>1017441.4999999999</v>
      </c>
      <c r="P181" s="299">
        <f>P135*pvar!P1076</f>
        <v>4123647.4999999995</v>
      </c>
      <c r="Q181" s="299">
        <f>Q135*pvar!Q1076</f>
        <v>792081</v>
      </c>
      <c r="R181" s="299">
        <f>R135*pvar!R1076</f>
        <v>9295532</v>
      </c>
      <c r="S181" s="299">
        <f>S135*pvar!S1076</f>
        <v>1971362.4999999998</v>
      </c>
      <c r="T181" s="299">
        <f>T135*pvar!T1076</f>
        <v>8150080.5</v>
      </c>
      <c r="U181" s="299">
        <f>U135*pvar!U1076</f>
        <v>1165256.5</v>
      </c>
      <c r="V181" s="299">
        <f>V135*pvar!V1076</f>
        <v>3234080</v>
      </c>
      <c r="W181" s="299">
        <f>W135*pvar!W1076</f>
        <v>2959989</v>
      </c>
      <c r="X181" s="299">
        <f>X135*pvar!X1076</f>
        <v>1047701.5000000001</v>
      </c>
      <c r="Y181" s="299">
        <f>Y135*pvar!Y1076</f>
        <v>1116619.5</v>
      </c>
      <c r="Z181" s="299">
        <f>Z135*pvar!Z1076</f>
        <v>157496.5</v>
      </c>
      <c r="AA181" s="299">
        <f>AA135*pvar!AA1076</f>
        <v>762458.5</v>
      </c>
      <c r="AB181" s="299">
        <f>AB135*pvar!AB1076</f>
        <v>881314.00000000012</v>
      </c>
      <c r="AC181" s="299">
        <f>AC135*pvar!AC1076</f>
        <v>1037458.9999999999</v>
      </c>
      <c r="AD181" s="299">
        <f>AD135*pvar!AD1076</f>
        <v>103921</v>
      </c>
      <c r="AE181" s="299">
        <f>AE135*pvar!AE1076</f>
        <v>601919</v>
      </c>
      <c r="AF181" s="299">
        <f>AF135*pvar!AF1076</f>
        <v>132974</v>
      </c>
      <c r="AG181" s="299">
        <f>AG135*pvar!AG1076</f>
        <v>557277</v>
      </c>
      <c r="AH181" s="299">
        <f>AH135*pvar!AH1076</f>
        <v>989170.5</v>
      </c>
      <c r="AI181" s="299">
        <f>AI135*pvar!AI1076</f>
        <v>2660.5</v>
      </c>
      <c r="AJ181" s="299">
        <f>AJ135*pvar!AJ1076</f>
        <v>4182</v>
      </c>
      <c r="AK181" s="299">
        <f>AK135*pvar!AK1076</f>
        <v>3876</v>
      </c>
      <c r="AL181" s="299">
        <f>AL135*pvar!AL1076</f>
        <v>7658.4999999999991</v>
      </c>
      <c r="AM181" s="301"/>
      <c r="AN181" s="8"/>
      <c r="AO181" s="8"/>
      <c r="AP181" s="8"/>
      <c r="AQ181" s="8"/>
      <c r="AR181" s="8"/>
      <c r="AS181" s="8"/>
      <c r="AT181" s="8"/>
      <c r="AU181" s="8"/>
      <c r="AV181" s="8"/>
      <c r="AW181" s="8"/>
      <c r="AX181" s="8"/>
      <c r="AY181" s="8"/>
      <c r="AZ181" s="8"/>
      <c r="BA181" s="8"/>
      <c r="BB181" s="8"/>
      <c r="BC181" s="8"/>
    </row>
    <row r="182" spans="1:55" s="290" customFormat="1" x14ac:dyDescent="0.2">
      <c r="A182" s="295"/>
      <c r="B182" s="296" t="s">
        <v>479</v>
      </c>
      <c r="C182" s="297" t="s">
        <v>77</v>
      </c>
      <c r="D182" s="298"/>
      <c r="E182" s="284"/>
      <c r="F182" s="299">
        <f>F136*pvar!F1077</f>
        <v>81761.5</v>
      </c>
      <c r="G182" s="299">
        <f>G136*pvar!G1077</f>
        <v>388645.5</v>
      </c>
      <c r="H182" s="299">
        <f>H136*pvar!H1077</f>
        <v>123708.99999999999</v>
      </c>
      <c r="I182" s="299">
        <f>I136*pvar!I1077</f>
        <v>1102008</v>
      </c>
      <c r="J182" s="299">
        <f>J136*pvar!J1077</f>
        <v>1566966.5</v>
      </c>
      <c r="K182" s="299">
        <f>K136*pvar!K1077</f>
        <v>946245.49999999988</v>
      </c>
      <c r="L182" s="299">
        <f>L136*pvar!L1077</f>
        <v>813237.5</v>
      </c>
      <c r="M182" s="299">
        <f>M136*pvar!M1077</f>
        <v>1273308.5</v>
      </c>
      <c r="N182" s="299">
        <f>N136*pvar!N1077</f>
        <v>1498983.5</v>
      </c>
      <c r="O182" s="299">
        <f>O136*pvar!O1077</f>
        <v>1529065</v>
      </c>
      <c r="P182" s="299">
        <f>P136*pvar!P1077</f>
        <v>2725414.5</v>
      </c>
      <c r="Q182" s="299">
        <f>Q136*pvar!Q1077</f>
        <v>269314</v>
      </c>
      <c r="R182" s="299">
        <f>R136*pvar!R1077</f>
        <v>1418242</v>
      </c>
      <c r="S182" s="299">
        <f>S136*pvar!S1077</f>
        <v>3224993.5</v>
      </c>
      <c r="T182" s="299">
        <f>T136*pvar!T1077</f>
        <v>6552038</v>
      </c>
      <c r="U182" s="299">
        <f>U136*pvar!U1077</f>
        <v>2839748</v>
      </c>
      <c r="V182" s="299">
        <f>V136*pvar!V1077</f>
        <v>12434845.5</v>
      </c>
      <c r="W182" s="299">
        <f>W136*pvar!W1077</f>
        <v>238076.50000000003</v>
      </c>
      <c r="X182" s="299">
        <f>X136*pvar!X1077</f>
        <v>98659.5</v>
      </c>
      <c r="Y182" s="299">
        <f>Y136*pvar!Y1077</f>
        <v>598051.5</v>
      </c>
      <c r="Z182" s="299">
        <f>Z136*pvar!Z1077</f>
        <v>120972</v>
      </c>
      <c r="AA182" s="299">
        <f>AA136*pvar!AA1077</f>
        <v>589900</v>
      </c>
      <c r="AB182" s="299">
        <f>AB136*pvar!AB1077</f>
        <v>1846641.9999999998</v>
      </c>
      <c r="AC182" s="299">
        <f>AC136*pvar!AC1077</f>
        <v>2069928.5000000002</v>
      </c>
      <c r="AD182" s="299">
        <f>AD136*pvar!AD1077</f>
        <v>162902.5</v>
      </c>
      <c r="AE182" s="299">
        <f>AE136*pvar!AE1077</f>
        <v>1451171</v>
      </c>
      <c r="AF182" s="299">
        <f>AF136*pvar!AF1077</f>
        <v>181806.5</v>
      </c>
      <c r="AG182" s="299">
        <f>AG136*pvar!AG1077</f>
        <v>1028729.5000000001</v>
      </c>
      <c r="AH182" s="299">
        <f>AH136*pvar!AH1077</f>
        <v>2693097.5</v>
      </c>
      <c r="AI182" s="299">
        <f>AI136*pvar!AI1077</f>
        <v>62704.5</v>
      </c>
      <c r="AJ182" s="299">
        <f>AJ136*pvar!AJ1077</f>
        <v>6885</v>
      </c>
      <c r="AK182" s="299">
        <f>AK136*pvar!AK1077</f>
        <v>81906</v>
      </c>
      <c r="AL182" s="299">
        <f>AL136*pvar!AL1077</f>
        <v>53813.500000000007</v>
      </c>
      <c r="AM182" s="301"/>
      <c r="AN182" s="8"/>
      <c r="AO182" s="8"/>
      <c r="AP182" s="8"/>
      <c r="AQ182" s="8"/>
      <c r="AR182" s="8"/>
      <c r="AS182" s="8"/>
      <c r="AT182" s="8"/>
      <c r="AU182" s="8"/>
      <c r="AV182" s="8"/>
      <c r="AW182" s="8"/>
      <c r="AX182" s="8"/>
      <c r="AY182" s="8"/>
      <c r="AZ182" s="8"/>
      <c r="BA182" s="8"/>
      <c r="BB182" s="8"/>
      <c r="BC182" s="8"/>
    </row>
    <row r="183" spans="1:55" s="290" customFormat="1" x14ac:dyDescent="0.2">
      <c r="A183" s="295"/>
      <c r="B183" s="296" t="s">
        <v>480</v>
      </c>
      <c r="C183" s="297" t="s">
        <v>77</v>
      </c>
      <c r="D183" s="298"/>
      <c r="E183" s="284"/>
      <c r="F183" s="299">
        <f>F137*pvar!F1078</f>
        <v>35683</v>
      </c>
      <c r="G183" s="299">
        <f>G137*pvar!G1078</f>
        <v>145537</v>
      </c>
      <c r="H183" s="299">
        <f>H137*pvar!H1078</f>
        <v>43630.5</v>
      </c>
      <c r="I183" s="299">
        <f>I137*pvar!I1078</f>
        <v>451171.5</v>
      </c>
      <c r="J183" s="299">
        <f>J137*pvar!J1078</f>
        <v>760461</v>
      </c>
      <c r="K183" s="299">
        <f>K137*pvar!K1078</f>
        <v>263262</v>
      </c>
      <c r="L183" s="299">
        <f>L137*pvar!L1078</f>
        <v>462603.99999999994</v>
      </c>
      <c r="M183" s="299">
        <f>M137*pvar!M1078</f>
        <v>592875</v>
      </c>
      <c r="N183" s="299">
        <f>N137*pvar!N1078</f>
        <v>484406.49999999994</v>
      </c>
      <c r="O183" s="299">
        <f>O137*pvar!O1078</f>
        <v>532176.5</v>
      </c>
      <c r="P183" s="299">
        <f>P137*pvar!P1078</f>
        <v>919946.50000000012</v>
      </c>
      <c r="Q183" s="299">
        <f>Q137*pvar!Q1078</f>
        <v>159502.5</v>
      </c>
      <c r="R183" s="299">
        <f>R137*pvar!R1078</f>
        <v>1077409</v>
      </c>
      <c r="S183" s="299">
        <f>S137*pvar!S1078</f>
        <v>832983</v>
      </c>
      <c r="T183" s="299">
        <f>T137*pvar!T1078</f>
        <v>1696209</v>
      </c>
      <c r="U183" s="299">
        <f>U137*pvar!U1078</f>
        <v>912696</v>
      </c>
      <c r="V183" s="299">
        <f>V137*pvar!V1078</f>
        <v>4920080.5</v>
      </c>
      <c r="W183" s="299">
        <f>W137*pvar!W1078</f>
        <v>284027.5</v>
      </c>
      <c r="X183" s="299">
        <f>X137*pvar!X1078</f>
        <v>93032.5</v>
      </c>
      <c r="Y183" s="299">
        <f>Y137*pvar!Y1078</f>
        <v>390090.5</v>
      </c>
      <c r="Z183" s="299">
        <f>Z137*pvar!Z1078</f>
        <v>59500.000000000007</v>
      </c>
      <c r="AA183" s="299">
        <f>AA137*pvar!AA1078</f>
        <v>355113</v>
      </c>
      <c r="AB183" s="299">
        <f>AB137*pvar!AB1078</f>
        <v>326264</v>
      </c>
      <c r="AC183" s="299">
        <f>AC137*pvar!AC1078</f>
        <v>185172.5</v>
      </c>
      <c r="AD183" s="299">
        <f>AD137*pvar!AD1078</f>
        <v>46129.5</v>
      </c>
      <c r="AE183" s="299">
        <f>AE137*pvar!AE1078</f>
        <v>126395.00000000001</v>
      </c>
      <c r="AF183" s="299">
        <f>AF137*pvar!AF1078</f>
        <v>29682</v>
      </c>
      <c r="AG183" s="299">
        <f>AG137*pvar!AG1078</f>
        <v>215483.50000000003</v>
      </c>
      <c r="AH183" s="299">
        <f>AH137*pvar!AH1078</f>
        <v>318044.5</v>
      </c>
      <c r="AI183" s="299">
        <f>AI137*pvar!AI1078</f>
        <v>23774.5</v>
      </c>
      <c r="AJ183" s="299">
        <f>AJ137*pvar!AJ1078</f>
        <v>2040</v>
      </c>
      <c r="AK183" s="299">
        <f>AK137*pvar!AK1078</f>
        <v>32878</v>
      </c>
      <c r="AL183" s="299">
        <f>AL137*pvar!AL1078</f>
        <v>6358</v>
      </c>
      <c r="AM183" s="301"/>
      <c r="AN183" s="8"/>
      <c r="AO183" s="8"/>
      <c r="AP183" s="8"/>
      <c r="AQ183" s="8"/>
      <c r="AR183" s="8"/>
      <c r="AS183" s="8"/>
      <c r="AT183" s="8"/>
      <c r="AU183" s="8"/>
      <c r="AV183" s="8"/>
      <c r="AW183" s="8"/>
      <c r="AX183" s="8"/>
      <c r="AY183" s="8"/>
      <c r="AZ183" s="8"/>
      <c r="BA183" s="8"/>
      <c r="BB183" s="8"/>
      <c r="BC183" s="8"/>
    </row>
    <row r="184" spans="1:55" s="290" customFormat="1" x14ac:dyDescent="0.2">
      <c r="A184" s="295"/>
      <c r="B184" s="296" t="s">
        <v>481</v>
      </c>
      <c r="C184" s="297" t="s">
        <v>77</v>
      </c>
      <c r="D184" s="298"/>
      <c r="E184" s="284"/>
      <c r="F184" s="299">
        <f>F138*pvar!F1079</f>
        <v>10092</v>
      </c>
      <c r="G184" s="299">
        <f>G138*pvar!G1079</f>
        <v>403620</v>
      </c>
      <c r="H184" s="299">
        <f>H138*pvar!H1079</f>
        <v>29136</v>
      </c>
      <c r="I184" s="299">
        <f>I138*pvar!I1079</f>
        <v>1376748</v>
      </c>
      <c r="J184" s="299">
        <f>J138*pvar!J1079</f>
        <v>2297304</v>
      </c>
      <c r="K184" s="299">
        <f>K138*pvar!K1079</f>
        <v>1748880</v>
      </c>
      <c r="L184" s="299">
        <f>L138*pvar!L1079</f>
        <v>2652288</v>
      </c>
      <c r="M184" s="299">
        <f>M138*pvar!M1079</f>
        <v>1587264</v>
      </c>
      <c r="N184" s="299">
        <f>N138*pvar!N1079</f>
        <v>1319052</v>
      </c>
      <c r="O184" s="299">
        <f>O138*pvar!O1079</f>
        <v>801408</v>
      </c>
      <c r="P184" s="299">
        <f>P138*pvar!P1079</f>
        <v>4010796</v>
      </c>
      <c r="Q184" s="299">
        <f>Q138*pvar!Q1079</f>
        <v>359124</v>
      </c>
      <c r="R184" s="299">
        <f>R138*pvar!R1079</f>
        <v>2379444</v>
      </c>
      <c r="S184" s="299">
        <f>S138*pvar!S1079</f>
        <v>664560</v>
      </c>
      <c r="T184" s="299">
        <f>T138*pvar!T1079</f>
        <v>3598404</v>
      </c>
      <c r="U184" s="299">
        <f>U138*pvar!U1079</f>
        <v>91056</v>
      </c>
      <c r="V184" s="299">
        <f>V138*pvar!V1079</f>
        <v>481152</v>
      </c>
      <c r="W184" s="299">
        <f>W138*pvar!W1079</f>
        <v>582780</v>
      </c>
      <c r="X184" s="299">
        <f>X138*pvar!X1079</f>
        <v>70824</v>
      </c>
      <c r="Y184" s="299">
        <f>Y138*pvar!Y1079</f>
        <v>233208</v>
      </c>
      <c r="Z184" s="299">
        <f>Z138*pvar!Z1079</f>
        <v>15000</v>
      </c>
      <c r="AA184" s="299">
        <f>AA138*pvar!AA1079</f>
        <v>106488</v>
      </c>
      <c r="AB184" s="299">
        <f>AB138*pvar!AB1079</f>
        <v>44820</v>
      </c>
      <c r="AC184" s="299">
        <f>AC138*pvar!AC1079</f>
        <v>49536</v>
      </c>
      <c r="AD184" s="299">
        <f>AD138*pvar!AD1079</f>
        <v>4044</v>
      </c>
      <c r="AE184" s="299">
        <f>AE138*pvar!AE1079</f>
        <v>9816</v>
      </c>
      <c r="AF184" s="299">
        <f>AF138*pvar!AF1079</f>
        <v>2052</v>
      </c>
      <c r="AG184" s="299">
        <f>AG138*pvar!AG1079</f>
        <v>16188</v>
      </c>
      <c r="AH184" s="299">
        <f>AH138*pvar!AH1079</f>
        <v>40992</v>
      </c>
      <c r="AI184" s="299">
        <f>AI138*pvar!AI1079</f>
        <v>2028</v>
      </c>
      <c r="AJ184" s="299">
        <f>AJ138*pvar!AJ1079</f>
        <v>1716</v>
      </c>
      <c r="AK184" s="299">
        <f>AK138*pvar!AK1079</f>
        <v>540</v>
      </c>
      <c r="AL184" s="299">
        <f>AL138*pvar!AL1079</f>
        <v>276</v>
      </c>
      <c r="AM184" s="301"/>
      <c r="AN184" s="8"/>
      <c r="AO184" s="8"/>
      <c r="AP184" s="8"/>
      <c r="AQ184" s="8"/>
      <c r="AR184" s="8"/>
      <c r="AS184" s="8"/>
      <c r="AT184" s="8"/>
      <c r="AU184" s="8"/>
      <c r="AV184" s="8"/>
      <c r="AW184" s="8"/>
      <c r="AX184" s="8"/>
      <c r="AY184" s="8"/>
      <c r="AZ184" s="8"/>
      <c r="BA184" s="8"/>
      <c r="BB184" s="8"/>
      <c r="BC184" s="8"/>
    </row>
    <row r="185" spans="1:55" s="290" customFormat="1" x14ac:dyDescent="0.2">
      <c r="A185" s="295"/>
      <c r="B185" s="296" t="s">
        <v>482</v>
      </c>
      <c r="C185" s="297" t="s">
        <v>77</v>
      </c>
      <c r="D185" s="298"/>
      <c r="E185" s="284"/>
      <c r="F185" s="299">
        <f>F139*pvar!F1080</f>
        <v>59412</v>
      </c>
      <c r="G185" s="299">
        <f>G139*pvar!G1080</f>
        <v>413952</v>
      </c>
      <c r="H185" s="299">
        <f>H139*pvar!H1080</f>
        <v>108492</v>
      </c>
      <c r="I185" s="299">
        <f>I139*pvar!I1080</f>
        <v>1479732</v>
      </c>
      <c r="J185" s="299">
        <f>J139*pvar!J1080</f>
        <v>2902956</v>
      </c>
      <c r="K185" s="299">
        <f>K139*pvar!K1080</f>
        <v>1252440</v>
      </c>
      <c r="L185" s="299">
        <f>L139*pvar!L1080</f>
        <v>1643508</v>
      </c>
      <c r="M185" s="299">
        <f>M139*pvar!M1080</f>
        <v>1861068</v>
      </c>
      <c r="N185" s="299">
        <f>N139*pvar!N1080</f>
        <v>1755144</v>
      </c>
      <c r="O185" s="299">
        <f>O139*pvar!O1080</f>
        <v>1013232</v>
      </c>
      <c r="P185" s="299">
        <f>P139*pvar!P1080</f>
        <v>3853740</v>
      </c>
      <c r="Q185" s="299">
        <f>Q139*pvar!Q1080</f>
        <v>529656</v>
      </c>
      <c r="R185" s="299">
        <f>R139*pvar!R1080</f>
        <v>2327352</v>
      </c>
      <c r="S185" s="299">
        <f>S139*pvar!S1080</f>
        <v>2499936</v>
      </c>
      <c r="T185" s="299">
        <f>T139*pvar!T1080</f>
        <v>6418056</v>
      </c>
      <c r="U185" s="299">
        <f>U139*pvar!U1080</f>
        <v>1128816</v>
      </c>
      <c r="V185" s="299">
        <f>V139*pvar!V1080</f>
        <v>5516184</v>
      </c>
      <c r="W185" s="299">
        <f>W139*pvar!W1080</f>
        <v>375360</v>
      </c>
      <c r="X185" s="299">
        <f>X139*pvar!X1080</f>
        <v>62676</v>
      </c>
      <c r="Y185" s="299">
        <f>Y139*pvar!Y1080</f>
        <v>463668</v>
      </c>
      <c r="Z185" s="299">
        <f>Z139*pvar!Z1080</f>
        <v>47604</v>
      </c>
      <c r="AA185" s="299">
        <f>AA139*pvar!AA1080</f>
        <v>420912</v>
      </c>
      <c r="AB185" s="299">
        <f>AB139*pvar!AB1080</f>
        <v>482880</v>
      </c>
      <c r="AC185" s="299">
        <f>AC139*pvar!AC1080</f>
        <v>400884</v>
      </c>
      <c r="AD185" s="299">
        <f>AD139*pvar!AD1080</f>
        <v>44064</v>
      </c>
      <c r="AE185" s="299">
        <f>AE139*pvar!AE1080</f>
        <v>207924</v>
      </c>
      <c r="AF185" s="299">
        <f>AF139*pvar!AF1080</f>
        <v>69840</v>
      </c>
      <c r="AG185" s="299">
        <f>AG139*pvar!AG1080</f>
        <v>337536</v>
      </c>
      <c r="AH185" s="299">
        <f>AH139*pvar!AH1080</f>
        <v>513276</v>
      </c>
      <c r="AI185" s="299">
        <f>AI139*pvar!AI1080</f>
        <v>115872</v>
      </c>
      <c r="AJ185" s="299">
        <f>AJ139*pvar!AJ1080</f>
        <v>4608</v>
      </c>
      <c r="AK185" s="299">
        <f>AK139*pvar!AK1080</f>
        <v>108624</v>
      </c>
      <c r="AL185" s="299">
        <f>AL139*pvar!AL1080</f>
        <v>10068</v>
      </c>
      <c r="AM185" s="301"/>
      <c r="AN185" s="8"/>
      <c r="AO185" s="8"/>
      <c r="AP185" s="8"/>
      <c r="AQ185" s="8"/>
      <c r="AR185" s="8"/>
      <c r="AS185" s="8"/>
      <c r="AT185" s="8"/>
      <c r="AU185" s="8"/>
      <c r="AV185" s="8"/>
      <c r="AW185" s="8"/>
      <c r="AX185" s="8"/>
      <c r="AY185" s="8"/>
      <c r="AZ185" s="8"/>
      <c r="BA185" s="8"/>
      <c r="BB185" s="8"/>
      <c r="BC185" s="8"/>
    </row>
    <row r="186" spans="1:55" s="290" customFormat="1" x14ac:dyDescent="0.2">
      <c r="A186" s="295"/>
      <c r="B186" s="296" t="s">
        <v>483</v>
      </c>
      <c r="C186" s="297" t="s">
        <v>77</v>
      </c>
      <c r="D186" s="298"/>
      <c r="E186" s="284"/>
      <c r="F186" s="299">
        <f>F140*pvar!F1081</f>
        <v>1643</v>
      </c>
      <c r="G186" s="299">
        <f>G140*pvar!G1081</f>
        <v>6369</v>
      </c>
      <c r="H186" s="299">
        <f>H140*pvar!H1081</f>
        <v>5386</v>
      </c>
      <c r="I186" s="299">
        <f>I140*pvar!I1081</f>
        <v>30685</v>
      </c>
      <c r="J186" s="299">
        <f>J140*pvar!J1081</f>
        <v>95072</v>
      </c>
      <c r="K186" s="299">
        <f>K140*pvar!K1081</f>
        <v>34294</v>
      </c>
      <c r="L186" s="299">
        <f>L140*pvar!L1081</f>
        <v>185216</v>
      </c>
      <c r="M186" s="299">
        <f>M140*pvar!M1081</f>
        <v>98368</v>
      </c>
      <c r="N186" s="299">
        <f>N140*pvar!N1081</f>
        <v>42290</v>
      </c>
      <c r="O186" s="299">
        <f>O140*pvar!O1081</f>
        <v>18034</v>
      </c>
      <c r="P186" s="299">
        <f>P140*pvar!P1081</f>
        <v>68580</v>
      </c>
      <c r="Q186" s="299">
        <f>Q140*pvar!Q1081</f>
        <v>29249</v>
      </c>
      <c r="R186" s="299">
        <f>R140*pvar!R1081</f>
        <v>885284</v>
      </c>
      <c r="S186" s="299">
        <f>S140*pvar!S1081</f>
        <v>194283</v>
      </c>
      <c r="T186" s="299">
        <f>T140*pvar!T1081</f>
        <v>590507</v>
      </c>
      <c r="U186" s="299">
        <f>U140*pvar!U1081</f>
        <v>49181</v>
      </c>
      <c r="V186" s="299">
        <f>V140*pvar!V1081</f>
        <v>278871</v>
      </c>
      <c r="W186" s="299">
        <f>W140*pvar!W1081</f>
        <v>53190</v>
      </c>
      <c r="X186" s="299">
        <f>X140*pvar!X1081</f>
        <v>38692</v>
      </c>
      <c r="Y186" s="299">
        <f>Y140*pvar!Y1081</f>
        <v>79429</v>
      </c>
      <c r="Z186" s="299">
        <f>Z140*pvar!Z1081</f>
        <v>5052</v>
      </c>
      <c r="AA186" s="299">
        <f>AA140*pvar!AA1081</f>
        <v>108612</v>
      </c>
      <c r="AB186" s="299">
        <f>AB140*pvar!AB1081</f>
        <v>127365</v>
      </c>
      <c r="AC186" s="299">
        <f>AC140*pvar!AC1081</f>
        <v>237837</v>
      </c>
      <c r="AD186" s="299">
        <f>AD140*pvar!AD1081</f>
        <v>13362</v>
      </c>
      <c r="AE186" s="299">
        <f>AE140*pvar!AE1081</f>
        <v>250300</v>
      </c>
      <c r="AF186" s="299">
        <f>AF140*pvar!AF1081</f>
        <v>31312</v>
      </c>
      <c r="AG186" s="299">
        <f>AG140*pvar!AG1081</f>
        <v>351175</v>
      </c>
      <c r="AH186" s="299">
        <f>AH140*pvar!AH1081</f>
        <v>196621</v>
      </c>
      <c r="AI186" s="299">
        <f>AI140*pvar!AI1081</f>
        <v>439</v>
      </c>
      <c r="AJ186" s="299">
        <f>AJ140*pvar!AJ1081</f>
        <v>446</v>
      </c>
      <c r="AK186" s="299">
        <f>AK140*pvar!AK1081</f>
        <v>897</v>
      </c>
      <c r="AL186" s="299">
        <f>AL140*pvar!AL1081</f>
        <v>2795</v>
      </c>
      <c r="AM186" s="301"/>
      <c r="AN186" s="8"/>
      <c r="AO186" s="8"/>
      <c r="AP186" s="8"/>
      <c r="AQ186" s="8"/>
      <c r="AR186" s="8"/>
      <c r="AS186" s="8"/>
      <c r="AT186" s="8"/>
      <c r="AU186" s="8"/>
      <c r="AV186" s="8"/>
      <c r="AW186" s="8"/>
      <c r="AX186" s="8"/>
      <c r="AY186" s="8"/>
      <c r="AZ186" s="8"/>
      <c r="BA186" s="8"/>
      <c r="BB186" s="8"/>
      <c r="BC186" s="8"/>
    </row>
    <row r="187" spans="1:55" s="290" customFormat="1" x14ac:dyDescent="0.2">
      <c r="A187" s="295"/>
      <c r="B187" s="296" t="s">
        <v>484</v>
      </c>
      <c r="C187" s="297" t="s">
        <v>77</v>
      </c>
      <c r="D187" s="298"/>
      <c r="E187" s="284"/>
      <c r="F187" s="299">
        <f>F141*pvar!F1082</f>
        <v>100440</v>
      </c>
      <c r="G187" s="299">
        <f>G141*pvar!G1082</f>
        <v>484866.66666666663</v>
      </c>
      <c r="H187" s="299">
        <f>H141*pvar!H1082</f>
        <v>129223.33333333334</v>
      </c>
      <c r="I187" s="299">
        <f>I141*pvar!I1082</f>
        <v>1620473.3333333335</v>
      </c>
      <c r="J187" s="299">
        <f>J141*pvar!J1082</f>
        <v>2397496.6666666665</v>
      </c>
      <c r="K187" s="299">
        <f>K141*pvar!K1082</f>
        <v>1233256.6666666667</v>
      </c>
      <c r="L187" s="299">
        <f>L141*pvar!L1082</f>
        <v>2067500</v>
      </c>
      <c r="M187" s="299">
        <f>M141*pvar!M1082</f>
        <v>2086386.6666666665</v>
      </c>
      <c r="N187" s="299">
        <f>N141*pvar!N1082</f>
        <v>1438473.3333333335</v>
      </c>
      <c r="O187" s="299">
        <f>O141*pvar!O1082</f>
        <v>1355890</v>
      </c>
      <c r="P187" s="299">
        <f>P141*pvar!P1082</f>
        <v>3288753.333333333</v>
      </c>
      <c r="Q187" s="299">
        <f>Q141*pvar!Q1082</f>
        <v>498553.33333333337</v>
      </c>
      <c r="R187" s="299">
        <f>R141*pvar!R1082</f>
        <v>4809010</v>
      </c>
      <c r="S187" s="299">
        <f>S141*pvar!S1082</f>
        <v>2620416.6666666665</v>
      </c>
      <c r="T187" s="299">
        <f>T141*pvar!T1082</f>
        <v>6953020</v>
      </c>
      <c r="U187" s="299">
        <f>U141*pvar!U1082</f>
        <v>2408356.6666666665</v>
      </c>
      <c r="V187" s="299">
        <f>V141*pvar!V1082</f>
        <v>10505550</v>
      </c>
      <c r="W187" s="299">
        <f>W141*pvar!W1082</f>
        <v>1424396.6666666665</v>
      </c>
      <c r="X187" s="299">
        <f>X141*pvar!X1082</f>
        <v>525233.33333333337</v>
      </c>
      <c r="Y187" s="299">
        <f>Y141*pvar!Y1082</f>
        <v>849113.33333333326</v>
      </c>
      <c r="Z187" s="299">
        <f>Z141*pvar!Z1082</f>
        <v>144860</v>
      </c>
      <c r="AA187" s="299">
        <f>AA141*pvar!AA1082</f>
        <v>679820</v>
      </c>
      <c r="AB187" s="299">
        <f>AB141*pvar!AB1082</f>
        <v>2063026.6666666665</v>
      </c>
      <c r="AC187" s="299">
        <f>AC141*pvar!AC1082</f>
        <v>1873733.3333333335</v>
      </c>
      <c r="AD187" s="299">
        <f>AD141*pvar!AD1082</f>
        <v>146803.33333333334</v>
      </c>
      <c r="AE187" s="299">
        <f>AE141*pvar!AE1082</f>
        <v>1077293.3333333333</v>
      </c>
      <c r="AF187" s="299">
        <f>AF141*pvar!AF1082</f>
        <v>151960</v>
      </c>
      <c r="AG187" s="299">
        <f>AG141*pvar!AG1082</f>
        <v>956346.66666666674</v>
      </c>
      <c r="AH187" s="299">
        <f>AH141*pvar!AH1082</f>
        <v>2415833.3333333335</v>
      </c>
      <c r="AI187" s="299">
        <f>AI141*pvar!AI1082</f>
        <v>37670</v>
      </c>
      <c r="AJ187" s="299">
        <f>AJ141*pvar!AJ1082</f>
        <v>6096.6666666666661</v>
      </c>
      <c r="AK187" s="299">
        <f>AK141*pvar!AK1082</f>
        <v>61080</v>
      </c>
      <c r="AL187" s="299">
        <f>AL141*pvar!AL1082</f>
        <v>41683.333333333328</v>
      </c>
      <c r="AM187" s="301"/>
      <c r="AN187" s="8"/>
      <c r="AO187" s="8"/>
      <c r="AP187" s="8"/>
      <c r="AQ187" s="8"/>
      <c r="AR187" s="8"/>
      <c r="AS187" s="8"/>
      <c r="AT187" s="8"/>
      <c r="AU187" s="8"/>
      <c r="AV187" s="8"/>
      <c r="AW187" s="8"/>
      <c r="AX187" s="8"/>
      <c r="AY187" s="8"/>
      <c r="AZ187" s="8"/>
      <c r="BA187" s="8"/>
      <c r="BB187" s="8"/>
      <c r="BC187" s="8"/>
    </row>
    <row r="188" spans="1:55" s="290" customFormat="1" x14ac:dyDescent="0.2">
      <c r="A188" s="295"/>
      <c r="B188" s="296" t="s">
        <v>485</v>
      </c>
      <c r="C188" s="297" t="s">
        <v>77</v>
      </c>
      <c r="D188" s="298"/>
      <c r="E188" s="284"/>
      <c r="F188" s="299">
        <f>F142*pvar!F1083</f>
        <v>30728</v>
      </c>
      <c r="G188" s="299">
        <f>G142*pvar!G1083</f>
        <v>211384</v>
      </c>
      <c r="H188" s="299">
        <f>H142*pvar!H1083</f>
        <v>48488</v>
      </c>
      <c r="I188" s="299">
        <f>I142*pvar!I1083</f>
        <v>673302</v>
      </c>
      <c r="J188" s="299">
        <f>J142*pvar!J1083</f>
        <v>1146532</v>
      </c>
      <c r="K188" s="299">
        <f>K142*pvar!K1083</f>
        <v>630410</v>
      </c>
      <c r="L188" s="299">
        <f>L142*pvar!L1083</f>
        <v>847654</v>
      </c>
      <c r="M188" s="299">
        <f>M142*pvar!M1083</f>
        <v>752488</v>
      </c>
      <c r="N188" s="299">
        <f>N142*pvar!N1083</f>
        <v>787098</v>
      </c>
      <c r="O188" s="299">
        <f>O142*pvar!O1083</f>
        <v>677260</v>
      </c>
      <c r="P188" s="299">
        <f>P142*pvar!P1083</f>
        <v>1795638</v>
      </c>
      <c r="Q188" s="299">
        <f>Q142*pvar!Q1083</f>
        <v>199500</v>
      </c>
      <c r="R188" s="299">
        <f>R142*pvar!R1083</f>
        <v>1060242</v>
      </c>
      <c r="S188" s="299">
        <f>S142*pvar!S1083</f>
        <v>1197966</v>
      </c>
      <c r="T188" s="299">
        <f>T142*pvar!T1083</f>
        <v>2958558</v>
      </c>
      <c r="U188" s="299">
        <f>U142*pvar!U1083</f>
        <v>1008674</v>
      </c>
      <c r="V188" s="299">
        <f>V142*pvar!V1083</f>
        <v>5067606</v>
      </c>
      <c r="W188" s="299">
        <f>W142*pvar!W1083</f>
        <v>261622</v>
      </c>
      <c r="X188" s="299">
        <f>X142*pvar!X1083</f>
        <v>61580</v>
      </c>
      <c r="Y188" s="299">
        <f>Y142*pvar!Y1083</f>
        <v>290574</v>
      </c>
      <c r="Z188" s="299">
        <f>Z142*pvar!Z1083</f>
        <v>48902</v>
      </c>
      <c r="AA188" s="299">
        <f>AA142*pvar!AA1083</f>
        <v>205606</v>
      </c>
      <c r="AB188" s="299">
        <f>AB142*pvar!AB1083</f>
        <v>1014080</v>
      </c>
      <c r="AC188" s="299">
        <f>AC142*pvar!AC1083</f>
        <v>663654</v>
      </c>
      <c r="AD188" s="299">
        <f>AD142*pvar!AD1083</f>
        <v>40318</v>
      </c>
      <c r="AE188" s="299">
        <f>AE142*pvar!AE1083</f>
        <v>313410</v>
      </c>
      <c r="AF188" s="299">
        <f>AF142*pvar!AF1083</f>
        <v>38920</v>
      </c>
      <c r="AG188" s="299">
        <f>AG142*pvar!AG1083</f>
        <v>382116</v>
      </c>
      <c r="AH188" s="299">
        <f>AH142*pvar!AH1083</f>
        <v>1046980</v>
      </c>
      <c r="AI188" s="299">
        <f>AI142*pvar!AI1083</f>
        <v>22280</v>
      </c>
      <c r="AJ188" s="299">
        <f>AJ142*pvar!AJ1083</f>
        <v>2246</v>
      </c>
      <c r="AK188" s="299">
        <f>AK142*pvar!AK1083</f>
        <v>33284</v>
      </c>
      <c r="AL188" s="299">
        <f>AL142*pvar!AL1083</f>
        <v>15756</v>
      </c>
      <c r="AM188" s="301"/>
      <c r="AN188" s="8"/>
      <c r="AO188" s="8"/>
      <c r="AP188" s="8"/>
      <c r="AQ188" s="8"/>
      <c r="AR188" s="8"/>
      <c r="AS188" s="8"/>
      <c r="AT188" s="8"/>
      <c r="AU188" s="8"/>
      <c r="AV188" s="8"/>
      <c r="AW188" s="8"/>
      <c r="AX188" s="8"/>
      <c r="AY188" s="8"/>
      <c r="AZ188" s="8"/>
      <c r="BA188" s="8"/>
      <c r="BB188" s="8"/>
      <c r="BC188" s="8"/>
    </row>
    <row r="189" spans="1:55" s="290" customFormat="1" x14ac:dyDescent="0.2">
      <c r="A189" s="8"/>
      <c r="B189" s="296"/>
      <c r="C189" s="297"/>
      <c r="D189" s="298"/>
      <c r="E189" s="284"/>
      <c r="F189" s="299"/>
      <c r="G189" s="299"/>
      <c r="H189" s="299"/>
      <c r="I189" s="299"/>
      <c r="J189" s="299"/>
      <c r="K189" s="299"/>
      <c r="L189" s="299"/>
      <c r="M189" s="299"/>
      <c r="N189" s="299"/>
      <c r="O189" s="299"/>
      <c r="P189" s="299"/>
      <c r="Q189" s="299"/>
      <c r="R189" s="299"/>
      <c r="S189" s="299"/>
      <c r="T189" s="299"/>
      <c r="U189" s="299"/>
      <c r="V189" s="299"/>
      <c r="W189" s="299"/>
      <c r="X189" s="299"/>
      <c r="Y189" s="299"/>
      <c r="Z189" s="299"/>
      <c r="AA189" s="299"/>
      <c r="AB189" s="299"/>
      <c r="AC189" s="299"/>
      <c r="AD189" s="299"/>
      <c r="AE189" s="299"/>
      <c r="AF189" s="299"/>
      <c r="AG189" s="299"/>
      <c r="AH189" s="299"/>
      <c r="AI189" s="299"/>
      <c r="AJ189" s="299"/>
      <c r="AK189" s="299"/>
      <c r="AL189" s="299"/>
      <c r="AM189" s="82"/>
      <c r="AN189" s="8"/>
      <c r="AO189" s="8"/>
      <c r="AP189" s="8"/>
      <c r="AQ189" s="8"/>
      <c r="AR189" s="8"/>
      <c r="AS189" s="8"/>
      <c r="AT189" s="8"/>
      <c r="AU189" s="8"/>
      <c r="AV189" s="8"/>
      <c r="AW189" s="8"/>
      <c r="AX189" s="8"/>
      <c r="AY189" s="8"/>
      <c r="AZ189" s="8"/>
      <c r="BA189" s="8"/>
      <c r="BB189" s="8"/>
      <c r="BC189" s="8"/>
    </row>
    <row r="190" spans="1:55" s="290" customFormat="1" x14ac:dyDescent="0.2">
      <c r="A190" s="8"/>
      <c r="B190" s="298" t="s">
        <v>486</v>
      </c>
      <c r="C190" s="297" t="s">
        <v>77</v>
      </c>
      <c r="D190" s="298"/>
      <c r="E190" s="284"/>
      <c r="F190" s="299">
        <f>F144*pvar!F1085</f>
        <v>3879.7999999999997</v>
      </c>
      <c r="G190" s="299">
        <f>G144*pvar!G1085</f>
        <v>639.66666666666663</v>
      </c>
      <c r="H190" s="299">
        <f>H144*pvar!H1085</f>
        <v>2033</v>
      </c>
      <c r="I190" s="299">
        <f>I144*pvar!I1085</f>
        <v>2005.133333333333</v>
      </c>
      <c r="J190" s="299">
        <f>J144*pvar!J1085</f>
        <v>4831.0666666666666</v>
      </c>
      <c r="K190" s="299">
        <f>K144*pvar!K1085</f>
        <v>1865.8</v>
      </c>
      <c r="L190" s="299">
        <f>L144*pvar!L1085</f>
        <v>2399.0666666666666</v>
      </c>
      <c r="M190" s="299">
        <f>M144*pvar!M1085</f>
        <v>3569.4666666666667</v>
      </c>
      <c r="N190" s="299">
        <f>N144*pvar!N1085</f>
        <v>9574.7333333333318</v>
      </c>
      <c r="O190" s="299">
        <f>O144*pvar!O1085</f>
        <v>1764.4666666666665</v>
      </c>
      <c r="P190" s="299">
        <f>P144*pvar!P1085</f>
        <v>10125.733333333332</v>
      </c>
      <c r="Q190" s="299">
        <f>Q144*pvar!Q1085</f>
        <v>5833</v>
      </c>
      <c r="R190" s="299">
        <f>R144*pvar!R1085</f>
        <v>40249.599999999999</v>
      </c>
      <c r="S190" s="299">
        <f>S144*pvar!S1085</f>
        <v>273308.66666666663</v>
      </c>
      <c r="T190" s="299">
        <f>T144*pvar!T1085</f>
        <v>599718.53333333333</v>
      </c>
      <c r="U190" s="299">
        <f>U144*pvar!U1085</f>
        <v>463811.53333333333</v>
      </c>
      <c r="V190" s="299">
        <f>V144*pvar!V1085</f>
        <v>158990.73333333331</v>
      </c>
      <c r="W190" s="299">
        <f>W144*pvar!W1085</f>
        <v>5225</v>
      </c>
      <c r="X190" s="299">
        <f>X144*pvar!X1085</f>
        <v>23530.866666666665</v>
      </c>
      <c r="Y190" s="299">
        <f>Y144*pvar!Y1085</f>
        <v>51064.399999999994</v>
      </c>
      <c r="Z190" s="299">
        <f>Z144*pvar!Z1085</f>
        <v>22765.8</v>
      </c>
      <c r="AA190" s="299">
        <f>AA144*pvar!AA1085</f>
        <v>127210.06666666667</v>
      </c>
      <c r="AB190" s="299">
        <f>AB144*pvar!AB1085</f>
        <v>120347.26666666666</v>
      </c>
      <c r="AC190" s="299">
        <f>AC144*pvar!AC1085</f>
        <v>84646.266666666663</v>
      </c>
      <c r="AD190" s="299">
        <f>AD144*pvar!AD1085</f>
        <v>2428.1999999999998</v>
      </c>
      <c r="AE190" s="299">
        <f>AE144*pvar!AE1085</f>
        <v>16357.733333333334</v>
      </c>
      <c r="AF190" s="299">
        <f>AF144*pvar!AF1085</f>
        <v>440.79999999999995</v>
      </c>
      <c r="AG190" s="299">
        <f>AG144*pvar!AG1085</f>
        <v>89397.53333333334</v>
      </c>
      <c r="AH190" s="299">
        <f>AH144*pvar!AH1085</f>
        <v>15369.733333333332</v>
      </c>
      <c r="AI190" s="299">
        <f>AI144*pvar!AI1085</f>
        <v>13889</v>
      </c>
      <c r="AJ190" s="299">
        <f>AJ144*pvar!AJ1085</f>
        <v>14256.333333333332</v>
      </c>
      <c r="AK190" s="299">
        <f>AK144*pvar!AK1085</f>
        <v>17929.666666666664</v>
      </c>
      <c r="AL190" s="299">
        <f>AL144*pvar!AL1085</f>
        <v>3464.333333333333</v>
      </c>
      <c r="AM190" s="302"/>
      <c r="AN190" s="8"/>
      <c r="AO190" s="8"/>
      <c r="AP190" s="8"/>
      <c r="AQ190" s="8"/>
      <c r="AR190" s="8"/>
      <c r="AS190" s="8"/>
      <c r="AT190" s="8"/>
      <c r="AU190" s="8"/>
      <c r="AV190" s="8"/>
      <c r="AW190" s="8"/>
      <c r="AX190" s="8"/>
      <c r="AY190" s="8"/>
      <c r="AZ190" s="8"/>
      <c r="BA190" s="8"/>
      <c r="BB190" s="8"/>
      <c r="BC190" s="8"/>
    </row>
    <row r="191" spans="1:55" s="290" customFormat="1" x14ac:dyDescent="0.2">
      <c r="A191" s="8"/>
      <c r="B191" s="298" t="s">
        <v>487</v>
      </c>
      <c r="C191" s="297" t="s">
        <v>77</v>
      </c>
      <c r="D191" s="298"/>
      <c r="E191" s="284"/>
      <c r="F191" s="299">
        <f>F145*pvar!F1086</f>
        <v>23666.55</v>
      </c>
      <c r="G191" s="299">
        <f>G145*pvar!G1086</f>
        <v>8522.1</v>
      </c>
      <c r="H191" s="299">
        <f>H145*pvar!H1086</f>
        <v>11648.400000000001</v>
      </c>
      <c r="I191" s="299">
        <f>I145*pvar!I1086</f>
        <v>18558.900000000001</v>
      </c>
      <c r="J191" s="299">
        <f>J145*pvar!J1086</f>
        <v>40264.5</v>
      </c>
      <c r="K191" s="299">
        <f>K145*pvar!K1086</f>
        <v>21282.3</v>
      </c>
      <c r="L191" s="299">
        <f>L145*pvar!L1086</f>
        <v>22207.95</v>
      </c>
      <c r="M191" s="299">
        <f>M145*pvar!M1086</f>
        <v>26899.95</v>
      </c>
      <c r="N191" s="299">
        <f>N145*pvar!N1086</f>
        <v>66646.8</v>
      </c>
      <c r="O191" s="299">
        <f>O145*pvar!O1086</f>
        <v>13346.7</v>
      </c>
      <c r="P191" s="299">
        <f>P145*pvar!P1086</f>
        <v>74832.3</v>
      </c>
      <c r="Q191" s="299">
        <f>Q145*pvar!Q1086</f>
        <v>50331.9</v>
      </c>
      <c r="R191" s="299">
        <f>R145*pvar!R1086</f>
        <v>264437.55</v>
      </c>
      <c r="S191" s="299">
        <f>S145*pvar!S1086</f>
        <v>1589096.25</v>
      </c>
      <c r="T191" s="299">
        <f>T145*pvar!T1086</f>
        <v>3240532.35</v>
      </c>
      <c r="U191" s="299">
        <f>U145*pvar!U1086</f>
        <v>2754915.45</v>
      </c>
      <c r="V191" s="299">
        <f>V145*pvar!V1086</f>
        <v>1087200.1499999999</v>
      </c>
      <c r="W191" s="299">
        <f>W145*pvar!W1086</f>
        <v>42954.75</v>
      </c>
      <c r="X191" s="299">
        <f>X145*pvar!X1086</f>
        <v>191688.6</v>
      </c>
      <c r="Y191" s="299">
        <f>Y145*pvar!Y1086</f>
        <v>335582.55</v>
      </c>
      <c r="Z191" s="299">
        <f>Z145*pvar!Z1086</f>
        <v>158643.15000000002</v>
      </c>
      <c r="AA191" s="299">
        <f>AA145*pvar!AA1086</f>
        <v>978299.85</v>
      </c>
      <c r="AB191" s="299">
        <f>AB145*pvar!AB1086</f>
        <v>739594.35</v>
      </c>
      <c r="AC191" s="299">
        <f>AC145*pvar!AC1086</f>
        <v>577888.65</v>
      </c>
      <c r="AD191" s="299">
        <f>AD145*pvar!AD1086</f>
        <v>22401.750000000004</v>
      </c>
      <c r="AE191" s="299">
        <f>AE145*pvar!AE1086</f>
        <v>127357.20000000001</v>
      </c>
      <c r="AF191" s="299">
        <f>AF145*pvar!AF1086</f>
        <v>9330.4500000000007</v>
      </c>
      <c r="AG191" s="299">
        <f>AG145*pvar!AG1086</f>
        <v>582012</v>
      </c>
      <c r="AH191" s="299">
        <f>AH145*pvar!AH1086</f>
        <v>99832.5</v>
      </c>
      <c r="AI191" s="299">
        <f>AI145*pvar!AI1086</f>
        <v>84573.3</v>
      </c>
      <c r="AJ191" s="299">
        <f>AJ145*pvar!AJ1086</f>
        <v>101416.05</v>
      </c>
      <c r="AK191" s="299">
        <f>AK145*pvar!AK1086</f>
        <v>155017.05000000002</v>
      </c>
      <c r="AL191" s="299">
        <f>AL145*pvar!AL1086</f>
        <v>37808.85</v>
      </c>
      <c r="AM191" s="302"/>
      <c r="AN191" s="8"/>
      <c r="AO191" s="8"/>
      <c r="AP191" s="8"/>
      <c r="AQ191" s="8"/>
      <c r="AR191" s="8"/>
      <c r="AS191" s="8"/>
      <c r="AT191" s="8"/>
      <c r="AU191" s="8"/>
      <c r="AV191" s="8"/>
      <c r="AW191" s="8"/>
      <c r="AX191" s="8"/>
      <c r="AY191" s="8"/>
      <c r="AZ191" s="8"/>
      <c r="BA191" s="8"/>
      <c r="BB191" s="8"/>
      <c r="BC191" s="8"/>
    </row>
    <row r="192" spans="1:55" s="290" customFormat="1" x14ac:dyDescent="0.2">
      <c r="A192" s="8"/>
      <c r="B192" s="298" t="s">
        <v>488</v>
      </c>
      <c r="C192" s="297" t="s">
        <v>77</v>
      </c>
      <c r="D192" s="298"/>
      <c r="E192" s="284"/>
      <c r="F192" s="299">
        <f>F146*pvar!F1087</f>
        <v>939.74999999999989</v>
      </c>
      <c r="G192" s="299">
        <f>G146*pvar!G1087</f>
        <v>578.54999999999995</v>
      </c>
      <c r="H192" s="299">
        <f>H146*pvar!H1087</f>
        <v>477.74999999999994</v>
      </c>
      <c r="I192" s="299">
        <f>I146*pvar!I1087</f>
        <v>1144.5</v>
      </c>
      <c r="J192" s="299">
        <f>J146*pvar!J1087</f>
        <v>2457</v>
      </c>
      <c r="K192" s="299">
        <f>K146*pvar!K1087</f>
        <v>2654.3999999999996</v>
      </c>
      <c r="L192" s="299">
        <f>L146*pvar!L1087</f>
        <v>1896.3</v>
      </c>
      <c r="M192" s="299">
        <f>M146*pvar!M1087</f>
        <v>1677.8999999999999</v>
      </c>
      <c r="N192" s="299">
        <f>N146*pvar!N1087</f>
        <v>2933.7</v>
      </c>
      <c r="O192" s="299">
        <f>O146*pvar!O1087</f>
        <v>816.89999999999986</v>
      </c>
      <c r="P192" s="299">
        <f>P146*pvar!P1087</f>
        <v>4067.7</v>
      </c>
      <c r="Q192" s="299">
        <f>Q146*pvar!Q1087</f>
        <v>3243.4500000000003</v>
      </c>
      <c r="R192" s="299">
        <f>R146*pvar!R1087</f>
        <v>7991.55</v>
      </c>
      <c r="S192" s="299">
        <f>S146*pvar!S1087</f>
        <v>84523.95</v>
      </c>
      <c r="T192" s="299">
        <f>T146*pvar!T1087</f>
        <v>183096.9</v>
      </c>
      <c r="U192" s="299">
        <f>U146*pvar!U1087</f>
        <v>102741.45</v>
      </c>
      <c r="V192" s="299">
        <f>V146*pvar!V1087</f>
        <v>50384.25</v>
      </c>
      <c r="W192" s="299">
        <f>W146*pvar!W1087</f>
        <v>2114.7000000000003</v>
      </c>
      <c r="X192" s="299">
        <f>X146*pvar!X1087</f>
        <v>8470.35</v>
      </c>
      <c r="Y192" s="299">
        <f>Y146*pvar!Y1087</f>
        <v>13583.849999999999</v>
      </c>
      <c r="Z192" s="299">
        <f>Z146*pvar!Z1087</f>
        <v>17289.3</v>
      </c>
      <c r="AA192" s="299">
        <f>AA146*pvar!AA1087</f>
        <v>68792.849999999991</v>
      </c>
      <c r="AB192" s="299">
        <f>AB146*pvar!AB1087</f>
        <v>46218.899999999994</v>
      </c>
      <c r="AC192" s="299">
        <f>AC146*pvar!AC1087</f>
        <v>52324.65</v>
      </c>
      <c r="AD192" s="299">
        <f>AD146*pvar!AD1087</f>
        <v>1793.4</v>
      </c>
      <c r="AE192" s="299">
        <f>AE146*pvar!AE1087</f>
        <v>4719.75</v>
      </c>
      <c r="AF192" s="299">
        <f>AF146*pvar!AF1087</f>
        <v>903</v>
      </c>
      <c r="AG192" s="299">
        <f>AG146*pvar!AG1087</f>
        <v>26284.65</v>
      </c>
      <c r="AH192" s="299">
        <f>AH146*pvar!AH1087</f>
        <v>3340.0499999999997</v>
      </c>
      <c r="AI192" s="299">
        <f>AI146*pvar!AI1087</f>
        <v>6659.0999999999995</v>
      </c>
      <c r="AJ192" s="299">
        <f>AJ146*pvar!AJ1087</f>
        <v>7023.4499999999989</v>
      </c>
      <c r="AK192" s="299">
        <f>AK146*pvar!AK1087</f>
        <v>3627.75</v>
      </c>
      <c r="AL192" s="299">
        <f>AL146*pvar!AL1087</f>
        <v>1041.6000000000001</v>
      </c>
      <c r="AM192" s="302"/>
      <c r="AN192" s="8"/>
      <c r="AO192" s="8"/>
      <c r="AP192" s="8"/>
      <c r="AQ192" s="8"/>
      <c r="AR192" s="8"/>
      <c r="AS192" s="8"/>
      <c r="AT192" s="8"/>
      <c r="AU192" s="8"/>
      <c r="AV192" s="8"/>
      <c r="AW192" s="8"/>
      <c r="AX192" s="8"/>
      <c r="AY192" s="8"/>
      <c r="AZ192" s="8"/>
      <c r="BA192" s="8"/>
      <c r="BB192" s="8"/>
      <c r="BC192" s="8"/>
    </row>
    <row r="193" spans="1:55" s="290" customFormat="1" x14ac:dyDescent="0.2">
      <c r="A193" s="8"/>
      <c r="B193" s="298"/>
      <c r="C193" s="297"/>
      <c r="D193" s="298"/>
      <c r="E193" s="284"/>
      <c r="F193" s="299"/>
      <c r="G193" s="299"/>
      <c r="H193" s="299"/>
      <c r="I193" s="299"/>
      <c r="J193" s="299"/>
      <c r="K193" s="299"/>
      <c r="L193" s="299"/>
      <c r="M193" s="299"/>
      <c r="N193" s="299"/>
      <c r="O193" s="299"/>
      <c r="P193" s="299"/>
      <c r="Q193" s="299"/>
      <c r="R193" s="299"/>
      <c r="S193" s="299"/>
      <c r="T193" s="299"/>
      <c r="U193" s="299"/>
      <c r="V193" s="299"/>
      <c r="W193" s="299"/>
      <c r="X193" s="299"/>
      <c r="Y193" s="299"/>
      <c r="Z193" s="299"/>
      <c r="AA193" s="299"/>
      <c r="AB193" s="299"/>
      <c r="AC193" s="299"/>
      <c r="AD193" s="299"/>
      <c r="AE193" s="299"/>
      <c r="AF193" s="299"/>
      <c r="AG193" s="299"/>
      <c r="AH193" s="299"/>
      <c r="AI193" s="299"/>
      <c r="AJ193" s="299"/>
      <c r="AK193" s="299"/>
      <c r="AL193" s="299"/>
      <c r="AM193" s="302"/>
      <c r="AN193" s="8"/>
      <c r="AO193" s="8"/>
      <c r="AP193" s="8"/>
      <c r="AQ193" s="8"/>
      <c r="AR193" s="8"/>
      <c r="AS193" s="8"/>
      <c r="AT193" s="8"/>
      <c r="AU193" s="8"/>
      <c r="AV193" s="8"/>
      <c r="AW193" s="8"/>
      <c r="AX193" s="8"/>
      <c r="AY193" s="8"/>
      <c r="AZ193" s="8"/>
      <c r="BA193" s="8"/>
      <c r="BB193" s="8"/>
      <c r="BC193" s="8"/>
    </row>
    <row r="194" spans="1:55" s="290" customFormat="1" x14ac:dyDescent="0.2">
      <c r="A194" s="8"/>
      <c r="B194" s="296" t="s">
        <v>489</v>
      </c>
      <c r="C194" s="297" t="s">
        <v>77</v>
      </c>
      <c r="D194" s="298"/>
      <c r="E194" s="284"/>
      <c r="F194" s="299">
        <f>F148*pvar!F1089</f>
        <v>9441.8166666666657</v>
      </c>
      <c r="G194" s="299">
        <f>G148*pvar!G1089</f>
        <v>28396.449999999997</v>
      </c>
      <c r="H194" s="299">
        <f>H148*pvar!H1089</f>
        <v>7776.8666666666659</v>
      </c>
      <c r="I194" s="299">
        <f>I148*pvar!I1089</f>
        <v>100538.36666666667</v>
      </c>
      <c r="J194" s="299">
        <f>J148*pvar!J1089</f>
        <v>58319.399999999994</v>
      </c>
      <c r="K194" s="299">
        <f>K148*pvar!K1089</f>
        <v>38375.5</v>
      </c>
      <c r="L194" s="299">
        <f>L148*pvar!L1089</f>
        <v>35202.983333333337</v>
      </c>
      <c r="M194" s="299">
        <f>M148*pvar!M1089</f>
        <v>43249.65</v>
      </c>
      <c r="N194" s="299">
        <f>N148*pvar!N1089</f>
        <v>128984.51666666665</v>
      </c>
      <c r="O194" s="299">
        <f>O148*pvar!O1089</f>
        <v>140543.31666666665</v>
      </c>
      <c r="P194" s="299">
        <f>P148*pvar!P1089</f>
        <v>272294.46666666667</v>
      </c>
      <c r="Q194" s="299">
        <f>Q148*pvar!Q1089</f>
        <v>31238.816666666662</v>
      </c>
      <c r="R194" s="299">
        <f>R148*pvar!R1089</f>
        <v>59640</v>
      </c>
      <c r="S194" s="299">
        <f>S148*pvar!S1089</f>
        <v>134581.68333333335</v>
      </c>
      <c r="T194" s="299">
        <f>T148*pvar!T1089</f>
        <v>408987.21666666667</v>
      </c>
      <c r="U194" s="299">
        <f>U148*pvar!U1089</f>
        <v>481479.39999999997</v>
      </c>
      <c r="V194" s="299">
        <f>V148*pvar!V1089</f>
        <v>1211908.4666666668</v>
      </c>
      <c r="W194" s="299">
        <f>W148*pvar!W1089</f>
        <v>22186.316666666666</v>
      </c>
      <c r="X194" s="299">
        <f>X148*pvar!X1089</f>
        <v>55923.149999999994</v>
      </c>
      <c r="Y194" s="299">
        <f>Y148*pvar!Y1089</f>
        <v>40688.916666666664</v>
      </c>
      <c r="Z194" s="299">
        <f>Z148*pvar!Z1089</f>
        <v>399289.8</v>
      </c>
      <c r="AA194" s="299">
        <f>AA148*pvar!AA1089</f>
        <v>195809.71666666665</v>
      </c>
      <c r="AB194" s="299">
        <f>AB148*pvar!AB1089</f>
        <v>1664322.8333333333</v>
      </c>
      <c r="AC194" s="299">
        <f>AC148*pvar!AC1089</f>
        <v>681467.46666666656</v>
      </c>
      <c r="AD194" s="299">
        <f>AD148*pvar!AD1089</f>
        <v>15371.5</v>
      </c>
      <c r="AE194" s="299">
        <f>AE148*pvar!AE1089</f>
        <v>920273.6</v>
      </c>
      <c r="AF194" s="299">
        <f>AF148*pvar!AF1089</f>
        <v>7140.2333333333327</v>
      </c>
      <c r="AG194" s="299">
        <f>AG148*pvar!AG1089</f>
        <v>367213.18333333329</v>
      </c>
      <c r="AH194" s="299">
        <f>AH148*pvar!AH1089</f>
        <v>93387.483333333323</v>
      </c>
      <c r="AI194" s="299">
        <f>AI148*pvar!AI1089</f>
        <v>246993.61666666667</v>
      </c>
      <c r="AJ194" s="299">
        <f>AJ148*pvar!AJ1089</f>
        <v>148315.44999999998</v>
      </c>
      <c r="AK194" s="299">
        <f>AK148*pvar!AK1089</f>
        <v>101669.63333333332</v>
      </c>
      <c r="AL194" s="299">
        <f>AL148*pvar!AL1089</f>
        <v>23583.833333333332</v>
      </c>
      <c r="AM194" s="302"/>
      <c r="AN194" s="8"/>
      <c r="AO194" s="8"/>
      <c r="AP194" s="8"/>
      <c r="AQ194" s="8"/>
      <c r="AR194" s="8"/>
      <c r="AS194" s="8"/>
      <c r="AT194" s="8"/>
      <c r="AU194" s="8"/>
      <c r="AV194" s="8"/>
      <c r="AW194" s="8"/>
      <c r="AX194" s="8"/>
      <c r="AY194" s="8"/>
      <c r="AZ194" s="8"/>
      <c r="BA194" s="8"/>
      <c r="BB194" s="8"/>
      <c r="BC194" s="8"/>
    </row>
    <row r="195" spans="1:55" s="290" customFormat="1" x14ac:dyDescent="0.2">
      <c r="A195" s="8"/>
      <c r="B195" s="296" t="s">
        <v>490</v>
      </c>
      <c r="C195" s="297" t="s">
        <v>77</v>
      </c>
      <c r="D195" s="298"/>
      <c r="E195" s="284"/>
      <c r="F195" s="299">
        <f>F149*pvar!F1090</f>
        <v>142876.50000000003</v>
      </c>
      <c r="G195" s="299">
        <f>G149*pvar!G1090</f>
        <v>481562.4</v>
      </c>
      <c r="H195" s="299">
        <f>H149*pvar!H1090</f>
        <v>132396.00000000003</v>
      </c>
      <c r="I195" s="299">
        <f>I149*pvar!I1090</f>
        <v>1048259.1000000001</v>
      </c>
      <c r="J195" s="299">
        <f>J149*pvar!J1090</f>
        <v>657040.65</v>
      </c>
      <c r="K195" s="299">
        <f>K149*pvar!K1090</f>
        <v>531983.54999999993</v>
      </c>
      <c r="L195" s="299">
        <f>L149*pvar!L1090</f>
        <v>646606.05000000005</v>
      </c>
      <c r="M195" s="299">
        <f>M149*pvar!M1090</f>
        <v>600629.55000000005</v>
      </c>
      <c r="N195" s="299">
        <f>N149*pvar!N1090</f>
        <v>1168188.1500000001</v>
      </c>
      <c r="O195" s="299">
        <f>O149*pvar!O1090</f>
        <v>1240648.9500000002</v>
      </c>
      <c r="P195" s="299">
        <f>P149*pvar!P1090</f>
        <v>3156555.7500000005</v>
      </c>
      <c r="Q195" s="299">
        <f>Q149*pvar!Q1090</f>
        <v>479790.15</v>
      </c>
      <c r="R195" s="299">
        <f>R149*pvar!R1090</f>
        <v>717105.9</v>
      </c>
      <c r="S195" s="299">
        <f>S149*pvar!S1090</f>
        <v>1552279.35</v>
      </c>
      <c r="T195" s="299">
        <f>T149*pvar!T1090</f>
        <v>4230348</v>
      </c>
      <c r="U195" s="299">
        <f>U149*pvar!U1090</f>
        <v>5584420.9500000002</v>
      </c>
      <c r="V195" s="299">
        <f>V149*pvar!V1090</f>
        <v>13532875.5</v>
      </c>
      <c r="W195" s="299">
        <f>W149*pvar!W1090</f>
        <v>341248.65</v>
      </c>
      <c r="X195" s="299">
        <f>X149*pvar!X1090</f>
        <v>683162.85</v>
      </c>
      <c r="Y195" s="299">
        <f>Y149*pvar!Y1090</f>
        <v>545993.25000000012</v>
      </c>
      <c r="Z195" s="299">
        <f>Z149*pvar!Z1090</f>
        <v>4983569.55</v>
      </c>
      <c r="AA195" s="299">
        <f>AA149*pvar!AA1090</f>
        <v>2697976.5000000005</v>
      </c>
      <c r="AB195" s="299">
        <f>AB149*pvar!AB1090</f>
        <v>12212212.65</v>
      </c>
      <c r="AC195" s="299">
        <f>AC149*pvar!AC1090</f>
        <v>6693275.7000000002</v>
      </c>
      <c r="AD195" s="299">
        <f>AD149*pvar!AD1090</f>
        <v>277521.60000000003</v>
      </c>
      <c r="AE195" s="299">
        <f>AE149*pvar!AE1090</f>
        <v>8622297.1500000004</v>
      </c>
      <c r="AF195" s="299">
        <f>AF149*pvar!AF1090</f>
        <v>110282.40000000001</v>
      </c>
      <c r="AG195" s="299">
        <f>AG149*pvar!AG1090</f>
        <v>4262827.3500000006</v>
      </c>
      <c r="AH195" s="299">
        <f>AH149*pvar!AH1090</f>
        <v>1289282.55</v>
      </c>
      <c r="AI195" s="299">
        <f>AI149*pvar!AI1090</f>
        <v>2462675.25</v>
      </c>
      <c r="AJ195" s="299">
        <f>AJ149*pvar!AJ1090</f>
        <v>1516459.5</v>
      </c>
      <c r="AK195" s="299">
        <f>AK149*pvar!AK1090</f>
        <v>1095579.45</v>
      </c>
      <c r="AL195" s="299">
        <f>AL149*pvar!AL1090</f>
        <v>246286.65</v>
      </c>
      <c r="AM195" s="302"/>
      <c r="AN195" s="8"/>
      <c r="AO195" s="8"/>
      <c r="AP195" s="8"/>
      <c r="AQ195" s="8"/>
      <c r="AR195" s="8"/>
      <c r="AS195" s="8"/>
      <c r="AT195" s="8"/>
      <c r="AU195" s="8"/>
      <c r="AV195" s="8"/>
      <c r="AW195" s="8"/>
      <c r="AX195" s="8"/>
      <c r="AY195" s="8"/>
      <c r="AZ195" s="8"/>
      <c r="BA195" s="8"/>
      <c r="BB195" s="8"/>
      <c r="BC195" s="8"/>
    </row>
    <row r="196" spans="1:55" s="290" customFormat="1" x14ac:dyDescent="0.2">
      <c r="A196" s="8"/>
      <c r="B196" s="296" t="s">
        <v>491</v>
      </c>
      <c r="C196" s="297" t="s">
        <v>77</v>
      </c>
      <c r="D196" s="298"/>
      <c r="E196" s="284"/>
      <c r="F196" s="299">
        <f>F150*pvar!F1091</f>
        <v>11608.8</v>
      </c>
      <c r="G196" s="299">
        <f>G150*pvar!G1091</f>
        <v>57096.9</v>
      </c>
      <c r="H196" s="299">
        <f>H150*pvar!H1091</f>
        <v>5067.3</v>
      </c>
      <c r="I196" s="299">
        <f>I150*pvar!I1091</f>
        <v>172848.9</v>
      </c>
      <c r="J196" s="299">
        <f>J150*pvar!J1091</f>
        <v>93539.25</v>
      </c>
      <c r="K196" s="299">
        <f>K150*pvar!K1091</f>
        <v>65381.4</v>
      </c>
      <c r="L196" s="299">
        <f>L150*pvar!L1091</f>
        <v>38582.25</v>
      </c>
      <c r="M196" s="299">
        <f>M150*pvar!M1091</f>
        <v>71634.149999999994</v>
      </c>
      <c r="N196" s="299">
        <f>N150*pvar!N1091</f>
        <v>172166.39999999999</v>
      </c>
      <c r="O196" s="299">
        <f>O150*pvar!O1091</f>
        <v>190422.75</v>
      </c>
      <c r="P196" s="299">
        <f>P150*pvar!P1091</f>
        <v>391513.5</v>
      </c>
      <c r="Q196" s="299">
        <f>Q150*pvar!Q1091</f>
        <v>28271.25</v>
      </c>
      <c r="R196" s="299">
        <f>R150*pvar!R1091</f>
        <v>83921.25</v>
      </c>
      <c r="S196" s="299">
        <f>S150*pvar!S1091</f>
        <v>166400.84999999998</v>
      </c>
      <c r="T196" s="299">
        <f>T150*pvar!T1091</f>
        <v>564496.80000000005</v>
      </c>
      <c r="U196" s="299">
        <f>U150*pvar!U1091</f>
        <v>642680.85</v>
      </c>
      <c r="V196" s="299">
        <f>V150*pvar!V1091</f>
        <v>1579351.2</v>
      </c>
      <c r="W196" s="299">
        <f>W150*pvar!W1091</f>
        <v>26285.699999999997</v>
      </c>
      <c r="X196" s="299">
        <f>X150*pvar!X1091</f>
        <v>66641.399999999994</v>
      </c>
      <c r="Y196" s="299">
        <f>Y150*pvar!Y1091</f>
        <v>60799.199999999997</v>
      </c>
      <c r="Z196" s="299">
        <f>Z150*pvar!Z1091</f>
        <v>762216</v>
      </c>
      <c r="AA196" s="299">
        <f>AA150*pvar!AA1091</f>
        <v>282202.2</v>
      </c>
      <c r="AB196" s="299">
        <f>AB150*pvar!AB1091</f>
        <v>1416096.15</v>
      </c>
      <c r="AC196" s="299">
        <f>AC150*pvar!AC1091</f>
        <v>950475.74999999988</v>
      </c>
      <c r="AD196" s="299">
        <f>AD150*pvar!AD1091</f>
        <v>28608.3</v>
      </c>
      <c r="AE196" s="299">
        <f>AE150*pvar!AE1091</f>
        <v>548279.54999999993</v>
      </c>
      <c r="AF196" s="299">
        <f>AF150*pvar!AF1091</f>
        <v>10389.75</v>
      </c>
      <c r="AG196" s="299">
        <f>AG150*pvar!AG1091</f>
        <v>590845.5</v>
      </c>
      <c r="AH196" s="299">
        <f>AH150*pvar!AH1091</f>
        <v>112786.8</v>
      </c>
      <c r="AI196" s="299">
        <f>AI150*pvar!AI1091</f>
        <v>518571.89999999997</v>
      </c>
      <c r="AJ196" s="299">
        <f>AJ150*pvar!AJ1091</f>
        <v>59698.799999999996</v>
      </c>
      <c r="AK196" s="299">
        <f>AK150*pvar!AK1091</f>
        <v>24903.899999999998</v>
      </c>
      <c r="AL196" s="299">
        <f>AL150*pvar!AL1091</f>
        <v>11814.599999999999</v>
      </c>
      <c r="AM196" s="302"/>
      <c r="AN196" s="8"/>
      <c r="AO196" s="8"/>
      <c r="AP196" s="8"/>
      <c r="AQ196" s="8"/>
      <c r="AR196" s="8"/>
      <c r="AS196" s="8"/>
      <c r="AT196" s="8"/>
      <c r="AU196" s="8"/>
      <c r="AV196" s="8"/>
      <c r="AW196" s="8"/>
      <c r="AX196" s="8"/>
      <c r="AY196" s="8"/>
      <c r="AZ196" s="8"/>
      <c r="BA196" s="8"/>
      <c r="BB196" s="8"/>
      <c r="BC196" s="8"/>
    </row>
    <row r="197" spans="1:55" s="290" customFormat="1" x14ac:dyDescent="0.2">
      <c r="A197" s="8"/>
      <c r="B197" s="303"/>
      <c r="C197" s="297"/>
      <c r="D197" s="298"/>
      <c r="E197" s="284"/>
      <c r="F197" s="299"/>
      <c r="G197" s="299"/>
      <c r="H197" s="299"/>
      <c r="I197" s="299"/>
      <c r="J197" s="299"/>
      <c r="K197" s="299"/>
      <c r="L197" s="299"/>
      <c r="M197" s="299"/>
      <c r="N197" s="299"/>
      <c r="O197" s="299"/>
      <c r="P197" s="299"/>
      <c r="Q197" s="299"/>
      <c r="R197" s="299"/>
      <c r="S197" s="299"/>
      <c r="T197" s="299"/>
      <c r="U197" s="299"/>
      <c r="V197" s="299"/>
      <c r="W197" s="299"/>
      <c r="X197" s="299"/>
      <c r="Y197" s="299"/>
      <c r="Z197" s="299"/>
      <c r="AA197" s="299"/>
      <c r="AB197" s="299"/>
      <c r="AC197" s="299"/>
      <c r="AD197" s="299"/>
      <c r="AE197" s="299"/>
      <c r="AF197" s="299"/>
      <c r="AG197" s="299"/>
      <c r="AH197" s="299"/>
      <c r="AI197" s="299"/>
      <c r="AJ197" s="299"/>
      <c r="AK197" s="299"/>
      <c r="AL197" s="299"/>
      <c r="AM197" s="302"/>
      <c r="AN197" s="8"/>
      <c r="AO197" s="8"/>
      <c r="AP197" s="8"/>
      <c r="AQ197" s="8"/>
      <c r="AR197" s="8"/>
      <c r="AS197" s="8"/>
      <c r="AT197" s="8"/>
      <c r="AU197" s="8"/>
      <c r="AV197" s="8"/>
      <c r="AW197" s="8"/>
      <c r="AX197" s="8"/>
      <c r="AY197" s="8"/>
      <c r="AZ197" s="8"/>
      <c r="BA197" s="8"/>
      <c r="BB197" s="8"/>
      <c r="BC197" s="8"/>
    </row>
    <row r="198" spans="1:55" s="290" customFormat="1" x14ac:dyDescent="0.2">
      <c r="A198" s="8"/>
      <c r="B198" s="298" t="s">
        <v>492</v>
      </c>
      <c r="C198" s="297" t="s">
        <v>77</v>
      </c>
      <c r="D198" s="298"/>
      <c r="E198" s="284"/>
      <c r="F198" s="299">
        <f>F152*pvar!F1093</f>
        <v>5925.4666666666662</v>
      </c>
      <c r="G198" s="299">
        <f>G152*pvar!G1093</f>
        <v>48137.76666666667</v>
      </c>
      <c r="H198" s="299">
        <f>H152*pvar!H1093</f>
        <v>78373.099999999991</v>
      </c>
      <c r="I198" s="299">
        <f>I152*pvar!I1093</f>
        <v>184252.5</v>
      </c>
      <c r="J198" s="299">
        <f>J152*pvar!J1093</f>
        <v>260126.46666666665</v>
      </c>
      <c r="K198" s="299">
        <f>K152*pvar!K1093</f>
        <v>124200.46666666666</v>
      </c>
      <c r="L198" s="299">
        <f>L152*pvar!L1093</f>
        <v>598477.83333333326</v>
      </c>
      <c r="M198" s="299">
        <f>M152*pvar!M1093</f>
        <v>662340.6333333333</v>
      </c>
      <c r="N198" s="299">
        <f>N152*pvar!N1093</f>
        <v>329831.13333333336</v>
      </c>
      <c r="O198" s="299">
        <f>O152*pvar!O1093</f>
        <v>46087.033333333326</v>
      </c>
      <c r="P198" s="299">
        <f>P152*pvar!P1093</f>
        <v>162206.79999999999</v>
      </c>
      <c r="Q198" s="299">
        <f>Q152*pvar!Q1093</f>
        <v>121288.4</v>
      </c>
      <c r="R198" s="299">
        <f>R152*pvar!R1093</f>
        <v>11578294.733333332</v>
      </c>
      <c r="S198" s="299">
        <f>S152*pvar!S1093</f>
        <v>583032.1</v>
      </c>
      <c r="T198" s="299">
        <f>T152*pvar!T1093</f>
        <v>2202362.1999999997</v>
      </c>
      <c r="U198" s="299">
        <f>U152*pvar!U1093</f>
        <v>505859.8</v>
      </c>
      <c r="V198" s="299">
        <f>V152*pvar!V1093</f>
        <v>608302.73333333328</v>
      </c>
      <c r="W198" s="299">
        <f>W152*pvar!W1093</f>
        <v>74903.7</v>
      </c>
      <c r="X198" s="299">
        <f>X152*pvar!X1093</f>
        <v>11415.199999999999</v>
      </c>
      <c r="Y198" s="299">
        <f>Y152*pvar!Y1093</f>
        <v>226761.83333333331</v>
      </c>
      <c r="Z198" s="299">
        <f>Z152*pvar!Z1093</f>
        <v>10106.1</v>
      </c>
      <c r="AA198" s="299">
        <f>AA152*pvar!AA1093</f>
        <v>76464.233333333337</v>
      </c>
      <c r="AB198" s="299">
        <f>AB152*pvar!AB1093</f>
        <v>279293.66666666663</v>
      </c>
      <c r="AC198" s="299">
        <f>AC152*pvar!AC1093</f>
        <v>221246.1333333333</v>
      </c>
      <c r="AD198" s="299">
        <f>AD152*pvar!AD1093</f>
        <v>26657.633333333335</v>
      </c>
      <c r="AE198" s="299">
        <f>AE152*pvar!AE1093</f>
        <v>291653.16666666663</v>
      </c>
      <c r="AF198" s="299">
        <f>AF152*pvar!AF1093</f>
        <v>90849.133333333331</v>
      </c>
      <c r="AG198" s="299">
        <f>AG152*pvar!AG1093</f>
        <v>201863.59999999998</v>
      </c>
      <c r="AH198" s="299">
        <f>AH152*pvar!AH1093</f>
        <v>163373.4</v>
      </c>
      <c r="AI198" s="299">
        <f>AI152*pvar!AI1093</f>
        <v>22357.933333333334</v>
      </c>
      <c r="AJ198" s="299">
        <f>AJ152*pvar!AJ1093</f>
        <v>294.5</v>
      </c>
      <c r="AK198" s="299">
        <f>AK152*pvar!AK1093</f>
        <v>2535.8666666666668</v>
      </c>
      <c r="AL198" s="299">
        <f>AL152*pvar!AL1093</f>
        <v>43.06666666666667</v>
      </c>
      <c r="AM198" s="302"/>
      <c r="AN198" s="8"/>
      <c r="AO198" s="8"/>
      <c r="AP198" s="8"/>
      <c r="AQ198" s="8"/>
      <c r="AR198" s="8"/>
      <c r="AS198" s="8"/>
      <c r="AT198" s="8"/>
      <c r="AU198" s="8"/>
      <c r="AV198" s="8"/>
      <c r="AW198" s="8"/>
      <c r="AX198" s="8"/>
      <c r="AY198" s="8"/>
      <c r="AZ198" s="8"/>
      <c r="BA198" s="8"/>
      <c r="BB198" s="8"/>
      <c r="BC198" s="8"/>
    </row>
    <row r="199" spans="1:55" s="290" customFormat="1" x14ac:dyDescent="0.2">
      <c r="A199" s="8"/>
      <c r="B199" s="298" t="s">
        <v>493</v>
      </c>
      <c r="C199" s="297" t="s">
        <v>77</v>
      </c>
      <c r="D199" s="298"/>
      <c r="E199" s="284"/>
      <c r="F199" s="299">
        <f>F153*pvar!F1094</f>
        <v>8148.4666666666672</v>
      </c>
      <c r="G199" s="299">
        <f>G153*pvar!G1094</f>
        <v>47768.533333333326</v>
      </c>
      <c r="H199" s="299">
        <f>H153*pvar!H1094</f>
        <v>60991.266666666663</v>
      </c>
      <c r="I199" s="299">
        <f>I153*pvar!I1094</f>
        <v>119311.76666666666</v>
      </c>
      <c r="J199" s="299">
        <f>J153*pvar!J1094</f>
        <v>95500.333333333328</v>
      </c>
      <c r="K199" s="299">
        <f>K153*pvar!K1094</f>
        <v>78390.833333333328</v>
      </c>
      <c r="L199" s="299">
        <f>L153*pvar!L1094</f>
        <v>220926.3</v>
      </c>
      <c r="M199" s="299">
        <f>M153*pvar!M1094</f>
        <v>373094.13333333336</v>
      </c>
      <c r="N199" s="299">
        <f>N153*pvar!N1094</f>
        <v>163238.5</v>
      </c>
      <c r="O199" s="299">
        <f>O153*pvar!O1094</f>
        <v>25128.133333333335</v>
      </c>
      <c r="P199" s="299">
        <f>P153*pvar!P1094</f>
        <v>127469.73333333332</v>
      </c>
      <c r="Q199" s="299">
        <f>Q153*pvar!Q1094</f>
        <v>79737.933333333334</v>
      </c>
      <c r="R199" s="299">
        <f>R153*pvar!R1094</f>
        <v>4684849</v>
      </c>
      <c r="S199" s="299">
        <f>S153*pvar!S1094</f>
        <v>250741.73333333334</v>
      </c>
      <c r="T199" s="299">
        <f>T153*pvar!T1094</f>
        <v>895154.6</v>
      </c>
      <c r="U199" s="299">
        <f>U153*pvar!U1094</f>
        <v>254251.66666666663</v>
      </c>
      <c r="V199" s="299">
        <f>V153*pvar!V1094</f>
        <v>263837.16666666663</v>
      </c>
      <c r="W199" s="299">
        <f>W153*pvar!W1094</f>
        <v>66904.066666666666</v>
      </c>
      <c r="X199" s="299">
        <f>X153*pvar!X1094</f>
        <v>9812.8666666666668</v>
      </c>
      <c r="Y199" s="299">
        <f>Y153*pvar!Y1094</f>
        <v>116960.83333333333</v>
      </c>
      <c r="Z199" s="299">
        <f>Z153*pvar!Z1094</f>
        <v>19204.566666666666</v>
      </c>
      <c r="AA199" s="299">
        <f>AA153*pvar!AA1094</f>
        <v>59280</v>
      </c>
      <c r="AB199" s="299">
        <f>AB153*pvar!AB1094</f>
        <v>103102.23333333334</v>
      </c>
      <c r="AC199" s="299">
        <f>AC153*pvar!AC1094</f>
        <v>111436.26666666666</v>
      </c>
      <c r="AD199" s="299">
        <f>AD153*pvar!AD1094</f>
        <v>6696.8666666666659</v>
      </c>
      <c r="AE199" s="299">
        <f>AE153*pvar!AE1094</f>
        <v>171279.93333333332</v>
      </c>
      <c r="AF199" s="299">
        <f>AF153*pvar!AF1094</f>
        <v>42833.599999999999</v>
      </c>
      <c r="AG199" s="299">
        <f>AG153*pvar!AG1094</f>
        <v>98725.266666666663</v>
      </c>
      <c r="AH199" s="299">
        <f>AH153*pvar!AH1094</f>
        <v>63475.199999999997</v>
      </c>
      <c r="AI199" s="299">
        <f>AI153*pvar!AI1094</f>
        <v>9528.5</v>
      </c>
      <c r="AJ199" s="299">
        <f>AJ153*pvar!AJ1094</f>
        <v>350.23333333333335</v>
      </c>
      <c r="AK199" s="299">
        <f>AK153*pvar!AK1094</f>
        <v>1996.2666666666667</v>
      </c>
      <c r="AL199" s="299">
        <f>AL153*pvar!AL1094</f>
        <v>675.76666666666665</v>
      </c>
      <c r="AM199" s="302"/>
      <c r="AN199" s="8"/>
      <c r="AO199" s="8"/>
      <c r="AP199" s="8"/>
      <c r="AQ199" s="8"/>
      <c r="AR199" s="8"/>
      <c r="AS199" s="8"/>
      <c r="AT199" s="8"/>
      <c r="AU199" s="8"/>
      <c r="AV199" s="8"/>
      <c r="AW199" s="8"/>
      <c r="AX199" s="8"/>
      <c r="AY199" s="8"/>
      <c r="AZ199" s="8"/>
      <c r="BA199" s="8"/>
      <c r="BB199" s="8"/>
      <c r="BC199" s="8"/>
    </row>
    <row r="200" spans="1:55" s="290" customFormat="1" x14ac:dyDescent="0.2">
      <c r="A200" s="8"/>
      <c r="B200" s="298" t="s">
        <v>494</v>
      </c>
      <c r="C200" s="297" t="s">
        <v>77</v>
      </c>
      <c r="D200" s="298"/>
      <c r="E200" s="284"/>
      <c r="F200" s="299">
        <f>F154*pvar!F1095</f>
        <v>7137.3</v>
      </c>
      <c r="G200" s="299">
        <f>G154*pvar!G1095</f>
        <v>104406.59999999999</v>
      </c>
      <c r="H200" s="299">
        <f>H154*pvar!H1095</f>
        <v>133721.69999999998</v>
      </c>
      <c r="I200" s="299">
        <f>I154*pvar!I1095</f>
        <v>277692.39999999997</v>
      </c>
      <c r="J200" s="299">
        <f>J154*pvar!J1095</f>
        <v>321900</v>
      </c>
      <c r="K200" s="299">
        <f>K154*pvar!K1095</f>
        <v>201683.30000000002</v>
      </c>
      <c r="L200" s="299">
        <f>L154*pvar!L1095</f>
        <v>768771.20000000007</v>
      </c>
      <c r="M200" s="299">
        <f>M154*pvar!M1095</f>
        <v>987089.7</v>
      </c>
      <c r="N200" s="299">
        <f>N154*pvar!N1095</f>
        <v>527560.79999999993</v>
      </c>
      <c r="O200" s="299">
        <f>O154*pvar!O1095</f>
        <v>90609.3</v>
      </c>
      <c r="P200" s="299">
        <f>P154*pvar!P1095</f>
        <v>310811.09999999998</v>
      </c>
      <c r="Q200" s="299">
        <f>Q154*pvar!Q1095</f>
        <v>206693.1</v>
      </c>
      <c r="R200" s="299">
        <f>R154*pvar!R1095</f>
        <v>13867995.9</v>
      </c>
      <c r="S200" s="299">
        <f>S154*pvar!S1095</f>
        <v>742756.5</v>
      </c>
      <c r="T200" s="299">
        <f>T154*pvar!T1095</f>
        <v>3014001.5</v>
      </c>
      <c r="U200" s="299">
        <f>U154*pvar!U1095</f>
        <v>821707.1</v>
      </c>
      <c r="V200" s="299">
        <f>V154*pvar!V1095</f>
        <v>863339.49999999988</v>
      </c>
      <c r="W200" s="299">
        <f>W154*pvar!W1095</f>
        <v>89658.4</v>
      </c>
      <c r="X200" s="299">
        <f>X154*pvar!X1095</f>
        <v>29315.1</v>
      </c>
      <c r="Y200" s="299">
        <f>Y154*pvar!Y1095</f>
        <v>344699.39999999997</v>
      </c>
      <c r="Z200" s="299">
        <f>Z154*pvar!Z1095</f>
        <v>23839.1</v>
      </c>
      <c r="AA200" s="299">
        <f>AA154*pvar!AA1095</f>
        <v>52947</v>
      </c>
      <c r="AB200" s="299">
        <f>AB154*pvar!AB1095</f>
        <v>380041.8</v>
      </c>
      <c r="AC200" s="299">
        <f>AC154*pvar!AC1095</f>
        <v>386080.2</v>
      </c>
      <c r="AD200" s="299">
        <f>AD154*pvar!AD1095</f>
        <v>37895.4</v>
      </c>
      <c r="AE200" s="299">
        <f>AE154*pvar!AE1095</f>
        <v>448539.89999999997</v>
      </c>
      <c r="AF200" s="299">
        <f>AF154*pvar!AF1095</f>
        <v>134861.29999999999</v>
      </c>
      <c r="AG200" s="299">
        <f>AG154*pvar!AG1095</f>
        <v>321985.09999999998</v>
      </c>
      <c r="AH200" s="299">
        <f>AH154*pvar!AH1095</f>
        <v>199666.8</v>
      </c>
      <c r="AI200" s="299">
        <f>AI154*pvar!AI1095</f>
        <v>19928.199999999997</v>
      </c>
      <c r="AJ200" s="299">
        <f>AJ154*pvar!AJ1095</f>
        <v>1731.6</v>
      </c>
      <c r="AK200" s="299">
        <f>AK154*pvar!AK1095</f>
        <v>7633.0999999999995</v>
      </c>
      <c r="AL200" s="299">
        <f>AL154*pvar!AL1095</f>
        <v>188.7</v>
      </c>
      <c r="AM200" s="302"/>
      <c r="AN200" s="8"/>
      <c r="AO200" s="8"/>
      <c r="AP200" s="8"/>
      <c r="AQ200" s="8"/>
      <c r="AR200" s="8"/>
      <c r="AS200" s="8"/>
      <c r="AT200" s="8"/>
      <c r="AU200" s="8"/>
      <c r="AV200" s="8"/>
      <c r="AW200" s="8"/>
      <c r="AX200" s="8"/>
      <c r="AY200" s="8"/>
      <c r="AZ200" s="8"/>
      <c r="BA200" s="8"/>
      <c r="BB200" s="8"/>
      <c r="BC200" s="8"/>
    </row>
    <row r="201" spans="1:55" s="290" customFormat="1" x14ac:dyDescent="0.2">
      <c r="A201" s="8"/>
      <c r="B201" s="298" t="s">
        <v>495</v>
      </c>
      <c r="C201" s="297" t="s">
        <v>77</v>
      </c>
      <c r="D201" s="298"/>
      <c r="E201" s="284"/>
      <c r="F201" s="299">
        <f>F155*pvar!F1096</f>
        <v>273.8</v>
      </c>
      <c r="G201" s="299">
        <f>G155*pvar!G1096</f>
        <v>2749.1</v>
      </c>
      <c r="H201" s="299">
        <f>H155*pvar!H1096</f>
        <v>3548.3</v>
      </c>
      <c r="I201" s="299">
        <f>I155*pvar!I1096</f>
        <v>11762.300000000001</v>
      </c>
      <c r="J201" s="299">
        <f>J155*pvar!J1096</f>
        <v>7026.3</v>
      </c>
      <c r="K201" s="299">
        <f>K155*pvar!K1096</f>
        <v>2545.6</v>
      </c>
      <c r="L201" s="299">
        <f>L155*pvar!L1096</f>
        <v>10078.799999999999</v>
      </c>
      <c r="M201" s="299">
        <f>M155*pvar!M1096</f>
        <v>23132.399999999998</v>
      </c>
      <c r="N201" s="299">
        <f>N155*pvar!N1096</f>
        <v>13342.199999999999</v>
      </c>
      <c r="O201" s="299">
        <f>O155*pvar!O1096</f>
        <v>3970.1</v>
      </c>
      <c r="P201" s="299">
        <f>P155*pvar!P1096</f>
        <v>14552.1</v>
      </c>
      <c r="Q201" s="299">
        <f>Q155*pvar!Q1096</f>
        <v>2741.7000036999998</v>
      </c>
      <c r="R201" s="299">
        <f>R155*pvar!R1096</f>
        <v>168094.69999999998</v>
      </c>
      <c r="S201" s="299">
        <f>S155*pvar!S1096</f>
        <v>8820.7999999999993</v>
      </c>
      <c r="T201" s="299">
        <f>T155*pvar!T1096</f>
        <v>64550.2</v>
      </c>
      <c r="U201" s="299">
        <f>U155*pvar!U1096</f>
        <v>36511.599999999999</v>
      </c>
      <c r="V201" s="299">
        <f>V155*pvar!V1096</f>
        <v>25966.600000000002</v>
      </c>
      <c r="W201" s="299">
        <f>W155*pvar!W1096</f>
        <v>4118.0999999999995</v>
      </c>
      <c r="X201" s="299">
        <f>X155*pvar!X1096</f>
        <v>399.59999999999997</v>
      </c>
      <c r="Y201" s="299">
        <f>Y155*pvar!Y1096</f>
        <v>5649.9</v>
      </c>
      <c r="Z201" s="299">
        <f>Z155*pvar!Z1096</f>
        <v>717.80000000000007</v>
      </c>
      <c r="AA201" s="299">
        <f>AA155*pvar!AA1096</f>
        <v>2009.1</v>
      </c>
      <c r="AB201" s="299">
        <f>AB155*pvar!AB1096</f>
        <v>8017.9000000000005</v>
      </c>
      <c r="AC201" s="299">
        <f>AC155*pvar!AC1096</f>
        <v>9538.6</v>
      </c>
      <c r="AD201" s="299">
        <f>AD155*pvar!AD1096</f>
        <v>2216.2999999999997</v>
      </c>
      <c r="AE201" s="299">
        <f>AE155*pvar!AE1096</f>
        <v>11462.6</v>
      </c>
      <c r="AF201" s="299">
        <f>AF155*pvar!AF1096</f>
        <v>2541.9</v>
      </c>
      <c r="AG201" s="299">
        <f>AG155*pvar!AG1096</f>
        <v>13012.9</v>
      </c>
      <c r="AH201" s="299">
        <f>AH155*pvar!AH1096</f>
        <v>6678.4999999999991</v>
      </c>
      <c r="AI201" s="299">
        <f>AI155*pvar!AI1096</f>
        <v>88.8</v>
      </c>
      <c r="AJ201" s="299">
        <f>AJ155*pvar!AJ1096</f>
        <v>96.199999999999989</v>
      </c>
      <c r="AK201" s="299">
        <f>AK155*pvar!AK1096</f>
        <v>1435.6000000000001</v>
      </c>
      <c r="AL201" s="299">
        <f>AL155*pvar!AL1096</f>
        <v>37</v>
      </c>
      <c r="AM201" s="302"/>
      <c r="AN201" s="8"/>
      <c r="AO201" s="8"/>
      <c r="AP201" s="8"/>
      <c r="AQ201" s="8"/>
      <c r="AR201" s="8"/>
      <c r="AS201" s="8"/>
      <c r="AT201" s="8"/>
      <c r="AU201" s="8"/>
      <c r="AV201" s="8"/>
      <c r="AW201" s="8"/>
      <c r="AX201" s="8"/>
      <c r="AY201" s="8"/>
      <c r="AZ201" s="8"/>
      <c r="BA201" s="8"/>
      <c r="BB201" s="8"/>
      <c r="BC201" s="8"/>
    </row>
    <row r="202" spans="1:55" s="290" customFormat="1" x14ac:dyDescent="0.2">
      <c r="A202" s="8"/>
      <c r="B202" s="298" t="s">
        <v>496</v>
      </c>
      <c r="C202" s="297" t="s">
        <v>77</v>
      </c>
      <c r="D202" s="298"/>
      <c r="E202" s="284"/>
      <c r="F202" s="299">
        <f>F156*pvar!F1097</f>
        <v>45499.899999999994</v>
      </c>
      <c r="G202" s="299">
        <f>G156*pvar!G1097</f>
        <v>211763.53333333333</v>
      </c>
      <c r="H202" s="299">
        <f>H156*pvar!H1097</f>
        <v>300923.16666666663</v>
      </c>
      <c r="I202" s="299">
        <f>I156*pvar!I1097</f>
        <v>671571.3666666667</v>
      </c>
      <c r="J202" s="299">
        <f>J156*pvar!J1097</f>
        <v>928855.1333333333</v>
      </c>
      <c r="K202" s="299">
        <f>K156*pvar!K1097</f>
        <v>422134.23333333328</v>
      </c>
      <c r="L202" s="299">
        <f>L156*pvar!L1097</f>
        <v>1931109.5333333332</v>
      </c>
      <c r="M202" s="299">
        <f>M156*pvar!M1097</f>
        <v>2350988.7999999998</v>
      </c>
      <c r="N202" s="299">
        <f>N156*pvar!N1097</f>
        <v>1050747.3666666665</v>
      </c>
      <c r="O202" s="299">
        <f>O156*pvar!O1097</f>
        <v>174531.16666666666</v>
      </c>
      <c r="P202" s="299">
        <f>P156*pvar!P1097</f>
        <v>607074.03333333333</v>
      </c>
      <c r="Q202" s="299">
        <f>Q156*pvar!Q1097</f>
        <v>480147.26666666666</v>
      </c>
      <c r="R202" s="299">
        <f>R156*pvar!R1097</f>
        <v>39905620.5</v>
      </c>
      <c r="S202" s="299">
        <f>S156*pvar!S1097</f>
        <v>1916247.9</v>
      </c>
      <c r="T202" s="299">
        <f>T156*pvar!T1097</f>
        <v>7537434.5</v>
      </c>
      <c r="U202" s="299">
        <f>U156*pvar!U1097</f>
        <v>1664934</v>
      </c>
      <c r="V202" s="299">
        <f>V156*pvar!V1097</f>
        <v>2277945.3666666667</v>
      </c>
      <c r="W202" s="299">
        <f>W156*pvar!W1097</f>
        <v>518815.16666666669</v>
      </c>
      <c r="X202" s="299">
        <f>X156*pvar!X1097</f>
        <v>193914.93333333332</v>
      </c>
      <c r="Y202" s="299">
        <f>Y156*pvar!Y1097</f>
        <v>874925.03333333333</v>
      </c>
      <c r="Z202" s="299">
        <f>Z156*pvar!Z1097</f>
        <v>61481.899999999994</v>
      </c>
      <c r="AA202" s="299">
        <f>AA156*pvar!AA1097</f>
        <v>566411.43333333323</v>
      </c>
      <c r="AB202" s="299">
        <f>AB156*pvar!AB1097</f>
        <v>1145763</v>
      </c>
      <c r="AC202" s="299">
        <f>AC156*pvar!AC1097</f>
        <v>1063829.8333333333</v>
      </c>
      <c r="AD202" s="299">
        <f>AD156*pvar!AD1097</f>
        <v>92644.766666666663</v>
      </c>
      <c r="AE202" s="299">
        <f>AE156*pvar!AE1097</f>
        <v>1421741.2333333334</v>
      </c>
      <c r="AF202" s="299">
        <f>AF156*pvar!AF1097</f>
        <v>435967</v>
      </c>
      <c r="AG202" s="299">
        <f>AG156*pvar!AG1097</f>
        <v>706243.7666666666</v>
      </c>
      <c r="AH202" s="299">
        <f>AH156*pvar!AH1097</f>
        <v>579603.69999999995</v>
      </c>
      <c r="AI202" s="299">
        <f>AI156*pvar!AI1097</f>
        <v>38432.033333333333</v>
      </c>
      <c r="AJ202" s="299">
        <f>AJ156*pvar!AJ1097</f>
        <v>921.09999999999991</v>
      </c>
      <c r="AK202" s="299">
        <f>AK156*pvar!AK1097</f>
        <v>34578.866666666669</v>
      </c>
      <c r="AL202" s="299">
        <f>AL156*pvar!AL1097</f>
        <v>3025.6</v>
      </c>
      <c r="AM202" s="302"/>
      <c r="AN202" s="8"/>
      <c r="AO202" s="8"/>
      <c r="AP202" s="8"/>
      <c r="AQ202" s="8"/>
      <c r="AR202" s="8"/>
      <c r="AS202" s="8"/>
      <c r="AT202" s="8"/>
      <c r="AU202" s="8"/>
      <c r="AV202" s="8"/>
      <c r="AW202" s="8"/>
      <c r="AX202" s="8"/>
      <c r="AY202" s="8"/>
      <c r="AZ202" s="8"/>
      <c r="BA202" s="8"/>
      <c r="BB202" s="8"/>
      <c r="BC202" s="8"/>
    </row>
    <row r="203" spans="1:55" s="290" customFormat="1" x14ac:dyDescent="0.2">
      <c r="A203" s="8"/>
      <c r="C203" s="297"/>
      <c r="D203" s="298"/>
      <c r="E203" s="284"/>
      <c r="F203" s="299"/>
      <c r="G203" s="299"/>
      <c r="H203" s="299"/>
      <c r="I203" s="299"/>
      <c r="J203" s="299"/>
      <c r="K203" s="299"/>
      <c r="L203" s="299"/>
      <c r="M203" s="299"/>
      <c r="N203" s="299"/>
      <c r="O203" s="299"/>
      <c r="P203" s="299"/>
      <c r="Q203" s="299"/>
      <c r="R203" s="299"/>
      <c r="S203" s="299"/>
      <c r="T203" s="299"/>
      <c r="U203" s="299"/>
      <c r="V203" s="299"/>
      <c r="W203" s="299"/>
      <c r="X203" s="299"/>
      <c r="Y203" s="299"/>
      <c r="Z203" s="299"/>
      <c r="AA203" s="299"/>
      <c r="AB203" s="299"/>
      <c r="AC203" s="299"/>
      <c r="AD203" s="299"/>
      <c r="AE203" s="299"/>
      <c r="AF203" s="299"/>
      <c r="AG203" s="299"/>
      <c r="AH203" s="299"/>
      <c r="AI203" s="299"/>
      <c r="AJ203" s="299"/>
      <c r="AK203" s="299"/>
      <c r="AL203" s="299"/>
      <c r="AM203" s="82"/>
      <c r="AN203" s="8"/>
      <c r="AO203" s="8"/>
      <c r="AP203" s="8"/>
      <c r="AQ203" s="8"/>
      <c r="AR203" s="8"/>
      <c r="AS203" s="8"/>
      <c r="AT203" s="8"/>
      <c r="AU203" s="8"/>
      <c r="AV203" s="8"/>
      <c r="AW203" s="8"/>
      <c r="AX203" s="8"/>
      <c r="AY203" s="8"/>
      <c r="AZ203" s="8"/>
      <c r="BA203" s="8"/>
      <c r="BB203" s="8"/>
      <c r="BC203" s="8"/>
    </row>
    <row r="204" spans="1:55" s="290" customFormat="1" x14ac:dyDescent="0.2">
      <c r="A204" s="8"/>
      <c r="B204" s="296" t="s">
        <v>497</v>
      </c>
      <c r="C204" s="297" t="s">
        <v>77</v>
      </c>
      <c r="D204" s="298"/>
      <c r="E204" s="284"/>
      <c r="F204" s="299">
        <f>F158*pvar!F1099</f>
        <v>50528.526854499694</v>
      </c>
      <c r="G204" s="299">
        <f>G158*pvar!G1099</f>
        <v>62530.012306358884</v>
      </c>
      <c r="H204" s="299">
        <f>H158*pvar!H1099</f>
        <v>69586.81781998236</v>
      </c>
      <c r="I204" s="299">
        <f>I158*pvar!I1099</f>
        <v>12828.443246323919</v>
      </c>
      <c r="J204" s="299">
        <f>J158*pvar!J1099</f>
        <v>59407.258201745157</v>
      </c>
      <c r="K204" s="299">
        <f>K158*pvar!K1099</f>
        <v>66838.795626873543</v>
      </c>
      <c r="L204" s="299">
        <f>L158*pvar!L1099</f>
        <v>35306.154534714595</v>
      </c>
      <c r="M204" s="299">
        <f>M158*pvar!M1099</f>
        <v>296338.67644879251</v>
      </c>
      <c r="N204" s="299">
        <f>N158*pvar!N1099</f>
        <v>38482.148380800696</v>
      </c>
      <c r="O204" s="299">
        <f>O158*pvar!O1099</f>
        <v>34465.301138085422</v>
      </c>
      <c r="P204" s="299">
        <f>P158*pvar!P1099</f>
        <v>52117.289665079363</v>
      </c>
      <c r="Q204" s="299">
        <f>Q158*pvar!Q1099</f>
        <v>28328.89742302326</v>
      </c>
      <c r="R204" s="299">
        <f>R158*pvar!R1099</f>
        <v>2766813.6174903973</v>
      </c>
      <c r="S204" s="299">
        <f>S158*pvar!S1099</f>
        <v>544192.48874141823</v>
      </c>
      <c r="T204" s="299">
        <f>T158*pvar!T1099</f>
        <v>1554497.8214763287</v>
      </c>
      <c r="U204" s="299">
        <f>U158*pvar!U1099</f>
        <v>358900.57510184794</v>
      </c>
      <c r="V204" s="299">
        <f>V158*pvar!V1099</f>
        <v>168994.69961793671</v>
      </c>
      <c r="W204" s="299">
        <f>W158*pvar!W1099</f>
        <v>23530.474495579867</v>
      </c>
      <c r="X204" s="299">
        <f>X158*pvar!X1099</f>
        <v>26184.347541950679</v>
      </c>
      <c r="Y204" s="299">
        <f>Y158*pvar!Y1099</f>
        <v>33845.203287748533</v>
      </c>
      <c r="Z204" s="299">
        <f>Z158*pvar!Z1099</f>
        <v>561.85117884894362</v>
      </c>
      <c r="AA204" s="299">
        <f>AA158*pvar!AA1099</f>
        <v>51862.147761281893</v>
      </c>
      <c r="AB204" s="299">
        <f>AB158*pvar!AB1099</f>
        <v>24698.691783678285</v>
      </c>
      <c r="AC204" s="299">
        <f>AC158*pvar!AC1099</f>
        <v>65864.670292062743</v>
      </c>
      <c r="AD204" s="299">
        <f>AD158*pvar!AD1099</f>
        <v>18283.55144877356</v>
      </c>
      <c r="AE204" s="299">
        <f>AE158*pvar!AE1099</f>
        <v>24646.096165187922</v>
      </c>
      <c r="AF204" s="299">
        <f>AF158*pvar!AF1099</f>
        <v>32345.038306979674</v>
      </c>
      <c r="AG204" s="299">
        <f>AG158*pvar!AG1099</f>
        <v>61361.381658876715</v>
      </c>
      <c r="AH204" s="299">
        <f>AH158*pvar!AH1099</f>
        <v>26258.116964303095</v>
      </c>
      <c r="AI204" s="299">
        <f>AI158*pvar!AI1099</f>
        <v>304.15635996725217</v>
      </c>
      <c r="AJ204" s="299">
        <f>AJ158*pvar!AJ1099</f>
        <v>201.71055003375318</v>
      </c>
      <c r="AK204" s="299">
        <f>AK158*pvar!AK1099</f>
        <v>2884.6590495600267</v>
      </c>
      <c r="AL204" s="299">
        <f>AL158*pvar!AL1099</f>
        <v>1353.5525166353577</v>
      </c>
      <c r="AM204" s="82"/>
      <c r="AN204" s="8"/>
      <c r="AO204" s="8"/>
      <c r="AP204" s="8"/>
      <c r="AQ204" s="8"/>
      <c r="AR204" s="8"/>
      <c r="AS204" s="8"/>
      <c r="AT204" s="8"/>
      <c r="AU204" s="8"/>
      <c r="AV204" s="8"/>
      <c r="AW204" s="8"/>
      <c r="AX204" s="8"/>
      <c r="AY204" s="8"/>
      <c r="AZ204" s="8"/>
      <c r="BA204" s="8"/>
      <c r="BB204" s="8"/>
      <c r="BC204" s="8"/>
    </row>
    <row r="205" spans="1:55" s="290" customFormat="1" x14ac:dyDescent="0.2">
      <c r="A205" s="8"/>
      <c r="B205" s="296" t="s">
        <v>498</v>
      </c>
      <c r="C205" s="297" t="s">
        <v>77</v>
      </c>
      <c r="D205" s="298"/>
      <c r="E205" s="284"/>
      <c r="F205" s="299">
        <f>F159*pvar!F1100</f>
        <v>537827.05984473322</v>
      </c>
      <c r="G205" s="299">
        <f>G159*pvar!G1100</f>
        <v>172419.91096904609</v>
      </c>
      <c r="H205" s="299">
        <f>H159*pvar!H1100</f>
        <v>191878.30756144685</v>
      </c>
      <c r="I205" s="299">
        <f>I159*pvar!I1100</f>
        <v>1851928.3208651505</v>
      </c>
      <c r="J205" s="299">
        <f>J159*pvar!J1100</f>
        <v>518279.51903001365</v>
      </c>
      <c r="K205" s="299">
        <f>K159*pvar!K1100</f>
        <v>184300.9263264107</v>
      </c>
      <c r="L205" s="299">
        <f>L159*pvar!L1100</f>
        <v>308017.1909114244</v>
      </c>
      <c r="M205" s="299">
        <f>M159*pvar!M1100</f>
        <v>1387981.4721365084</v>
      </c>
      <c r="N205" s="299">
        <f>N159*pvar!N1100</f>
        <v>343911.93338851328</v>
      </c>
      <c r="O205" s="299">
        <f>O159*pvar!O1100</f>
        <v>156964.69947281375</v>
      </c>
      <c r="P205" s="299">
        <f>P159*pvar!P1100</f>
        <v>377358.07885625871</v>
      </c>
      <c r="Q205" s="299">
        <f>Q159*pvar!Q1100</f>
        <v>712963.67363801191</v>
      </c>
      <c r="R205" s="299">
        <f>R159*pvar!R1100</f>
        <v>13154003.923056811</v>
      </c>
      <c r="S205" s="299">
        <f>S159*pvar!S1100</f>
        <v>1286537.0064309991</v>
      </c>
      <c r="T205" s="299">
        <f>T159*pvar!T1100</f>
        <v>2977612.9804178528</v>
      </c>
      <c r="U205" s="299">
        <f>U159*pvar!U1100</f>
        <v>1141881.1829021003</v>
      </c>
      <c r="V205" s="299">
        <f>V159*pvar!V1100</f>
        <v>1235821.5168135697</v>
      </c>
      <c r="W205" s="299">
        <f>W159*pvar!W1100</f>
        <v>128446.88057983202</v>
      </c>
      <c r="X205" s="299">
        <f>X159*pvar!X1100</f>
        <v>601264.17927075562</v>
      </c>
      <c r="Y205" s="299">
        <f>Y159*pvar!Y1100</f>
        <v>777178.36369444919</v>
      </c>
      <c r="Z205" s="299">
        <f>Z159*pvar!Z1100</f>
        <v>200081.44757898495</v>
      </c>
      <c r="AA205" s="299">
        <f>AA159*pvar!AA1100</f>
        <v>1190896.6476612373</v>
      </c>
      <c r="AB205" s="299">
        <f>AB159*pvar!AB1100</f>
        <v>283060.24700897594</v>
      </c>
      <c r="AC205" s="299">
        <f>AC159*pvar!AC1100</f>
        <v>622293.08822296187</v>
      </c>
      <c r="AD205" s="299">
        <f>AD159*pvar!AD1100</f>
        <v>100733.56453299653</v>
      </c>
      <c r="AE205" s="299">
        <f>AE159*pvar!AE1100</f>
        <v>218670.58259963768</v>
      </c>
      <c r="AF205" s="299">
        <f>AF159*pvar!AF1100</f>
        <v>178205.5861929899</v>
      </c>
      <c r="AG205" s="299">
        <f>AG159*pvar!AG1100</f>
        <v>366430.58499814704</v>
      </c>
      <c r="AH205" s="299">
        <f>AH159*pvar!AH1100</f>
        <v>194371.6369210316</v>
      </c>
      <c r="AI205" s="299">
        <f>AI159*pvar!AI1100</f>
        <v>108313.45929944923</v>
      </c>
      <c r="AJ205" s="299">
        <f>AJ159*pvar!AJ1100</f>
        <v>71831.368095353217</v>
      </c>
      <c r="AK205" s="299">
        <f>AK159*pvar!AK1100</f>
        <v>74900.507647296967</v>
      </c>
      <c r="AL205" s="299">
        <f>AL159*pvar!AL1100</f>
        <v>28959.72826289602</v>
      </c>
      <c r="AM205" s="82"/>
      <c r="AN205" s="8"/>
      <c r="AO205" s="8"/>
      <c r="AP205" s="8"/>
      <c r="AQ205" s="8"/>
      <c r="AR205" s="8"/>
      <c r="AS205" s="8"/>
      <c r="AT205" s="8"/>
      <c r="AU205" s="8"/>
      <c r="AV205" s="8"/>
      <c r="AW205" s="8"/>
      <c r="AX205" s="8"/>
      <c r="AY205" s="8"/>
      <c r="AZ205" s="8"/>
      <c r="BA205" s="8"/>
      <c r="BB205" s="8"/>
      <c r="BC205" s="8"/>
    </row>
    <row r="206" spans="1:55" s="290" customFormat="1" x14ac:dyDescent="0.2">
      <c r="A206" s="8"/>
      <c r="B206" s="296" t="s">
        <v>499</v>
      </c>
      <c r="C206" s="297" t="s">
        <v>77</v>
      </c>
      <c r="D206" s="298"/>
      <c r="E206" s="284"/>
      <c r="F206" s="299">
        <f>F160*pvar!F1101</f>
        <v>10545.31621774294</v>
      </c>
      <c r="G206" s="299">
        <f>G160*pvar!G1101</f>
        <v>31281.57557161705</v>
      </c>
      <c r="H206" s="299">
        <f>H160*pvar!H1101</f>
        <v>34811.848265105204</v>
      </c>
      <c r="I206" s="299">
        <f>I160*pvar!I1101</f>
        <v>106634.64359414116</v>
      </c>
      <c r="J206" s="299">
        <f>J160*pvar!J1101</f>
        <v>144292.68011580265</v>
      </c>
      <c r="K206" s="299">
        <f>K160*pvar!K1101</f>
        <v>33437.108988147273</v>
      </c>
      <c r="L206" s="299">
        <f>L160*pvar!L1101</f>
        <v>85754.162312897577</v>
      </c>
      <c r="M206" s="299">
        <f>M160*pvar!M1101</f>
        <v>189425.3037977998</v>
      </c>
      <c r="N206" s="299">
        <f>N160*pvar!N1101</f>
        <v>37069.605283193181</v>
      </c>
      <c r="O206" s="299">
        <f>O160*pvar!O1101</f>
        <v>13025.091121450632</v>
      </c>
      <c r="P206" s="299">
        <f>P160*pvar!P1101</f>
        <v>165727.55267644368</v>
      </c>
      <c r="Q206" s="299">
        <f>Q160*pvar!Q1101</f>
        <v>121447.17870281302</v>
      </c>
      <c r="R206" s="299">
        <f>R160*pvar!R1101</f>
        <v>3548347.5879428689</v>
      </c>
      <c r="S206" s="299">
        <f>S160*pvar!S1101</f>
        <v>289637.45229530311</v>
      </c>
      <c r="T206" s="299">
        <f>T160*pvar!T1101</f>
        <v>756192.29121011926</v>
      </c>
      <c r="U206" s="299">
        <f>U160*pvar!U1101</f>
        <v>199246.04334734852</v>
      </c>
      <c r="V206" s="299">
        <f>V160*pvar!V1101</f>
        <v>191887.03399491697</v>
      </c>
      <c r="W206" s="299">
        <f>W160*pvar!W1101</f>
        <v>8795.5412560512523</v>
      </c>
      <c r="X206" s="299">
        <f>X160*pvar!X1101</f>
        <v>97026.450749409269</v>
      </c>
      <c r="Y206" s="299">
        <f>Y160*pvar!Y1101</f>
        <v>125413.85438920258</v>
      </c>
      <c r="Z206" s="299">
        <f>Z160*pvar!Z1101</f>
        <v>9975.5070139656909</v>
      </c>
      <c r="AA206" s="299">
        <f>AA160*pvar!AA1101</f>
        <v>192175.88360590974</v>
      </c>
      <c r="AB206" s="299">
        <f>AB160*pvar!AB1101</f>
        <v>36048.900061269575</v>
      </c>
      <c r="AC206" s="299">
        <f>AC160*pvar!AC1101</f>
        <v>63102.416305945662</v>
      </c>
      <c r="AD206" s="299">
        <f>AD160*pvar!AD1101</f>
        <v>11720.37475663109</v>
      </c>
      <c r="AE206" s="299">
        <f>AE160*pvar!AE1101</f>
        <v>20077.226441877468</v>
      </c>
      <c r="AF206" s="299">
        <f>AF160*pvar!AF1101</f>
        <v>20734.263337050943</v>
      </c>
      <c r="AG206" s="299">
        <f>AG160*pvar!AG1101</f>
        <v>40798.557662550906</v>
      </c>
      <c r="AH206" s="299">
        <f>AH160*pvar!AH1101</f>
        <v>394183.04759690614</v>
      </c>
      <c r="AI206" s="299">
        <f>AI160*pvar!AI1101</f>
        <v>5400.2091949180267</v>
      </c>
      <c r="AJ206" s="299">
        <f>AJ160*pvar!AJ1101</f>
        <v>3581.3131348676284</v>
      </c>
      <c r="AK206" s="299">
        <f>AK160*pvar!AK1101</f>
        <v>14636.499768701111</v>
      </c>
      <c r="AL206" s="299">
        <f>AL160*pvar!AL1101</f>
        <v>5935.0534017775972</v>
      </c>
      <c r="AM206" s="82"/>
      <c r="AN206" s="8"/>
      <c r="AO206" s="8"/>
      <c r="AP206" s="8"/>
      <c r="AQ206" s="8"/>
      <c r="AR206" s="8"/>
      <c r="AS206" s="8"/>
      <c r="AT206" s="8"/>
      <c r="AU206" s="8"/>
      <c r="AV206" s="8"/>
      <c r="AW206" s="8"/>
      <c r="AX206" s="8"/>
      <c r="AY206" s="8"/>
      <c r="AZ206" s="8"/>
      <c r="BA206" s="8"/>
      <c r="BB206" s="8"/>
      <c r="BC206" s="8"/>
    </row>
    <row r="207" spans="1:55" s="290" customFormat="1" x14ac:dyDescent="0.2">
      <c r="A207" s="8"/>
      <c r="B207" s="296" t="s">
        <v>500</v>
      </c>
      <c r="C207" s="297" t="s">
        <v>77</v>
      </c>
      <c r="D207" s="298"/>
      <c r="E207" s="284"/>
      <c r="F207" s="299">
        <f>F161*pvar!F1102</f>
        <v>175152.9242144177</v>
      </c>
      <c r="G207" s="299">
        <f>G161*pvar!G1102</f>
        <v>298614.02993677871</v>
      </c>
      <c r="H207" s="299">
        <f>H161*pvar!H1102</f>
        <v>332314.02542980516</v>
      </c>
      <c r="I207" s="299">
        <f>I161*pvar!I1102</f>
        <v>736795.85035951808</v>
      </c>
      <c r="J207" s="299">
        <f>J161*pvar!J1102</f>
        <v>714218.46034002758</v>
      </c>
      <c r="K207" s="299">
        <f>K161*pvar!K1102</f>
        <v>319190.75947841688</v>
      </c>
      <c r="L207" s="299">
        <f>L161*pvar!L1102</f>
        <v>424465.09223969182</v>
      </c>
      <c r="M207" s="299">
        <f>M161*pvar!M1102</f>
        <v>1839053.7366079208</v>
      </c>
      <c r="N207" s="299">
        <f>N161*pvar!N1102</f>
        <v>1121569.4366548068</v>
      </c>
      <c r="O207" s="299">
        <f>O161*pvar!O1102</f>
        <v>601908.3426643787</v>
      </c>
      <c r="P207" s="299">
        <f>P161*pvar!P1102</f>
        <v>164750.61737532768</v>
      </c>
      <c r="Q207" s="299">
        <f>Q161*pvar!Q1102</f>
        <v>432217.37949771213</v>
      </c>
      <c r="R207" s="299">
        <f>R161*pvar!R1102</f>
        <v>14500154.303204386</v>
      </c>
      <c r="S207" s="299">
        <f>S161*pvar!S1102</f>
        <v>2968141.4561154498</v>
      </c>
      <c r="T207" s="299">
        <f>T161*pvar!T1102</f>
        <v>7924171.3868375011</v>
      </c>
      <c r="U207" s="299">
        <f>U161*pvar!U1102</f>
        <v>1892235.8001511118</v>
      </c>
      <c r="V207" s="299">
        <f>V161*pvar!V1102</f>
        <v>2252485.2353873327</v>
      </c>
      <c r="W207" s="299">
        <f>W161*pvar!W1102</f>
        <v>63646.503147071024</v>
      </c>
      <c r="X207" s="299">
        <f>X161*pvar!X1102</f>
        <v>389089.95915507077</v>
      </c>
      <c r="Y207" s="299">
        <f>Y161*pvar!Y1102</f>
        <v>502927.5120843469</v>
      </c>
      <c r="Z207" s="299">
        <f>Z161*pvar!Z1102</f>
        <v>102053.25772613457</v>
      </c>
      <c r="AA207" s="299">
        <f>AA161*pvar!AA1102</f>
        <v>770652.80781971</v>
      </c>
      <c r="AB207" s="299">
        <f>AB161*pvar!AB1102</f>
        <v>472924.24091894488</v>
      </c>
      <c r="AC207" s="299">
        <f>AC161*pvar!AC1102</f>
        <v>1090732.4410441217</v>
      </c>
      <c r="AD207" s="299">
        <f>AD161*pvar!AD1102</f>
        <v>245313.75077498853</v>
      </c>
      <c r="AE207" s="299">
        <f>AE161*pvar!AE1102</f>
        <v>389903.37235588784</v>
      </c>
      <c r="AF207" s="299">
        <f>AF161*pvar!AF1102</f>
        <v>433979.28943274956</v>
      </c>
      <c r="AG207" s="299">
        <f>AG161*pvar!AG1102</f>
        <v>843560.23448184016</v>
      </c>
      <c r="AH207" s="299">
        <f>AH161*pvar!AH1102</f>
        <v>428496.06867730943</v>
      </c>
      <c r="AI207" s="299">
        <f>AI161*pvar!AI1102</f>
        <v>55246.20853581273</v>
      </c>
      <c r="AJ207" s="299">
        <f>AJ161*pvar!AJ1102</f>
        <v>36638.205139744692</v>
      </c>
      <c r="AK207" s="299">
        <f>AK161*pvar!AK1102</f>
        <v>109031.34302599569</v>
      </c>
      <c r="AL207" s="299">
        <f>AL161*pvar!AL1102</f>
        <v>42662.355952993516</v>
      </c>
      <c r="AM207" s="82"/>
      <c r="AN207" s="8"/>
      <c r="AO207" s="8"/>
      <c r="AP207" s="8"/>
      <c r="AQ207" s="8"/>
      <c r="AR207" s="8"/>
      <c r="AS207" s="8"/>
      <c r="AT207" s="8"/>
      <c r="AU207" s="8"/>
      <c r="AV207" s="8"/>
      <c r="AW207" s="8"/>
      <c r="AX207" s="8"/>
      <c r="AY207" s="8"/>
      <c r="AZ207" s="8"/>
      <c r="BA207" s="8"/>
      <c r="BB207" s="8"/>
      <c r="BC207" s="8"/>
    </row>
    <row r="208" spans="1:55" s="290" customFormat="1" x14ac:dyDescent="0.2">
      <c r="A208" s="8"/>
      <c r="B208" s="296" t="s">
        <v>501</v>
      </c>
      <c r="C208" s="297" t="s">
        <v>77</v>
      </c>
      <c r="D208" s="298"/>
      <c r="E208" s="284"/>
      <c r="F208" s="299">
        <f>F162*pvar!F1103</f>
        <v>1718.2464124756866</v>
      </c>
      <c r="G208" s="299">
        <f>G162*pvar!G1103</f>
        <v>6975.6814434522594</v>
      </c>
      <c r="H208" s="299">
        <f>H162*pvar!H1103</f>
        <v>7762.9198503512935</v>
      </c>
      <c r="I208" s="299">
        <f>I162*pvar!I1103</f>
        <v>4666.9784569959775</v>
      </c>
      <c r="J208" s="299">
        <f>J162*pvar!J1103</f>
        <v>5240.9540155461718</v>
      </c>
      <c r="K208" s="299">
        <f>K162*pvar!K1103</f>
        <v>7456.3578217889763</v>
      </c>
      <c r="L208" s="299">
        <f>L162*pvar!L1103</f>
        <v>3114.7361110964462</v>
      </c>
      <c r="M208" s="299">
        <f>M162*pvar!M1103</f>
        <v>4768.0786178212174</v>
      </c>
      <c r="N208" s="299">
        <f>N162*pvar!N1103</f>
        <v>3073.578016011787</v>
      </c>
      <c r="O208" s="299">
        <f>O162*pvar!O1103</f>
        <v>2250.3901751176618</v>
      </c>
      <c r="P208" s="299">
        <f>P162*pvar!P1103</f>
        <v>6971.9560011724025</v>
      </c>
      <c r="Q208" s="299">
        <f>Q162*pvar!Q1103</f>
        <v>19438.411085690517</v>
      </c>
      <c r="R208" s="299">
        <f>R162*pvar!R1103</f>
        <v>407601.93968623917</v>
      </c>
      <c r="S208" s="299">
        <f>S162*pvar!S1103</f>
        <v>447469.24300825712</v>
      </c>
      <c r="T208" s="299">
        <f>T162*pvar!T1103</f>
        <v>991323.68173472572</v>
      </c>
      <c r="U208" s="299">
        <f>U162*pvar!U1103</f>
        <v>153069.018658421</v>
      </c>
      <c r="V208" s="299">
        <f>V162*pvar!V1103</f>
        <v>96476.937365118123</v>
      </c>
      <c r="W208" s="299">
        <f>W162*pvar!W1103</f>
        <v>2056.2575646158898</v>
      </c>
      <c r="X208" s="299">
        <f>X162*pvar!X1103</f>
        <v>3115.6255440271134</v>
      </c>
      <c r="Y208" s="299">
        <f>Y162*pvar!Y1103</f>
        <v>4027.1761493066419</v>
      </c>
      <c r="Z208" s="299">
        <f>Z162*pvar!Z1103</f>
        <v>1279.7283512632318</v>
      </c>
      <c r="AA208" s="299">
        <f>AA162*pvar!AA1103</f>
        <v>6170.9779888264047</v>
      </c>
      <c r="AB208" s="299">
        <f>AB162*pvar!AB1103</f>
        <v>413520.58029012487</v>
      </c>
      <c r="AC208" s="299">
        <f>AC162*pvar!AC1103</f>
        <v>1229247.5396045288</v>
      </c>
      <c r="AD208" s="299">
        <f>AD162*pvar!AD1103</f>
        <v>303834.21551828861</v>
      </c>
      <c r="AE208" s="299">
        <f>AE162*pvar!AE1103</f>
        <v>473515.31863167707</v>
      </c>
      <c r="AF208" s="299">
        <f>AF162*pvar!AF1103</f>
        <v>537506.58713350678</v>
      </c>
      <c r="AG208" s="299">
        <f>AG162*pvar!AG1103</f>
        <v>1041577.9277748006</v>
      </c>
      <c r="AH208" s="299">
        <f>AH162*pvar!AH1103</f>
        <v>2037855.7132509302</v>
      </c>
      <c r="AI208" s="299">
        <f>AI162*pvar!AI1103</f>
        <v>692.77689843873441</v>
      </c>
      <c r="AJ208" s="299">
        <f>AJ162*pvar!AJ1103</f>
        <v>459.43609152147991</v>
      </c>
      <c r="AK208" s="299">
        <f>AK162*pvar!AK1103</f>
        <v>8365.7841003483536</v>
      </c>
      <c r="AL208" s="299">
        <f>AL162*pvar!AL1103</f>
        <v>3374.256892598652</v>
      </c>
      <c r="AM208" s="82"/>
      <c r="AN208" s="8"/>
      <c r="AO208" s="8"/>
      <c r="AP208" s="8"/>
      <c r="AQ208" s="8"/>
      <c r="AR208" s="8"/>
      <c r="AS208" s="8"/>
      <c r="AT208" s="8"/>
      <c r="AU208" s="8"/>
      <c r="AV208" s="8"/>
      <c r="AW208" s="8"/>
      <c r="AX208" s="8"/>
      <c r="AY208" s="8"/>
      <c r="AZ208" s="8"/>
      <c r="BA208" s="8"/>
      <c r="BB208" s="8"/>
      <c r="BC208" s="8"/>
    </row>
    <row r="209" spans="1:55" s="290" customFormat="1" x14ac:dyDescent="0.2">
      <c r="A209" s="8"/>
      <c r="B209" s="296" t="s">
        <v>502</v>
      </c>
      <c r="C209" s="297" t="s">
        <v>77</v>
      </c>
      <c r="D209" s="298"/>
      <c r="E209" s="284"/>
      <c r="F209" s="299">
        <f>F163*pvar!F1104</f>
        <v>5862.2524660935205</v>
      </c>
      <c r="G209" s="299">
        <f>G163*pvar!G1104</f>
        <v>14341.859049133398</v>
      </c>
      <c r="H209" s="299">
        <f>H163*pvar!H1104</f>
        <v>15960.405188508512</v>
      </c>
      <c r="I209" s="299">
        <f>I163*pvar!I1104</f>
        <v>5985.9071513644058</v>
      </c>
      <c r="J209" s="299">
        <f>J163*pvar!J1104</f>
        <v>40438.72473358921</v>
      </c>
      <c r="K209" s="299">
        <f>K163*pvar!K1104</f>
        <v>15330.119898232804</v>
      </c>
      <c r="L209" s="299">
        <f>L163*pvar!L1104</f>
        <v>24033.020675391901</v>
      </c>
      <c r="M209" s="299">
        <f>M163*pvar!M1104</f>
        <v>6999.9452048864687</v>
      </c>
      <c r="N209" s="299">
        <f>N163*pvar!N1104</f>
        <v>64852.989161107493</v>
      </c>
      <c r="O209" s="299">
        <f>O163*pvar!O1104</f>
        <v>59931.122582963566</v>
      </c>
      <c r="P209" s="299">
        <f>P163*pvar!P1104</f>
        <v>7151.1137065489347</v>
      </c>
      <c r="Q209" s="299">
        <f>Q163*pvar!Q1104</f>
        <v>5264.5696690411805</v>
      </c>
      <c r="R209" s="299">
        <f>R163*pvar!R1104</f>
        <v>1599467.3427160112</v>
      </c>
      <c r="S209" s="299">
        <f>S163*pvar!S1104</f>
        <v>1522314.4640924996</v>
      </c>
      <c r="T209" s="299">
        <f>T163*pvar!T1104</f>
        <v>4327178.4947998831</v>
      </c>
      <c r="U209" s="299">
        <f>U163*pvar!U1104</f>
        <v>236023.97678117204</v>
      </c>
      <c r="V209" s="299">
        <f>V163*pvar!V1104</f>
        <v>203947.59145577007</v>
      </c>
      <c r="W209" s="299">
        <f>W163*pvar!W1104</f>
        <v>2586.9046780651524</v>
      </c>
      <c r="X209" s="299">
        <f>X163*pvar!X1104</f>
        <v>65388.446927193239</v>
      </c>
      <c r="Y209" s="299">
        <f>Y163*pvar!Y1104</f>
        <v>84519.397528441928</v>
      </c>
      <c r="Z209" s="299">
        <f>Z163*pvar!Z1104</f>
        <v>2026.2365561667839</v>
      </c>
      <c r="AA209" s="299">
        <f>AA163*pvar!AA1104</f>
        <v>129511.92658078345</v>
      </c>
      <c r="AB209" s="299">
        <f>AB163*pvar!AB1104</f>
        <v>26063.377824463059</v>
      </c>
      <c r="AC209" s="299">
        <f>AC163*pvar!AC1104</f>
        <v>70252.675938441083</v>
      </c>
      <c r="AD209" s="299">
        <f>AD163*pvar!AD1104</f>
        <v>16456.083619357061</v>
      </c>
      <c r="AE209" s="299">
        <f>AE163*pvar!AE1104</f>
        <v>26368.197634488119</v>
      </c>
      <c r="AF209" s="299">
        <f>AF163*pvar!AF1104</f>
        <v>29112.104207012206</v>
      </c>
      <c r="AG209" s="299">
        <f>AG163*pvar!AG1104</f>
        <v>56660.329963975571</v>
      </c>
      <c r="AH209" s="299">
        <f>AH163*pvar!AH1104</f>
        <v>10914.293416594965</v>
      </c>
      <c r="AI209" s="299">
        <f>AI163*pvar!AI1104</f>
        <v>1096.8967558613292</v>
      </c>
      <c r="AJ209" s="299">
        <f>AJ163*pvar!AJ1104</f>
        <v>727.44047824234337</v>
      </c>
      <c r="AK209" s="299">
        <f>AK163*pvar!AK1104</f>
        <v>2807.6946638155437</v>
      </c>
      <c r="AL209" s="299">
        <f>AL163*pvar!AL1104</f>
        <v>1411.5417279795158</v>
      </c>
      <c r="AM209" s="82"/>
      <c r="AN209" s="8"/>
      <c r="AO209" s="8"/>
      <c r="AP209" s="8"/>
      <c r="AQ209" s="8"/>
      <c r="AR209" s="8"/>
      <c r="AS209" s="8"/>
      <c r="AT209" s="8"/>
      <c r="AU209" s="8"/>
      <c r="AV209" s="8"/>
      <c r="AW209" s="8"/>
      <c r="AX209" s="8"/>
      <c r="AY209" s="8"/>
      <c r="AZ209" s="8"/>
      <c r="BA209" s="8"/>
      <c r="BB209" s="8"/>
      <c r="BC209" s="8"/>
    </row>
    <row r="210" spans="1:55" s="290" customFormat="1" x14ac:dyDescent="0.2">
      <c r="A210" s="8"/>
      <c r="B210" s="296" t="s">
        <v>503</v>
      </c>
      <c r="C210" s="297" t="s">
        <v>77</v>
      </c>
      <c r="D210" s="298"/>
      <c r="E210" s="284"/>
      <c r="F210" s="299">
        <f>F164*pvar!F1105</f>
        <v>3618.3916048290271</v>
      </c>
      <c r="G210" s="299">
        <f>G164*pvar!G1105</f>
        <v>227284.59261634893</v>
      </c>
      <c r="H210" s="299">
        <f>H164*pvar!H1105</f>
        <v>252934.72616307798</v>
      </c>
      <c r="I210" s="299">
        <f>I164*pvar!I1105</f>
        <v>359742.34108924412</v>
      </c>
      <c r="J210" s="299">
        <f>J164*pvar!J1105</f>
        <v>449678.39215638582</v>
      </c>
      <c r="K210" s="299">
        <f>K164*pvar!K1105</f>
        <v>242946.19295119654</v>
      </c>
      <c r="L210" s="299">
        <f>L164*pvar!L1105</f>
        <v>267247.05507329683</v>
      </c>
      <c r="M210" s="299">
        <f>M164*pvar!M1105</f>
        <v>302596.83169158001</v>
      </c>
      <c r="N210" s="299">
        <f>N164*pvar!N1105</f>
        <v>247544.57138276947</v>
      </c>
      <c r="O210" s="299">
        <f>O164*pvar!O1105</f>
        <v>139764.4851372244</v>
      </c>
      <c r="P210" s="299">
        <f>P164*pvar!P1105</f>
        <v>29514.799579856095</v>
      </c>
      <c r="Q210" s="299">
        <f>Q164*pvar!Q1105</f>
        <v>20593.298211206151</v>
      </c>
      <c r="R210" s="299">
        <f>R164*pvar!R1105</f>
        <v>11202850.099868884</v>
      </c>
      <c r="S210" s="299">
        <f>S164*pvar!S1105</f>
        <v>2030441.4935045023</v>
      </c>
      <c r="T210" s="299">
        <f>T164*pvar!T1105</f>
        <v>5332907.8637811458</v>
      </c>
      <c r="U210" s="299">
        <f>U164*pvar!U1105</f>
        <v>1427284.6967469687</v>
      </c>
      <c r="V210" s="299">
        <f>V164*pvar!V1105</f>
        <v>804422.97197533562</v>
      </c>
      <c r="W210" s="299">
        <f>W164*pvar!W1105</f>
        <v>38641.609526950378</v>
      </c>
      <c r="X210" s="299">
        <f>X164*pvar!X1105</f>
        <v>403172.13823354454</v>
      </c>
      <c r="Y210" s="299">
        <f>Y164*pvar!Y1105</f>
        <v>521129.76871426031</v>
      </c>
      <c r="Z210" s="299">
        <f>Z164*pvar!Z1105</f>
        <v>1127.9926347375626</v>
      </c>
      <c r="AA210" s="299">
        <f>AA164*pvar!AA1105</f>
        <v>798544.74024225981</v>
      </c>
      <c r="AB210" s="299">
        <f>AB164*pvar!AB1105</f>
        <v>96245.303209810299</v>
      </c>
      <c r="AC210" s="299">
        <f>AC164*pvar!AC1105</f>
        <v>174410.69440140796</v>
      </c>
      <c r="AD210" s="299">
        <f>AD164*pvar!AD1105</f>
        <v>19436.314939409891</v>
      </c>
      <c r="AE210" s="299">
        <f>AE164*pvar!AE1105</f>
        <v>56460.027657057224</v>
      </c>
      <c r="AF210" s="299">
        <f>AF164*pvar!AF1105</f>
        <v>34384.367447600256</v>
      </c>
      <c r="AG210" s="299">
        <f>AG164*pvar!AG1105</f>
        <v>75583.882482611327</v>
      </c>
      <c r="AH210" s="299">
        <f>AH164*pvar!AH1105</f>
        <v>225179.91057614441</v>
      </c>
      <c r="AI210" s="299">
        <f>AI164*pvar!AI1105</f>
        <v>610.63524785072627</v>
      </c>
      <c r="AJ210" s="299">
        <f>AJ164*pvar!AJ1105</f>
        <v>404.96135516360329</v>
      </c>
      <c r="AK210" s="299">
        <f>AK164*pvar!AK1105</f>
        <v>37203.436189291249</v>
      </c>
      <c r="AL210" s="299">
        <f>AL164*pvar!AL1105</f>
        <v>17259.880609358912</v>
      </c>
      <c r="AM210" s="82"/>
      <c r="AN210" s="8"/>
      <c r="AO210" s="8"/>
      <c r="AP210" s="8"/>
      <c r="AQ210" s="8"/>
      <c r="AR210" s="8"/>
      <c r="AS210" s="8"/>
      <c r="AT210" s="8"/>
      <c r="AU210" s="8"/>
      <c r="AV210" s="8"/>
      <c r="AW210" s="8"/>
      <c r="AX210" s="8"/>
      <c r="AY210" s="8"/>
      <c r="AZ210" s="8"/>
      <c r="BA210" s="8"/>
      <c r="BB210" s="8"/>
      <c r="BC210" s="8"/>
    </row>
    <row r="211" spans="1:55" s="290" customFormat="1" x14ac:dyDescent="0.2">
      <c r="A211" s="8"/>
      <c r="B211" s="296" t="s">
        <v>504</v>
      </c>
      <c r="C211" s="297" t="s">
        <v>77</v>
      </c>
      <c r="D211" s="298"/>
      <c r="E211" s="284"/>
      <c r="F211" s="299">
        <f>F165*pvar!F1106</f>
        <v>3317.9930723668435</v>
      </c>
      <c r="G211" s="299">
        <f>G165*pvar!G1106</f>
        <v>3662.5846940088013</v>
      </c>
      <c r="H211" s="299">
        <f>H165*pvar!H1106</f>
        <v>4075.9245752831562</v>
      </c>
      <c r="I211" s="299">
        <f>I165*pvar!I1106</f>
        <v>4757.9390566075926</v>
      </c>
      <c r="J211" s="299">
        <f>J165*pvar!J1106</f>
        <v>8239.30545077243</v>
      </c>
      <c r="K211" s="299">
        <f>K165*pvar!K1106</f>
        <v>3914.9640436593158</v>
      </c>
      <c r="L211" s="299">
        <f>L165*pvar!L1106</f>
        <v>4896.677616661028</v>
      </c>
      <c r="M211" s="299">
        <f>M165*pvar!M1106</f>
        <v>5946.9799341864045</v>
      </c>
      <c r="N211" s="299">
        <f>N165*pvar!N1106</f>
        <v>7054.9271603863981</v>
      </c>
      <c r="O211" s="299">
        <f>O165*pvar!O1106</f>
        <v>4011.5310606365651</v>
      </c>
      <c r="P211" s="299">
        <f>P165*pvar!P1106</f>
        <v>6441.0405107008055</v>
      </c>
      <c r="Q211" s="299">
        <f>Q165*pvar!Q1106</f>
        <v>9970.5643068843601</v>
      </c>
      <c r="R211" s="299">
        <f>R165*pvar!R1106</f>
        <v>63510.931986606469</v>
      </c>
      <c r="S211" s="299">
        <f>S165*pvar!S1106</f>
        <v>62523.000512931016</v>
      </c>
      <c r="T211" s="299">
        <f>T165*pvar!T1106</f>
        <v>146169.70289696421</v>
      </c>
      <c r="U211" s="299">
        <f>U165*pvar!U1106</f>
        <v>32411.255848592056</v>
      </c>
      <c r="V211" s="299">
        <f>V165*pvar!V1106</f>
        <v>27069.794443951563</v>
      </c>
      <c r="W211" s="299">
        <f>W165*pvar!W1106</f>
        <v>933.20699261766788</v>
      </c>
      <c r="X211" s="299">
        <f>X165*pvar!X1106</f>
        <v>5118.5765581644646</v>
      </c>
      <c r="Y211" s="299">
        <f>Y165*pvar!Y1106</f>
        <v>6616.1382817513004</v>
      </c>
      <c r="Z211" s="299">
        <f>Z165*pvar!Z1106</f>
        <v>1125.2783778349108</v>
      </c>
      <c r="AA211" s="299">
        <f>AA165*pvar!AA1106</f>
        <v>10138.132079161322</v>
      </c>
      <c r="AB211" s="299">
        <f>AB165*pvar!AB1106</f>
        <v>51408.949585527655</v>
      </c>
      <c r="AC211" s="299">
        <f>AC165*pvar!AC1106</f>
        <v>152497.09692806893</v>
      </c>
      <c r="AD211" s="299">
        <f>AD165*pvar!AD1106</f>
        <v>19272.836398352876</v>
      </c>
      <c r="AE211" s="299">
        <f>AE165*pvar!AE1106</f>
        <v>58711.989368916278</v>
      </c>
      <c r="AF211" s="299">
        <f>AF165*pvar!AF1106</f>
        <v>34095.16107061856</v>
      </c>
      <c r="AG211" s="299">
        <f>AG165*pvar!AG1106</f>
        <v>75881.16057089901</v>
      </c>
      <c r="AH211" s="299">
        <f>AH165*pvar!AH1106</f>
        <v>797964.82500412036</v>
      </c>
      <c r="AI211" s="299">
        <f>AI165*pvar!AI1106</f>
        <v>609.16589345474904</v>
      </c>
      <c r="AJ211" s="299">
        <f>AJ165*pvar!AJ1106</f>
        <v>403.98690806199107</v>
      </c>
      <c r="AK211" s="299">
        <f>AK165*pvar!AK1106</f>
        <v>1142.0461053380609</v>
      </c>
      <c r="AL211" s="299">
        <f>AL165*pvar!AL1106</f>
        <v>1103.2739942828398</v>
      </c>
      <c r="AM211" s="82"/>
      <c r="AN211" s="8"/>
      <c r="AO211" s="8"/>
      <c r="AP211" s="8"/>
      <c r="AQ211" s="8"/>
      <c r="AR211" s="8"/>
      <c r="AS211" s="8"/>
      <c r="AT211" s="8"/>
      <c r="AU211" s="8"/>
      <c r="AV211" s="8"/>
      <c r="AW211" s="8"/>
      <c r="AX211" s="8"/>
      <c r="AY211" s="8"/>
      <c r="AZ211" s="8"/>
      <c r="BA211" s="8"/>
      <c r="BB211" s="8"/>
      <c r="BC211" s="8"/>
    </row>
    <row r="212" spans="1:55" s="290" customFormat="1" x14ac:dyDescent="0.2">
      <c r="A212" s="8"/>
      <c r="B212" s="296" t="s">
        <v>505</v>
      </c>
      <c r="C212" s="297" t="s">
        <v>77</v>
      </c>
      <c r="D212" s="298"/>
      <c r="E212" s="284"/>
      <c r="F212" s="299">
        <f>F166*pvar!F1107</f>
        <v>5192.0815964347912</v>
      </c>
      <c r="G212" s="299">
        <f>G166*pvar!G1107</f>
        <v>27326.337349847381</v>
      </c>
      <c r="H212" s="299">
        <f>H166*pvar!H1107</f>
        <v>30410.242837227685</v>
      </c>
      <c r="I212" s="299">
        <f>I166*pvar!I1107</f>
        <v>14740.281783215682</v>
      </c>
      <c r="J212" s="299">
        <f>J166*pvar!J1107</f>
        <v>63567.006298574372</v>
      </c>
      <c r="K212" s="299">
        <f>K166*pvar!K1107</f>
        <v>29209.32541015527</v>
      </c>
      <c r="L212" s="299">
        <f>L166*pvar!L1107</f>
        <v>37778.322306426759</v>
      </c>
      <c r="M212" s="299">
        <f>M166*pvar!M1107</f>
        <v>40532.749512219489</v>
      </c>
      <c r="N212" s="299">
        <f>N166*pvar!N1107</f>
        <v>21206.836810332228</v>
      </c>
      <c r="O212" s="299">
        <f>O166*pvar!O1107</f>
        <v>19764.07769375217</v>
      </c>
      <c r="P212" s="299">
        <f>P166*pvar!P1107</f>
        <v>6521.1456819762589</v>
      </c>
      <c r="Q212" s="299">
        <f>Q166*pvar!Q1107</f>
        <v>1891.1754627703824</v>
      </c>
      <c r="R212" s="299">
        <f>R166*pvar!R1107</f>
        <v>469895.87697846646</v>
      </c>
      <c r="S212" s="299">
        <f>S166*pvar!S1107</f>
        <v>431995.14886709343</v>
      </c>
      <c r="T212" s="299">
        <f>T166*pvar!T1107</f>
        <v>1042467.0514903252</v>
      </c>
      <c r="U212" s="299">
        <f>U166*pvar!U1107</f>
        <v>225510.23467881375</v>
      </c>
      <c r="V212" s="299">
        <f>V166*pvar!V1107</f>
        <v>161222.56307895295</v>
      </c>
      <c r="W212" s="299">
        <f>W166*pvar!W1107</f>
        <v>4267.8317925689407</v>
      </c>
      <c r="X212" s="299">
        <f>X166*pvar!X1107</f>
        <v>29099.635623031561</v>
      </c>
      <c r="Y212" s="299">
        <f>Y166*pvar!Y1107</f>
        <v>37613.42846840094</v>
      </c>
      <c r="Z212" s="299">
        <f>Z166*pvar!Z1107</f>
        <v>4620.5408150563271</v>
      </c>
      <c r="AA212" s="299">
        <f>AA166*pvar!AA1107</f>
        <v>57636.326437511634</v>
      </c>
      <c r="AB212" s="299">
        <f>AB166*pvar!AB1107</f>
        <v>45539.300080551991</v>
      </c>
      <c r="AC212" s="299">
        <f>AC166*pvar!AC1107</f>
        <v>119734.98408686879</v>
      </c>
      <c r="AD212" s="299">
        <f>AD166*pvar!AD1107</f>
        <v>21982.16370359245</v>
      </c>
      <c r="AE212" s="299">
        <f>AE166*pvar!AE1107</f>
        <v>44621.404134179749</v>
      </c>
      <c r="AF212" s="299">
        <f>AF166*pvar!AF1107</f>
        <v>38888.173835105219</v>
      </c>
      <c r="AG212" s="299">
        <f>AG166*pvar!AG1107</f>
        <v>78903.10239840475</v>
      </c>
      <c r="AH212" s="299">
        <f>AH166*pvar!AH1107</f>
        <v>28627.110146564657</v>
      </c>
      <c r="AI212" s="299">
        <f>AI166*pvar!AI1107</f>
        <v>2501.3151672419876</v>
      </c>
      <c r="AJ212" s="299">
        <f>AJ166*pvar!AJ1107</f>
        <v>1658.8233047189069</v>
      </c>
      <c r="AK212" s="299">
        <f>AK166*pvar!AK1107</f>
        <v>5857.1967498356371</v>
      </c>
      <c r="AL212" s="299">
        <f>AL166*pvar!AL1107</f>
        <v>2399.5657517911532</v>
      </c>
      <c r="AM212" s="82"/>
      <c r="AN212" s="8"/>
      <c r="AO212" s="8"/>
      <c r="AP212" s="8"/>
      <c r="AQ212" s="8"/>
      <c r="AR212" s="8"/>
      <c r="AS212" s="8"/>
      <c r="AT212" s="8"/>
      <c r="AU212" s="8"/>
      <c r="AV212" s="8"/>
      <c r="AW212" s="8"/>
      <c r="AX212" s="8"/>
      <c r="AY212" s="8"/>
      <c r="AZ212" s="8"/>
      <c r="BA212" s="8"/>
      <c r="BB212" s="8"/>
      <c r="BC212" s="8"/>
    </row>
    <row r="213" spans="1:55" s="290" customFormat="1" x14ac:dyDescent="0.2">
      <c r="A213" s="8"/>
      <c r="B213" s="296" t="s">
        <v>506</v>
      </c>
      <c r="C213" s="297" t="s">
        <v>77</v>
      </c>
      <c r="D213" s="298"/>
      <c r="E213" s="284"/>
      <c r="F213" s="299">
        <f>F167*pvar!F1108</f>
        <v>171.94081747559272</v>
      </c>
      <c r="G213" s="299">
        <f>G167*pvar!G1108</f>
        <v>7522.8948667876248</v>
      </c>
      <c r="H213" s="299">
        <f>H167*pvar!H1108</f>
        <v>8371.8888780835096</v>
      </c>
      <c r="I213" s="299">
        <f>I167*pvar!I1108</f>
        <v>1060.2074284401513</v>
      </c>
      <c r="J213" s="299">
        <f>J167*pvar!J1108</f>
        <v>839.4601669922439</v>
      </c>
      <c r="K213" s="299">
        <f>K167*pvar!K1108</f>
        <v>8041.278323441823</v>
      </c>
      <c r="L213" s="299">
        <f>L167*pvar!L1108</f>
        <v>498.89712601977703</v>
      </c>
      <c r="M213" s="299">
        <f>M167*pvar!M1108</f>
        <v>4684.2878361154535</v>
      </c>
      <c r="N213" s="299">
        <f>N167*pvar!N1108</f>
        <v>5477.5483919022763</v>
      </c>
      <c r="O213" s="299">
        <f>O167*pvar!O1108</f>
        <v>4635.2648422858192</v>
      </c>
      <c r="P213" s="299">
        <f>P167*pvar!P1108</f>
        <v>53171.57124585814</v>
      </c>
      <c r="Q213" s="299">
        <f>Q167*pvar!Q1108</f>
        <v>1304.0067097372432</v>
      </c>
      <c r="R213" s="299">
        <f>R167*pvar!R1108</f>
        <v>37053.540623665504</v>
      </c>
      <c r="S213" s="299">
        <f>S167*pvar!S1108</f>
        <v>174459.22374518184</v>
      </c>
      <c r="T213" s="299">
        <f>T167*pvar!T1108</f>
        <v>422091.47156534687</v>
      </c>
      <c r="U213" s="299">
        <f>U167*pvar!U1108</f>
        <v>73879.734344576253</v>
      </c>
      <c r="V213" s="299">
        <f>V167*pvar!V1108</f>
        <v>24563.655807393297</v>
      </c>
      <c r="W213" s="299">
        <f>W167*pvar!W1108</f>
        <v>209.55768601731944</v>
      </c>
      <c r="X213" s="299">
        <f>X167*pvar!X1108</f>
        <v>15799.157162419942</v>
      </c>
      <c r="Y213" s="299">
        <f>Y167*pvar!Y1108</f>
        <v>20421.577626881557</v>
      </c>
      <c r="Z213" s="299">
        <f>Z167*pvar!Z1108</f>
        <v>3343.2640506729094</v>
      </c>
      <c r="AA213" s="299">
        <f>AA167*pvar!AA1108</f>
        <v>31292.672920277622</v>
      </c>
      <c r="AB213" s="299">
        <f>AB167*pvar!AB1108</f>
        <v>31439.057607634139</v>
      </c>
      <c r="AC213" s="299">
        <f>AC167*pvar!AC1108</f>
        <v>94214.658421286164</v>
      </c>
      <c r="AD213" s="299">
        <f>AD167*pvar!AD1108</f>
        <v>25063.933776706512</v>
      </c>
      <c r="AE213" s="299">
        <f>AE167*pvar!AE1108</f>
        <v>36364.93875555251</v>
      </c>
      <c r="AF213" s="299">
        <f>AF167*pvar!AF1108</f>
        <v>44340.06710362358</v>
      </c>
      <c r="AG213" s="299">
        <f>AG167*pvar!AG1108</f>
        <v>84999.410192943833</v>
      </c>
      <c r="AH213" s="299">
        <f>AH167*pvar!AH1108</f>
        <v>18948.372217260312</v>
      </c>
      <c r="AI213" s="299">
        <f>AI167*pvar!AI1108</f>
        <v>1809.8654276125226</v>
      </c>
      <c r="AJ213" s="299">
        <f>AJ167*pvar!AJ1108</f>
        <v>1200.2673589666251</v>
      </c>
      <c r="AK213" s="299">
        <f>AK167*pvar!AK1108</f>
        <v>396.865255587077</v>
      </c>
      <c r="AL213" s="299">
        <f>AL167*pvar!AL1108</f>
        <v>222.15585191001401</v>
      </c>
      <c r="AM213" s="82"/>
      <c r="AN213" s="8"/>
      <c r="AO213" s="8"/>
      <c r="AP213" s="8"/>
      <c r="AQ213" s="8"/>
      <c r="AR213" s="8"/>
      <c r="AS213" s="8"/>
      <c r="AT213" s="8"/>
      <c r="AU213" s="8"/>
      <c r="AV213" s="8"/>
      <c r="AW213" s="8"/>
      <c r="AX213" s="8"/>
      <c r="AY213" s="8"/>
      <c r="AZ213" s="8"/>
      <c r="BA213" s="8"/>
      <c r="BB213" s="8"/>
      <c r="BC213" s="8"/>
    </row>
    <row r="214" spans="1:55" s="290" customFormat="1" x14ac:dyDescent="0.2">
      <c r="A214" s="8"/>
      <c r="B214" s="296" t="s">
        <v>507</v>
      </c>
      <c r="C214" s="297" t="s">
        <v>77</v>
      </c>
      <c r="D214" s="298"/>
      <c r="E214" s="284"/>
      <c r="F214" s="299">
        <f>F168*pvar!F1109</f>
        <v>2586.4147678954027</v>
      </c>
      <c r="G214" s="299">
        <f>G168*pvar!G1109</f>
        <v>3236.2391304109478</v>
      </c>
      <c r="H214" s="299">
        <f>H168*pvar!H1109</f>
        <v>3601.463912824202</v>
      </c>
      <c r="I214" s="299">
        <f>I168*pvar!I1109</f>
        <v>6815.0480016702877</v>
      </c>
      <c r="J214" s="299">
        <f>J168*pvar!J1109</f>
        <v>21050.461181937146</v>
      </c>
      <c r="K214" s="299">
        <f>K168*pvar!K1109</f>
        <v>3459.2400970186836</v>
      </c>
      <c r="L214" s="299">
        <f>L168*pvar!L1109</f>
        <v>12510.438253059307</v>
      </c>
      <c r="M214" s="299">
        <f>M168*pvar!M1109</f>
        <v>38453.472102177067</v>
      </c>
      <c r="N214" s="299">
        <f>N168*pvar!N1109</f>
        <v>13155.021650934739</v>
      </c>
      <c r="O214" s="299">
        <f>O168*pvar!O1109</f>
        <v>6179.8756138592889</v>
      </c>
      <c r="P214" s="299">
        <f>P168*pvar!P1109</f>
        <v>17495.245217643442</v>
      </c>
      <c r="Q214" s="299">
        <f>Q168*pvar!Q1109</f>
        <v>17325.468036129019</v>
      </c>
      <c r="R214" s="299">
        <f>R168*pvar!R1109</f>
        <v>140178.59938805707</v>
      </c>
      <c r="S214" s="299">
        <f>S168*pvar!S1109</f>
        <v>117469.80533546081</v>
      </c>
      <c r="T214" s="299">
        <f>T168*pvar!T1109</f>
        <v>274993.93896702497</v>
      </c>
      <c r="U214" s="299">
        <f>U168*pvar!U1109</f>
        <v>43248.969269369678</v>
      </c>
      <c r="V214" s="299">
        <f>V168*pvar!V1109</f>
        <v>53638.451882622947</v>
      </c>
      <c r="W214" s="299">
        <f>W168*pvar!W1109</f>
        <v>7001.666469821912</v>
      </c>
      <c r="X214" s="299">
        <f>X168*pvar!X1109</f>
        <v>10124.601783047163</v>
      </c>
      <c r="Y214" s="299">
        <f>Y168*pvar!Y1109</f>
        <v>13086.79565170499</v>
      </c>
      <c r="Z214" s="299">
        <f>Z168*pvar!Z1109</f>
        <v>1535.0436134610688</v>
      </c>
      <c r="AA214" s="299">
        <f>AA168*pvar!AA1109</f>
        <v>20053.338845097387</v>
      </c>
      <c r="AB214" s="299">
        <f>AB168*pvar!AB1109</f>
        <v>15859.361536896913</v>
      </c>
      <c r="AC214" s="299">
        <f>AC168*pvar!AC1109</f>
        <v>41773.513324832988</v>
      </c>
      <c r="AD214" s="299">
        <f>AD168*pvar!AD1109</f>
        <v>1510.3315203643956</v>
      </c>
      <c r="AE214" s="299">
        <f>AE168*pvar!AE1109</f>
        <v>15575.797526236967</v>
      </c>
      <c r="AF214" s="299">
        <f>AF168*pvar!AF1109</f>
        <v>2671.8950647688389</v>
      </c>
      <c r="AG214" s="299">
        <f>AG168*pvar!AG1109</f>
        <v>9701.6022424620132</v>
      </c>
      <c r="AH214" s="299">
        <f>AH168*pvar!AH1109</f>
        <v>151359.1051659224</v>
      </c>
      <c r="AI214" s="299">
        <f>AI168*pvar!AI1109</f>
        <v>830.99100871838323</v>
      </c>
      <c r="AJ214" s="299">
        <f>AJ168*pvar!AJ1109</f>
        <v>551.09698662798223</v>
      </c>
      <c r="AK214" s="299">
        <f>AK168*pvar!AK1109</f>
        <v>2016.1281879373842</v>
      </c>
      <c r="AL214" s="299">
        <f>AL168*pvar!AL1109</f>
        <v>1247.0218984599078</v>
      </c>
      <c r="AM214" s="82"/>
      <c r="AN214" s="8"/>
      <c r="AO214" s="8"/>
      <c r="AP214" s="8"/>
      <c r="AQ214" s="8"/>
      <c r="AR214" s="8"/>
      <c r="AS214" s="8"/>
      <c r="AT214" s="8"/>
      <c r="AU214" s="8"/>
      <c r="AV214" s="8"/>
      <c r="AW214" s="8"/>
      <c r="AX214" s="8"/>
      <c r="AY214" s="8"/>
      <c r="AZ214" s="8"/>
      <c r="BA214" s="8"/>
      <c r="BB214" s="8"/>
      <c r="BC214" s="8"/>
    </row>
    <row r="215" spans="1:55" s="290" customFormat="1" x14ac:dyDescent="0.2">
      <c r="A215" s="8"/>
      <c r="B215" s="296"/>
      <c r="C215" s="297"/>
      <c r="D215" s="298"/>
      <c r="E215" s="284"/>
      <c r="F215" s="299"/>
      <c r="G215" s="299"/>
      <c r="H215" s="299"/>
      <c r="I215" s="299"/>
      <c r="J215" s="299"/>
      <c r="K215" s="299"/>
      <c r="L215" s="299"/>
      <c r="M215" s="299"/>
      <c r="N215" s="299"/>
      <c r="O215" s="299"/>
      <c r="P215" s="299"/>
      <c r="Q215" s="299"/>
      <c r="R215" s="299"/>
      <c r="S215" s="299"/>
      <c r="T215" s="299"/>
      <c r="U215" s="299"/>
      <c r="V215" s="299"/>
      <c r="W215" s="299"/>
      <c r="X215" s="299"/>
      <c r="Y215" s="299"/>
      <c r="Z215" s="299"/>
      <c r="AA215" s="299"/>
      <c r="AB215" s="299"/>
      <c r="AC215" s="299"/>
      <c r="AD215" s="299"/>
      <c r="AE215" s="299"/>
      <c r="AF215" s="299"/>
      <c r="AG215" s="299"/>
      <c r="AH215" s="299"/>
      <c r="AI215" s="299"/>
      <c r="AJ215" s="299"/>
      <c r="AK215" s="299"/>
      <c r="AL215" s="299"/>
      <c r="AM215" s="82"/>
      <c r="AN215" s="8"/>
      <c r="AO215" s="8"/>
      <c r="AP215" s="8"/>
      <c r="AQ215" s="8"/>
      <c r="AR215" s="8"/>
      <c r="AS215" s="8"/>
      <c r="AT215" s="8"/>
      <c r="AU215" s="8"/>
      <c r="AV215" s="8"/>
      <c r="AW215" s="8"/>
      <c r="AX215" s="8"/>
      <c r="AY215" s="8"/>
      <c r="AZ215" s="8"/>
      <c r="BA215" s="8"/>
      <c r="BB215" s="8"/>
      <c r="BC215" s="8"/>
    </row>
    <row r="216" spans="1:55" s="290" customFormat="1" x14ac:dyDescent="0.2">
      <c r="A216" s="8"/>
      <c r="B216" s="306" t="s">
        <v>508</v>
      </c>
      <c r="C216" s="297" t="s">
        <v>77</v>
      </c>
      <c r="D216" s="298"/>
      <c r="E216" s="284"/>
      <c r="F216" s="299">
        <f>F170*pvar!F1111</f>
        <v>1989116.9715149135</v>
      </c>
      <c r="G216" s="299">
        <f>G170*pvar!G1111</f>
        <v>1354874.7401588759</v>
      </c>
      <c r="H216" s="299">
        <f>H170*pvar!H1111</f>
        <v>886987.31324089889</v>
      </c>
      <c r="I216" s="299">
        <f>I170*pvar!I1111</f>
        <v>1903120</v>
      </c>
      <c r="J216" s="299">
        <f>J170*pvar!J1111</f>
        <v>4806858.1172744017</v>
      </c>
      <c r="K216" s="299">
        <f>K170*pvar!K1111</f>
        <v>1050025.2598411241</v>
      </c>
      <c r="L216" s="299">
        <f>L170*pvar!L1111</f>
        <v>1746660.3242493025</v>
      </c>
      <c r="M216" s="299">
        <f>M170*pvar!M1111</f>
        <v>1641420</v>
      </c>
      <c r="N216" s="299">
        <f>N170*pvar!N1111</f>
        <v>671392.0861940732</v>
      </c>
      <c r="O216" s="299">
        <f>O170*pvar!O1111</f>
        <v>1598784.2850281389</v>
      </c>
      <c r="P216" s="299">
        <f>P170*pvar!P1111</f>
        <v>3634427.0634585712</v>
      </c>
      <c r="Q216" s="299">
        <f>Q170*pvar!Q1111</f>
        <v>1792680</v>
      </c>
      <c r="R216" s="299">
        <f>R170*pvar!R1111</f>
        <v>3547580</v>
      </c>
      <c r="S216" s="299">
        <f>S170*pvar!S1111</f>
        <v>3399726.204356458</v>
      </c>
      <c r="T216" s="299">
        <f>T170*pvar!T1111</f>
        <v>4454776.1936230287</v>
      </c>
      <c r="U216" s="299">
        <f>U170*pvar!U1111</f>
        <v>1872290.2887796152</v>
      </c>
      <c r="V216" s="299">
        <f>V170*pvar!V1111</f>
        <v>6776467.8134135175</v>
      </c>
      <c r="W216" s="299">
        <f>W170*pvar!W1111</f>
        <v>1555312.9365414283</v>
      </c>
      <c r="X216" s="299">
        <f>X170*pvar!X1111</f>
        <v>225775.85265186668</v>
      </c>
      <c r="Y216" s="299">
        <f>Y170*pvar!Y1111</f>
        <v>3185652.8176718857</v>
      </c>
      <c r="Z216" s="299">
        <f>Z170*pvar!Z1111</f>
        <v>140533.54768754789</v>
      </c>
      <c r="AA216" s="299">
        <f>AA170*pvar!AA1111</f>
        <v>3349685.810616273</v>
      </c>
      <c r="AB216" s="299">
        <f>AB170*pvar!AB1111</f>
        <v>1128302.8591181764</v>
      </c>
      <c r="AC216" s="299">
        <f>AC170*pvar!AC1111</f>
        <v>4785814.8091401998</v>
      </c>
      <c r="AD216" s="299">
        <f>AD170*pvar!AD1111</f>
        <v>348642.13553680037</v>
      </c>
      <c r="AE216" s="299">
        <f>AE170*pvar!AE1111</f>
        <v>735027.14209574647</v>
      </c>
      <c r="AF216" s="299">
        <f>AF170*pvar!AF1111</f>
        <v>2786318.4895737013</v>
      </c>
      <c r="AG216" s="299">
        <f>AG170*pvar!AG1111</f>
        <v>1429423.4539155054</v>
      </c>
      <c r="AH216" s="299">
        <f>AH170*pvar!AH1111</f>
        <v>1075161.334424244</v>
      </c>
      <c r="AI216" s="299">
        <f>AI170*pvar!AI1111</f>
        <v>2010194.9555436687</v>
      </c>
      <c r="AJ216" s="299">
        <f>AJ170*pvar!AJ1111</f>
        <v>277591.49676878372</v>
      </c>
      <c r="AK216" s="299">
        <f>AK170*pvar!AK1111</f>
        <v>1835158.6186686622</v>
      </c>
      <c r="AL216" s="299">
        <f>AL170*pvar!AL1111</f>
        <v>340752.49195120845</v>
      </c>
      <c r="AM216" s="82"/>
      <c r="AN216" s="8"/>
      <c r="AO216" s="8"/>
      <c r="AP216" s="8"/>
      <c r="AQ216" s="8"/>
      <c r="AR216" s="8"/>
      <c r="AS216" s="8"/>
      <c r="AT216" s="8"/>
      <c r="AU216" s="8"/>
      <c r="AV216" s="8"/>
      <c r="AW216" s="8"/>
      <c r="AX216" s="8"/>
      <c r="AY216" s="8"/>
      <c r="AZ216" s="8"/>
      <c r="BA216" s="8"/>
      <c r="BB216" s="8"/>
      <c r="BC216" s="8"/>
    </row>
    <row r="217" spans="1:55" s="290" customFormat="1" x14ac:dyDescent="0.2">
      <c r="A217" s="8"/>
      <c r="B217" s="306" t="s">
        <v>509</v>
      </c>
      <c r="C217" s="297" t="s">
        <v>77</v>
      </c>
      <c r="D217" s="298"/>
      <c r="E217" s="284"/>
      <c r="F217" s="299">
        <f>F171*pvar!F1112</f>
        <v>0</v>
      </c>
      <c r="G217" s="299">
        <f>G171*pvar!G1112</f>
        <v>0</v>
      </c>
      <c r="H217" s="299">
        <f>H171*pvar!H1112</f>
        <v>0</v>
      </c>
      <c r="I217" s="299">
        <f>I171*pvar!I1112</f>
        <v>0</v>
      </c>
      <c r="J217" s="299">
        <f>J171*pvar!J1112</f>
        <v>0</v>
      </c>
      <c r="K217" s="299">
        <f>K171*pvar!K1112</f>
        <v>0</v>
      </c>
      <c r="L217" s="299">
        <f>L171*pvar!L1112</f>
        <v>0</v>
      </c>
      <c r="M217" s="299">
        <f>M171*pvar!M1112</f>
        <v>0</v>
      </c>
      <c r="N217" s="299">
        <f>N171*pvar!N1112</f>
        <v>0</v>
      </c>
      <c r="O217" s="299">
        <f>O171*pvar!O1112</f>
        <v>0</v>
      </c>
      <c r="P217" s="299">
        <f>P171*pvar!P1112</f>
        <v>0</v>
      </c>
      <c r="Q217" s="299">
        <f>Q171*pvar!Q1112</f>
        <v>0</v>
      </c>
      <c r="R217" s="299">
        <f>R171*pvar!R1112</f>
        <v>0</v>
      </c>
      <c r="S217" s="299">
        <f>S171*pvar!S1112</f>
        <v>0</v>
      </c>
      <c r="T217" s="299">
        <f>T171*pvar!T1112</f>
        <v>0</v>
      </c>
      <c r="U217" s="299">
        <f>U171*pvar!U1112</f>
        <v>0</v>
      </c>
      <c r="V217" s="299">
        <f>V171*pvar!V1112</f>
        <v>0</v>
      </c>
      <c r="W217" s="299">
        <f>W171*pvar!W1112</f>
        <v>0</v>
      </c>
      <c r="X217" s="299">
        <f>X171*pvar!X1112</f>
        <v>0</v>
      </c>
      <c r="Y217" s="299">
        <f>Y171*pvar!Y1112</f>
        <v>0</v>
      </c>
      <c r="Z217" s="299">
        <f>Z171*pvar!Z1112</f>
        <v>0</v>
      </c>
      <c r="AA217" s="299">
        <f>AA171*pvar!AA1112</f>
        <v>0</v>
      </c>
      <c r="AB217" s="299">
        <f>AB171*pvar!AB1112</f>
        <v>0</v>
      </c>
      <c r="AC217" s="299">
        <f>AC171*pvar!AC1112</f>
        <v>0</v>
      </c>
      <c r="AD217" s="299">
        <f>AD171*pvar!AD1112</f>
        <v>0</v>
      </c>
      <c r="AE217" s="299">
        <f>AE171*pvar!AE1112</f>
        <v>0</v>
      </c>
      <c r="AF217" s="299">
        <f>AF171*pvar!AF1112</f>
        <v>0</v>
      </c>
      <c r="AG217" s="299">
        <f>AG171*pvar!AG1112</f>
        <v>0</v>
      </c>
      <c r="AH217" s="299">
        <f>AH171*pvar!AH1112</f>
        <v>0</v>
      </c>
      <c r="AI217" s="299">
        <f>AI171*pvar!AI1112</f>
        <v>0</v>
      </c>
      <c r="AJ217" s="299">
        <f>AJ171*pvar!AJ1112</f>
        <v>0</v>
      </c>
      <c r="AK217" s="299">
        <f>AK171*pvar!AK1112</f>
        <v>0</v>
      </c>
      <c r="AL217" s="299">
        <f>AL171*pvar!AL1112</f>
        <v>0</v>
      </c>
      <c r="AM217" s="308"/>
      <c r="AN217" s="8"/>
      <c r="AO217" s="8"/>
      <c r="AP217" s="8"/>
      <c r="AQ217" s="8"/>
      <c r="AR217" s="8"/>
      <c r="AS217" s="8"/>
      <c r="AT217" s="8"/>
      <c r="AU217" s="8"/>
      <c r="AV217" s="8"/>
      <c r="AW217" s="8"/>
      <c r="AX217" s="8"/>
      <c r="AY217" s="8"/>
      <c r="AZ217" s="8"/>
      <c r="BA217" s="8"/>
      <c r="BB217" s="8"/>
      <c r="BC217" s="8"/>
    </row>
    <row r="218" spans="1:55" x14ac:dyDescent="0.2">
      <c r="AN218" s="8"/>
      <c r="AO218" s="8"/>
      <c r="AP218" s="8"/>
    </row>
    <row r="219" spans="1:55" s="343" customFormat="1" x14ac:dyDescent="0.2">
      <c r="A219" s="36"/>
      <c r="B219" s="312" t="s">
        <v>979</v>
      </c>
      <c r="C219" s="313" t="s">
        <v>77</v>
      </c>
      <c r="F219" s="344">
        <f>SUM(F174:F217)</f>
        <v>5136255.1027172115</v>
      </c>
      <c r="G219" s="344">
        <f t="shared" ref="G219:AL219" si="39">SUM(G174:G217)</f>
        <v>14502515.558092669</v>
      </c>
      <c r="H219" s="344">
        <f t="shared" si="39"/>
        <v>5285232.7337225955</v>
      </c>
      <c r="I219" s="344">
        <f t="shared" si="39"/>
        <v>43517254.027699329</v>
      </c>
      <c r="J219" s="344">
        <f t="shared" si="39"/>
        <v>67375987.272299126</v>
      </c>
      <c r="K219" s="344">
        <f t="shared" si="39"/>
        <v>33359369.7121398</v>
      </c>
      <c r="L219" s="344">
        <f t="shared" si="39"/>
        <v>58123127.671409979</v>
      </c>
      <c r="M219" s="344">
        <f t="shared" si="39"/>
        <v>57131825.033889987</v>
      </c>
      <c r="N219" s="344">
        <f t="shared" si="39"/>
        <v>39092297.482474834</v>
      </c>
      <c r="O219" s="344">
        <f t="shared" si="39"/>
        <v>32687672.116530713</v>
      </c>
      <c r="P219" s="344">
        <f t="shared" si="39"/>
        <v>84253870.523975432</v>
      </c>
      <c r="Q219" s="344">
        <f t="shared" si="39"/>
        <v>15599774.756080059</v>
      </c>
      <c r="R219" s="344">
        <f t="shared" si="39"/>
        <v>228480628.27960905</v>
      </c>
      <c r="S219" s="344">
        <f t="shared" si="39"/>
        <v>75332739.437005565</v>
      </c>
      <c r="T219" s="344">
        <f t="shared" si="39"/>
        <v>201334228.67880023</v>
      </c>
      <c r="U219" s="344">
        <f t="shared" si="39"/>
        <v>68120948.409943283</v>
      </c>
      <c r="V219" s="344">
        <f t="shared" si="39"/>
        <v>237486134.59856972</v>
      </c>
      <c r="W219" s="344">
        <f t="shared" si="39"/>
        <v>31248241.587397281</v>
      </c>
      <c r="X219" s="344">
        <f t="shared" si="39"/>
        <v>16744861.054533813</v>
      </c>
      <c r="Y219" s="344">
        <f t="shared" si="39"/>
        <v>27350197.366881706</v>
      </c>
      <c r="Z219" s="344">
        <f t="shared" si="39"/>
        <v>9773830.2622513436</v>
      </c>
      <c r="AA219" s="344">
        <f t="shared" si="39"/>
        <v>27252842.029224999</v>
      </c>
      <c r="AB219" s="344">
        <f t="shared" si="39"/>
        <v>60521441.119026057</v>
      </c>
      <c r="AC219" s="344">
        <f t="shared" si="39"/>
        <v>63465380.771044068</v>
      </c>
      <c r="AD219" s="344">
        <f t="shared" si="39"/>
        <v>5342400.1398595944</v>
      </c>
      <c r="AE219" s="344">
        <f t="shared" si="39"/>
        <v>42571089.410033092</v>
      </c>
      <c r="AF219" s="344">
        <f t="shared" si="39"/>
        <v>9366290.0893723723</v>
      </c>
      <c r="AG219" s="344">
        <f t="shared" si="39"/>
        <v>35689609.645009689</v>
      </c>
      <c r="AH219" s="344">
        <f t="shared" si="39"/>
        <v>59479844.417694658</v>
      </c>
      <c r="AI219" s="344">
        <f t="shared" si="39"/>
        <v>6911887.4353329949</v>
      </c>
      <c r="AJ219" s="344">
        <f t="shared" si="39"/>
        <v>2426844.656172086</v>
      </c>
      <c r="AK219" s="344">
        <f t="shared" si="39"/>
        <v>5358151.9294123687</v>
      </c>
      <c r="AL219" s="344">
        <f t="shared" si="39"/>
        <v>1851419.3788118917</v>
      </c>
      <c r="AN219" s="8"/>
      <c r="AO219" s="8"/>
      <c r="AP219" s="8"/>
    </row>
    <row r="221" spans="1:55" x14ac:dyDescent="0.2">
      <c r="AN221" s="343"/>
      <c r="AO221" s="343"/>
      <c r="AP221" s="343"/>
    </row>
    <row r="222" spans="1:55" ht="25.5" x14ac:dyDescent="0.2">
      <c r="A222" s="318" t="s">
        <v>973</v>
      </c>
      <c r="B222" s="5" t="s">
        <v>980</v>
      </c>
      <c r="C222" s="334" t="s">
        <v>1022</v>
      </c>
    </row>
    <row r="224" spans="1:55" x14ac:dyDescent="0.2">
      <c r="C224" s="33" t="s">
        <v>1023</v>
      </c>
      <c r="F224" s="144" t="s">
        <v>2</v>
      </c>
      <c r="G224" s="6" t="s">
        <v>3</v>
      </c>
      <c r="H224" s="6" t="s">
        <v>4</v>
      </c>
      <c r="I224" s="6" t="s">
        <v>5</v>
      </c>
      <c r="J224" s="6" t="s">
        <v>6</v>
      </c>
      <c r="K224" s="6" t="s">
        <v>7</v>
      </c>
      <c r="L224" s="6" t="s">
        <v>8</v>
      </c>
      <c r="M224" s="6" t="s">
        <v>9</v>
      </c>
      <c r="N224" s="6" t="s">
        <v>10</v>
      </c>
      <c r="O224" s="6" t="s">
        <v>11</v>
      </c>
      <c r="P224" s="6" t="s">
        <v>12</v>
      </c>
      <c r="Q224" s="6" t="s">
        <v>13</v>
      </c>
      <c r="R224" s="6" t="s">
        <v>14</v>
      </c>
      <c r="S224" s="6" t="s">
        <v>15</v>
      </c>
      <c r="T224" s="6" t="s">
        <v>16</v>
      </c>
      <c r="U224" s="6" t="s">
        <v>17</v>
      </c>
      <c r="V224" s="6" t="s">
        <v>18</v>
      </c>
      <c r="W224" s="6" t="s">
        <v>19</v>
      </c>
      <c r="X224" s="6" t="s">
        <v>20</v>
      </c>
      <c r="Y224" s="6" t="s">
        <v>21</v>
      </c>
      <c r="Z224" s="6" t="s">
        <v>22</v>
      </c>
      <c r="AA224" s="145" t="s">
        <v>23</v>
      </c>
      <c r="AB224" s="6" t="s">
        <v>24</v>
      </c>
      <c r="AC224" s="6" t="s">
        <v>25</v>
      </c>
      <c r="AD224" s="6" t="s">
        <v>26</v>
      </c>
      <c r="AE224" s="6" t="s">
        <v>27</v>
      </c>
      <c r="AF224" s="6" t="s">
        <v>28</v>
      </c>
      <c r="AG224" s="6" t="s">
        <v>29</v>
      </c>
      <c r="AH224" s="6" t="s">
        <v>30</v>
      </c>
      <c r="AI224" s="6" t="s">
        <v>31</v>
      </c>
      <c r="AJ224" s="6" t="s">
        <v>32</v>
      </c>
      <c r="AK224" s="6" t="s">
        <v>33</v>
      </c>
      <c r="AL224" s="6" t="s">
        <v>34</v>
      </c>
    </row>
    <row r="225" spans="1:42" s="338" customFormat="1" x14ac:dyDescent="0.2">
      <c r="B225" s="338" t="s">
        <v>342</v>
      </c>
      <c r="C225" s="338" t="s">
        <v>343</v>
      </c>
      <c r="F225" s="339">
        <v>2.3528833333333332</v>
      </c>
      <c r="G225" s="339">
        <v>14.155583333333334</v>
      </c>
      <c r="H225" s="339">
        <v>3.3299833333333333</v>
      </c>
      <c r="I225" s="339">
        <v>45.770816666666668</v>
      </c>
      <c r="J225" s="339">
        <v>82.324483333333333</v>
      </c>
      <c r="K225" s="339">
        <v>43.84758333333334</v>
      </c>
      <c r="L225" s="339">
        <v>69.171250000000001</v>
      </c>
      <c r="M225" s="339">
        <v>62.074599999999997</v>
      </c>
      <c r="N225" s="339">
        <v>44.315433333333338</v>
      </c>
      <c r="O225" s="339">
        <v>33.241916666666668</v>
      </c>
      <c r="P225" s="339">
        <v>103.41500000000001</v>
      </c>
      <c r="Q225" s="339">
        <v>14.413866666666669</v>
      </c>
      <c r="R225" s="339">
        <v>185.77914999999999</v>
      </c>
      <c r="S225" s="339">
        <v>92.723966666666669</v>
      </c>
      <c r="T225" s="339">
        <v>232.25803333333332</v>
      </c>
      <c r="U225" s="339">
        <v>43.582283333333329</v>
      </c>
      <c r="V225" s="339">
        <v>181.20696666666666</v>
      </c>
      <c r="W225" s="339">
        <v>22.588383333333336</v>
      </c>
      <c r="X225" s="339">
        <v>11.029333333333334</v>
      </c>
      <c r="Y225" s="339">
        <v>23.662633333333336</v>
      </c>
      <c r="Z225" s="339">
        <v>2.0537333333333332</v>
      </c>
      <c r="AA225" s="339">
        <v>19.95065</v>
      </c>
      <c r="AB225" s="339">
        <v>37.81111666666667</v>
      </c>
      <c r="AC225" s="339">
        <v>44.889933333333339</v>
      </c>
      <c r="AD225" s="339">
        <v>2.4401000000000002</v>
      </c>
      <c r="AE225" s="339">
        <v>26.142500000000002</v>
      </c>
      <c r="AF225" s="339">
        <v>5.1083333333333334</v>
      </c>
      <c r="AG225" s="339">
        <v>36.74743333333334</v>
      </c>
      <c r="AH225" s="339">
        <v>32.94786666666667</v>
      </c>
      <c r="AI225" s="339">
        <v>0.76851666666666674</v>
      </c>
      <c r="AJ225" s="339">
        <v>0.78549999999999998</v>
      </c>
      <c r="AK225" s="339">
        <v>1.0938333333333334</v>
      </c>
      <c r="AL225" s="339">
        <v>0.68920000000000003</v>
      </c>
      <c r="AN225" s="33"/>
      <c r="AO225" s="33"/>
      <c r="AP225" s="33"/>
    </row>
    <row r="226" spans="1:42" s="338" customFormat="1" x14ac:dyDescent="0.2">
      <c r="B226" s="338" t="s">
        <v>344</v>
      </c>
      <c r="C226" s="338" t="s">
        <v>343</v>
      </c>
      <c r="F226" s="339">
        <v>0.27006666666666668</v>
      </c>
      <c r="G226" s="339">
        <v>1.1175666666666666</v>
      </c>
      <c r="H226" s="339">
        <v>0.31656666666666672</v>
      </c>
      <c r="I226" s="339">
        <v>1.71085</v>
      </c>
      <c r="J226" s="339">
        <v>1.6991000000000003</v>
      </c>
      <c r="K226" s="339">
        <v>0.93970000000000009</v>
      </c>
      <c r="L226" s="339">
        <v>1.3752166666666668</v>
      </c>
      <c r="M226" s="339">
        <v>0.86016666666666663</v>
      </c>
      <c r="N226" s="339">
        <v>2.4201666666666668</v>
      </c>
      <c r="O226" s="339">
        <v>2.5573500000000009</v>
      </c>
      <c r="P226" s="339">
        <v>5.0313333333333343</v>
      </c>
      <c r="Q226" s="339">
        <v>0.80489999999999995</v>
      </c>
      <c r="R226" s="339">
        <v>1.9406666666666668</v>
      </c>
      <c r="S226" s="339">
        <v>3.7314500000000002</v>
      </c>
      <c r="T226" s="339">
        <v>8.2601499999999977</v>
      </c>
      <c r="U226" s="339">
        <v>12.323549999999999</v>
      </c>
      <c r="V226" s="339">
        <v>22.575700000000001</v>
      </c>
      <c r="W226" s="339">
        <v>0.52236666666666676</v>
      </c>
      <c r="X226" s="339">
        <v>1.0399499999999999</v>
      </c>
      <c r="Y226" s="339">
        <v>0.9836666666666668</v>
      </c>
      <c r="Z226" s="339">
        <v>5.3734000000000011</v>
      </c>
      <c r="AA226" s="339">
        <v>3.4735499999999999</v>
      </c>
      <c r="AB226" s="339">
        <v>18.556666666666668</v>
      </c>
      <c r="AC226" s="339">
        <v>11.220966666666667</v>
      </c>
      <c r="AD226" s="339">
        <v>0.23266666666666666</v>
      </c>
      <c r="AE226" s="339">
        <v>7.5061999999999998</v>
      </c>
      <c r="AF226" s="339">
        <v>9.3233333333333321E-2</v>
      </c>
      <c r="AG226" s="339">
        <v>7.0152333333333345</v>
      </c>
      <c r="AH226" s="339">
        <v>1.7359666666666669</v>
      </c>
      <c r="AI226" s="339">
        <v>0.9916666666666667</v>
      </c>
      <c r="AJ226" s="339">
        <v>1.56555</v>
      </c>
      <c r="AK226" s="339">
        <v>1.42685</v>
      </c>
      <c r="AL226" s="339">
        <v>0.34444999999999998</v>
      </c>
      <c r="AN226" s="33"/>
      <c r="AO226" s="33"/>
      <c r="AP226" s="33"/>
    </row>
    <row r="227" spans="1:42" s="338" customFormat="1" x14ac:dyDescent="0.2">
      <c r="B227" s="338" t="s">
        <v>345</v>
      </c>
      <c r="C227" s="338" t="s">
        <v>343</v>
      </c>
      <c r="F227" s="339">
        <v>1.9600000000000003E-2</v>
      </c>
      <c r="G227" s="339">
        <v>1.18E-2</v>
      </c>
      <c r="H227" s="339">
        <v>1.7433333333333332E-2</v>
      </c>
      <c r="I227" s="339">
        <v>1.8149999999999999E-2</v>
      </c>
      <c r="J227" s="339">
        <v>9.0216666666666667E-2</v>
      </c>
      <c r="K227" s="339">
        <v>2.4650000000000002E-2</v>
      </c>
      <c r="L227" s="339">
        <v>3.351666666666666E-2</v>
      </c>
      <c r="M227" s="339">
        <v>1.581666666666667E-2</v>
      </c>
      <c r="N227" s="339">
        <v>3.4533333333333339E-2</v>
      </c>
      <c r="O227" s="339">
        <v>1.7916666666666668E-2</v>
      </c>
      <c r="P227" s="339">
        <v>6.5699999999999995E-2</v>
      </c>
      <c r="Q227" s="339">
        <v>3.6400000000000009E-2</v>
      </c>
      <c r="R227" s="339">
        <v>0.2033666666666667</v>
      </c>
      <c r="S227" s="339">
        <v>1.4853500000000002</v>
      </c>
      <c r="T227" s="339">
        <v>2.5056833333333337</v>
      </c>
      <c r="U227" s="339">
        <v>2.1869666666666667</v>
      </c>
      <c r="V227" s="339">
        <v>0.71796666666666675</v>
      </c>
      <c r="W227" s="339">
        <v>1.7283333333333335E-2</v>
      </c>
      <c r="X227" s="339">
        <v>0.14893333333333333</v>
      </c>
      <c r="Y227" s="339">
        <v>0.31780000000000003</v>
      </c>
      <c r="Z227" s="339">
        <v>0.12121666666666668</v>
      </c>
      <c r="AA227" s="339">
        <v>0.81263333333333343</v>
      </c>
      <c r="AB227" s="339">
        <v>0.38006666666666672</v>
      </c>
      <c r="AC227" s="339">
        <v>0.65403333333333347</v>
      </c>
      <c r="AD227" s="339">
        <v>2.3999999999999997E-2</v>
      </c>
      <c r="AE227" s="339">
        <v>9.866666666666668E-2</v>
      </c>
      <c r="AF227" s="339">
        <v>1.0216666666666667E-2</v>
      </c>
      <c r="AG227" s="339">
        <v>0.29998333333333344</v>
      </c>
      <c r="AH227" s="339">
        <v>4.9083333333333333E-2</v>
      </c>
      <c r="AI227" s="339">
        <v>2.5683333333333332E-2</v>
      </c>
      <c r="AJ227" s="339">
        <v>4.5783333333333336E-2</v>
      </c>
      <c r="AK227" s="339">
        <v>0.13993333333333333</v>
      </c>
      <c r="AL227" s="339">
        <v>4.1949999999999994E-2</v>
      </c>
    </row>
    <row r="228" spans="1:42" s="338" customFormat="1" x14ac:dyDescent="0.2">
      <c r="B228" s="338" t="s">
        <v>346</v>
      </c>
      <c r="C228" s="338" t="s">
        <v>343</v>
      </c>
      <c r="F228" s="339">
        <v>1.2477666666666665</v>
      </c>
      <c r="G228" s="339">
        <v>7.9256166666666665</v>
      </c>
      <c r="H228" s="339">
        <v>8.5937166666666673</v>
      </c>
      <c r="I228" s="339">
        <v>19.908866666666672</v>
      </c>
      <c r="J228" s="339">
        <v>30.491916666666668</v>
      </c>
      <c r="K228" s="339">
        <v>15.604050000000001</v>
      </c>
      <c r="L228" s="339">
        <v>64.972833333333327</v>
      </c>
      <c r="M228" s="339">
        <v>79.795066666666671</v>
      </c>
      <c r="N228" s="339">
        <v>36.795516666666664</v>
      </c>
      <c r="O228" s="339">
        <v>6.4249499999999999</v>
      </c>
      <c r="P228" s="339">
        <v>18.3188</v>
      </c>
      <c r="Q228" s="339">
        <v>11.347116666666665</v>
      </c>
      <c r="R228" s="339">
        <v>1289.4574333333333</v>
      </c>
      <c r="S228" s="339">
        <v>59.277966666666678</v>
      </c>
      <c r="T228" s="339">
        <v>238.83985000000004</v>
      </c>
      <c r="U228" s="339">
        <v>50.491066666666676</v>
      </c>
      <c r="V228" s="339">
        <v>70.636316666666673</v>
      </c>
      <c r="W228" s="339">
        <v>13.447316666666667</v>
      </c>
      <c r="X228" s="339">
        <v>5.4787500000000007</v>
      </c>
      <c r="Y228" s="339">
        <v>30.1617</v>
      </c>
      <c r="Z228" s="339">
        <v>2.6121833333333337</v>
      </c>
      <c r="AA228" s="339">
        <v>20.134349999999998</v>
      </c>
      <c r="AB228" s="339">
        <v>30.342100000000002</v>
      </c>
      <c r="AC228" s="339">
        <v>31.011983333333333</v>
      </c>
      <c r="AD228" s="339">
        <v>2.2847833333333329</v>
      </c>
      <c r="AE228" s="339">
        <v>43.659283333333327</v>
      </c>
      <c r="AF228" s="339">
        <v>9.3437999999999999</v>
      </c>
      <c r="AG228" s="339">
        <v>24.049733333333336</v>
      </c>
      <c r="AH228" s="339">
        <v>16.006250000000001</v>
      </c>
      <c r="AI228" s="339">
        <v>0.83490000000000009</v>
      </c>
      <c r="AJ228" s="339">
        <v>6.5133333333333335E-2</v>
      </c>
      <c r="AK228" s="339">
        <v>1.0643499999999999</v>
      </c>
      <c r="AL228" s="339">
        <v>9.9716666666666676E-2</v>
      </c>
    </row>
    <row r="229" spans="1:42" s="338" customFormat="1" x14ac:dyDescent="0.2">
      <c r="B229" s="338" t="s">
        <v>347</v>
      </c>
      <c r="C229" s="338" t="s">
        <v>343</v>
      </c>
      <c r="F229" s="339">
        <v>5.6297340440053878</v>
      </c>
      <c r="G229" s="339">
        <v>9.0371887839499259</v>
      </c>
      <c r="H229" s="339">
        <v>10.057077974532232</v>
      </c>
      <c r="I229" s="339">
        <v>20.3752602237094</v>
      </c>
      <c r="J229" s="339">
        <v>17.165218353386976</v>
      </c>
      <c r="K229" s="339">
        <v>9.6599183638810278</v>
      </c>
      <c r="L229" s="339">
        <v>9.1960883918705782</v>
      </c>
      <c r="M229" s="339">
        <v>24.919529149123893</v>
      </c>
      <c r="N229" s="339">
        <v>22.420299092503598</v>
      </c>
      <c r="O229" s="339">
        <v>11.00278838870061</v>
      </c>
      <c r="P229" s="339">
        <v>12.165877261182828</v>
      </c>
      <c r="Q229" s="339">
        <v>5.0284284825475707</v>
      </c>
      <c r="R229" s="339">
        <v>221.90703258002097</v>
      </c>
      <c r="S229" s="339">
        <v>58.367555914119521</v>
      </c>
      <c r="T229" s="339">
        <v>144.13389214787117</v>
      </c>
      <c r="U229" s="339">
        <v>53.429363149430579</v>
      </c>
      <c r="V229" s="339">
        <v>51.425983062824258</v>
      </c>
      <c r="W229" s="339">
        <v>4.0984672932905557</v>
      </c>
      <c r="X229" s="339">
        <v>7.7015383366199712</v>
      </c>
      <c r="Y229" s="339">
        <v>9.9548071691945221</v>
      </c>
      <c r="Z229" s="339">
        <v>4.2795519588882742</v>
      </c>
      <c r="AA229" s="339">
        <v>15.254087143589993</v>
      </c>
      <c r="AB229" s="339">
        <v>13.609593771345173</v>
      </c>
      <c r="AC229" s="339">
        <v>31.965843292024005</v>
      </c>
      <c r="AD229" s="339">
        <v>5.4443399149394303</v>
      </c>
      <c r="AE229" s="339">
        <v>11.498245660144496</v>
      </c>
      <c r="AF229" s="339">
        <v>9.631464849611957</v>
      </c>
      <c r="AG229" s="339">
        <v>19.694879527735797</v>
      </c>
      <c r="AH229" s="339">
        <v>6.2398406660782237</v>
      </c>
      <c r="AI229" s="339">
        <v>2.3167219276336826</v>
      </c>
      <c r="AJ229" s="339">
        <v>2.6349759983820911</v>
      </c>
      <c r="AK229" s="339">
        <v>2.9554393966239245</v>
      </c>
      <c r="AL229" s="339">
        <v>1.3867643850921432</v>
      </c>
    </row>
    <row r="230" spans="1:42" s="338" customFormat="1" x14ac:dyDescent="0.2">
      <c r="B230" s="338" t="s">
        <v>348</v>
      </c>
      <c r="C230" s="338" t="s">
        <v>343</v>
      </c>
      <c r="F230" s="339">
        <v>0.51818378074769533</v>
      </c>
      <c r="G230" s="339">
        <v>0.23629440477606778</v>
      </c>
      <c r="H230" s="339">
        <v>0.84702143040531297</v>
      </c>
      <c r="I230" s="339">
        <v>0.92770780060626723</v>
      </c>
      <c r="J230" s="339">
        <v>1.8267874833056768</v>
      </c>
      <c r="K230" s="339">
        <v>0.45075536776923908</v>
      </c>
      <c r="L230" s="339">
        <v>0.24573694073836802</v>
      </c>
      <c r="M230" s="339">
        <v>1.412701167040078</v>
      </c>
      <c r="N230" s="339">
        <v>0.45658185425407899</v>
      </c>
      <c r="O230" s="339">
        <v>0.74044392176476881</v>
      </c>
      <c r="P230" s="339">
        <v>1.1734846642501622</v>
      </c>
      <c r="Q230" s="339">
        <v>0.43081320801852119</v>
      </c>
      <c r="R230" s="339">
        <v>1.5661983941568138</v>
      </c>
      <c r="S230" s="339">
        <v>0.76948438219727178</v>
      </c>
      <c r="T230" s="339">
        <v>1.767348574765957</v>
      </c>
      <c r="U230" s="339">
        <v>0.69448148095081563</v>
      </c>
      <c r="V230" s="339">
        <v>2.4680025149771034</v>
      </c>
      <c r="W230" s="339">
        <v>0.45924174143739954</v>
      </c>
      <c r="X230" s="339">
        <v>8.0855656563096998E-2</v>
      </c>
      <c r="Y230" s="339">
        <v>0.91976887457949807</v>
      </c>
      <c r="Z230" s="339">
        <v>7.8921657872109627E-2</v>
      </c>
      <c r="AA230" s="339">
        <v>1.866306836755055</v>
      </c>
      <c r="AB230" s="339">
        <v>0.59367652898439527</v>
      </c>
      <c r="AC230" s="339">
        <v>2.2724620072553887</v>
      </c>
      <c r="AD230" s="339">
        <v>0.14900364237500438</v>
      </c>
      <c r="AE230" s="339">
        <v>0.22246519416671495</v>
      </c>
      <c r="AF230" s="339">
        <v>0.8625541019479791</v>
      </c>
      <c r="AG230" s="339">
        <v>0.57957242615757443</v>
      </c>
      <c r="AH230" s="339">
        <v>0.32683141843927904</v>
      </c>
      <c r="AI230" s="339">
        <v>0.27529352968465121</v>
      </c>
      <c r="AJ230" s="339">
        <v>8.3281297028882595E-2</v>
      </c>
      <c r="AK230" s="339">
        <v>0.49136244820449454</v>
      </c>
      <c r="AL230" s="339">
        <v>0.12232753414575905</v>
      </c>
    </row>
    <row r="231" spans="1:42" s="338" customFormat="1" x14ac:dyDescent="0.2">
      <c r="B231" s="338" t="s">
        <v>349</v>
      </c>
      <c r="C231" s="338" t="s">
        <v>350</v>
      </c>
      <c r="F231" s="339">
        <v>10.778091887193128</v>
      </c>
      <c r="G231" s="339">
        <v>5.85214082551148</v>
      </c>
      <c r="H231" s="339">
        <v>6.5125823978182034</v>
      </c>
      <c r="I231" s="339">
        <v>26.630584286808979</v>
      </c>
      <c r="J231" s="339">
        <v>14.10769076162355</v>
      </c>
      <c r="K231" s="339">
        <v>6.2553968916501814</v>
      </c>
      <c r="L231" s="339">
        <v>7.5580495731630002</v>
      </c>
      <c r="M231" s="339">
        <v>17.543132578872392</v>
      </c>
      <c r="N231" s="339">
        <v>21.522485990853792</v>
      </c>
      <c r="O231" s="339">
        <v>9.8941059898316741</v>
      </c>
      <c r="P231" s="339">
        <v>19.123527265124356</v>
      </c>
      <c r="Q231" s="339">
        <v>8.3193313914882214</v>
      </c>
      <c r="R231" s="339">
        <v>116.68634026156417</v>
      </c>
      <c r="S231" s="339">
        <v>22.416453264188444</v>
      </c>
      <c r="T231" s="339">
        <v>43.875063501823519</v>
      </c>
      <c r="U231" s="339">
        <v>34.352746744561721</v>
      </c>
      <c r="V231" s="339">
        <v>47.765193372166685</v>
      </c>
      <c r="W231" s="339">
        <v>6.5812558102884324</v>
      </c>
      <c r="X231" s="339">
        <v>7.3248422957092307</v>
      </c>
      <c r="Y231" s="339">
        <v>9.4678997119096682</v>
      </c>
      <c r="Z231" s="339">
        <v>7.0205669675799607</v>
      </c>
      <c r="AA231" s="339">
        <v>14.507982406647315</v>
      </c>
      <c r="AB231" s="339">
        <v>11.458011891467232</v>
      </c>
      <c r="AC231" s="339">
        <v>25.509571550042722</v>
      </c>
      <c r="AD231" s="339">
        <v>1.8235282511853805</v>
      </c>
      <c r="AE231" s="339">
        <v>9.0054427362478542</v>
      </c>
      <c r="AF231" s="339">
        <v>3.2259646767043848</v>
      </c>
      <c r="AG231" s="339">
        <v>8.3601650549034563</v>
      </c>
      <c r="AH231" s="339">
        <v>7.9340121488803526</v>
      </c>
      <c r="AI231" s="339">
        <v>3.8005617397477245</v>
      </c>
      <c r="AJ231" s="339">
        <v>4.3226547153344868</v>
      </c>
      <c r="AK231" s="339">
        <v>2.9309755838093401</v>
      </c>
      <c r="AL231" s="339">
        <v>1.3752853663128777</v>
      </c>
    </row>
    <row r="232" spans="1:42" s="338" customFormat="1" x14ac:dyDescent="0.2">
      <c r="B232" s="338" t="s">
        <v>351</v>
      </c>
      <c r="C232" s="338" t="s">
        <v>350</v>
      </c>
      <c r="F232" s="339">
        <v>47.310266666666671</v>
      </c>
      <c r="G232" s="339">
        <v>223.90026666666665</v>
      </c>
      <c r="H232" s="339">
        <v>52.52259999999999</v>
      </c>
      <c r="I232" s="339">
        <v>893.86833333333334</v>
      </c>
      <c r="J232" s="339">
        <v>1264.6700333333335</v>
      </c>
      <c r="K232" s="339">
        <v>611.00473333333332</v>
      </c>
      <c r="L232" s="339">
        <v>1392.3708833333333</v>
      </c>
      <c r="M232" s="339">
        <v>1293.8101833333333</v>
      </c>
      <c r="N232" s="339">
        <v>519.5442833333334</v>
      </c>
      <c r="O232" s="339">
        <v>359.32318333333336</v>
      </c>
      <c r="P232" s="339">
        <v>1511.2643166666667</v>
      </c>
      <c r="Q232" s="339">
        <v>299.89545000000004</v>
      </c>
      <c r="R232" s="339">
        <v>4968.5056166666664</v>
      </c>
      <c r="S232" s="339">
        <v>843.52240000000018</v>
      </c>
      <c r="T232" s="339">
        <v>3215.2685666666671</v>
      </c>
      <c r="U232" s="339">
        <v>527.77476666666655</v>
      </c>
      <c r="V232" s="339">
        <v>1401.2380833333334</v>
      </c>
      <c r="W232" s="339">
        <v>846.11631666666665</v>
      </c>
      <c r="X232" s="339">
        <v>399.83908333333335</v>
      </c>
      <c r="Y232" s="339">
        <v>495.58058333333332</v>
      </c>
      <c r="Z232" s="339">
        <v>27.772633333333332</v>
      </c>
      <c r="AA232" s="339">
        <v>294.09261666666663</v>
      </c>
      <c r="AB232" s="339">
        <v>392.26088333333337</v>
      </c>
      <c r="AC232" s="339">
        <v>497.36661666666669</v>
      </c>
      <c r="AD232" s="339">
        <v>49.006083333333329</v>
      </c>
      <c r="AE232" s="339">
        <v>303.76095000000004</v>
      </c>
      <c r="AF232" s="339">
        <v>73.996566666666681</v>
      </c>
      <c r="AG232" s="339">
        <v>277.85511666666667</v>
      </c>
      <c r="AH232" s="339">
        <v>442.6876666666667</v>
      </c>
      <c r="AI232" s="339">
        <v>2.5529166666666669</v>
      </c>
      <c r="AJ232" s="339">
        <v>2.9349500000000002</v>
      </c>
      <c r="AK232" s="339">
        <v>2.0113333333333334</v>
      </c>
      <c r="AL232" s="339">
        <v>3.1480166666666669</v>
      </c>
    </row>
    <row r="233" spans="1:42" s="338" customFormat="1" x14ac:dyDescent="0.2">
      <c r="B233" s="338" t="s">
        <v>352</v>
      </c>
      <c r="C233" s="338" t="s">
        <v>350</v>
      </c>
      <c r="F233" s="339">
        <v>0.29783333333333334</v>
      </c>
      <c r="G233" s="339">
        <v>1.6666666666666669E-6</v>
      </c>
      <c r="H233" s="339">
        <v>0.27950000000000003</v>
      </c>
      <c r="I233" s="339">
        <v>0.95050000000000001</v>
      </c>
      <c r="J233" s="339">
        <v>1.3751333333333331</v>
      </c>
      <c r="K233" s="339">
        <v>0.3838333333333333</v>
      </c>
      <c r="L233" s="339">
        <v>0.90090000000000003</v>
      </c>
      <c r="M233" s="339">
        <v>0.80491666666666684</v>
      </c>
      <c r="N233" s="339">
        <v>2.9606166666666667</v>
      </c>
      <c r="O233" s="339">
        <v>0.66828333333333345</v>
      </c>
      <c r="P233" s="339">
        <v>1.9966666666666664</v>
      </c>
      <c r="Q233" s="339">
        <v>1.3193333333333335</v>
      </c>
      <c r="R233" s="339">
        <v>14.939166666666667</v>
      </c>
      <c r="S233" s="339">
        <v>80.348816666666664</v>
      </c>
      <c r="T233" s="339">
        <v>162.53799999999998</v>
      </c>
      <c r="U233" s="339">
        <v>121.81910000000001</v>
      </c>
      <c r="V233" s="339">
        <v>43.040333333333336</v>
      </c>
      <c r="W233" s="339">
        <v>1.0606500000000001</v>
      </c>
      <c r="X233" s="339">
        <v>6.1717166666666659</v>
      </c>
      <c r="Y233" s="339">
        <v>11.304766666666666</v>
      </c>
      <c r="Z233" s="339">
        <v>4.0873166666666663</v>
      </c>
      <c r="AA233" s="339">
        <v>38.261116666666673</v>
      </c>
      <c r="AB233" s="339">
        <v>192.39248333333333</v>
      </c>
      <c r="AC233" s="339">
        <v>50.310266666666671</v>
      </c>
      <c r="AD233" s="339">
        <v>0.50221666666666664</v>
      </c>
      <c r="AE233" s="339">
        <v>53.457250000000009</v>
      </c>
      <c r="AF233" s="339">
        <v>0.23796666666666666</v>
      </c>
      <c r="AG233" s="339">
        <v>24.983033333333335</v>
      </c>
      <c r="AH233" s="339">
        <v>3.9983333333333335</v>
      </c>
      <c r="AI233" s="339">
        <v>1.8707500000000001</v>
      </c>
      <c r="AJ233" s="339">
        <v>1.8610666666666666</v>
      </c>
      <c r="AK233" s="339">
        <v>10.112550000000001</v>
      </c>
      <c r="AL233" s="339">
        <v>1.6367499999999999</v>
      </c>
    </row>
    <row r="234" spans="1:42" x14ac:dyDescent="0.2">
      <c r="AN234" s="338"/>
      <c r="AO234" s="338"/>
      <c r="AP234" s="338"/>
    </row>
    <row r="235" spans="1:42" s="20" customFormat="1" x14ac:dyDescent="0.2">
      <c r="A235" s="12"/>
      <c r="B235" s="12" t="s">
        <v>342</v>
      </c>
      <c r="C235" s="12" t="s">
        <v>981</v>
      </c>
      <c r="F235" s="15">
        <f>F225/SUM(F128:F142)*1000000</f>
        <v>75.971349233683469</v>
      </c>
      <c r="G235" s="15">
        <f t="shared" ref="G235:AL235" si="40">G225/SUM(G128:G142)*1000000</f>
        <v>83.507361283991997</v>
      </c>
      <c r="H235" s="15">
        <f t="shared" si="40"/>
        <v>79.875828046230666</v>
      </c>
      <c r="I235" s="15">
        <f t="shared" si="40"/>
        <v>84.700226628126316</v>
      </c>
      <c r="J235" s="15">
        <f t="shared" si="40"/>
        <v>93.9252362216927</v>
      </c>
      <c r="K235" s="15">
        <f t="shared" si="40"/>
        <v>96.182573433281959</v>
      </c>
      <c r="L235" s="15">
        <f t="shared" si="40"/>
        <v>90.862647548972802</v>
      </c>
      <c r="M235" s="15">
        <f t="shared" si="40"/>
        <v>89.422720936408012</v>
      </c>
      <c r="N235" s="15">
        <f t="shared" si="40"/>
        <v>86.202345456355076</v>
      </c>
      <c r="O235" s="15">
        <f t="shared" si="40"/>
        <v>74.996484272477531</v>
      </c>
      <c r="P235" s="15">
        <f t="shared" si="40"/>
        <v>89.211977400610095</v>
      </c>
      <c r="Q235" s="15">
        <f t="shared" si="40"/>
        <v>86.192129179759974</v>
      </c>
      <c r="R235" s="15">
        <f t="shared" si="40"/>
        <v>116.16498112315632</v>
      </c>
      <c r="S235" s="15">
        <f t="shared" si="40"/>
        <v>106.03841517165796</v>
      </c>
      <c r="T235" s="15">
        <f t="shared" si="40"/>
        <v>99.532061928728226</v>
      </c>
      <c r="U235" s="15">
        <f t="shared" si="40"/>
        <v>59.449883223066102</v>
      </c>
      <c r="V235" s="15">
        <f t="shared" si="40"/>
        <v>56.16631201594128</v>
      </c>
      <c r="W235" s="15">
        <f t="shared" si="40"/>
        <v>54.947938838575134</v>
      </c>
      <c r="X235" s="15">
        <f t="shared" si="40"/>
        <v>60.637159319151458</v>
      </c>
      <c r="Y235" s="15">
        <f t="shared" si="40"/>
        <v>81.010429302929097</v>
      </c>
      <c r="Z235" s="15">
        <f t="shared" si="40"/>
        <v>45.953555672406019</v>
      </c>
      <c r="AA235" s="15">
        <f t="shared" si="40"/>
        <v>82.740723076444539</v>
      </c>
      <c r="AB235" s="15">
        <f t="shared" si="40"/>
        <v>60.607607651731612</v>
      </c>
      <c r="AC235" s="15">
        <f t="shared" si="40"/>
        <v>67.914396567309723</v>
      </c>
      <c r="AD235" s="15">
        <f t="shared" si="40"/>
        <v>45.622421379336146</v>
      </c>
      <c r="AE235" s="15">
        <f t="shared" si="40"/>
        <v>61.550674387102767</v>
      </c>
      <c r="AF235" s="15">
        <f t="shared" si="40"/>
        <v>80.496689524399827</v>
      </c>
      <c r="AG235" s="15">
        <f t="shared" si="40"/>
        <v>93.052992843914978</v>
      </c>
      <c r="AH235" s="15">
        <f t="shared" si="40"/>
        <v>42.005730318074299</v>
      </c>
      <c r="AI235" s="15">
        <f t="shared" si="40"/>
        <v>40.730141064030889</v>
      </c>
      <c r="AJ235" s="15">
        <f t="shared" si="40"/>
        <v>312.8235762644365</v>
      </c>
      <c r="AK235" s="15">
        <f t="shared" si="40"/>
        <v>41.208308217801893</v>
      </c>
      <c r="AL235" s="15">
        <f t="shared" si="40"/>
        <v>44.507587988375846</v>
      </c>
      <c r="AN235" s="338"/>
      <c r="AO235" s="338"/>
      <c r="AP235" s="338"/>
    </row>
    <row r="236" spans="1:42" s="20" customFormat="1" x14ac:dyDescent="0.2">
      <c r="A236" s="12"/>
      <c r="B236" s="12" t="s">
        <v>344</v>
      </c>
      <c r="C236" s="12" t="s">
        <v>981</v>
      </c>
      <c r="F236" s="46">
        <f>F226/SUM(F148:F150)*1000000</f>
        <v>21.586624925064942</v>
      </c>
      <c r="G236" s="46">
        <f t="shared" ref="G236:AL236" si="41">G226/SUM(G148:G150)*1000000</f>
        <v>25.092899937505376</v>
      </c>
      <c r="H236" s="46">
        <f t="shared" si="41"/>
        <v>29.997788938374555</v>
      </c>
      <c r="I236" s="46">
        <f t="shared" si="41"/>
        <v>15.537597137416713</v>
      </c>
      <c r="J236" s="46">
        <f t="shared" si="41"/>
        <v>25.74185924369748</v>
      </c>
      <c r="K236" s="46">
        <f t="shared" si="41"/>
        <v>18.588350878118419</v>
      </c>
      <c r="L236" s="46">
        <f t="shared" si="41"/>
        <v>25.780075922078332</v>
      </c>
      <c r="M236" s="46">
        <f t="shared" si="41"/>
        <v>15.165450629273639</v>
      </c>
      <c r="N236" s="46">
        <f t="shared" si="41"/>
        <v>19.862341023305184</v>
      </c>
      <c r="O236" s="46">
        <f t="shared" si="41"/>
        <v>19.505550732025434</v>
      </c>
      <c r="P236" s="46">
        <f t="shared" si="41"/>
        <v>16.399008497737178</v>
      </c>
      <c r="Q236" s="46">
        <f t="shared" si="41"/>
        <v>19.999420234639324</v>
      </c>
      <c r="R236" s="46">
        <f t="shared" si="41"/>
        <v>28.29351975370739</v>
      </c>
      <c r="S236" s="46">
        <f t="shared" si="41"/>
        <v>25.414412931567803</v>
      </c>
      <c r="T236" s="46">
        <f t="shared" si="41"/>
        <v>19.495287347685995</v>
      </c>
      <c r="U236" s="46">
        <f t="shared" si="41"/>
        <v>23.042353681756847</v>
      </c>
      <c r="V236" s="46">
        <f t="shared" si="41"/>
        <v>17.287680806687476</v>
      </c>
      <c r="W236" s="46">
        <f t="shared" si="41"/>
        <v>17.646926342578521</v>
      </c>
      <c r="X236" s="46">
        <f t="shared" si="41"/>
        <v>16.479502633149689</v>
      </c>
      <c r="Y236" s="46">
        <f t="shared" si="41"/>
        <v>19.262150624665477</v>
      </c>
      <c r="Z236" s="46">
        <f t="shared" si="41"/>
        <v>10.683804726066869</v>
      </c>
      <c r="AA236" s="46">
        <f t="shared" si="41"/>
        <v>13.966200418557804</v>
      </c>
      <c r="AB236" s="46">
        <f t="shared" si="41"/>
        <v>14.758286988901196</v>
      </c>
      <c r="AC236" s="46">
        <f t="shared" si="41"/>
        <v>16.397262779544743</v>
      </c>
      <c r="AD236" s="46">
        <f t="shared" si="41"/>
        <v>9.3648536238495179</v>
      </c>
      <c r="AE236" s="46">
        <f t="shared" si="41"/>
        <v>9.6209486537524871</v>
      </c>
      <c r="AF236" s="46">
        <f t="shared" si="41"/>
        <v>9.4529969413792507</v>
      </c>
      <c r="AG236" s="46">
        <f t="shared" si="41"/>
        <v>16.540628310766415</v>
      </c>
      <c r="AH236" s="46">
        <f t="shared" si="41"/>
        <v>15.053126300698333</v>
      </c>
      <c r="AI236" s="46">
        <f t="shared" si="41"/>
        <v>3.566376561413604</v>
      </c>
      <c r="AJ236" s="46">
        <f t="shared" si="41"/>
        <v>12.091009843181018</v>
      </c>
      <c r="AK236" s="46">
        <f t="shared" si="41"/>
        <v>15.875202818599043</v>
      </c>
      <c r="AL236" s="46">
        <f t="shared" si="41"/>
        <v>16.175791492192701</v>
      </c>
      <c r="AN236" s="33"/>
      <c r="AO236" s="33"/>
      <c r="AP236" s="33"/>
    </row>
    <row r="237" spans="1:42" s="20" customFormat="1" x14ac:dyDescent="0.2">
      <c r="A237" s="12"/>
      <c r="B237" s="12" t="s">
        <v>345</v>
      </c>
      <c r="C237" s="12" t="s">
        <v>981</v>
      </c>
      <c r="F237" s="15">
        <f>F227/SUM(F144:F146)*1000000</f>
        <v>8.8828461364151412</v>
      </c>
      <c r="G237" s="15">
        <f t="shared" ref="G237:AL237" si="42">G227/SUM(G144:G146)*1000000</f>
        <v>16.098226466575714</v>
      </c>
      <c r="H237" s="15">
        <f t="shared" si="42"/>
        <v>15.781532890766442</v>
      </c>
      <c r="I237" s="15">
        <f t="shared" si="42"/>
        <v>10.943623756406391</v>
      </c>
      <c r="J237" s="15">
        <f t="shared" si="42"/>
        <v>24.667335034633613</v>
      </c>
      <c r="K237" s="15">
        <f t="shared" si="42"/>
        <v>11.978618287843201</v>
      </c>
      <c r="L237" s="15">
        <f t="shared" si="42"/>
        <v>16.205979530985569</v>
      </c>
      <c r="M237" s="15">
        <f t="shared" si="42"/>
        <v>6.3414634146341475</v>
      </c>
      <c r="N237" s="15">
        <f t="shared" si="42"/>
        <v>5.6784236345199934</v>
      </c>
      <c r="O237" s="15">
        <f t="shared" si="42"/>
        <v>14.517218095881161</v>
      </c>
      <c r="P237" s="15">
        <f t="shared" si="42"/>
        <v>9.5647110205270049</v>
      </c>
      <c r="Q237" s="15">
        <f t="shared" si="42"/>
        <v>7.9615048118985143</v>
      </c>
      <c r="R237" s="15">
        <f t="shared" si="42"/>
        <v>8.527619367102762</v>
      </c>
      <c r="S237" s="15">
        <f t="shared" si="42"/>
        <v>9.6929231144039232</v>
      </c>
      <c r="T237" s="15">
        <f t="shared" si="42"/>
        <v>7.8358230347898035</v>
      </c>
      <c r="U237" s="15">
        <f t="shared" si="42"/>
        <v>8.4965115337919865</v>
      </c>
      <c r="V237" s="15">
        <f t="shared" si="42"/>
        <v>7.1813782284777892</v>
      </c>
      <c r="W237" s="15">
        <f t="shared" si="42"/>
        <v>4.5118343195266277</v>
      </c>
      <c r="X237" s="15">
        <f t="shared" si="42"/>
        <v>8.7766166417851821</v>
      </c>
      <c r="Y237" s="15">
        <f t="shared" si="42"/>
        <v>10.31527925042737</v>
      </c>
      <c r="Z237" s="15">
        <f t="shared" si="42"/>
        <v>7.5249348176964777</v>
      </c>
      <c r="AA237" s="15">
        <f t="shared" si="42"/>
        <v>8.871655934482428</v>
      </c>
      <c r="AB237" s="15">
        <f t="shared" si="42"/>
        <v>5.3148000540709361</v>
      </c>
      <c r="AC237" s="15">
        <f t="shared" si="42"/>
        <v>11.431417901317287</v>
      </c>
      <c r="AD237" s="15">
        <f t="shared" si="42"/>
        <v>11.60354552780016</v>
      </c>
      <c r="AE237" s="15">
        <f t="shared" si="42"/>
        <v>8.7895119742253502</v>
      </c>
      <c r="AF237" s="15">
        <f t="shared" si="42"/>
        <v>12.595027737826177</v>
      </c>
      <c r="AG237" s="15">
        <f t="shared" si="42"/>
        <v>5.5578199783850568</v>
      </c>
      <c r="AH237" s="15">
        <f t="shared" si="42"/>
        <v>5.4071422014137527</v>
      </c>
      <c r="AI237" s="15">
        <f t="shared" si="42"/>
        <v>3.0531175083708115</v>
      </c>
      <c r="AJ237" s="15">
        <f t="shared" si="42"/>
        <v>4.7595945594732729</v>
      </c>
      <c r="AK237" s="15">
        <f t="shared" si="42"/>
        <v>10.70904707848114</v>
      </c>
      <c r="AL237" s="15">
        <f t="shared" si="42"/>
        <v>13.565807912040528</v>
      </c>
    </row>
    <row r="238" spans="1:42" s="20" customFormat="1" x14ac:dyDescent="0.2">
      <c r="A238" s="12"/>
      <c r="B238" s="12" t="s">
        <v>346</v>
      </c>
      <c r="C238" s="12" t="s">
        <v>981</v>
      </c>
      <c r="F238" s="15">
        <f>F228/SUM(F198:F202)*1000000</f>
        <v>18.627571971408496</v>
      </c>
      <c r="G238" s="15">
        <f t="shared" ref="G238:AL238" si="43">G228/SUM(G198:G202)*1000000</f>
        <v>19.105903638525628</v>
      </c>
      <c r="H238" s="15">
        <f t="shared" si="43"/>
        <v>14.879412302127943</v>
      </c>
      <c r="I238" s="15">
        <f t="shared" si="43"/>
        <v>15.74333295288514</v>
      </c>
      <c r="J238" s="15">
        <f t="shared" si="43"/>
        <v>18.899070946024469</v>
      </c>
      <c r="K238" s="15">
        <f t="shared" si="43"/>
        <v>18.823772902997931</v>
      </c>
      <c r="L238" s="15">
        <f t="shared" si="43"/>
        <v>18.409220321208039</v>
      </c>
      <c r="M238" s="15">
        <f t="shared" si="43"/>
        <v>18.149078346621373</v>
      </c>
      <c r="N238" s="15">
        <f t="shared" si="43"/>
        <v>17.650100093377848</v>
      </c>
      <c r="O238" s="15">
        <f t="shared" si="43"/>
        <v>18.878825109904511</v>
      </c>
      <c r="P238" s="15">
        <f t="shared" si="43"/>
        <v>14.98943919923658</v>
      </c>
      <c r="Q238" s="15">
        <f t="shared" si="43"/>
        <v>12.740859693912075</v>
      </c>
      <c r="R238" s="15">
        <f t="shared" si="43"/>
        <v>18.367069291639613</v>
      </c>
      <c r="S238" s="15">
        <f t="shared" si="43"/>
        <v>16.928827687685661</v>
      </c>
      <c r="T238" s="15">
        <f t="shared" si="43"/>
        <v>17.416399733897318</v>
      </c>
      <c r="U238" s="15">
        <f t="shared" si="43"/>
        <v>15.378313807118275</v>
      </c>
      <c r="V238" s="15">
        <f t="shared" si="43"/>
        <v>17.486871227572149</v>
      </c>
      <c r="W238" s="15">
        <f t="shared" si="43"/>
        <v>17.825194548794066</v>
      </c>
      <c r="X238" s="15">
        <f t="shared" si="43"/>
        <v>22.375240803127696</v>
      </c>
      <c r="Y238" s="15">
        <f t="shared" si="43"/>
        <v>19.22355492075511</v>
      </c>
      <c r="Z238" s="15">
        <f t="shared" si="43"/>
        <v>22.645820642430373</v>
      </c>
      <c r="AA238" s="15">
        <f t="shared" si="43"/>
        <v>26.593629747224021</v>
      </c>
      <c r="AB238" s="15">
        <f t="shared" si="43"/>
        <v>15.834362530454509</v>
      </c>
      <c r="AC238" s="15">
        <f t="shared" si="43"/>
        <v>17.304528941531451</v>
      </c>
      <c r="AD238" s="15">
        <f t="shared" si="43"/>
        <v>13.754560455470626</v>
      </c>
      <c r="AE238" s="15">
        <f t="shared" si="43"/>
        <v>18.620597394338844</v>
      </c>
      <c r="AF238" s="15">
        <f t="shared" si="43"/>
        <v>13.215135047880432</v>
      </c>
      <c r="AG238" s="15">
        <f t="shared" si="43"/>
        <v>17.923076680392775</v>
      </c>
      <c r="AH238" s="15">
        <f t="shared" si="43"/>
        <v>15.803996770924421</v>
      </c>
      <c r="AI238" s="15">
        <f t="shared" si="43"/>
        <v>9.2422171579711776</v>
      </c>
      <c r="AJ238" s="15">
        <f t="shared" si="43"/>
        <v>19.192802208056264</v>
      </c>
      <c r="AK238" s="15">
        <f t="shared" si="43"/>
        <v>22.091254200420504</v>
      </c>
      <c r="AL238" s="15">
        <f t="shared" si="43"/>
        <v>25.116704728640521</v>
      </c>
    </row>
    <row r="239" spans="1:42" s="20" customFormat="1" x14ac:dyDescent="0.2">
      <c r="A239" s="12"/>
      <c r="B239" s="12" t="s">
        <v>347</v>
      </c>
      <c r="C239" s="12" t="s">
        <v>981</v>
      </c>
      <c r="F239" s="15">
        <f>F229/SUM(F204:F214)*1000000</f>
        <v>7.0679027908641734</v>
      </c>
      <c r="G239" s="15">
        <f t="shared" ref="G239:AL239" si="44">G229/SUM(G204:G214)*1000000</f>
        <v>10.567392462843916</v>
      </c>
      <c r="H239" s="15">
        <f t="shared" si="44"/>
        <v>10.567392462843914</v>
      </c>
      <c r="I239" s="15">
        <f t="shared" si="44"/>
        <v>6.5600608892519565</v>
      </c>
      <c r="J239" s="15">
        <f t="shared" si="44"/>
        <v>8.4755953700677686</v>
      </c>
      <c r="K239" s="15">
        <f t="shared" si="44"/>
        <v>10.567392462843916</v>
      </c>
      <c r="L239" s="15">
        <f t="shared" si="44"/>
        <v>7.640347487542468</v>
      </c>
      <c r="M239" s="15">
        <f t="shared" si="44"/>
        <v>6.0531580177335922</v>
      </c>
      <c r="N239" s="15">
        <f t="shared" si="44"/>
        <v>11.779087751936389</v>
      </c>
      <c r="O239" s="15">
        <f t="shared" si="44"/>
        <v>10.550183597483167</v>
      </c>
      <c r="P239" s="15">
        <f t="shared" si="44"/>
        <v>13.712350524144712</v>
      </c>
      <c r="Q239" s="15">
        <f t="shared" si="44"/>
        <v>3.6683919083958196</v>
      </c>
      <c r="R239" s="15">
        <f t="shared" si="44"/>
        <v>4.6336938607042049</v>
      </c>
      <c r="S239" s="15">
        <f t="shared" si="44"/>
        <v>5.9105303688893027</v>
      </c>
      <c r="T239" s="15">
        <f t="shared" si="44"/>
        <v>5.5975182032913118</v>
      </c>
      <c r="U239" s="15">
        <f t="shared" si="44"/>
        <v>9.237934502878181</v>
      </c>
      <c r="V239" s="15">
        <f t="shared" si="44"/>
        <v>9.8507198717454774</v>
      </c>
      <c r="W239" s="15">
        <f t="shared" si="44"/>
        <v>14.631298963781747</v>
      </c>
      <c r="X239" s="15">
        <f t="shared" si="44"/>
        <v>4.6806960943014078</v>
      </c>
      <c r="Y239" s="15">
        <f t="shared" si="44"/>
        <v>4.6806960943014095</v>
      </c>
      <c r="Z239" s="15">
        <f t="shared" si="44"/>
        <v>13.058157714045908</v>
      </c>
      <c r="AA239" s="15">
        <f t="shared" si="44"/>
        <v>4.6806960943014078</v>
      </c>
      <c r="AB239" s="15">
        <f t="shared" si="44"/>
        <v>9.0924111050038992</v>
      </c>
      <c r="AC239" s="15">
        <f t="shared" si="44"/>
        <v>8.5834535027978642</v>
      </c>
      <c r="AD239" s="15">
        <f t="shared" si="44"/>
        <v>6.9477928021696078</v>
      </c>
      <c r="AE239" s="15">
        <f t="shared" si="44"/>
        <v>8.4241480756291409</v>
      </c>
      <c r="AF239" s="15">
        <f t="shared" si="44"/>
        <v>6.9477928021696087</v>
      </c>
      <c r="AG239" s="15">
        <f t="shared" si="44"/>
        <v>7.1998467064325071</v>
      </c>
      <c r="AH239" s="15">
        <f t="shared" si="44"/>
        <v>1.4463634333505013</v>
      </c>
      <c r="AI239" s="15">
        <f t="shared" si="44"/>
        <v>13.058157714045914</v>
      </c>
      <c r="AJ239" s="15">
        <f t="shared" si="44"/>
        <v>22.395097237211932</v>
      </c>
      <c r="AK239" s="15">
        <f t="shared" si="44"/>
        <v>11.40030382459951</v>
      </c>
      <c r="AL239" s="15">
        <f t="shared" si="44"/>
        <v>13.091527457281202</v>
      </c>
    </row>
    <row r="240" spans="1:42" s="20" customFormat="1" x14ac:dyDescent="0.2">
      <c r="A240" s="12"/>
      <c r="B240" s="12" t="s">
        <v>348</v>
      </c>
      <c r="C240" s="12" t="s">
        <v>981</v>
      </c>
      <c r="F240" s="15">
        <f>F230/SUM(F216:F217)*1000000</f>
        <v>0.26050945629057004</v>
      </c>
      <c r="G240" s="15">
        <f t="shared" ref="G240:AL240" si="45">G230/SUM(G216:G217)*1000000</f>
        <v>0.17440313688951004</v>
      </c>
      <c r="H240" s="15">
        <f t="shared" si="45"/>
        <v>0.95494199044453354</v>
      </c>
      <c r="I240" s="15">
        <f t="shared" si="45"/>
        <v>0.48746679169272938</v>
      </c>
      <c r="J240" s="15">
        <f t="shared" si="45"/>
        <v>0.38003773748610392</v>
      </c>
      <c r="K240" s="15">
        <f t="shared" si="45"/>
        <v>0.42928049924955275</v>
      </c>
      <c r="L240" s="15">
        <f t="shared" si="45"/>
        <v>0.14068959907472758</v>
      </c>
      <c r="M240" s="15">
        <f t="shared" si="45"/>
        <v>0.86065794680220653</v>
      </c>
      <c r="N240" s="15">
        <f t="shared" si="45"/>
        <v>0.68005248146773511</v>
      </c>
      <c r="O240" s="15">
        <f t="shared" si="45"/>
        <v>0.46312934690356733</v>
      </c>
      <c r="P240" s="15">
        <f t="shared" si="45"/>
        <v>0.32288023497531904</v>
      </c>
      <c r="Q240" s="15">
        <f t="shared" si="45"/>
        <v>0.24031796417571524</v>
      </c>
      <c r="R240" s="15">
        <f t="shared" si="45"/>
        <v>0.4414836012596795</v>
      </c>
      <c r="S240" s="15">
        <f t="shared" si="45"/>
        <v>0.22633716244891822</v>
      </c>
      <c r="T240" s="15">
        <f t="shared" si="45"/>
        <v>0.39673117075912823</v>
      </c>
      <c r="U240" s="15">
        <f t="shared" si="45"/>
        <v>0.37092617801456862</v>
      </c>
      <c r="V240" s="15">
        <f t="shared" si="45"/>
        <v>0.36420190915566286</v>
      </c>
      <c r="W240" s="15">
        <f t="shared" si="45"/>
        <v>0.29527288730628187</v>
      </c>
      <c r="X240" s="15">
        <f t="shared" si="45"/>
        <v>0.35812357970704578</v>
      </c>
      <c r="Y240" s="15">
        <f t="shared" si="45"/>
        <v>0.28872225795517681</v>
      </c>
      <c r="Z240" s="15">
        <f t="shared" si="45"/>
        <v>0.56158589298249506</v>
      </c>
      <c r="AA240" s="15">
        <f t="shared" si="45"/>
        <v>0.55715877317213025</v>
      </c>
      <c r="AB240" s="15">
        <f t="shared" si="45"/>
        <v>0.52616770770959698</v>
      </c>
      <c r="AC240" s="15">
        <f t="shared" si="45"/>
        <v>0.47483283367240242</v>
      </c>
      <c r="AD240" s="15">
        <f t="shared" si="45"/>
        <v>0.42738277215284132</v>
      </c>
      <c r="AE240" s="15">
        <f t="shared" si="45"/>
        <v>0.30266255683077353</v>
      </c>
      <c r="AF240" s="15">
        <f t="shared" si="45"/>
        <v>0.30956766255387674</v>
      </c>
      <c r="AG240" s="15">
        <f t="shared" si="45"/>
        <v>0.40545887544380077</v>
      </c>
      <c r="AH240" s="15">
        <f t="shared" si="45"/>
        <v>0.3039836050412838</v>
      </c>
      <c r="AI240" s="15">
        <f t="shared" si="45"/>
        <v>0.13694867203076652</v>
      </c>
      <c r="AJ240" s="15">
        <f t="shared" si="45"/>
        <v>0.3000138620897696</v>
      </c>
      <c r="AK240" s="15">
        <f t="shared" si="45"/>
        <v>0.26774930690239701</v>
      </c>
      <c r="AL240" s="15">
        <f t="shared" si="45"/>
        <v>0.35899233911772782</v>
      </c>
    </row>
    <row r="241" spans="1:42" s="20" customFormat="1" x14ac:dyDescent="0.2">
      <c r="A241" s="12"/>
      <c r="B241" s="12" t="s">
        <v>349</v>
      </c>
      <c r="C241" s="12" t="s">
        <v>982</v>
      </c>
      <c r="F241" s="15">
        <f>F231/F205*1000000</f>
        <v>20.040069925646147</v>
      </c>
      <c r="G241" s="15">
        <f t="shared" ref="G241:AL241" si="46">G231/G205*1000000</f>
        <v>33.941212430866486</v>
      </c>
      <c r="H241" s="15">
        <f t="shared" si="46"/>
        <v>33.941212430866486</v>
      </c>
      <c r="I241" s="15">
        <f t="shared" si="46"/>
        <v>14.379921720927181</v>
      </c>
      <c r="J241" s="15">
        <f t="shared" si="46"/>
        <v>27.220235883576507</v>
      </c>
      <c r="K241" s="15">
        <f t="shared" si="46"/>
        <v>33.941212430866493</v>
      </c>
      <c r="L241" s="15">
        <f t="shared" si="46"/>
        <v>24.537752424787374</v>
      </c>
      <c r="M241" s="15">
        <f t="shared" si="46"/>
        <v>12.639313226471526</v>
      </c>
      <c r="N241" s="15">
        <f t="shared" si="46"/>
        <v>62.581387562786581</v>
      </c>
      <c r="O241" s="15">
        <f t="shared" si="46"/>
        <v>63.033956189272551</v>
      </c>
      <c r="P241" s="15">
        <f t="shared" si="46"/>
        <v>50.677402543192379</v>
      </c>
      <c r="Q241" s="15">
        <f t="shared" si="46"/>
        <v>11.668660969832438</v>
      </c>
      <c r="R241" s="15">
        <f t="shared" si="46"/>
        <v>8.8707849673841253</v>
      </c>
      <c r="S241" s="15">
        <f t="shared" si="46"/>
        <v>17.423869777655483</v>
      </c>
      <c r="T241" s="15">
        <f t="shared" si="46"/>
        <v>14.734978585318522</v>
      </c>
      <c r="U241" s="15">
        <f t="shared" si="46"/>
        <v>30.084344377454347</v>
      </c>
      <c r="V241" s="15">
        <f t="shared" si="46"/>
        <v>38.650559746947927</v>
      </c>
      <c r="W241" s="15">
        <f t="shared" si="46"/>
        <v>51.237178984647002</v>
      </c>
      <c r="X241" s="15">
        <f t="shared" si="46"/>
        <v>12.182402591475148</v>
      </c>
      <c r="Y241" s="15">
        <f t="shared" si="46"/>
        <v>12.182402591475142</v>
      </c>
      <c r="Z241" s="15">
        <f t="shared" si="46"/>
        <v>35.088545452513749</v>
      </c>
      <c r="AA241" s="15">
        <f t="shared" si="46"/>
        <v>12.182402591475141</v>
      </c>
      <c r="AB241" s="15">
        <f t="shared" si="46"/>
        <v>40.479057064851261</v>
      </c>
      <c r="AC241" s="15">
        <f t="shared" si="46"/>
        <v>40.992856955696858</v>
      </c>
      <c r="AD241" s="15">
        <f t="shared" si="46"/>
        <v>18.102489072428895</v>
      </c>
      <c r="AE241" s="15">
        <f t="shared" si="46"/>
        <v>41.182689638394805</v>
      </c>
      <c r="AF241" s="15">
        <f t="shared" si="46"/>
        <v>18.102489072428895</v>
      </c>
      <c r="AG241" s="15">
        <f t="shared" si="46"/>
        <v>22.815139885077365</v>
      </c>
      <c r="AH241" s="15">
        <f t="shared" si="46"/>
        <v>40.818775180165545</v>
      </c>
      <c r="AI241" s="15">
        <f t="shared" si="46"/>
        <v>35.08854545251377</v>
      </c>
      <c r="AJ241" s="15">
        <f t="shared" si="46"/>
        <v>60.177814093646923</v>
      </c>
      <c r="AK241" s="15">
        <f t="shared" si="46"/>
        <v>39.131585030253312</v>
      </c>
      <c r="AL241" s="15">
        <f t="shared" si="46"/>
        <v>47.489581180736778</v>
      </c>
    </row>
    <row r="242" spans="1:42" s="20" customFormat="1" x14ac:dyDescent="0.2">
      <c r="A242" s="12"/>
      <c r="B242" s="12" t="s">
        <v>351</v>
      </c>
      <c r="C242" s="12" t="s">
        <v>983</v>
      </c>
      <c r="F242" s="46">
        <f>F232/F128*1000000</f>
        <v>6904.2564576543282</v>
      </c>
      <c r="G242" s="46">
        <f t="shared" ref="G242:AL242" si="47">G232/G128*1000000</f>
        <v>6182.7845048577647</v>
      </c>
      <c r="H242" s="46">
        <f t="shared" si="47"/>
        <v>6795.2302915301007</v>
      </c>
      <c r="I242" s="46">
        <f t="shared" si="47"/>
        <v>6829.0002775804151</v>
      </c>
      <c r="J242" s="46">
        <f t="shared" si="47"/>
        <v>5901.2853226527723</v>
      </c>
      <c r="K242" s="46">
        <f t="shared" si="47"/>
        <v>6004.8424928584536</v>
      </c>
      <c r="L242" s="46">
        <f t="shared" si="47"/>
        <v>5738.2768599270403</v>
      </c>
      <c r="M242" s="46">
        <f t="shared" si="47"/>
        <v>6876.4885964111927</v>
      </c>
      <c r="N242" s="46">
        <f t="shared" si="47"/>
        <v>6697.690063254151</v>
      </c>
      <c r="O242" s="46">
        <f t="shared" si="47"/>
        <v>5986.5412863652391</v>
      </c>
      <c r="P242" s="46">
        <f t="shared" si="47"/>
        <v>6236.1580953402745</v>
      </c>
      <c r="Q242" s="46">
        <f t="shared" si="47"/>
        <v>6524.454202306837</v>
      </c>
      <c r="R242" s="46">
        <f t="shared" si="47"/>
        <v>8719.9018642860592</v>
      </c>
      <c r="S242" s="46">
        <f t="shared" si="47"/>
        <v>6672.2226177198781</v>
      </c>
      <c r="T242" s="46">
        <f t="shared" si="47"/>
        <v>6729.8541254153051</v>
      </c>
      <c r="U242" s="46">
        <f t="shared" si="47"/>
        <v>6981.0091951438344</v>
      </c>
      <c r="V242" s="46">
        <f t="shared" si="47"/>
        <v>5031.5200556329564</v>
      </c>
      <c r="W242" s="46">
        <f t="shared" si="47"/>
        <v>5580.6838805704356</v>
      </c>
      <c r="X242" s="46">
        <f t="shared" si="47"/>
        <v>4805.9892703174837</v>
      </c>
      <c r="Y242" s="46">
        <f t="shared" si="47"/>
        <v>6020.4526449846826</v>
      </c>
      <c r="Z242" s="46">
        <f t="shared" si="47"/>
        <v>4137.2445812746728</v>
      </c>
      <c r="AA242" s="46">
        <f t="shared" si="47"/>
        <v>5440.2156286033151</v>
      </c>
      <c r="AB242" s="46">
        <f t="shared" si="47"/>
        <v>5339.5464857752177</v>
      </c>
      <c r="AC242" s="46">
        <f t="shared" si="47"/>
        <v>5702.928097080885</v>
      </c>
      <c r="AD242" s="46">
        <f t="shared" si="47"/>
        <v>5628.570061255743</v>
      </c>
      <c r="AE242" s="46">
        <f t="shared" si="47"/>
        <v>5682.1647253953215</v>
      </c>
      <c r="AF242" s="46">
        <f t="shared" si="47"/>
        <v>6312.7127440246841</v>
      </c>
      <c r="AG242" s="46">
        <f t="shared" si="47"/>
        <v>5558.0657313934416</v>
      </c>
      <c r="AH242" s="46">
        <f t="shared" si="47"/>
        <v>5119.9764060472999</v>
      </c>
      <c r="AI242" s="46">
        <f t="shared" si="47"/>
        <v>4515.7724056603774</v>
      </c>
      <c r="AJ242" s="46">
        <f t="shared" si="47"/>
        <v>4882.0903798170229</v>
      </c>
      <c r="AK242" s="46">
        <f t="shared" si="47"/>
        <v>3508.1395348837209</v>
      </c>
      <c r="AL242" s="46">
        <f t="shared" si="47"/>
        <v>3841.3870246085012</v>
      </c>
    </row>
    <row r="243" spans="1:42" s="20" customFormat="1" x14ac:dyDescent="0.2">
      <c r="A243" s="12"/>
      <c r="B243" s="12" t="s">
        <v>352</v>
      </c>
      <c r="C243" s="12" t="s">
        <v>984</v>
      </c>
      <c r="F243" s="15">
        <f>F233/(F195+F191)*1000000</f>
        <v>1.7883264016921347</v>
      </c>
      <c r="G243" s="15">
        <f t="shared" ref="G243:AL243" si="48">G233/(G195+G191)*1000000</f>
        <v>3.4007740841970454E-6</v>
      </c>
      <c r="H243" s="15">
        <f t="shared" si="48"/>
        <v>1.9403739402573095</v>
      </c>
      <c r="I243" s="15">
        <f t="shared" si="48"/>
        <v>0.89096734400806887</v>
      </c>
      <c r="J243" s="15">
        <f t="shared" si="48"/>
        <v>1.9720682305778652</v>
      </c>
      <c r="K243" s="15">
        <f t="shared" si="48"/>
        <v>0.69375930817586762</v>
      </c>
      <c r="L243" s="15">
        <f t="shared" si="48"/>
        <v>1.3470112766778208</v>
      </c>
      <c r="M243" s="15">
        <f t="shared" si="48"/>
        <v>1.282675422695932</v>
      </c>
      <c r="N243" s="15">
        <f t="shared" si="48"/>
        <v>2.3975808804785337</v>
      </c>
      <c r="O243" s="15">
        <f t="shared" si="48"/>
        <v>0.53292316710455356</v>
      </c>
      <c r="P243" s="15">
        <f t="shared" si="48"/>
        <v>0.61789752136598586</v>
      </c>
      <c r="Q243" s="15">
        <f t="shared" si="48"/>
        <v>2.4887350626772333</v>
      </c>
      <c r="R243" s="15">
        <f t="shared" si="48"/>
        <v>15.220076774662058</v>
      </c>
      <c r="S243" s="15">
        <f t="shared" si="48"/>
        <v>25.577589851613624</v>
      </c>
      <c r="T243" s="15">
        <f t="shared" si="48"/>
        <v>21.756204407690721</v>
      </c>
      <c r="U243" s="15">
        <f t="shared" si="48"/>
        <v>14.607769030638936</v>
      </c>
      <c r="V243" s="15">
        <f t="shared" si="48"/>
        <v>2.9439200154435134</v>
      </c>
      <c r="W243" s="15">
        <f t="shared" si="48"/>
        <v>2.7606470947420041</v>
      </c>
      <c r="X243" s="15">
        <f t="shared" si="48"/>
        <v>7.0545881436976137</v>
      </c>
      <c r="Y243" s="15">
        <f t="shared" si="48"/>
        <v>12.82336319425586</v>
      </c>
      <c r="Z243" s="15">
        <f t="shared" si="48"/>
        <v>0.79485562055157033</v>
      </c>
      <c r="AA243" s="15">
        <f t="shared" si="48"/>
        <v>10.407573594587541</v>
      </c>
      <c r="AB243" s="15">
        <f t="shared" si="48"/>
        <v>14.854489673397181</v>
      </c>
      <c r="AC243" s="15">
        <f t="shared" si="48"/>
        <v>6.9191486046752146</v>
      </c>
      <c r="AD243" s="15">
        <f t="shared" si="48"/>
        <v>1.6744833860606938</v>
      </c>
      <c r="AE243" s="15">
        <f t="shared" si="48"/>
        <v>6.1096413482893768</v>
      </c>
      <c r="AF243" s="15">
        <f t="shared" si="48"/>
        <v>1.9894740963589335</v>
      </c>
      <c r="AG243" s="15">
        <f t="shared" si="48"/>
        <v>5.1566278112675361</v>
      </c>
      <c r="AH243" s="15">
        <f t="shared" si="48"/>
        <v>2.8783313040437748</v>
      </c>
      <c r="AI243" s="15">
        <f t="shared" si="48"/>
        <v>0.73441989004174735</v>
      </c>
      <c r="AJ243" s="15">
        <f t="shared" si="48"/>
        <v>1.1503150947961769</v>
      </c>
      <c r="AK243" s="15">
        <f t="shared" si="48"/>
        <v>8.0861812742959067</v>
      </c>
      <c r="AL243" s="15">
        <f t="shared" si="48"/>
        <v>5.7612668979269293</v>
      </c>
    </row>
    <row r="244" spans="1:42" x14ac:dyDescent="0.2">
      <c r="AN244" s="20"/>
      <c r="AO244" s="20"/>
      <c r="AP244" s="20"/>
    </row>
    <row r="245" spans="1:42" x14ac:dyDescent="0.2">
      <c r="AN245" s="20"/>
      <c r="AO245" s="20"/>
      <c r="AP245" s="20"/>
    </row>
    <row r="258" spans="1:1" x14ac:dyDescent="0.2">
      <c r="A258" s="33"/>
    </row>
    <row r="259" spans="1:1" x14ac:dyDescent="0.2">
      <c r="A259" s="33"/>
    </row>
    <row r="261" spans="1:1" x14ac:dyDescent="0.2">
      <c r="A261" s="33"/>
    </row>
    <row r="262" spans="1:1" x14ac:dyDescent="0.2">
      <c r="A262" s="33"/>
    </row>
    <row r="263" spans="1:1" x14ac:dyDescent="0.2">
      <c r="A263" s="33"/>
    </row>
    <row r="264" spans="1:1" x14ac:dyDescent="0.2">
      <c r="A264" s="33"/>
    </row>
    <row r="265" spans="1:1" x14ac:dyDescent="0.2">
      <c r="A265" s="33"/>
    </row>
    <row r="266" spans="1:1" x14ac:dyDescent="0.2">
      <c r="A266" s="33"/>
    </row>
    <row r="267" spans="1:1" x14ac:dyDescent="0.2">
      <c r="A267" s="33"/>
    </row>
    <row r="268" spans="1:1" x14ac:dyDescent="0.2">
      <c r="A268" s="33"/>
    </row>
    <row r="269" spans="1:1" x14ac:dyDescent="0.2">
      <c r="A269" s="33"/>
    </row>
    <row r="270" spans="1:1" x14ac:dyDescent="0.2">
      <c r="A270" s="33"/>
    </row>
    <row r="271" spans="1:1" x14ac:dyDescent="0.2">
      <c r="A271" s="33"/>
    </row>
    <row r="272" spans="1:1" x14ac:dyDescent="0.2">
      <c r="A272" s="33"/>
    </row>
    <row r="273" spans="1:1" x14ac:dyDescent="0.2">
      <c r="A273" s="33"/>
    </row>
    <row r="274" spans="1:1" x14ac:dyDescent="0.2">
      <c r="A274" s="33"/>
    </row>
    <row r="275" spans="1:1" x14ac:dyDescent="0.2">
      <c r="A275" s="33"/>
    </row>
    <row r="276" spans="1:1" x14ac:dyDescent="0.2">
      <c r="A276" s="33"/>
    </row>
    <row r="277" spans="1:1" x14ac:dyDescent="0.2">
      <c r="A277" s="33"/>
    </row>
    <row r="278" spans="1:1" x14ac:dyDescent="0.2">
      <c r="A278" s="33"/>
    </row>
    <row r="279" spans="1:1" x14ac:dyDescent="0.2">
      <c r="A279" s="33"/>
    </row>
    <row r="280" spans="1:1" x14ac:dyDescent="0.2">
      <c r="A280" s="33"/>
    </row>
    <row r="281" spans="1:1" x14ac:dyDescent="0.2">
      <c r="A281" s="33"/>
    </row>
    <row r="282" spans="1:1" x14ac:dyDescent="0.2">
      <c r="A282" s="33"/>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2"/>
  <dimension ref="A1:AN1411"/>
  <sheetViews>
    <sheetView zoomScale="80" zoomScaleNormal="80" workbookViewId="0">
      <pane xSplit="4" ySplit="2" topLeftCell="AC3" activePane="bottomRight" state="frozen"/>
      <selection pane="topRight" activeCell="E1" sqref="E1"/>
      <selection pane="bottomLeft" activeCell="A3" sqref="A3"/>
      <selection pane="bottomRight" activeCell="AO1" sqref="AO1"/>
    </sheetView>
  </sheetViews>
  <sheetFormatPr defaultColWidth="11.42578125" defaultRowHeight="14.25" x14ac:dyDescent="0.2"/>
  <cols>
    <col min="1" max="1" width="11.42578125" style="376"/>
    <col min="2" max="2" width="61.140625" style="376" customWidth="1"/>
    <col min="3" max="3" width="11.42578125" style="376"/>
    <col min="4" max="4" width="25.28515625" style="376" customWidth="1"/>
    <col min="5" max="5" width="17" style="33" customWidth="1"/>
    <col min="6" max="39" width="11.42578125" style="33"/>
    <col min="40" max="16384" width="11.42578125" style="376"/>
  </cols>
  <sheetData>
    <row r="1" spans="1:40" ht="15.75" x14ac:dyDescent="0.25">
      <c r="A1" s="1"/>
      <c r="B1" s="2" t="s">
        <v>0</v>
      </c>
      <c r="C1" s="3"/>
      <c r="D1" s="1"/>
      <c r="E1" s="1"/>
      <c r="F1" s="1" t="s">
        <v>1025</v>
      </c>
      <c r="G1" s="1" t="s">
        <v>1025</v>
      </c>
      <c r="H1" s="1" t="s">
        <v>1025</v>
      </c>
      <c r="I1" s="1" t="s">
        <v>1025</v>
      </c>
      <c r="J1" s="1"/>
      <c r="K1" s="1"/>
      <c r="L1" s="1"/>
      <c r="M1" s="1" t="s">
        <v>1025</v>
      </c>
      <c r="N1" s="1" t="s">
        <v>1025</v>
      </c>
      <c r="O1" s="1" t="s">
        <v>1025</v>
      </c>
      <c r="P1" s="1"/>
      <c r="Q1" s="1" t="s">
        <v>1025</v>
      </c>
      <c r="R1" s="1"/>
      <c r="S1" s="1"/>
      <c r="T1" s="1"/>
      <c r="U1" s="1" t="s">
        <v>1025</v>
      </c>
      <c r="V1" s="1"/>
      <c r="W1" s="1"/>
      <c r="X1" s="1"/>
      <c r="Y1" s="1"/>
      <c r="Z1" s="1"/>
      <c r="AA1" s="1"/>
      <c r="AB1" s="1"/>
      <c r="AC1" s="1"/>
      <c r="AD1" s="1" t="s">
        <v>1025</v>
      </c>
      <c r="AE1" s="1"/>
      <c r="AF1" s="1" t="s">
        <v>1025</v>
      </c>
      <c r="AG1" s="1"/>
      <c r="AH1" s="1"/>
      <c r="AI1" s="1" t="s">
        <v>1025</v>
      </c>
      <c r="AJ1" s="1" t="s">
        <v>1025</v>
      </c>
      <c r="AK1" s="1" t="s">
        <v>1025</v>
      </c>
      <c r="AL1" s="1" t="s">
        <v>1025</v>
      </c>
      <c r="AM1" s="1"/>
    </row>
    <row r="2" spans="1:40" ht="15" x14ac:dyDescent="0.25">
      <c r="A2" s="4" t="s">
        <v>1</v>
      </c>
      <c r="B2" s="5"/>
      <c r="C2" s="3"/>
      <c r="D2" s="1"/>
      <c r="E2" s="1"/>
      <c r="F2" s="144" t="s">
        <v>2</v>
      </c>
      <c r="G2" s="6" t="s">
        <v>3</v>
      </c>
      <c r="H2" s="6" t="s">
        <v>4</v>
      </c>
      <c r="I2" s="6" t="s">
        <v>5</v>
      </c>
      <c r="J2" s="6" t="s">
        <v>6</v>
      </c>
      <c r="K2" s="6" t="s">
        <v>7</v>
      </c>
      <c r="L2" s="6" t="s">
        <v>8</v>
      </c>
      <c r="M2" s="6" t="s">
        <v>9</v>
      </c>
      <c r="N2" s="6" t="s">
        <v>10</v>
      </c>
      <c r="O2" s="6" t="s">
        <v>11</v>
      </c>
      <c r="P2" s="6" t="s">
        <v>12</v>
      </c>
      <c r="Q2" s="6" t="s">
        <v>13</v>
      </c>
      <c r="R2" s="6" t="s">
        <v>14</v>
      </c>
      <c r="S2" s="6" t="s">
        <v>15</v>
      </c>
      <c r="T2" s="6" t="s">
        <v>16</v>
      </c>
      <c r="U2" s="6" t="s">
        <v>17</v>
      </c>
      <c r="V2" s="6" t="s">
        <v>18</v>
      </c>
      <c r="W2" s="6" t="s">
        <v>19</v>
      </c>
      <c r="X2" s="6" t="s">
        <v>20</v>
      </c>
      <c r="Y2" s="6" t="s">
        <v>21</v>
      </c>
      <c r="Z2" s="6" t="s">
        <v>22</v>
      </c>
      <c r="AA2" s="145" t="s">
        <v>23</v>
      </c>
      <c r="AB2" s="6" t="s">
        <v>24</v>
      </c>
      <c r="AC2" s="6" t="s">
        <v>25</v>
      </c>
      <c r="AD2" s="6" t="s">
        <v>26</v>
      </c>
      <c r="AE2" s="6" t="s">
        <v>27</v>
      </c>
      <c r="AF2" s="6" t="s">
        <v>28</v>
      </c>
      <c r="AG2" s="6" t="s">
        <v>29</v>
      </c>
      <c r="AH2" s="6" t="s">
        <v>30</v>
      </c>
      <c r="AI2" s="6" t="s">
        <v>31</v>
      </c>
      <c r="AJ2" s="6" t="s">
        <v>32</v>
      </c>
      <c r="AK2" s="6" t="s">
        <v>33</v>
      </c>
      <c r="AL2" s="6" t="s">
        <v>34</v>
      </c>
      <c r="AM2" s="6" t="s">
        <v>719</v>
      </c>
    </row>
    <row r="3" spans="1:40" ht="15" x14ac:dyDescent="0.25">
      <c r="A3" s="1"/>
      <c r="B3" s="1"/>
      <c r="C3" s="7" t="s">
        <v>35</v>
      </c>
      <c r="D3" s="4" t="s">
        <v>36</v>
      </c>
      <c r="E3" s="389"/>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107"/>
    </row>
    <row r="4" spans="1:40" ht="23.25" x14ac:dyDescent="0.35">
      <c r="A4" s="9"/>
      <c r="B4" s="10" t="s">
        <v>37</v>
      </c>
      <c r="C4" s="11"/>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107"/>
    </row>
    <row r="5" spans="1:40" x14ac:dyDescent="0.2">
      <c r="A5" s="8"/>
      <c r="B5" s="12" t="s">
        <v>38</v>
      </c>
      <c r="C5" s="13" t="s">
        <v>39</v>
      </c>
      <c r="D5" s="12" t="s">
        <v>1114</v>
      </c>
      <c r="E5" s="14"/>
      <c r="F5" s="24">
        <f>hypo!F10</f>
        <v>13.77</v>
      </c>
      <c r="G5" s="24">
        <f>hypo!G10</f>
        <v>0.71</v>
      </c>
      <c r="H5" s="24">
        <f>hypo!H10</f>
        <v>0.5</v>
      </c>
      <c r="I5" s="24">
        <f>hypo!I10</f>
        <v>2.16</v>
      </c>
      <c r="J5" s="24">
        <f>hypo!J10</f>
        <v>1.1100000000000001</v>
      </c>
      <c r="K5" s="24">
        <f>hypo!K10</f>
        <v>1.35</v>
      </c>
      <c r="L5" s="24">
        <f>hypo!L10</f>
        <v>0.55000000000000004</v>
      </c>
      <c r="M5" s="24">
        <f>hypo!M10</f>
        <v>4.4000000000000004</v>
      </c>
      <c r="N5" s="24">
        <f>hypo!N10</f>
        <v>1.61</v>
      </c>
      <c r="O5" s="24">
        <f>hypo!O10</f>
        <v>0.78</v>
      </c>
      <c r="P5" s="24">
        <f>hypo!P10</f>
        <v>2.82</v>
      </c>
      <c r="Q5" s="24">
        <f>hypo!Q10</f>
        <v>2.17</v>
      </c>
      <c r="R5" s="24">
        <f>hypo!R10</f>
        <v>4.0999999999999996</v>
      </c>
      <c r="S5" s="24">
        <f>hypo!S10</f>
        <v>2.08</v>
      </c>
      <c r="T5" s="24">
        <f>hypo!T10</f>
        <v>4.2</v>
      </c>
      <c r="U5" s="24">
        <f>hypo!U10</f>
        <v>3.03</v>
      </c>
      <c r="V5" s="24">
        <f>hypo!V10</f>
        <v>3.66</v>
      </c>
      <c r="W5" s="24">
        <f>hypo!W10</f>
        <v>1.08</v>
      </c>
      <c r="X5" s="24">
        <f>hypo!X10</f>
        <v>1.52</v>
      </c>
      <c r="Y5" s="24">
        <f>hypo!Y10</f>
        <v>2.93</v>
      </c>
      <c r="Z5" s="24">
        <f>hypo!Z10</f>
        <v>0.38</v>
      </c>
      <c r="AA5" s="24">
        <f>hypo!AA10</f>
        <v>2.64</v>
      </c>
      <c r="AB5" s="24">
        <f>hypo!AB10</f>
        <v>0.43</v>
      </c>
      <c r="AC5" s="24">
        <f>hypo!AC10</f>
        <v>3.91</v>
      </c>
      <c r="AD5" s="24">
        <f>hypo!AD10</f>
        <v>1.9</v>
      </c>
      <c r="AE5" s="24">
        <f>hypo!AE10</f>
        <v>1.07</v>
      </c>
      <c r="AF5" s="24">
        <f>hypo!AF10</f>
        <v>0.52</v>
      </c>
      <c r="AG5" s="24">
        <f>hypo!AG10</f>
        <v>0.72</v>
      </c>
      <c r="AH5" s="24">
        <f>hypo!AH10</f>
        <v>0.44</v>
      </c>
      <c r="AI5" s="24">
        <f>hypo!AI10</f>
        <v>3.01</v>
      </c>
      <c r="AJ5" s="24">
        <f>hypo!AJ10</f>
        <v>2.58</v>
      </c>
      <c r="AK5" s="24">
        <f>hypo!AK10</f>
        <v>2.33</v>
      </c>
      <c r="AL5" s="24">
        <f>hypo!AL10</f>
        <v>0.59</v>
      </c>
      <c r="AM5" s="12"/>
      <c r="AN5" s="24">
        <f>SUM(F5:AL5)</f>
        <v>75.050000000000011</v>
      </c>
    </row>
    <row r="6" spans="1:40" x14ac:dyDescent="0.2">
      <c r="A6" s="8"/>
      <c r="B6" s="94" t="s">
        <v>825</v>
      </c>
      <c r="C6" s="285" t="s">
        <v>63</v>
      </c>
      <c r="D6" s="12" t="s">
        <v>1115</v>
      </c>
      <c r="E6" s="14"/>
      <c r="F6" s="16">
        <v>95.930006815830708</v>
      </c>
      <c r="G6" s="16">
        <v>56.467431677751456</v>
      </c>
      <c r="H6" s="16">
        <v>61.000778862292883</v>
      </c>
      <c r="I6" s="16">
        <v>59.784813422854683</v>
      </c>
      <c r="J6" s="16">
        <v>54.267082859373403</v>
      </c>
      <c r="K6" s="16">
        <v>75.796775056624128</v>
      </c>
      <c r="L6" s="16">
        <v>49.120978768178723</v>
      </c>
      <c r="M6" s="16">
        <v>86.905161508848252</v>
      </c>
      <c r="N6" s="16">
        <v>57.684362055880797</v>
      </c>
      <c r="O6" s="16">
        <v>55.340206121224185</v>
      </c>
      <c r="P6" s="16">
        <v>62.030878534844121</v>
      </c>
      <c r="Q6" s="16">
        <v>78.496344027513373</v>
      </c>
      <c r="R6" s="16">
        <v>68.022222382518549</v>
      </c>
      <c r="S6" s="16">
        <v>55.323284192985142</v>
      </c>
      <c r="T6" s="16">
        <v>62.861190326776885</v>
      </c>
      <c r="U6" s="16">
        <v>62.62404252506429</v>
      </c>
      <c r="V6" s="16">
        <v>56.862635148626438</v>
      </c>
      <c r="W6" s="16">
        <v>65.170144088446236</v>
      </c>
      <c r="X6" s="16">
        <v>80.286334318729075</v>
      </c>
      <c r="Y6" s="16">
        <v>78.80415373262872</v>
      </c>
      <c r="Z6" s="16">
        <v>57.579852144591683</v>
      </c>
      <c r="AA6" s="16">
        <v>72.418066626137488</v>
      </c>
      <c r="AB6" s="16">
        <v>51.018307534212951</v>
      </c>
      <c r="AC6" s="16">
        <v>61.726763599321679</v>
      </c>
      <c r="AD6" s="16">
        <v>83.690153936757866</v>
      </c>
      <c r="AE6" s="16">
        <v>69.732371111056594</v>
      </c>
      <c r="AF6" s="16">
        <v>57.771869863833771</v>
      </c>
      <c r="AG6" s="16">
        <v>44.223666757559677</v>
      </c>
      <c r="AH6" s="16">
        <v>47.10353049210989</v>
      </c>
      <c r="AI6" s="16">
        <v>94.537778414111628</v>
      </c>
      <c r="AJ6" s="16">
        <v>95.690304283556642</v>
      </c>
      <c r="AK6" s="16">
        <v>84.618669361940135</v>
      </c>
      <c r="AL6" s="16">
        <v>86.002740434214715</v>
      </c>
      <c r="AM6" s="12"/>
      <c r="AN6" s="12"/>
    </row>
    <row r="7" spans="1:40" x14ac:dyDescent="0.2">
      <c r="A7" s="8"/>
      <c r="B7" s="12"/>
      <c r="C7" s="13"/>
      <c r="D7" s="12"/>
      <c r="E7" s="14"/>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377"/>
    </row>
    <row r="8" spans="1:40" x14ac:dyDescent="0.2">
      <c r="A8" s="1"/>
      <c r="B8" s="268" t="s">
        <v>40</v>
      </c>
      <c r="C8" s="18" t="s">
        <v>41</v>
      </c>
      <c r="D8" s="19" t="s">
        <v>1056</v>
      </c>
      <c r="E8" s="267"/>
      <c r="F8" s="273">
        <v>6.7</v>
      </c>
      <c r="G8" s="273">
        <v>6.7</v>
      </c>
      <c r="H8" s="273">
        <v>6.7</v>
      </c>
      <c r="I8" s="273">
        <v>6.7</v>
      </c>
      <c r="J8" s="273">
        <v>6.7</v>
      </c>
      <c r="K8" s="273">
        <v>6.7</v>
      </c>
      <c r="L8" s="273">
        <v>6.7</v>
      </c>
      <c r="M8" s="273">
        <v>6.7</v>
      </c>
      <c r="N8" s="273">
        <v>6.7</v>
      </c>
      <c r="O8" s="273">
        <v>6.7</v>
      </c>
      <c r="P8" s="273">
        <v>6.7</v>
      </c>
      <c r="Q8" s="273">
        <v>6.7</v>
      </c>
      <c r="R8" s="273">
        <v>6.7</v>
      </c>
      <c r="S8" s="273">
        <v>6.7</v>
      </c>
      <c r="T8" s="273">
        <v>6.7</v>
      </c>
      <c r="U8" s="273">
        <v>6.7</v>
      </c>
      <c r="V8" s="273">
        <v>6.7</v>
      </c>
      <c r="W8" s="273">
        <v>6.7</v>
      </c>
      <c r="X8" s="273">
        <v>6.7</v>
      </c>
      <c r="Y8" s="273">
        <v>6.7</v>
      </c>
      <c r="Z8" s="273">
        <v>6.7</v>
      </c>
      <c r="AA8" s="273">
        <v>6.7</v>
      </c>
      <c r="AB8" s="273">
        <v>6.7</v>
      </c>
      <c r="AC8" s="273">
        <v>6.7</v>
      </c>
      <c r="AD8" s="273">
        <v>6.7</v>
      </c>
      <c r="AE8" s="273">
        <v>6.7</v>
      </c>
      <c r="AF8" s="273">
        <v>6.7</v>
      </c>
      <c r="AG8" s="273">
        <v>6.7</v>
      </c>
      <c r="AH8" s="273">
        <v>6.7</v>
      </c>
      <c r="AI8" s="273">
        <v>6.7</v>
      </c>
      <c r="AJ8" s="273">
        <v>6.7</v>
      </c>
      <c r="AK8" s="273">
        <v>6.7</v>
      </c>
      <c r="AL8" s="273">
        <v>6.7</v>
      </c>
      <c r="AM8" s="378">
        <f t="shared" ref="AM8:AM12" si="0">AVERAGE(F8:AL8)</f>
        <v>6.6999999999999966</v>
      </c>
    </row>
    <row r="9" spans="1:40" x14ac:dyDescent="0.2">
      <c r="A9" s="1"/>
      <c r="B9" s="268" t="s">
        <v>42</v>
      </c>
      <c r="C9" s="18" t="s">
        <v>41</v>
      </c>
      <c r="D9" s="19" t="s">
        <v>1056</v>
      </c>
      <c r="E9" s="267"/>
      <c r="F9" s="273">
        <v>2.25</v>
      </c>
      <c r="G9" s="273">
        <v>2.25</v>
      </c>
      <c r="H9" s="273">
        <v>2.25</v>
      </c>
      <c r="I9" s="273">
        <v>2.25</v>
      </c>
      <c r="J9" s="273">
        <v>2.25</v>
      </c>
      <c r="K9" s="273">
        <v>2.25</v>
      </c>
      <c r="L9" s="273">
        <v>2.25</v>
      </c>
      <c r="M9" s="273">
        <v>2.25</v>
      </c>
      <c r="N9" s="273">
        <v>2.25</v>
      </c>
      <c r="O9" s="273">
        <v>2.25</v>
      </c>
      <c r="P9" s="273">
        <v>2.25</v>
      </c>
      <c r="Q9" s="273">
        <v>2.25</v>
      </c>
      <c r="R9" s="273">
        <v>2.25</v>
      </c>
      <c r="S9" s="273">
        <v>2.25</v>
      </c>
      <c r="T9" s="273">
        <v>2.25</v>
      </c>
      <c r="U9" s="273">
        <v>2.25</v>
      </c>
      <c r="V9" s="273">
        <v>2.25</v>
      </c>
      <c r="W9" s="273">
        <v>2.25</v>
      </c>
      <c r="X9" s="273">
        <v>2.25</v>
      </c>
      <c r="Y9" s="273">
        <v>2.25</v>
      </c>
      <c r="Z9" s="273">
        <v>2.25</v>
      </c>
      <c r="AA9" s="273">
        <v>2.25</v>
      </c>
      <c r="AB9" s="273">
        <v>2.25</v>
      </c>
      <c r="AC9" s="273">
        <v>2.25</v>
      </c>
      <c r="AD9" s="273">
        <v>2.25</v>
      </c>
      <c r="AE9" s="273">
        <v>2.25</v>
      </c>
      <c r="AF9" s="273">
        <v>2.25</v>
      </c>
      <c r="AG9" s="273">
        <v>2.25</v>
      </c>
      <c r="AH9" s="273">
        <v>2.25</v>
      </c>
      <c r="AI9" s="273">
        <v>2.25</v>
      </c>
      <c r="AJ9" s="273">
        <v>2.25</v>
      </c>
      <c r="AK9" s="273">
        <v>2.25</v>
      </c>
      <c r="AL9" s="273">
        <v>2.25</v>
      </c>
      <c r="AM9" s="378">
        <f t="shared" si="0"/>
        <v>2.25</v>
      </c>
    </row>
    <row r="10" spans="1:40" x14ac:dyDescent="0.2">
      <c r="A10" s="1"/>
      <c r="B10" s="268" t="s">
        <v>43</v>
      </c>
      <c r="C10" s="18" t="s">
        <v>41</v>
      </c>
      <c r="D10" s="19" t="s">
        <v>1056</v>
      </c>
      <c r="E10" s="267"/>
      <c r="F10" s="273">
        <v>4.4000000000000004</v>
      </c>
      <c r="G10" s="273">
        <v>4.4000000000000004</v>
      </c>
      <c r="H10" s="273">
        <v>4.4000000000000004</v>
      </c>
      <c r="I10" s="273">
        <v>4.4000000000000004</v>
      </c>
      <c r="J10" s="273">
        <v>4.4000000000000004</v>
      </c>
      <c r="K10" s="273">
        <v>4.4000000000000004</v>
      </c>
      <c r="L10" s="273">
        <v>4.4000000000000004</v>
      </c>
      <c r="M10" s="273">
        <v>4.4000000000000004</v>
      </c>
      <c r="N10" s="273">
        <v>4.4000000000000004</v>
      </c>
      <c r="O10" s="273">
        <v>4.4000000000000004</v>
      </c>
      <c r="P10" s="273">
        <v>4.4000000000000004</v>
      </c>
      <c r="Q10" s="273">
        <v>4.4000000000000004</v>
      </c>
      <c r="R10" s="273">
        <v>4.4000000000000004</v>
      </c>
      <c r="S10" s="273">
        <v>4.4000000000000004</v>
      </c>
      <c r="T10" s="273">
        <v>4.4000000000000004</v>
      </c>
      <c r="U10" s="273">
        <v>4.4000000000000004</v>
      </c>
      <c r="V10" s="273">
        <v>4.4000000000000004</v>
      </c>
      <c r="W10" s="273">
        <v>4.4000000000000004</v>
      </c>
      <c r="X10" s="273">
        <v>4.4000000000000004</v>
      </c>
      <c r="Y10" s="273">
        <v>4.4000000000000004</v>
      </c>
      <c r="Z10" s="273">
        <v>4.4000000000000004</v>
      </c>
      <c r="AA10" s="273">
        <v>4.4000000000000004</v>
      </c>
      <c r="AB10" s="273">
        <v>4.4000000000000004</v>
      </c>
      <c r="AC10" s="273">
        <v>4.4000000000000004</v>
      </c>
      <c r="AD10" s="273">
        <v>4.4000000000000004</v>
      </c>
      <c r="AE10" s="273">
        <v>4.4000000000000004</v>
      </c>
      <c r="AF10" s="273">
        <v>4.4000000000000004</v>
      </c>
      <c r="AG10" s="273">
        <v>4.4000000000000004</v>
      </c>
      <c r="AH10" s="273">
        <v>4.4000000000000004</v>
      </c>
      <c r="AI10" s="273">
        <v>4.4000000000000004</v>
      </c>
      <c r="AJ10" s="273">
        <v>4.4000000000000004</v>
      </c>
      <c r="AK10" s="273">
        <v>4.4000000000000004</v>
      </c>
      <c r="AL10" s="273">
        <v>4.4000000000000004</v>
      </c>
      <c r="AM10" s="378">
        <f t="shared" si="0"/>
        <v>4.4000000000000021</v>
      </c>
    </row>
    <row r="11" spans="1:40" x14ac:dyDescent="0.2">
      <c r="A11" s="1"/>
      <c r="B11" s="268" t="s">
        <v>44</v>
      </c>
      <c r="C11" s="18" t="s">
        <v>45</v>
      </c>
      <c r="D11" s="19" t="s">
        <v>1056</v>
      </c>
      <c r="E11" s="267"/>
      <c r="F11" s="314">
        <v>178.62140080935251</v>
      </c>
      <c r="G11" s="314">
        <v>178.62140080935251</v>
      </c>
      <c r="H11" s="314">
        <v>178.62140080935251</v>
      </c>
      <c r="I11" s="314">
        <v>178.62140080935251</v>
      </c>
      <c r="J11" s="314">
        <v>178.62140080935251</v>
      </c>
      <c r="K11" s="314">
        <v>178.62140080935251</v>
      </c>
      <c r="L11" s="314">
        <v>178.62140080935251</v>
      </c>
      <c r="M11" s="314">
        <v>178.62140080935251</v>
      </c>
      <c r="N11" s="314">
        <v>178.62140080935251</v>
      </c>
      <c r="O11" s="314">
        <v>178.62140080935251</v>
      </c>
      <c r="P11" s="314">
        <v>178.62140080935251</v>
      </c>
      <c r="Q11" s="314">
        <v>178.62140080935251</v>
      </c>
      <c r="R11" s="314">
        <v>178.62140080935251</v>
      </c>
      <c r="S11" s="314">
        <v>178.62140080935251</v>
      </c>
      <c r="T11" s="314">
        <v>178.62140080935251</v>
      </c>
      <c r="U11" s="314">
        <v>178.62140080935251</v>
      </c>
      <c r="V11" s="314">
        <v>178.62140080935251</v>
      </c>
      <c r="W11" s="314">
        <v>178.62140080935251</v>
      </c>
      <c r="X11" s="314">
        <v>178.62140080935251</v>
      </c>
      <c r="Y11" s="314">
        <v>178.62140080935251</v>
      </c>
      <c r="Z11" s="314">
        <v>178.62140080935251</v>
      </c>
      <c r="AA11" s="314">
        <v>178.62140080935251</v>
      </c>
      <c r="AB11" s="314">
        <v>178.62140080935251</v>
      </c>
      <c r="AC11" s="314">
        <v>178.62140080935251</v>
      </c>
      <c r="AD11" s="314">
        <v>178.62140080935251</v>
      </c>
      <c r="AE11" s="314">
        <v>178.62140080935251</v>
      </c>
      <c r="AF11" s="314">
        <v>178.62140080935251</v>
      </c>
      <c r="AG11" s="314">
        <v>178.62140080935251</v>
      </c>
      <c r="AH11" s="314">
        <v>178.62140080935251</v>
      </c>
      <c r="AI11" s="314">
        <v>178.62140080935251</v>
      </c>
      <c r="AJ11" s="314">
        <v>178.62140080935251</v>
      </c>
      <c r="AK11" s="314">
        <v>178.62140080935251</v>
      </c>
      <c r="AL11" s="314">
        <v>178.62140080935251</v>
      </c>
      <c r="AM11" s="378">
        <f t="shared" si="0"/>
        <v>178.62140080935239</v>
      </c>
      <c r="AN11" s="376">
        <f>AM12+AM13</f>
        <v>117.0239</v>
      </c>
    </row>
    <row r="12" spans="1:40" x14ac:dyDescent="0.2">
      <c r="A12" s="1"/>
      <c r="B12" s="268" t="s">
        <v>46</v>
      </c>
      <c r="C12" s="18" t="s">
        <v>45</v>
      </c>
      <c r="D12" s="19" t="s">
        <v>1056</v>
      </c>
      <c r="E12" s="267"/>
      <c r="F12" s="314">
        <v>80.320499999999996</v>
      </c>
      <c r="G12" s="314">
        <v>80.320499999999996</v>
      </c>
      <c r="H12" s="314">
        <v>80.320499999999996</v>
      </c>
      <c r="I12" s="314">
        <v>80.320499999999996</v>
      </c>
      <c r="J12" s="314">
        <v>80.320499999999996</v>
      </c>
      <c r="K12" s="314">
        <v>80.320499999999996</v>
      </c>
      <c r="L12" s="314">
        <v>80.320499999999996</v>
      </c>
      <c r="M12" s="314">
        <v>80.320499999999996</v>
      </c>
      <c r="N12" s="314">
        <v>80.320499999999996</v>
      </c>
      <c r="O12" s="314">
        <v>80.320499999999996</v>
      </c>
      <c r="P12" s="314">
        <v>80.320499999999996</v>
      </c>
      <c r="Q12" s="314">
        <v>80.320499999999996</v>
      </c>
      <c r="R12" s="314">
        <v>80.320499999999996</v>
      </c>
      <c r="S12" s="314">
        <v>80.320499999999996</v>
      </c>
      <c r="T12" s="314">
        <v>80.320499999999996</v>
      </c>
      <c r="U12" s="314">
        <v>80.320499999999996</v>
      </c>
      <c r="V12" s="314">
        <v>80.320499999999996</v>
      </c>
      <c r="W12" s="314">
        <v>80.320499999999996</v>
      </c>
      <c r="X12" s="314">
        <v>80.320499999999996</v>
      </c>
      <c r="Y12" s="314">
        <v>80.320499999999996</v>
      </c>
      <c r="Z12" s="314">
        <v>80.320499999999996</v>
      </c>
      <c r="AA12" s="314">
        <v>80.320499999999996</v>
      </c>
      <c r="AB12" s="314">
        <v>80.320499999999996</v>
      </c>
      <c r="AC12" s="314">
        <v>80.320499999999996</v>
      </c>
      <c r="AD12" s="314">
        <v>80.320499999999996</v>
      </c>
      <c r="AE12" s="314">
        <v>80.320499999999996</v>
      </c>
      <c r="AF12" s="314">
        <v>80.320499999999996</v>
      </c>
      <c r="AG12" s="314">
        <v>80.320499999999996</v>
      </c>
      <c r="AH12" s="314">
        <v>80.320499999999996</v>
      </c>
      <c r="AI12" s="314">
        <v>80.320499999999996</v>
      </c>
      <c r="AJ12" s="314">
        <v>80.320499999999996</v>
      </c>
      <c r="AK12" s="314">
        <v>80.320499999999996</v>
      </c>
      <c r="AL12" s="314">
        <v>80.320499999999996</v>
      </c>
      <c r="AM12" s="378">
        <f t="shared" si="0"/>
        <v>80.320499999999981</v>
      </c>
    </row>
    <row r="13" spans="1:40" x14ac:dyDescent="0.2">
      <c r="A13" s="1"/>
      <c r="B13" s="268" t="s">
        <v>47</v>
      </c>
      <c r="C13" s="18" t="s">
        <v>45</v>
      </c>
      <c r="D13" s="19" t="s">
        <v>1056</v>
      </c>
      <c r="E13" s="267"/>
      <c r="F13" s="314">
        <v>36.703400000000002</v>
      </c>
      <c r="G13" s="314">
        <v>36.703400000000002</v>
      </c>
      <c r="H13" s="314">
        <v>36.703400000000002</v>
      </c>
      <c r="I13" s="314">
        <v>36.703400000000002</v>
      </c>
      <c r="J13" s="314">
        <v>36.703400000000002</v>
      </c>
      <c r="K13" s="314">
        <v>36.703400000000002</v>
      </c>
      <c r="L13" s="314">
        <v>36.703400000000002</v>
      </c>
      <c r="M13" s="314">
        <v>36.703400000000002</v>
      </c>
      <c r="N13" s="314">
        <v>36.703400000000002</v>
      </c>
      <c r="O13" s="314">
        <v>36.703400000000002</v>
      </c>
      <c r="P13" s="314">
        <v>36.703400000000002</v>
      </c>
      <c r="Q13" s="314">
        <v>36.703400000000002</v>
      </c>
      <c r="R13" s="314">
        <v>36.703400000000002</v>
      </c>
      <c r="S13" s="314">
        <v>36.703400000000002</v>
      </c>
      <c r="T13" s="314">
        <v>36.703400000000002</v>
      </c>
      <c r="U13" s="314">
        <v>36.703400000000002</v>
      </c>
      <c r="V13" s="314">
        <v>36.703400000000002</v>
      </c>
      <c r="W13" s="314">
        <v>36.703400000000002</v>
      </c>
      <c r="X13" s="314">
        <v>36.703400000000002</v>
      </c>
      <c r="Y13" s="314">
        <v>36.703400000000002</v>
      </c>
      <c r="Z13" s="314">
        <v>36.703400000000002</v>
      </c>
      <c r="AA13" s="314">
        <v>36.703400000000002</v>
      </c>
      <c r="AB13" s="314">
        <v>36.703400000000002</v>
      </c>
      <c r="AC13" s="314">
        <v>36.703400000000002</v>
      </c>
      <c r="AD13" s="314">
        <v>36.703400000000002</v>
      </c>
      <c r="AE13" s="314">
        <v>36.703400000000002</v>
      </c>
      <c r="AF13" s="314">
        <v>36.703400000000002</v>
      </c>
      <c r="AG13" s="314">
        <v>36.703400000000002</v>
      </c>
      <c r="AH13" s="314">
        <v>36.703400000000002</v>
      </c>
      <c r="AI13" s="314">
        <v>36.703400000000002</v>
      </c>
      <c r="AJ13" s="314">
        <v>36.703400000000002</v>
      </c>
      <c r="AK13" s="314">
        <v>36.703400000000002</v>
      </c>
      <c r="AL13" s="314">
        <v>36.703400000000002</v>
      </c>
      <c r="AM13" s="378">
        <f>AVERAGE(F13:AL13)</f>
        <v>36.703400000000009</v>
      </c>
    </row>
    <row r="14" spans="1:40" x14ac:dyDescent="0.2">
      <c r="A14" s="1"/>
      <c r="B14" s="33" t="s">
        <v>1024</v>
      </c>
      <c r="C14" s="28" t="s">
        <v>77</v>
      </c>
      <c r="D14" s="29"/>
      <c r="F14" s="71">
        <f t="shared" ref="F14:AL14" si="1">F5*1.33</f>
        <v>18.3141</v>
      </c>
      <c r="G14" s="71">
        <f t="shared" si="1"/>
        <v>0.94430000000000003</v>
      </c>
      <c r="H14" s="71">
        <f t="shared" si="1"/>
        <v>0.66500000000000004</v>
      </c>
      <c r="I14" s="71">
        <f t="shared" si="1"/>
        <v>2.8728000000000002</v>
      </c>
      <c r="J14" s="71">
        <f t="shared" si="1"/>
        <v>1.4763000000000002</v>
      </c>
      <c r="K14" s="71">
        <f t="shared" si="1"/>
        <v>1.7955000000000003</v>
      </c>
      <c r="L14" s="71">
        <f t="shared" si="1"/>
        <v>0.73150000000000015</v>
      </c>
      <c r="M14" s="71">
        <f t="shared" si="1"/>
        <v>5.8520000000000012</v>
      </c>
      <c r="N14" s="71">
        <f t="shared" si="1"/>
        <v>2.1413000000000002</v>
      </c>
      <c r="O14" s="71">
        <f t="shared" si="1"/>
        <v>1.0374000000000001</v>
      </c>
      <c r="P14" s="71">
        <f t="shared" si="1"/>
        <v>3.7505999999999999</v>
      </c>
      <c r="Q14" s="71">
        <f t="shared" si="1"/>
        <v>2.8860999999999999</v>
      </c>
      <c r="R14" s="71">
        <f t="shared" si="1"/>
        <v>5.4529999999999994</v>
      </c>
      <c r="S14" s="71">
        <f t="shared" si="1"/>
        <v>2.7664000000000004</v>
      </c>
      <c r="T14" s="71">
        <f t="shared" si="1"/>
        <v>5.5860000000000003</v>
      </c>
      <c r="U14" s="71">
        <f t="shared" si="1"/>
        <v>4.0298999999999996</v>
      </c>
      <c r="V14" s="71">
        <f t="shared" si="1"/>
        <v>4.8678000000000008</v>
      </c>
      <c r="W14" s="71">
        <f t="shared" si="1"/>
        <v>1.4364000000000001</v>
      </c>
      <c r="X14" s="71">
        <f t="shared" si="1"/>
        <v>2.0216000000000003</v>
      </c>
      <c r="Y14" s="71">
        <f t="shared" si="1"/>
        <v>3.8969000000000005</v>
      </c>
      <c r="Z14" s="71">
        <f t="shared" si="1"/>
        <v>0.50540000000000007</v>
      </c>
      <c r="AA14" s="71">
        <f t="shared" si="1"/>
        <v>3.5112000000000005</v>
      </c>
      <c r="AB14" s="71">
        <f t="shared" si="1"/>
        <v>0.57190000000000007</v>
      </c>
      <c r="AC14" s="71">
        <f t="shared" si="1"/>
        <v>5.2003000000000004</v>
      </c>
      <c r="AD14" s="71">
        <f t="shared" si="1"/>
        <v>2.5270000000000001</v>
      </c>
      <c r="AE14" s="71">
        <f t="shared" si="1"/>
        <v>1.4231000000000003</v>
      </c>
      <c r="AF14" s="71">
        <f t="shared" si="1"/>
        <v>0.6916000000000001</v>
      </c>
      <c r="AG14" s="71">
        <f t="shared" si="1"/>
        <v>0.95760000000000001</v>
      </c>
      <c r="AH14" s="71">
        <f t="shared" si="1"/>
        <v>0.58520000000000005</v>
      </c>
      <c r="AI14" s="71">
        <f t="shared" si="1"/>
        <v>4.0033000000000003</v>
      </c>
      <c r="AJ14" s="71">
        <f t="shared" si="1"/>
        <v>3.4314000000000004</v>
      </c>
      <c r="AK14" s="71">
        <f t="shared" si="1"/>
        <v>3.0989000000000004</v>
      </c>
      <c r="AL14" s="71">
        <f t="shared" si="1"/>
        <v>0.78469999999999995</v>
      </c>
      <c r="AM14" s="378"/>
    </row>
    <row r="15" spans="1:40" x14ac:dyDescent="0.2">
      <c r="A15" s="1"/>
      <c r="B15" s="1"/>
      <c r="C15" s="3"/>
      <c r="D15" s="1"/>
      <c r="E15" s="1"/>
      <c r="F15" s="345"/>
      <c r="G15" s="345"/>
      <c r="H15" s="345"/>
      <c r="I15" s="345"/>
      <c r="J15" s="345"/>
      <c r="K15" s="345"/>
      <c r="L15" s="345"/>
      <c r="M15" s="345"/>
      <c r="N15" s="345"/>
      <c r="O15" s="345"/>
      <c r="P15" s="345"/>
      <c r="Q15" s="345"/>
      <c r="R15" s="345"/>
      <c r="S15" s="345"/>
      <c r="T15" s="345"/>
      <c r="U15" s="345"/>
      <c r="V15" s="345"/>
      <c r="W15" s="345"/>
      <c r="X15" s="345"/>
      <c r="Y15" s="345"/>
      <c r="Z15" s="345"/>
      <c r="AA15" s="345"/>
      <c r="AB15" s="345"/>
      <c r="AC15" s="345"/>
      <c r="AD15" s="345"/>
      <c r="AE15" s="345"/>
      <c r="AF15" s="345"/>
      <c r="AG15" s="345"/>
      <c r="AH15" s="345"/>
      <c r="AI15" s="345"/>
      <c r="AJ15" s="345"/>
      <c r="AK15" s="345"/>
      <c r="AL15" s="345"/>
      <c r="AM15" s="107"/>
    </row>
    <row r="16" spans="1:40" ht="23.25" x14ac:dyDescent="0.35">
      <c r="A16" s="9"/>
      <c r="B16" s="10" t="s">
        <v>48</v>
      </c>
      <c r="C16" s="11"/>
      <c r="D16" s="9"/>
      <c r="E16" s="9"/>
      <c r="F16" s="349"/>
      <c r="G16" s="349"/>
      <c r="H16" s="349"/>
      <c r="I16" s="349"/>
      <c r="J16" s="34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107"/>
    </row>
    <row r="17" spans="1:39" x14ac:dyDescent="0.2">
      <c r="A17" s="8"/>
      <c r="B17" s="21"/>
      <c r="C17" s="22"/>
      <c r="D17" s="8"/>
      <c r="E17" s="8"/>
      <c r="F17" s="25"/>
      <c r="G17" s="25"/>
      <c r="H17" s="25"/>
      <c r="I17" s="25"/>
      <c r="J17" s="25"/>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107"/>
    </row>
    <row r="18" spans="1:39" x14ac:dyDescent="0.2">
      <c r="A18" s="8"/>
      <c r="B18" s="23" t="s">
        <v>49</v>
      </c>
      <c r="C18" s="22"/>
      <c r="D18" s="8"/>
      <c r="E18" s="8"/>
      <c r="F18" s="25"/>
      <c r="G18" s="25"/>
      <c r="H18" s="25"/>
      <c r="I18" s="25"/>
      <c r="J18" s="25"/>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107"/>
    </row>
    <row r="19" spans="1:39" s="364" customFormat="1" x14ac:dyDescent="0.2">
      <c r="A19" s="8"/>
      <c r="B19" s="8" t="s">
        <v>50</v>
      </c>
      <c r="C19" s="22" t="s">
        <v>51</v>
      </c>
      <c r="D19" s="8"/>
      <c r="E19" s="17"/>
      <c r="F19" s="25">
        <f>hypo!F20</f>
        <v>572057.16673172242</v>
      </c>
      <c r="G19" s="25">
        <f>hypo!G20</f>
        <v>393517.42233297089</v>
      </c>
      <c r="H19" s="25">
        <f>hypo!H20</f>
        <v>454242.47741856519</v>
      </c>
      <c r="I19" s="25">
        <f>hypo!I20</f>
        <v>1341620.5344389321</v>
      </c>
      <c r="J19" s="25">
        <f>hypo!J20</f>
        <v>836466.74514545908</v>
      </c>
      <c r="K19" s="25">
        <f>hypo!K20</f>
        <v>406136.69703217701</v>
      </c>
      <c r="L19" s="25">
        <f>hypo!L20</f>
        <v>456313.0436570812</v>
      </c>
      <c r="M19" s="25">
        <f>hypo!M20</f>
        <v>828742.1020690127</v>
      </c>
      <c r="N19" s="25">
        <f>hypo!N20</f>
        <v>1635123.3967371625</v>
      </c>
      <c r="O19" s="25">
        <f>hypo!O20</f>
        <v>761377.14602056425</v>
      </c>
      <c r="P19" s="25">
        <f>hypo!P20</f>
        <v>1413892.4624612306</v>
      </c>
      <c r="Q19" s="25">
        <f>hypo!Q20</f>
        <v>316163.76026680699</v>
      </c>
      <c r="R19" s="25">
        <f>hypo!R20</f>
        <v>1673572.5290930921</v>
      </c>
      <c r="S19" s="25">
        <f>hypo!S20</f>
        <v>1200813.4521449958</v>
      </c>
      <c r="T19" s="25">
        <f>hypo!T20</f>
        <v>2141027.7781952647</v>
      </c>
      <c r="U19" s="25">
        <f>hypo!U20</f>
        <v>2395527.8616054244</v>
      </c>
      <c r="V19" s="25">
        <f>hypo!V20</f>
        <v>2937264.3992578229</v>
      </c>
      <c r="W19" s="25">
        <f>hypo!W20</f>
        <v>458051.39600836043</v>
      </c>
      <c r="X19" s="25">
        <f>hypo!X20</f>
        <v>244092.41362085257</v>
      </c>
      <c r="Y19" s="25">
        <f>hypo!Y20</f>
        <v>381732.93594219664</v>
      </c>
      <c r="Z19" s="25">
        <f>hypo!Z20</f>
        <v>399978.22337487055</v>
      </c>
      <c r="AA19" s="25">
        <f>hypo!AA20</f>
        <v>567782.8333964583</v>
      </c>
      <c r="AB19" s="25">
        <f>hypo!AB20</f>
        <v>782923.09114285023</v>
      </c>
      <c r="AC19" s="25">
        <f>hypo!AC20</f>
        <v>1899444.0027717634</v>
      </c>
      <c r="AD19" s="25">
        <f>hypo!AD20</f>
        <v>127284.51852661397</v>
      </c>
      <c r="AE19" s="25">
        <f>hypo!AE20</f>
        <v>653844.53992313589</v>
      </c>
      <c r="AF19" s="25">
        <f>hypo!AF20</f>
        <v>205144.22930929394</v>
      </c>
      <c r="AG19" s="25">
        <f>hypo!AG20</f>
        <v>561344.59592339478</v>
      </c>
      <c r="AH19" s="25">
        <f>hypo!AH20</f>
        <v>586943.7101897907</v>
      </c>
      <c r="AI19" s="25">
        <f>hypo!AI20</f>
        <v>185030.78587776385</v>
      </c>
      <c r="AJ19" s="25">
        <f>hypo!AJ20</f>
        <v>178051.72276045659</v>
      </c>
      <c r="AK19" s="25">
        <f>hypo!AK20</f>
        <v>202677.46034566578</v>
      </c>
      <c r="AL19" s="25">
        <f>hypo!AL20</f>
        <v>92462.593531393999</v>
      </c>
      <c r="AM19" s="379">
        <f>SUM(F19:AL19)</f>
        <v>27290648.027253143</v>
      </c>
    </row>
    <row r="20" spans="1:39" s="364" customFormat="1" x14ac:dyDescent="0.2">
      <c r="A20" s="8"/>
      <c r="B20" s="8" t="s">
        <v>52</v>
      </c>
      <c r="C20" s="22" t="s">
        <v>51</v>
      </c>
      <c r="D20" s="8" t="s">
        <v>723</v>
      </c>
      <c r="E20" s="17"/>
      <c r="F20" s="363">
        <f>hypo!F75</f>
        <v>0</v>
      </c>
      <c r="G20" s="363">
        <f>hypo!G75</f>
        <v>6.7559532125543012E-6</v>
      </c>
      <c r="H20" s="363">
        <f>hypo!H75</f>
        <v>0</v>
      </c>
      <c r="I20" s="363">
        <f>hypo!I75</f>
        <v>0</v>
      </c>
      <c r="J20" s="363">
        <f>hypo!J75</f>
        <v>184018.67025542085</v>
      </c>
      <c r="K20" s="363">
        <f>hypo!K75</f>
        <v>64783.01620452854</v>
      </c>
      <c r="L20" s="363">
        <f>hypo!L75</f>
        <v>121180.84085854053</v>
      </c>
      <c r="M20" s="363">
        <f>hypo!M75</f>
        <v>0</v>
      </c>
      <c r="N20" s="363">
        <f>hypo!N75</f>
        <v>0</v>
      </c>
      <c r="O20" s="363">
        <f>hypo!O75</f>
        <v>0</v>
      </c>
      <c r="P20" s="363">
        <f>hypo!P75</f>
        <v>394553.04916564835</v>
      </c>
      <c r="Q20" s="363">
        <f>hypo!Q75</f>
        <v>0</v>
      </c>
      <c r="R20" s="363">
        <f>hypo!R75</f>
        <v>156188.22655464534</v>
      </c>
      <c r="S20" s="363">
        <f>hypo!S75</f>
        <v>173970.63293380602</v>
      </c>
      <c r="T20" s="363">
        <f>hypo!T75</f>
        <v>351311.95080539765</v>
      </c>
      <c r="U20" s="363">
        <f>hypo!U75</f>
        <v>0</v>
      </c>
      <c r="V20" s="363">
        <f>hypo!V75</f>
        <v>1485886.7160645798</v>
      </c>
      <c r="W20" s="363">
        <f>hypo!W75</f>
        <v>329231.82107636885</v>
      </c>
      <c r="X20" s="363">
        <f>hypo!X75</f>
        <v>225910.52098388507</v>
      </c>
      <c r="Y20" s="363">
        <f>hypo!Y75</f>
        <v>181872.69628349025</v>
      </c>
      <c r="Z20" s="363">
        <f>hypo!Z75</f>
        <v>259385.39612219733</v>
      </c>
      <c r="AA20" s="363">
        <f>hypo!AA75</f>
        <v>263988.24980785197</v>
      </c>
      <c r="AB20" s="363">
        <f>hypo!AB75</f>
        <v>410275.80847420736</v>
      </c>
      <c r="AC20" s="363">
        <f>hypo!AC75</f>
        <v>364214.44870486372</v>
      </c>
      <c r="AD20" s="363">
        <f>hypo!AD75</f>
        <v>0</v>
      </c>
      <c r="AE20" s="363">
        <f>hypo!AE75</f>
        <v>297637.40653395595</v>
      </c>
      <c r="AF20" s="363">
        <f>hypo!AF75</f>
        <v>0</v>
      </c>
      <c r="AG20" s="363">
        <f>hypo!AG75</f>
        <v>223173.91068037419</v>
      </c>
      <c r="AH20" s="363">
        <f>hypo!AH75</f>
        <v>415583.76339707681</v>
      </c>
      <c r="AI20" s="363">
        <f>hypo!AI75</f>
        <v>0</v>
      </c>
      <c r="AJ20" s="363">
        <f>hypo!AJ75</f>
        <v>0</v>
      </c>
      <c r="AK20" s="363">
        <f>hypo!AK75</f>
        <v>0</v>
      </c>
      <c r="AL20" s="363">
        <f>hypo!AL75</f>
        <v>0</v>
      </c>
      <c r="AM20" s="379">
        <f>SUM(F20:AL20)</f>
        <v>5903167.1249135947</v>
      </c>
    </row>
    <row r="21" spans="1:39" s="364" customFormat="1" x14ac:dyDescent="0.2">
      <c r="A21" s="8"/>
      <c r="B21" s="8" t="s">
        <v>53</v>
      </c>
      <c r="C21" s="22" t="s">
        <v>51</v>
      </c>
      <c r="D21" s="8" t="s">
        <v>723</v>
      </c>
      <c r="E21" s="17"/>
      <c r="F21" s="315">
        <f>F19-F20</f>
        <v>572057.16673172242</v>
      </c>
      <c r="G21" s="315">
        <f t="shared" ref="G21:AL21" si="2">G19-G20</f>
        <v>393517.42232621496</v>
      </c>
      <c r="H21" s="315">
        <f t="shared" si="2"/>
        <v>454242.47741856519</v>
      </c>
      <c r="I21" s="315">
        <f t="shared" si="2"/>
        <v>1341620.5344389321</v>
      </c>
      <c r="J21" s="315">
        <f t="shared" si="2"/>
        <v>652448.07489003823</v>
      </c>
      <c r="K21" s="315">
        <f t="shared" si="2"/>
        <v>341353.6808276485</v>
      </c>
      <c r="L21" s="315">
        <f t="shared" si="2"/>
        <v>335132.2027985407</v>
      </c>
      <c r="M21" s="315">
        <f t="shared" si="2"/>
        <v>828742.1020690127</v>
      </c>
      <c r="N21" s="315">
        <f t="shared" si="2"/>
        <v>1635123.3967371625</v>
      </c>
      <c r="O21" s="315">
        <f t="shared" si="2"/>
        <v>761377.14602056425</v>
      </c>
      <c r="P21" s="315">
        <f t="shared" si="2"/>
        <v>1019339.4132955822</v>
      </c>
      <c r="Q21" s="315">
        <f t="shared" si="2"/>
        <v>316163.76026680699</v>
      </c>
      <c r="R21" s="315">
        <f t="shared" si="2"/>
        <v>1517384.3025384466</v>
      </c>
      <c r="S21" s="315">
        <f t="shared" si="2"/>
        <v>1026842.8192111898</v>
      </c>
      <c r="T21" s="315">
        <f t="shared" si="2"/>
        <v>1789715.827389867</v>
      </c>
      <c r="U21" s="315">
        <f t="shared" si="2"/>
        <v>2395527.8616054244</v>
      </c>
      <c r="V21" s="315">
        <f t="shared" si="2"/>
        <v>1451377.6831932431</v>
      </c>
      <c r="W21" s="315">
        <f t="shared" si="2"/>
        <v>128819.57493199158</v>
      </c>
      <c r="X21" s="315">
        <f t="shared" si="2"/>
        <v>18181.892636967503</v>
      </c>
      <c r="Y21" s="315">
        <f t="shared" si="2"/>
        <v>199860.23965870638</v>
      </c>
      <c r="Z21" s="315">
        <f t="shared" si="2"/>
        <v>140592.82725267322</v>
      </c>
      <c r="AA21" s="315">
        <f t="shared" si="2"/>
        <v>303794.58358860633</v>
      </c>
      <c r="AB21" s="315">
        <f t="shared" si="2"/>
        <v>372647.28266864287</v>
      </c>
      <c r="AC21" s="315">
        <f t="shared" si="2"/>
        <v>1535229.5540668997</v>
      </c>
      <c r="AD21" s="315">
        <f t="shared" si="2"/>
        <v>127284.51852661397</v>
      </c>
      <c r="AE21" s="315">
        <f t="shared" si="2"/>
        <v>356207.13338917994</v>
      </c>
      <c r="AF21" s="315">
        <f t="shared" si="2"/>
        <v>205144.22930929394</v>
      </c>
      <c r="AG21" s="315">
        <f t="shared" si="2"/>
        <v>338170.68524302059</v>
      </c>
      <c r="AH21" s="315">
        <f t="shared" si="2"/>
        <v>171359.94679271389</v>
      </c>
      <c r="AI21" s="315">
        <f t="shared" si="2"/>
        <v>185030.78587776385</v>
      </c>
      <c r="AJ21" s="315">
        <f t="shared" si="2"/>
        <v>178051.72276045659</v>
      </c>
      <c r="AK21" s="315">
        <f t="shared" si="2"/>
        <v>202677.46034566578</v>
      </c>
      <c r="AL21" s="315">
        <f t="shared" si="2"/>
        <v>92462.593531393999</v>
      </c>
      <c r="AM21" s="379">
        <f>SUM(F21:AL21)</f>
        <v>21387480.902339555</v>
      </c>
    </row>
    <row r="22" spans="1:39" s="364" customFormat="1" x14ac:dyDescent="0.2">
      <c r="A22" s="8"/>
      <c r="B22" s="8" t="s">
        <v>54</v>
      </c>
      <c r="C22" s="22" t="s">
        <v>51</v>
      </c>
      <c r="D22" s="8" t="s">
        <v>723</v>
      </c>
      <c r="E22" s="17"/>
      <c r="F22" s="315">
        <f>F21*(hypo!BY62+hypo!BY63)</f>
        <v>7166.2988125894699</v>
      </c>
      <c r="G22" s="315">
        <f>G21*(hypo!BZ62+hypo!BZ63)</f>
        <v>15008.430789494014</v>
      </c>
      <c r="H22" s="315">
        <f>H21*(hypo!CA62+hypo!CA63)</f>
        <v>4362.6588291004655</v>
      </c>
      <c r="I22" s="315">
        <f>I21*(hypo!CB62+hypo!CB63)</f>
        <v>23048.664566438962</v>
      </c>
      <c r="J22" s="315">
        <f>J21*(hypo!CC62+hypo!CC63)</f>
        <v>58889.634488747783</v>
      </c>
      <c r="K22" s="315">
        <f>K21*(hypo!CD62+hypo!CD63)</f>
        <v>19108.572458412298</v>
      </c>
      <c r="L22" s="315">
        <f>L21*(hypo!CE62+hypo!CE63)</f>
        <v>89655.674764285592</v>
      </c>
      <c r="M22" s="315">
        <f>M21*(hypo!CF62+hypo!CF63)</f>
        <v>16557.405771935428</v>
      </c>
      <c r="N22" s="315">
        <f>N21*(hypo!CG62+hypo!CG63)</f>
        <v>192737.76850644892</v>
      </c>
      <c r="O22" s="315">
        <f>O21*(hypo!CH62+hypo!CH63)</f>
        <v>52508.626477475598</v>
      </c>
      <c r="P22" s="315">
        <f>P21*(hypo!CI62+hypo!CI63)</f>
        <v>73333.79261362704</v>
      </c>
      <c r="Q22" s="315">
        <f>Q21*(hypo!CJ62+hypo!CJ63)</f>
        <v>12546.846152668653</v>
      </c>
      <c r="R22" s="315">
        <f>R21*(hypo!CK62+hypo!CK63)</f>
        <v>406814.63372648833</v>
      </c>
      <c r="S22" s="315">
        <f>S21*(hypo!CL62+hypo!CL63)</f>
        <v>212945.40335010079</v>
      </c>
      <c r="T22" s="315">
        <f>T21*(hypo!CM62+hypo!CM63)</f>
        <v>470393.71068357618</v>
      </c>
      <c r="U22" s="315">
        <f>U21*(hypo!CN62+hypo!CN63)</f>
        <v>246797.15567322561</v>
      </c>
      <c r="V22" s="315">
        <f>V21*(hypo!CO62+hypo!CO63)</f>
        <v>527998.6467734006</v>
      </c>
      <c r="W22" s="315">
        <f>W21*(hypo!CP62+hypo!CP63)</f>
        <v>41169.718398544326</v>
      </c>
      <c r="X22" s="315">
        <f>X21*(hypo!CQ62+hypo!CQ63)</f>
        <v>7028.1548745633154</v>
      </c>
      <c r="Y22" s="315">
        <f>Y21*(hypo!CR62+hypo!CR63)</f>
        <v>38683.972990228591</v>
      </c>
      <c r="Z22" s="315">
        <f>Z21*(hypo!CS62+hypo!CS63)</f>
        <v>74841.225985626865</v>
      </c>
      <c r="AA22" s="315">
        <f>AA21*(hypo!CT62+hypo!CT63)</f>
        <v>65605.832164645588</v>
      </c>
      <c r="AB22" s="315">
        <f>AB21*(hypo!CU62+hypo!CU63)</f>
        <v>232184.23814896235</v>
      </c>
      <c r="AC22" s="315">
        <f>AC21*(hypo!CV62+hypo!CV63)</f>
        <v>284467.36383583187</v>
      </c>
      <c r="AD22" s="315">
        <f>AD21*(hypo!CW62+hypo!CW63)</f>
        <v>12272.304107194343</v>
      </c>
      <c r="AE22" s="315">
        <f>AE21*(hypo!CX62+hypo!CX63)</f>
        <v>100899.34593680354</v>
      </c>
      <c r="AF22" s="315">
        <f>AF21*(hypo!CY62+hypo!CY63)</f>
        <v>11818.745232241179</v>
      </c>
      <c r="AG22" s="315">
        <f>AG21*(hypo!CZ62+hypo!CZ63)</f>
        <v>137686.60606647469</v>
      </c>
      <c r="AH22" s="315">
        <f>AH21*(hypo!DA62+hypo!DA63)</f>
        <v>116465.78301806394</v>
      </c>
      <c r="AI22" s="315">
        <f>AI21*(hypo!DB62+hypo!DB63)</f>
        <v>34770.486415157146</v>
      </c>
      <c r="AJ22" s="315">
        <f>AJ21*(hypo!DC62+hypo!DC63)</f>
        <v>44097.669402335472</v>
      </c>
      <c r="AK22" s="315">
        <f>AK21*(hypo!DD62+hypo!DD63)</f>
        <v>36306.689528878473</v>
      </c>
      <c r="AL22" s="315">
        <f>AL21*(hypo!DE62+hypo!DE63)</f>
        <v>15978.485379655236</v>
      </c>
      <c r="AM22" s="379">
        <f>SUM(F22:AL22)</f>
        <v>3684150.5459232223</v>
      </c>
    </row>
    <row r="23" spans="1:39" x14ac:dyDescent="0.2">
      <c r="A23" s="8"/>
      <c r="B23" s="12"/>
      <c r="C23" s="13"/>
      <c r="D23" s="12"/>
      <c r="E23" s="24"/>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6"/>
      <c r="AM23" s="107"/>
    </row>
    <row r="24" spans="1:39" x14ac:dyDescent="0.2">
      <c r="A24" s="8"/>
      <c r="B24" s="23" t="s">
        <v>55</v>
      </c>
      <c r="C24" s="13"/>
      <c r="D24" s="12"/>
      <c r="E24" s="26"/>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07"/>
    </row>
    <row r="25" spans="1:39" s="364" customFormat="1" x14ac:dyDescent="0.2">
      <c r="A25" s="21"/>
      <c r="B25" s="8" t="s">
        <v>56</v>
      </c>
      <c r="C25" s="22" t="s">
        <v>57</v>
      </c>
      <c r="D25" s="8" t="s">
        <v>1116</v>
      </c>
      <c r="E25" s="17"/>
      <c r="F25" s="345">
        <v>220</v>
      </c>
      <c r="G25" s="345">
        <v>225</v>
      </c>
      <c r="H25" s="345">
        <v>160</v>
      </c>
      <c r="I25" s="345">
        <v>225</v>
      </c>
      <c r="J25" s="345">
        <v>95</v>
      </c>
      <c r="K25" s="345">
        <v>35</v>
      </c>
      <c r="L25" s="345">
        <v>55</v>
      </c>
      <c r="M25" s="345">
        <v>210</v>
      </c>
      <c r="N25" s="345">
        <v>165</v>
      </c>
      <c r="O25" s="345">
        <v>165</v>
      </c>
      <c r="P25" s="345">
        <v>25</v>
      </c>
      <c r="Q25" s="345">
        <v>205</v>
      </c>
      <c r="R25" s="345">
        <v>5</v>
      </c>
      <c r="S25" s="345">
        <v>25</v>
      </c>
      <c r="T25" s="345">
        <v>30</v>
      </c>
      <c r="U25" s="345">
        <v>170</v>
      </c>
      <c r="V25" s="345">
        <v>0</v>
      </c>
      <c r="W25" s="345">
        <v>0</v>
      </c>
      <c r="X25" s="345">
        <v>0</v>
      </c>
      <c r="Y25" s="345">
        <v>0</v>
      </c>
      <c r="Z25" s="345">
        <v>0</v>
      </c>
      <c r="AA25" s="345">
        <v>0</v>
      </c>
      <c r="AB25" s="345">
        <v>0</v>
      </c>
      <c r="AC25" s="345">
        <v>75</v>
      </c>
      <c r="AD25" s="345">
        <v>125</v>
      </c>
      <c r="AE25" s="345">
        <v>50</v>
      </c>
      <c r="AF25" s="345">
        <v>135</v>
      </c>
      <c r="AG25" s="345">
        <v>0</v>
      </c>
      <c r="AH25" s="345">
        <v>0</v>
      </c>
      <c r="AI25" s="345">
        <v>85</v>
      </c>
      <c r="AJ25" s="345">
        <v>210</v>
      </c>
      <c r="AK25" s="345">
        <v>85</v>
      </c>
      <c r="AL25" s="345">
        <v>95</v>
      </c>
      <c r="AM25" s="380">
        <f>AVERAGE(F25:AL25)</f>
        <v>87.121212121212125</v>
      </c>
    </row>
    <row r="26" spans="1:39" s="364" customFormat="1" x14ac:dyDescent="0.2">
      <c r="A26" s="21"/>
      <c r="B26" s="8" t="s">
        <v>58</v>
      </c>
      <c r="C26" s="22" t="s">
        <v>59</v>
      </c>
      <c r="D26" s="8" t="s">
        <v>1117</v>
      </c>
      <c r="E26" s="17"/>
      <c r="F26" s="345">
        <v>10.092106695017915</v>
      </c>
      <c r="G26" s="345">
        <v>8.6146410728814065</v>
      </c>
      <c r="H26" s="345">
        <v>6.0633158150727695</v>
      </c>
      <c r="I26" s="345">
        <v>34.207512482416867</v>
      </c>
      <c r="J26" s="345">
        <v>3.8249724411666115</v>
      </c>
      <c r="K26" s="390">
        <v>0</v>
      </c>
      <c r="L26" s="345">
        <v>0.2137249453618093</v>
      </c>
      <c r="M26" s="345">
        <v>20.377268259194469</v>
      </c>
      <c r="N26" s="345">
        <v>27.35580533534533</v>
      </c>
      <c r="O26" s="345">
        <v>12.794385757910456</v>
      </c>
      <c r="P26" s="390">
        <v>0</v>
      </c>
      <c r="Q26" s="345">
        <v>7.2442943942544202</v>
      </c>
      <c r="R26" s="390">
        <v>0</v>
      </c>
      <c r="S26" s="390">
        <v>0</v>
      </c>
      <c r="T26" s="390">
        <v>0</v>
      </c>
      <c r="U26" s="345">
        <v>43.468851155914201</v>
      </c>
      <c r="V26" s="390">
        <v>0</v>
      </c>
      <c r="W26" s="390">
        <v>0</v>
      </c>
      <c r="X26" s="390">
        <v>0</v>
      </c>
      <c r="Y26" s="390">
        <v>0</v>
      </c>
      <c r="Z26" s="390">
        <v>0</v>
      </c>
      <c r="AA26" s="390">
        <v>0</v>
      </c>
      <c r="AB26" s="390">
        <v>0</v>
      </c>
      <c r="AC26" s="345">
        <v>1.5797882598984359</v>
      </c>
      <c r="AD26" s="345">
        <v>1.0216726062092789</v>
      </c>
      <c r="AE26" s="390">
        <v>0</v>
      </c>
      <c r="AF26" s="345">
        <v>2.630706128352613</v>
      </c>
      <c r="AG26" s="390">
        <v>0</v>
      </c>
      <c r="AH26" s="390">
        <v>0</v>
      </c>
      <c r="AI26" s="345">
        <v>0.1903937640980442</v>
      </c>
      <c r="AJ26" s="345">
        <v>3.252084756323657</v>
      </c>
      <c r="AK26" s="345">
        <v>0.68106736720647598</v>
      </c>
      <c r="AL26" s="345">
        <v>0.82419690960084724</v>
      </c>
      <c r="AM26" s="379">
        <f>SUM(F26:AL26)</f>
        <v>184.43678814622564</v>
      </c>
    </row>
    <row r="27" spans="1:39" s="364" customFormat="1" x14ac:dyDescent="0.2">
      <c r="A27" s="21"/>
      <c r="B27" s="8" t="s">
        <v>60</v>
      </c>
      <c r="C27" s="22" t="s">
        <v>57</v>
      </c>
      <c r="D27" s="8" t="s">
        <v>1116</v>
      </c>
      <c r="E27" s="54"/>
      <c r="F27" s="369"/>
      <c r="G27" s="369"/>
      <c r="H27" s="369"/>
      <c r="I27" s="369"/>
      <c r="J27" s="369">
        <v>48</v>
      </c>
      <c r="K27" s="369">
        <v>48</v>
      </c>
      <c r="L27" s="369">
        <v>41.554752669200731</v>
      </c>
      <c r="M27" s="369"/>
      <c r="N27" s="369"/>
      <c r="O27" s="369"/>
      <c r="P27" s="369"/>
      <c r="Q27" s="369"/>
      <c r="R27" s="369">
        <v>48</v>
      </c>
      <c r="S27" s="369">
        <v>33</v>
      </c>
      <c r="T27" s="369">
        <v>48</v>
      </c>
      <c r="U27" s="369"/>
      <c r="V27" s="369">
        <v>29</v>
      </c>
      <c r="W27" s="369">
        <v>23.000000000000004</v>
      </c>
      <c r="X27" s="369">
        <v>5.8823755614348121</v>
      </c>
      <c r="Y27" s="369">
        <v>23</v>
      </c>
      <c r="Z27" s="369">
        <v>11.869056515933009</v>
      </c>
      <c r="AA27" s="369">
        <v>23</v>
      </c>
      <c r="AB27" s="369">
        <v>29</v>
      </c>
      <c r="AC27" s="369">
        <v>25.000000000000004</v>
      </c>
      <c r="AD27" s="369">
        <v>30</v>
      </c>
      <c r="AE27" s="369">
        <v>54.068008880905161</v>
      </c>
      <c r="AF27" s="369"/>
      <c r="AG27" s="369">
        <v>25</v>
      </c>
      <c r="AH27" s="369">
        <v>21.002587202509535</v>
      </c>
      <c r="AI27" s="369">
        <v>18</v>
      </c>
      <c r="AJ27" s="1">
        <v>4.7728523298805854</v>
      </c>
      <c r="AK27" s="1">
        <v>19</v>
      </c>
      <c r="AL27" s="1">
        <v>4.3864041814027734</v>
      </c>
      <c r="AM27" s="380">
        <f>AVERAGE(F27:AL27)</f>
        <v>27.842547151875753</v>
      </c>
    </row>
    <row r="28" spans="1:39" s="364" customFormat="1" x14ac:dyDescent="0.2">
      <c r="A28" s="21"/>
      <c r="B28" s="8" t="s">
        <v>61</v>
      </c>
      <c r="C28" s="22" t="s">
        <v>59</v>
      </c>
      <c r="D28" s="8" t="s">
        <v>1118</v>
      </c>
      <c r="E28" s="54"/>
      <c r="F28" s="390">
        <v>0</v>
      </c>
      <c r="G28" s="390">
        <v>2.8875214095204493E-11</v>
      </c>
      <c r="H28" s="390">
        <v>0</v>
      </c>
      <c r="I28" s="390">
        <v>0</v>
      </c>
      <c r="J28" s="390">
        <v>0</v>
      </c>
      <c r="K28" s="390">
        <v>0</v>
      </c>
      <c r="L28" s="390">
        <v>0</v>
      </c>
      <c r="M28" s="390">
        <v>0</v>
      </c>
      <c r="N28" s="390">
        <v>0</v>
      </c>
      <c r="O28" s="390">
        <v>0</v>
      </c>
      <c r="P28" s="390">
        <v>0</v>
      </c>
      <c r="Q28" s="390">
        <v>0</v>
      </c>
      <c r="R28" s="390">
        <v>0</v>
      </c>
      <c r="S28" s="390">
        <v>0</v>
      </c>
      <c r="T28" s="390">
        <v>0</v>
      </c>
      <c r="U28" s="390">
        <v>0</v>
      </c>
      <c r="V28" s="390">
        <v>0</v>
      </c>
      <c r="W28" s="390">
        <v>0.333854859634521</v>
      </c>
      <c r="X28" s="390">
        <v>0.12136931146411678</v>
      </c>
      <c r="Y28" s="390">
        <v>0</v>
      </c>
      <c r="Z28" s="390">
        <v>0</v>
      </c>
      <c r="AA28" s="390">
        <v>0</v>
      </c>
      <c r="AB28" s="390">
        <v>0</v>
      </c>
      <c r="AC28" s="390">
        <v>0</v>
      </c>
      <c r="AD28" s="390">
        <v>0</v>
      </c>
      <c r="AE28" s="390">
        <v>0</v>
      </c>
      <c r="AF28" s="390">
        <v>0</v>
      </c>
      <c r="AG28" s="390">
        <v>0</v>
      </c>
      <c r="AH28" s="390">
        <v>0.39624399607517802</v>
      </c>
      <c r="AI28" s="390">
        <v>0</v>
      </c>
      <c r="AJ28" s="390">
        <v>0</v>
      </c>
      <c r="AK28" s="390">
        <v>0</v>
      </c>
      <c r="AL28" s="390">
        <v>0</v>
      </c>
      <c r="AM28" s="379">
        <f>SUM(F28:AL28)</f>
        <v>0.85146816720269103</v>
      </c>
    </row>
    <row r="29" spans="1:39" x14ac:dyDescent="0.2">
      <c r="A29" s="8"/>
      <c r="B29" s="19" t="s">
        <v>62</v>
      </c>
      <c r="C29" s="18" t="s">
        <v>63</v>
      </c>
      <c r="D29" s="19" t="s">
        <v>81</v>
      </c>
      <c r="E29" s="27"/>
      <c r="F29" s="171">
        <v>4.3</v>
      </c>
      <c r="G29" s="171">
        <v>5</v>
      </c>
      <c r="H29" s="171">
        <v>5.5</v>
      </c>
      <c r="I29" s="171">
        <v>5.0999999999999996</v>
      </c>
      <c r="J29" s="171">
        <v>3.9</v>
      </c>
      <c r="K29" s="171">
        <v>5</v>
      </c>
      <c r="L29" s="171">
        <v>3.9</v>
      </c>
      <c r="M29" s="171">
        <v>2.8</v>
      </c>
      <c r="N29" s="171">
        <v>6.2999999999999989</v>
      </c>
      <c r="O29" s="171">
        <v>5.5</v>
      </c>
      <c r="P29" s="171">
        <v>5.5600000000000005</v>
      </c>
      <c r="Q29" s="171">
        <v>5.7</v>
      </c>
      <c r="R29" s="171">
        <v>3.1</v>
      </c>
      <c r="S29" s="171">
        <v>5.3</v>
      </c>
      <c r="T29" s="171">
        <v>4.04</v>
      </c>
      <c r="U29" s="194">
        <v>5.6166666666666671</v>
      </c>
      <c r="V29" s="171">
        <v>3.25</v>
      </c>
      <c r="W29" s="171">
        <v>3.7999999999999994</v>
      </c>
      <c r="X29" s="171">
        <v>3.9</v>
      </c>
      <c r="Y29" s="171">
        <v>3.9</v>
      </c>
      <c r="Z29" s="171">
        <v>4.3</v>
      </c>
      <c r="AA29" s="171">
        <v>3.9</v>
      </c>
      <c r="AB29" s="171">
        <v>5.1999999999999993</v>
      </c>
      <c r="AC29" s="194">
        <v>6.0428571428571427</v>
      </c>
      <c r="AD29" s="171">
        <v>7.5</v>
      </c>
      <c r="AE29" s="171">
        <v>6.8</v>
      </c>
      <c r="AF29" s="171">
        <v>7.5</v>
      </c>
      <c r="AG29" s="171">
        <v>6.8</v>
      </c>
      <c r="AH29" s="171">
        <v>2.8</v>
      </c>
      <c r="AI29" s="171">
        <v>4.3</v>
      </c>
      <c r="AJ29" s="171">
        <v>4.3</v>
      </c>
      <c r="AK29" s="171">
        <v>4.3</v>
      </c>
      <c r="AL29" s="171">
        <v>4.3</v>
      </c>
      <c r="AM29" s="378">
        <f>AVERAGE(F29:AL29)</f>
        <v>4.8336219336219362</v>
      </c>
    </row>
    <row r="30" spans="1:39" x14ac:dyDescent="0.2">
      <c r="A30" s="8"/>
      <c r="B30" s="19"/>
      <c r="C30" s="18"/>
      <c r="D30" s="19"/>
      <c r="E30" s="27"/>
      <c r="F30" s="171"/>
      <c r="G30" s="171"/>
      <c r="H30" s="171"/>
      <c r="I30" s="171"/>
      <c r="J30" s="171"/>
      <c r="K30" s="171"/>
      <c r="L30" s="171"/>
      <c r="M30" s="171"/>
      <c r="N30" s="171"/>
      <c r="O30" s="171"/>
      <c r="P30" s="171"/>
      <c r="Q30" s="171"/>
      <c r="R30" s="171"/>
      <c r="S30" s="171"/>
      <c r="T30" s="171"/>
      <c r="U30" s="194"/>
      <c r="V30" s="171"/>
      <c r="W30" s="171"/>
      <c r="X30" s="171"/>
      <c r="Y30" s="171"/>
      <c r="Z30" s="171"/>
      <c r="AA30" s="171"/>
      <c r="AB30" s="171"/>
      <c r="AC30" s="194"/>
      <c r="AD30" s="171"/>
      <c r="AE30" s="171"/>
      <c r="AF30" s="171"/>
      <c r="AG30" s="171"/>
      <c r="AH30" s="171"/>
      <c r="AI30" s="171"/>
      <c r="AJ30" s="171"/>
      <c r="AK30" s="171"/>
      <c r="AL30" s="171"/>
      <c r="AM30" s="107"/>
    </row>
    <row r="31" spans="1:39" x14ac:dyDescent="0.2">
      <c r="A31" s="8"/>
      <c r="B31" s="23" t="s">
        <v>64</v>
      </c>
      <c r="C31" s="18"/>
      <c r="D31" s="8"/>
      <c r="E31" s="27"/>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07"/>
    </row>
    <row r="32" spans="1:39" x14ac:dyDescent="0.2">
      <c r="A32" s="8"/>
      <c r="B32" s="28" t="s">
        <v>65</v>
      </c>
      <c r="C32" s="29" t="s">
        <v>66</v>
      </c>
      <c r="D32" s="8"/>
      <c r="E32" s="193"/>
      <c r="F32" s="193">
        <f>F34*F289*SUM(hypo!BY47:BY50)</f>
        <v>9.5150731085529017E-2</v>
      </c>
      <c r="G32" s="193">
        <f>G34*G289*SUM(hypo!BZ47:BZ50)</f>
        <v>6.8719784305456113E-3</v>
      </c>
      <c r="H32" s="193">
        <f>H34*H289*SUM(hypo!CA47:CA50)</f>
        <v>0.12985610753400423</v>
      </c>
      <c r="I32" s="193">
        <f>I34*I289*SUM(hypo!CB47:CB50)</f>
        <v>1.0617695579986846</v>
      </c>
      <c r="J32" s="193">
        <f>J34*J289*SUM(hypo!CC47:CC50)</f>
        <v>1.7729067540379539E-3</v>
      </c>
      <c r="K32" s="193">
        <f>K34*K289*SUM(hypo!CD47:CD50)</f>
        <v>1.1506743199402826E-3</v>
      </c>
      <c r="L32" s="193">
        <f>L34*L289*SUM(hypo!CE47:CE50)</f>
        <v>4.7543096496373257E-3</v>
      </c>
      <c r="M32" s="193">
        <f>M34*M289*SUM(hypo!CF47:CF50)</f>
        <v>1.6109610206083869</v>
      </c>
      <c r="N32" s="193">
        <f>N34*N289*SUM(hypo!CG47:CG50)</f>
        <v>0.18260329238938175</v>
      </c>
      <c r="O32" s="193">
        <f>O34*O289*SUM(hypo!CH47:CH50)</f>
        <v>4.4186438007997236E-2</v>
      </c>
      <c r="P32" s="193">
        <f>P34*P289*SUM(hypo!CI47:CI50)</f>
        <v>3.5736848865792915E-3</v>
      </c>
      <c r="Q32" s="193">
        <f>Q34*Q289*SUM(hypo!CJ47:CJ50)</f>
        <v>3.1977566790938904E-3</v>
      </c>
      <c r="R32" s="193">
        <f>R34*R289*SUM(hypo!CK47:CK50)</f>
        <v>1.1817305880522702</v>
      </c>
      <c r="S32" s="193">
        <f>S34*S289*SUM(hypo!CL47:CL50)</f>
        <v>0.16449187094765874</v>
      </c>
      <c r="T32" s="193">
        <f>T34*T289*SUM(hypo!CM47:CM50)</f>
        <v>8.7103975146290147E-2</v>
      </c>
      <c r="U32" s="193">
        <f>U34*U289*SUM(hypo!CN47:CN50)</f>
        <v>0.40791678273577164</v>
      </c>
      <c r="V32" s="193">
        <f>V34*V289*SUM(hypo!CO47:CO50)</f>
        <v>0.28641730145835581</v>
      </c>
      <c r="W32" s="193">
        <f>W34*W289*SUM(hypo!CP47:CP50)</f>
        <v>3.6426609475830311E-2</v>
      </c>
      <c r="X32" s="193">
        <f>X34*X289*SUM(hypo!CQ47:CQ50)</f>
        <v>1.5530535966681806E-3</v>
      </c>
      <c r="Y32" s="193">
        <f>Y34*Y289*SUM(hypo!CR47:CR50)</f>
        <v>7.1370377200028323E-3</v>
      </c>
      <c r="Z32" s="193">
        <f>Z34*Z289*SUM(hypo!CS47:CS50)</f>
        <v>8.7176157830393154E-3</v>
      </c>
      <c r="AA32" s="193">
        <f>AA34*AA289*SUM(hypo!CT47:CT50)</f>
        <v>1.2889997034644199E-2</v>
      </c>
      <c r="AB32" s="193">
        <f>AB34*AB289*SUM(hypo!CU47:CU50)</f>
        <v>1.7197239735279313E-3</v>
      </c>
      <c r="AC32" s="193">
        <f>AC34*AC289*SUM(hypo!CV47:CV50)</f>
        <v>0.41035718353533379</v>
      </c>
      <c r="AD32" s="193">
        <f>AD34*AD289*SUM(hypo!CW47:CW50)</f>
        <v>0.22408379323356822</v>
      </c>
      <c r="AE32" s="193">
        <f>AE34*AE289*SUM(hypo!CX47:CX50)</f>
        <v>0.16636259249961233</v>
      </c>
      <c r="AF32" s="193">
        <f>AF34*AF289*SUM(hypo!CY47:CY50)</f>
        <v>0.23210108210733102</v>
      </c>
      <c r="AG32" s="193">
        <f>AG34*AG289*SUM(hypo!CZ47:CZ50)</f>
        <v>9.4995536012495996E-3</v>
      </c>
      <c r="AH32" s="193">
        <f>AH34*AH289*SUM(hypo!DA47:DA50)</f>
        <v>3.8101832770347423E-3</v>
      </c>
      <c r="AI32" s="193">
        <f>AI34*AI289*SUM(hypo!DB47:DB50)</f>
        <v>1.4867379174072335E-2</v>
      </c>
      <c r="AJ32" s="193">
        <f>AJ34*AJ289*SUM(hypo!DC47:DC50)</f>
        <v>6.499618661665757E-2</v>
      </c>
      <c r="AK32" s="193">
        <f>AK34*AK289*SUM(hypo!DD47:DD50)</f>
        <v>0.17142277743114884</v>
      </c>
      <c r="AL32" s="193">
        <f>AL34*AL289*SUM(hypo!DE47:DE50)</f>
        <v>1.0799591324431305E-2</v>
      </c>
      <c r="AM32" s="381">
        <f>SUM(F32:AL32)</f>
        <v>6.6502533370683166</v>
      </c>
    </row>
    <row r="33" spans="1:39" x14ac:dyDescent="0.2">
      <c r="A33" s="8"/>
      <c r="B33" s="28" t="s">
        <v>67</v>
      </c>
      <c r="C33" s="29" t="s">
        <v>66</v>
      </c>
      <c r="D33" s="8"/>
      <c r="E33" s="191"/>
      <c r="F33" s="193">
        <f>F20*hypo!F69/1000000</f>
        <v>0</v>
      </c>
      <c r="G33" s="193">
        <f>G20*hypo!G69/1000000</f>
        <v>2.8379353945616815E-10</v>
      </c>
      <c r="H33" s="193">
        <f>H20*hypo!H69/1000000</f>
        <v>0</v>
      </c>
      <c r="I33" s="193">
        <f>I20*hypo!I69/1000000</f>
        <v>0</v>
      </c>
      <c r="J33" s="193">
        <f>J20*hypo!J69/1000000</f>
        <v>7.5001653639314547</v>
      </c>
      <c r="K33" s="193">
        <f>K20*hypo!K69/1000000</f>
        <v>3.7937135658042114</v>
      </c>
      <c r="L33" s="193">
        <f>L20*hypo!L69/1000000</f>
        <v>6.7575315107201623</v>
      </c>
      <c r="M33" s="193">
        <f>M20*hypo!M69/1000000</f>
        <v>0</v>
      </c>
      <c r="N33" s="193">
        <f>N20*hypo!N69/1000000</f>
        <v>0</v>
      </c>
      <c r="O33" s="193">
        <f>O20*hypo!O69/1000000</f>
        <v>0</v>
      </c>
      <c r="P33" s="193">
        <f>P20*hypo!P69/1000000</f>
        <v>14.336435811145991</v>
      </c>
      <c r="Q33" s="193">
        <f>Q20*hypo!Q69/1000000</f>
        <v>0</v>
      </c>
      <c r="R33" s="193">
        <f>R20*hypo!R69/1000000</f>
        <v>5.9997342520246475</v>
      </c>
      <c r="S33" s="193">
        <f>S20*hypo!S69/1000000</f>
        <v>7.1371790208238046</v>
      </c>
      <c r="T33" s="193">
        <f>T20*hypo!T69/1000000</f>
        <v>12.976446192503635</v>
      </c>
      <c r="U33" s="193">
        <f>U20*hypo!U69/1000000</f>
        <v>0</v>
      </c>
      <c r="V33" s="193">
        <f>V20*hypo!V69/1000000</f>
        <v>51.14932305561284</v>
      </c>
      <c r="W33" s="193">
        <f>W20*hypo!W69/1000000</f>
        <v>9.8703383775962763</v>
      </c>
      <c r="X33" s="193">
        <f>X20*hypo!X69/1000000</f>
        <v>4.5723618005153259</v>
      </c>
      <c r="Y33" s="193">
        <f>Y20*hypo!Y69/1000000</f>
        <v>6.4447782086965359</v>
      </c>
      <c r="Z33" s="193">
        <f>Z20*hypo!Z69/1000000</f>
        <v>3.4296587521127271</v>
      </c>
      <c r="AA33" s="193">
        <f>AA20*hypo!AA69/1000000</f>
        <v>5.5144135180552949</v>
      </c>
      <c r="AB33" s="193">
        <f>AB20*hypo!AB69/1000000</f>
        <v>8.8802026533998468</v>
      </c>
      <c r="AC33" s="193">
        <f>AC20*hypo!AC69/1000000</f>
        <v>8.5279720544605588</v>
      </c>
      <c r="AD33" s="193">
        <f>AD20*hypo!AD69/1000000</f>
        <v>0</v>
      </c>
      <c r="AE33" s="193">
        <f>AE20*hypo!AE69/1000000</f>
        <v>7.8139680749841585</v>
      </c>
      <c r="AF33" s="193">
        <f>AF20*hypo!AF69/1000000</f>
        <v>0</v>
      </c>
      <c r="AG33" s="193">
        <f>AG20*hypo!AG69/1000000</f>
        <v>5.8041529693325051</v>
      </c>
      <c r="AH33" s="193">
        <f>AH20*hypo!AH69/1000000</f>
        <v>13.616474992901155</v>
      </c>
      <c r="AI33" s="193">
        <f>AI20*hypo!AI69/1000000</f>
        <v>0</v>
      </c>
      <c r="AJ33" s="193">
        <f>AJ20*hypo!AJ69/1000000</f>
        <v>0</v>
      </c>
      <c r="AK33" s="193">
        <f>AK20*hypo!AK69/1000000</f>
        <v>0</v>
      </c>
      <c r="AL33" s="193">
        <f>AL20*hypo!AL69/1000000</f>
        <v>0</v>
      </c>
      <c r="AM33" s="193">
        <f>AM20*hypo!AM103/1000000</f>
        <v>0</v>
      </c>
    </row>
    <row r="34" spans="1:39" x14ac:dyDescent="0.2">
      <c r="A34" s="8"/>
      <c r="B34" s="268" t="s">
        <v>68</v>
      </c>
      <c r="C34" s="30" t="s">
        <v>69</v>
      </c>
      <c r="D34" s="268" t="s">
        <v>70</v>
      </c>
      <c r="E34" s="267"/>
      <c r="F34" s="31">
        <v>1.23</v>
      </c>
      <c r="G34" s="31">
        <v>1.23</v>
      </c>
      <c r="H34" s="31">
        <v>1.23</v>
      </c>
      <c r="I34" s="31">
        <v>1.23</v>
      </c>
      <c r="J34" s="31">
        <v>1.23</v>
      </c>
      <c r="K34" s="31">
        <v>1.23</v>
      </c>
      <c r="L34" s="31">
        <v>1.23</v>
      </c>
      <c r="M34" s="31">
        <v>1.23</v>
      </c>
      <c r="N34" s="31">
        <v>1.23</v>
      </c>
      <c r="O34" s="31">
        <v>1.23</v>
      </c>
      <c r="P34" s="31">
        <v>1.23</v>
      </c>
      <c r="Q34" s="31">
        <v>1.23</v>
      </c>
      <c r="R34" s="31">
        <v>1.23</v>
      </c>
      <c r="S34" s="31">
        <v>1.23</v>
      </c>
      <c r="T34" s="31">
        <v>1.23</v>
      </c>
      <c r="U34" s="31">
        <v>1.23</v>
      </c>
      <c r="V34" s="31">
        <v>1.23</v>
      </c>
      <c r="W34" s="31">
        <v>1.23</v>
      </c>
      <c r="X34" s="31">
        <v>1.23</v>
      </c>
      <c r="Y34" s="31">
        <v>1.23</v>
      </c>
      <c r="Z34" s="31">
        <v>1.23</v>
      </c>
      <c r="AA34" s="31">
        <v>1.23</v>
      </c>
      <c r="AB34" s="31">
        <v>1.23</v>
      </c>
      <c r="AC34" s="31">
        <v>1.23</v>
      </c>
      <c r="AD34" s="31">
        <v>1.23</v>
      </c>
      <c r="AE34" s="31">
        <v>1.23</v>
      </c>
      <c r="AF34" s="31">
        <v>1.23</v>
      </c>
      <c r="AG34" s="31">
        <v>1.23</v>
      </c>
      <c r="AH34" s="31">
        <v>1.23</v>
      </c>
      <c r="AI34" s="31">
        <v>1.23</v>
      </c>
      <c r="AJ34" s="31">
        <v>1.23</v>
      </c>
      <c r="AK34" s="31">
        <v>1.23</v>
      </c>
      <c r="AL34" s="31">
        <v>1.23</v>
      </c>
      <c r="AM34" s="378">
        <f>AVERAGE(F34:AL34)</f>
        <v>1.2299999999999998</v>
      </c>
    </row>
    <row r="35" spans="1:39" x14ac:dyDescent="0.2">
      <c r="A35" s="8"/>
      <c r="B35" s="268" t="s">
        <v>71</v>
      </c>
      <c r="C35" s="30" t="s">
        <v>69</v>
      </c>
      <c r="D35" s="268" t="s">
        <v>70</v>
      </c>
      <c r="E35" s="267"/>
      <c r="F35" s="31">
        <v>1.47</v>
      </c>
      <c r="G35" s="31">
        <v>1.47</v>
      </c>
      <c r="H35" s="31">
        <v>1.47</v>
      </c>
      <c r="I35" s="31">
        <v>1.47</v>
      </c>
      <c r="J35" s="31">
        <v>1.47</v>
      </c>
      <c r="K35" s="31">
        <v>1.47</v>
      </c>
      <c r="L35" s="31">
        <v>1.47</v>
      </c>
      <c r="M35" s="31">
        <v>1.47</v>
      </c>
      <c r="N35" s="31">
        <v>1.47</v>
      </c>
      <c r="O35" s="31">
        <v>1.47</v>
      </c>
      <c r="P35" s="31">
        <v>1.47</v>
      </c>
      <c r="Q35" s="31">
        <v>1.47</v>
      </c>
      <c r="R35" s="31">
        <v>1.47</v>
      </c>
      <c r="S35" s="31">
        <v>1.47</v>
      </c>
      <c r="T35" s="31">
        <v>1.47</v>
      </c>
      <c r="U35" s="31">
        <v>1.47</v>
      </c>
      <c r="V35" s="31">
        <v>1.47</v>
      </c>
      <c r="W35" s="31">
        <v>1.47</v>
      </c>
      <c r="X35" s="31">
        <v>1.47</v>
      </c>
      <c r="Y35" s="31">
        <v>1.47</v>
      </c>
      <c r="Z35" s="31">
        <v>1.47</v>
      </c>
      <c r="AA35" s="31">
        <v>1.47</v>
      </c>
      <c r="AB35" s="31">
        <v>1.47</v>
      </c>
      <c r="AC35" s="31">
        <v>1.47</v>
      </c>
      <c r="AD35" s="31">
        <v>1.47</v>
      </c>
      <c r="AE35" s="31">
        <v>1.47</v>
      </c>
      <c r="AF35" s="31">
        <v>1.47</v>
      </c>
      <c r="AG35" s="31">
        <v>1.47</v>
      </c>
      <c r="AH35" s="31">
        <v>1.47</v>
      </c>
      <c r="AI35" s="31">
        <v>1.47</v>
      </c>
      <c r="AJ35" s="31">
        <v>1.47</v>
      </c>
      <c r="AK35" s="31">
        <v>1.47</v>
      </c>
      <c r="AL35" s="31">
        <v>1.47</v>
      </c>
      <c r="AM35" s="378">
        <f>AVERAGE(F35:AL35)</f>
        <v>1.4699999999999993</v>
      </c>
    </row>
    <row r="36" spans="1:39" x14ac:dyDescent="0.2">
      <c r="A36" s="8"/>
      <c r="B36" s="268" t="s">
        <v>72</v>
      </c>
      <c r="C36" s="30" t="s">
        <v>69</v>
      </c>
      <c r="D36" s="19" t="s">
        <v>73</v>
      </c>
      <c r="E36" s="267"/>
      <c r="F36" s="32">
        <f t="shared" ref="F36:AL36" si="3">0.25*1.47</f>
        <v>0.36749999999999999</v>
      </c>
      <c r="G36" s="32">
        <f t="shared" si="3"/>
        <v>0.36749999999999999</v>
      </c>
      <c r="H36" s="32">
        <f t="shared" si="3"/>
        <v>0.36749999999999999</v>
      </c>
      <c r="I36" s="32">
        <f t="shared" si="3"/>
        <v>0.36749999999999999</v>
      </c>
      <c r="J36" s="32">
        <f t="shared" si="3"/>
        <v>0.36749999999999999</v>
      </c>
      <c r="K36" s="32">
        <f t="shared" si="3"/>
        <v>0.36749999999999999</v>
      </c>
      <c r="L36" s="32">
        <f t="shared" si="3"/>
        <v>0.36749999999999999</v>
      </c>
      <c r="M36" s="32">
        <f t="shared" si="3"/>
        <v>0.36749999999999999</v>
      </c>
      <c r="N36" s="32">
        <f t="shared" si="3"/>
        <v>0.36749999999999999</v>
      </c>
      <c r="O36" s="32">
        <f t="shared" si="3"/>
        <v>0.36749999999999999</v>
      </c>
      <c r="P36" s="32">
        <f t="shared" si="3"/>
        <v>0.36749999999999999</v>
      </c>
      <c r="Q36" s="32">
        <f t="shared" si="3"/>
        <v>0.36749999999999999</v>
      </c>
      <c r="R36" s="32">
        <f t="shared" si="3"/>
        <v>0.36749999999999999</v>
      </c>
      <c r="S36" s="32">
        <f t="shared" si="3"/>
        <v>0.36749999999999999</v>
      </c>
      <c r="T36" s="32">
        <f t="shared" si="3"/>
        <v>0.36749999999999999</v>
      </c>
      <c r="U36" s="32">
        <f t="shared" si="3"/>
        <v>0.36749999999999999</v>
      </c>
      <c r="V36" s="32">
        <f t="shared" si="3"/>
        <v>0.36749999999999999</v>
      </c>
      <c r="W36" s="32">
        <f t="shared" si="3"/>
        <v>0.36749999999999999</v>
      </c>
      <c r="X36" s="32">
        <f t="shared" si="3"/>
        <v>0.36749999999999999</v>
      </c>
      <c r="Y36" s="32">
        <f t="shared" si="3"/>
        <v>0.36749999999999999</v>
      </c>
      <c r="Z36" s="32">
        <f t="shared" si="3"/>
        <v>0.36749999999999999</v>
      </c>
      <c r="AA36" s="32">
        <f t="shared" si="3"/>
        <v>0.36749999999999999</v>
      </c>
      <c r="AB36" s="32">
        <f t="shared" si="3"/>
        <v>0.36749999999999999</v>
      </c>
      <c r="AC36" s="32">
        <f t="shared" si="3"/>
        <v>0.36749999999999999</v>
      </c>
      <c r="AD36" s="32">
        <f t="shared" si="3"/>
        <v>0.36749999999999999</v>
      </c>
      <c r="AE36" s="32">
        <f t="shared" si="3"/>
        <v>0.36749999999999999</v>
      </c>
      <c r="AF36" s="32">
        <f t="shared" si="3"/>
        <v>0.36749999999999999</v>
      </c>
      <c r="AG36" s="32">
        <f t="shared" si="3"/>
        <v>0.36749999999999999</v>
      </c>
      <c r="AH36" s="32">
        <f t="shared" si="3"/>
        <v>0.36749999999999999</v>
      </c>
      <c r="AI36" s="32">
        <f t="shared" si="3"/>
        <v>0.36749999999999999</v>
      </c>
      <c r="AJ36" s="32">
        <f t="shared" si="3"/>
        <v>0.36749999999999999</v>
      </c>
      <c r="AK36" s="32">
        <f t="shared" si="3"/>
        <v>0.36749999999999999</v>
      </c>
      <c r="AL36" s="32">
        <f t="shared" si="3"/>
        <v>0.36749999999999999</v>
      </c>
      <c r="AM36" s="378">
        <f>AVERAGE(F36:AL36)</f>
        <v>0.36749999999999983</v>
      </c>
    </row>
    <row r="37" spans="1:39" x14ac:dyDescent="0.2">
      <c r="A37" s="8"/>
      <c r="B37" s="268"/>
      <c r="C37" s="30"/>
      <c r="D37" s="19"/>
      <c r="E37" s="267"/>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107"/>
    </row>
    <row r="38" spans="1:39" x14ac:dyDescent="0.2">
      <c r="A38" s="8"/>
      <c r="B38" s="23" t="s">
        <v>74</v>
      </c>
      <c r="C38" s="30"/>
      <c r="D38" s="19"/>
      <c r="E38" s="267"/>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107"/>
    </row>
    <row r="39" spans="1:39" x14ac:dyDescent="0.2">
      <c r="A39" s="8"/>
      <c r="B39" s="12" t="s">
        <v>75</v>
      </c>
      <c r="C39" s="13" t="s">
        <v>57</v>
      </c>
      <c r="D39" s="12" t="s">
        <v>722</v>
      </c>
      <c r="E39" s="26"/>
      <c r="F39" s="234">
        <v>11.346785842847192</v>
      </c>
      <c r="G39" s="234">
        <v>12.033403392081457</v>
      </c>
      <c r="H39" s="235">
        <v>10.183068736566526</v>
      </c>
      <c r="I39" s="235">
        <v>12.388195179845383</v>
      </c>
      <c r="J39" s="235">
        <v>13.458057497772527</v>
      </c>
      <c r="K39" s="235">
        <v>13.037793018974924</v>
      </c>
      <c r="L39" s="235">
        <v>14.367559682093889</v>
      </c>
      <c r="M39" s="235">
        <v>14.320342088673904</v>
      </c>
      <c r="N39" s="235">
        <v>11.93663722786887</v>
      </c>
      <c r="O39" s="235">
        <v>10.92801386968253</v>
      </c>
      <c r="P39" s="235">
        <v>12.812574433554886</v>
      </c>
      <c r="Q39" s="235">
        <v>12.604072158075015</v>
      </c>
      <c r="R39" s="235">
        <v>16.455245196612786</v>
      </c>
      <c r="S39" s="235">
        <v>10.844995996573445</v>
      </c>
      <c r="T39" s="235">
        <v>14.46599026554617</v>
      </c>
      <c r="U39" s="235">
        <v>10.953344997711584</v>
      </c>
      <c r="V39" s="235">
        <v>11.623157529184608</v>
      </c>
      <c r="W39" s="235">
        <v>13.119501574450604</v>
      </c>
      <c r="X39" s="235">
        <v>8.4785315093645703</v>
      </c>
      <c r="Y39" s="235">
        <v>13.024842785372615</v>
      </c>
      <c r="Z39" s="235">
        <v>6.452980346292903</v>
      </c>
      <c r="AA39" s="235">
        <v>10.413489819619784</v>
      </c>
      <c r="AB39" s="235">
        <v>9.6049212981879126</v>
      </c>
      <c r="AC39" s="235">
        <v>10.402763379583858</v>
      </c>
      <c r="AD39" s="235">
        <v>8.8740037391954729</v>
      </c>
      <c r="AE39" s="235">
        <v>12.31264545683594</v>
      </c>
      <c r="AF39" s="235">
        <v>10.777063022470445</v>
      </c>
      <c r="AG39" s="235">
        <v>10.698392024710554</v>
      </c>
      <c r="AH39" s="235">
        <v>10.828367592135416</v>
      </c>
      <c r="AI39" s="235">
        <v>10.411509989133547</v>
      </c>
      <c r="AJ39" s="235">
        <v>8.7564644490386634</v>
      </c>
      <c r="AK39" s="235">
        <v>11.296005290299505</v>
      </c>
      <c r="AL39" s="235">
        <v>10.33450330021841</v>
      </c>
      <c r="AM39" s="382">
        <f>AVERAGE(F39:AL39)</f>
        <v>11.5013703845629</v>
      </c>
    </row>
    <row r="40" spans="1:39" x14ac:dyDescent="0.2">
      <c r="A40" s="8"/>
      <c r="B40" s="33" t="s">
        <v>76</v>
      </c>
      <c r="C40" s="29" t="s">
        <v>77</v>
      </c>
      <c r="D40" s="8"/>
      <c r="E40" s="192"/>
      <c r="F40" s="192">
        <f t="shared" ref="F40:AL40" si="4">F39*10^(-6)*F21</f>
        <v>6.4910101607707835</v>
      </c>
      <c r="G40" s="192">
        <f t="shared" si="4"/>
        <v>4.735353884663426</v>
      </c>
      <c r="H40" s="192">
        <f t="shared" si="4"/>
        <v>4.6255823706215171</v>
      </c>
      <c r="I40" s="192">
        <f t="shared" si="4"/>
        <v>16.620257037917963</v>
      </c>
      <c r="J40" s="192">
        <f t="shared" si="4"/>
        <v>8.7806837061811294</v>
      </c>
      <c r="K40" s="192">
        <f t="shared" si="4"/>
        <v>4.4504986368961097</v>
      </c>
      <c r="L40" s="192">
        <f t="shared" si="4"/>
        <v>4.8150319250996256</v>
      </c>
      <c r="M40" s="192">
        <f t="shared" si="4"/>
        <v>11.867870404914965</v>
      </c>
      <c r="N40" s="192">
        <f t="shared" si="4"/>
        <v>19.517874809652213</v>
      </c>
      <c r="O40" s="192">
        <f t="shared" si="4"/>
        <v>8.3203400117720268</v>
      </c>
      <c r="P40" s="192">
        <f t="shared" si="4"/>
        <v>13.060362105905813</v>
      </c>
      <c r="Q40" s="192">
        <f t="shared" si="4"/>
        <v>3.9849508481711653</v>
      </c>
      <c r="R40" s="192">
        <f t="shared" si="4"/>
        <v>24.968930755761413</v>
      </c>
      <c r="S40" s="192">
        <f t="shared" si="4"/>
        <v>11.136106263455542</v>
      </c>
      <c r="T40" s="192">
        <f t="shared" si="4"/>
        <v>25.890011737115724</v>
      </c>
      <c r="U40" s="192">
        <f t="shared" si="4"/>
        <v>26.239043119794502</v>
      </c>
      <c r="V40" s="192">
        <f t="shared" si="4"/>
        <v>16.869591446098056</v>
      </c>
      <c r="W40" s="192">
        <f t="shared" si="4"/>
        <v>1.690048616140321</v>
      </c>
      <c r="X40" s="192">
        <f t="shared" si="4"/>
        <v>0.15415574962241266</v>
      </c>
      <c r="Y40" s="192">
        <f t="shared" si="4"/>
        <v>2.6031482006015434</v>
      </c>
      <c r="Z40" s="192">
        <f t="shared" si="4"/>
        <v>0.90724275109125352</v>
      </c>
      <c r="AA40" s="192">
        <f t="shared" si="4"/>
        <v>3.1635618034555835</v>
      </c>
      <c r="AB40" s="192">
        <f t="shared" si="4"/>
        <v>3.5792478220158994</v>
      </c>
      <c r="AC40" s="192">
        <f t="shared" si="4"/>
        <v>15.970629784302002</v>
      </c>
      <c r="AD40" s="192">
        <f t="shared" si="4"/>
        <v>1.1295232933468677</v>
      </c>
      <c r="AE40" s="192">
        <f t="shared" si="4"/>
        <v>4.38585214261684</v>
      </c>
      <c r="AF40" s="192">
        <f t="shared" si="4"/>
        <v>2.2108522879623895</v>
      </c>
      <c r="AG40" s="192">
        <f t="shared" si="4"/>
        <v>3.6178825619948345</v>
      </c>
      <c r="AH40" s="192">
        <f t="shared" si="4"/>
        <v>1.8555484944402725</v>
      </c>
      <c r="AI40" s="192">
        <f t="shared" si="4"/>
        <v>1.9264498754635688</v>
      </c>
      <c r="AJ40" s="192">
        <f t="shared" si="4"/>
        <v>1.5591035804420263</v>
      </c>
      <c r="AK40" s="192">
        <f t="shared" si="4"/>
        <v>2.2894456642891088</v>
      </c>
      <c r="AL40" s="192">
        <f t="shared" si="4"/>
        <v>0.95555497799694467</v>
      </c>
      <c r="AM40" s="381">
        <f>SUM(F40:AL40)</f>
        <v>260.37174683057384</v>
      </c>
    </row>
    <row r="41" spans="1:39" x14ac:dyDescent="0.2">
      <c r="A41" s="8"/>
      <c r="B41" s="33" t="s">
        <v>78</v>
      </c>
      <c r="C41" s="29" t="s">
        <v>77</v>
      </c>
      <c r="D41" s="8"/>
      <c r="E41" s="192"/>
      <c r="F41" s="192">
        <f t="shared" ref="F41:AL41" si="5">F39*10^(-6)*F20</f>
        <v>0</v>
      </c>
      <c r="G41" s="192">
        <f t="shared" si="5"/>
        <v>8.1297110304694543E-11</v>
      </c>
      <c r="H41" s="192">
        <f t="shared" si="5"/>
        <v>0</v>
      </c>
      <c r="I41" s="192">
        <f t="shared" si="5"/>
        <v>0</v>
      </c>
      <c r="J41" s="192">
        <f t="shared" si="5"/>
        <v>2.4765338449610965</v>
      </c>
      <c r="K41" s="192">
        <f t="shared" si="5"/>
        <v>0.84462755641954157</v>
      </c>
      <c r="L41" s="192">
        <f t="shared" si="5"/>
        <v>1.7410729633614026</v>
      </c>
      <c r="M41" s="192">
        <f t="shared" si="5"/>
        <v>0</v>
      </c>
      <c r="N41" s="192">
        <f t="shared" si="5"/>
        <v>0</v>
      </c>
      <c r="O41" s="192">
        <f t="shared" si="5"/>
        <v>0</v>
      </c>
      <c r="P41" s="192">
        <f t="shared" si="5"/>
        <v>5.0552403104209098</v>
      </c>
      <c r="Q41" s="192">
        <f t="shared" si="5"/>
        <v>0</v>
      </c>
      <c r="R41" s="192">
        <f t="shared" si="5"/>
        <v>2.5701155647807972</v>
      </c>
      <c r="S41" s="192">
        <f t="shared" si="5"/>
        <v>1.8867108176884746</v>
      </c>
      <c r="T41" s="192">
        <f t="shared" si="5"/>
        <v>5.0820752605209165</v>
      </c>
      <c r="U41" s="192">
        <f t="shared" si="5"/>
        <v>0</v>
      </c>
      <c r="V41" s="192">
        <f t="shared" si="5"/>
        <v>17.270695371341411</v>
      </c>
      <c r="W41" s="192">
        <f t="shared" si="5"/>
        <v>4.3193573949706607</v>
      </c>
      <c r="X41" s="192">
        <f t="shared" si="5"/>
        <v>1.9153894704588357</v>
      </c>
      <c r="Y41" s="192">
        <f t="shared" si="5"/>
        <v>2.3688632760442827</v>
      </c>
      <c r="Z41" s="192">
        <f t="shared" si="5"/>
        <v>1.6738088632919386</v>
      </c>
      <c r="AA41" s="192">
        <f t="shared" si="5"/>
        <v>2.7490389518733109</v>
      </c>
      <c r="AB41" s="192">
        <f t="shared" si="5"/>
        <v>3.940666850945179</v>
      </c>
      <c r="AC41" s="192">
        <f t="shared" si="5"/>
        <v>3.7888367293022798</v>
      </c>
      <c r="AD41" s="192">
        <f t="shared" si="5"/>
        <v>0</v>
      </c>
      <c r="AE41" s="192">
        <f t="shared" si="5"/>
        <v>3.6647038613447442</v>
      </c>
      <c r="AF41" s="192">
        <f t="shared" si="5"/>
        <v>0</v>
      </c>
      <c r="AG41" s="192">
        <f t="shared" si="5"/>
        <v>2.3876019861463806</v>
      </c>
      <c r="AH41" s="192">
        <f t="shared" si="5"/>
        <v>4.5000937553865796</v>
      </c>
      <c r="AI41" s="192">
        <f t="shared" si="5"/>
        <v>0</v>
      </c>
      <c r="AJ41" s="192">
        <f t="shared" si="5"/>
        <v>0</v>
      </c>
      <c r="AK41" s="192">
        <f t="shared" si="5"/>
        <v>0</v>
      </c>
      <c r="AL41" s="192">
        <f t="shared" si="5"/>
        <v>0</v>
      </c>
      <c r="AM41" s="381">
        <f>SUM(F41:AL41)</f>
        <v>68.235432829340027</v>
      </c>
    </row>
    <row r="42" spans="1:39" x14ac:dyDescent="0.2">
      <c r="A42" s="8"/>
      <c r="B42" s="33"/>
      <c r="C42" s="29"/>
      <c r="D42" s="8"/>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07"/>
    </row>
    <row r="43" spans="1:39" x14ac:dyDescent="0.2">
      <c r="A43" s="8"/>
      <c r="B43" s="23" t="s">
        <v>79</v>
      </c>
      <c r="C43" s="34"/>
      <c r="D43" s="8"/>
      <c r="E43" s="27"/>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07"/>
    </row>
    <row r="44" spans="1:39" x14ac:dyDescent="0.2">
      <c r="A44" s="35"/>
      <c r="B44" s="94" t="s">
        <v>826</v>
      </c>
      <c r="C44" s="275" t="s">
        <v>63</v>
      </c>
      <c r="D44" s="12" t="s">
        <v>1119</v>
      </c>
      <c r="E44" s="100"/>
      <c r="F44" s="233">
        <v>5.2282999999999999</v>
      </c>
      <c r="G44" s="233">
        <v>10.2153975</v>
      </c>
      <c r="H44" s="233">
        <v>10.2153975</v>
      </c>
      <c r="I44" s="233">
        <v>10.2153975</v>
      </c>
      <c r="J44" s="233">
        <v>10.2153975</v>
      </c>
      <c r="K44" s="233">
        <v>10.2153975</v>
      </c>
      <c r="L44" s="233">
        <v>10.2153975</v>
      </c>
      <c r="M44" s="233">
        <v>10.2678975</v>
      </c>
      <c r="N44" s="233">
        <v>10.2153975</v>
      </c>
      <c r="O44" s="233">
        <v>10.2153975</v>
      </c>
      <c r="P44" s="233">
        <v>10.2153975</v>
      </c>
      <c r="Q44" s="233">
        <v>10.2678975</v>
      </c>
      <c r="R44" s="233">
        <v>10.2153975</v>
      </c>
      <c r="S44" s="233">
        <v>10.2153975</v>
      </c>
      <c r="T44" s="233">
        <v>10.2153975</v>
      </c>
      <c r="U44" s="233">
        <v>10.2153975</v>
      </c>
      <c r="V44" s="233">
        <v>10.2153975</v>
      </c>
      <c r="W44" s="233">
        <v>10.2153975</v>
      </c>
      <c r="X44" s="233">
        <v>10.2153975</v>
      </c>
      <c r="Y44" s="233">
        <v>10.2678975</v>
      </c>
      <c r="Z44" s="233">
        <v>10.2678975</v>
      </c>
      <c r="AA44" s="233">
        <v>10.2678975</v>
      </c>
      <c r="AB44" s="233">
        <v>10.2153975</v>
      </c>
      <c r="AC44" s="233">
        <v>10.2153975</v>
      </c>
      <c r="AD44" s="233">
        <v>10.2153975</v>
      </c>
      <c r="AE44" s="233">
        <v>10.2153975</v>
      </c>
      <c r="AF44" s="233">
        <v>10.2153975</v>
      </c>
      <c r="AG44" s="233">
        <v>10.2153975</v>
      </c>
      <c r="AH44" s="233">
        <v>10.2153975</v>
      </c>
      <c r="AI44" s="233">
        <v>10.2153975</v>
      </c>
      <c r="AJ44" s="233">
        <v>10.2153975</v>
      </c>
      <c r="AK44" s="233">
        <v>10.2153975</v>
      </c>
      <c r="AL44" s="233">
        <v>10.2153975</v>
      </c>
      <c r="AM44" s="382">
        <f t="shared" ref="AM44:AM47" si="6">AVERAGE(F44:AL44)</f>
        <v>10.072227878787876</v>
      </c>
    </row>
    <row r="45" spans="1:39" x14ac:dyDescent="0.2">
      <c r="A45" s="35"/>
      <c r="B45" s="94" t="s">
        <v>827</v>
      </c>
      <c r="C45" s="275" t="s">
        <v>63</v>
      </c>
      <c r="D45" s="12" t="s">
        <v>1119</v>
      </c>
      <c r="E45" s="100"/>
      <c r="F45" s="233">
        <v>5.2282999999999999</v>
      </c>
      <c r="G45" s="233">
        <v>2.4937499999999999</v>
      </c>
      <c r="H45" s="233">
        <v>2.4937499999999999</v>
      </c>
      <c r="I45" s="233">
        <v>2.4937499999999999</v>
      </c>
      <c r="J45" s="233">
        <v>2.4937499999999999</v>
      </c>
      <c r="K45" s="233">
        <v>2.4937499999999999</v>
      </c>
      <c r="L45" s="233">
        <v>2.4937499999999999</v>
      </c>
      <c r="M45" s="233">
        <v>2.5287500000000001</v>
      </c>
      <c r="N45" s="233">
        <v>2.4937499999999999</v>
      </c>
      <c r="O45" s="233">
        <v>2.4937499999999999</v>
      </c>
      <c r="P45" s="233">
        <v>2.4937499999999999</v>
      </c>
      <c r="Q45" s="233">
        <v>2.5287500000000001</v>
      </c>
      <c r="R45" s="233">
        <v>2.4937499999999999</v>
      </c>
      <c r="S45" s="233">
        <v>2.4937499999999999</v>
      </c>
      <c r="T45" s="233">
        <v>2.4937499999999999</v>
      </c>
      <c r="U45" s="233">
        <v>2.4937499999999999</v>
      </c>
      <c r="V45" s="233">
        <v>2.4937499999999999</v>
      </c>
      <c r="W45" s="233">
        <v>2.4937499999999999</v>
      </c>
      <c r="X45" s="233">
        <v>2.4937499999999999</v>
      </c>
      <c r="Y45" s="233">
        <v>2.5287500000000001</v>
      </c>
      <c r="Z45" s="233">
        <v>2.5287500000000001</v>
      </c>
      <c r="AA45" s="233">
        <v>2.5287500000000001</v>
      </c>
      <c r="AB45" s="233">
        <v>2.4937499999999999</v>
      </c>
      <c r="AC45" s="233">
        <v>2.4937499999999999</v>
      </c>
      <c r="AD45" s="233">
        <v>2.4937499999999999</v>
      </c>
      <c r="AE45" s="233">
        <v>2.4937499999999999</v>
      </c>
      <c r="AF45" s="233">
        <v>2.4937499999999999</v>
      </c>
      <c r="AG45" s="233">
        <v>2.4937499999999999</v>
      </c>
      <c r="AH45" s="233">
        <v>2.4937499999999999</v>
      </c>
      <c r="AI45" s="233">
        <v>2.4937499999999999</v>
      </c>
      <c r="AJ45" s="233">
        <v>2.4937499999999999</v>
      </c>
      <c r="AK45" s="233">
        <v>2.4937499999999999</v>
      </c>
      <c r="AL45" s="233">
        <v>2.4937499999999999</v>
      </c>
      <c r="AM45" s="382">
        <f t="shared" si="6"/>
        <v>2.5819181818181831</v>
      </c>
    </row>
    <row r="46" spans="1:39" x14ac:dyDescent="0.2">
      <c r="A46" s="35"/>
      <c r="B46" s="94" t="s">
        <v>828</v>
      </c>
      <c r="C46" s="275" t="s">
        <v>63</v>
      </c>
      <c r="D46" s="12" t="s">
        <v>1119</v>
      </c>
      <c r="E46" s="100"/>
      <c r="F46" s="233">
        <v>15.2096</v>
      </c>
      <c r="G46" s="233">
        <v>19.7169013</v>
      </c>
      <c r="H46" s="233">
        <v>19.7169013</v>
      </c>
      <c r="I46" s="233">
        <v>19.7169013</v>
      </c>
      <c r="J46" s="233">
        <v>19.7169013</v>
      </c>
      <c r="K46" s="233">
        <v>19.7169013</v>
      </c>
      <c r="L46" s="233">
        <v>19.7169013</v>
      </c>
      <c r="M46" s="233">
        <v>19.656901300000001</v>
      </c>
      <c r="N46" s="233">
        <v>19.7169013</v>
      </c>
      <c r="O46" s="233">
        <v>19.7169013</v>
      </c>
      <c r="P46" s="233">
        <v>19.7169013</v>
      </c>
      <c r="Q46" s="233">
        <v>19.656901300000001</v>
      </c>
      <c r="R46" s="233">
        <v>19.7169013</v>
      </c>
      <c r="S46" s="233">
        <v>19.7169013</v>
      </c>
      <c r="T46" s="233">
        <v>19.7169013</v>
      </c>
      <c r="U46" s="233">
        <v>19.7169013</v>
      </c>
      <c r="V46" s="233">
        <v>19.7169013</v>
      </c>
      <c r="W46" s="233">
        <v>19.7169013</v>
      </c>
      <c r="X46" s="233">
        <v>19.7169013</v>
      </c>
      <c r="Y46" s="233">
        <v>19.656901300000001</v>
      </c>
      <c r="Z46" s="233">
        <v>19.656901300000001</v>
      </c>
      <c r="AA46" s="233">
        <v>19.656901300000001</v>
      </c>
      <c r="AB46" s="233">
        <v>19.7169013</v>
      </c>
      <c r="AC46" s="233">
        <v>19.7169013</v>
      </c>
      <c r="AD46" s="233">
        <v>19.7169013</v>
      </c>
      <c r="AE46" s="233">
        <v>19.7169013</v>
      </c>
      <c r="AF46" s="233">
        <v>19.7169013</v>
      </c>
      <c r="AG46" s="233">
        <v>19.7169013</v>
      </c>
      <c r="AH46" s="233">
        <v>19.7169013</v>
      </c>
      <c r="AI46" s="233">
        <v>19.7169013</v>
      </c>
      <c r="AJ46" s="233">
        <v>19.7169013</v>
      </c>
      <c r="AK46" s="233">
        <v>19.7169013</v>
      </c>
      <c r="AL46" s="233">
        <v>19.7169013</v>
      </c>
      <c r="AM46" s="382">
        <f t="shared" si="6"/>
        <v>19.571225503030313</v>
      </c>
    </row>
    <row r="47" spans="1:39" x14ac:dyDescent="0.2">
      <c r="A47" s="35"/>
      <c r="B47" s="94" t="s">
        <v>829</v>
      </c>
      <c r="C47" s="275" t="s">
        <v>63</v>
      </c>
      <c r="D47" s="12" t="s">
        <v>1119</v>
      </c>
      <c r="E47" s="100"/>
      <c r="F47" s="233">
        <v>15.2096</v>
      </c>
      <c r="G47" s="233">
        <v>7.1487499999999997</v>
      </c>
      <c r="H47" s="233">
        <v>7.1487499999999997</v>
      </c>
      <c r="I47" s="233">
        <v>7.1487499999999997</v>
      </c>
      <c r="J47" s="233">
        <v>7.1487499999999997</v>
      </c>
      <c r="K47" s="233">
        <v>7.1487499999999997</v>
      </c>
      <c r="L47" s="233">
        <v>7.1487499999999997</v>
      </c>
      <c r="M47" s="233">
        <v>7.1887499999999998</v>
      </c>
      <c r="N47" s="233">
        <v>7.1487499999999997</v>
      </c>
      <c r="O47" s="233">
        <v>7.1487499999999997</v>
      </c>
      <c r="P47" s="233">
        <v>7.1487499999999997</v>
      </c>
      <c r="Q47" s="233">
        <v>7.1887499999999998</v>
      </c>
      <c r="R47" s="233">
        <v>7.1487499999999997</v>
      </c>
      <c r="S47" s="233">
        <v>7.1487499999999997</v>
      </c>
      <c r="T47" s="233">
        <v>7.1487499999999997</v>
      </c>
      <c r="U47" s="233">
        <v>7.1487499999999997</v>
      </c>
      <c r="V47" s="233">
        <v>7.1487499999999997</v>
      </c>
      <c r="W47" s="233">
        <v>7.1487499999999997</v>
      </c>
      <c r="X47" s="233">
        <v>7.1487499999999997</v>
      </c>
      <c r="Y47" s="233">
        <v>7.1887499999999998</v>
      </c>
      <c r="Z47" s="233">
        <v>7.1887499999999998</v>
      </c>
      <c r="AA47" s="233">
        <v>7.1887499999999998</v>
      </c>
      <c r="AB47" s="233">
        <v>7.1487499999999997</v>
      </c>
      <c r="AC47" s="233">
        <v>7.1487499999999997</v>
      </c>
      <c r="AD47" s="233">
        <v>7.1487499999999997</v>
      </c>
      <c r="AE47" s="233">
        <v>7.1487499999999997</v>
      </c>
      <c r="AF47" s="233">
        <v>7.1487499999999997</v>
      </c>
      <c r="AG47" s="233">
        <v>7.1487499999999997</v>
      </c>
      <c r="AH47" s="233">
        <v>7.1487499999999997</v>
      </c>
      <c r="AI47" s="233">
        <v>7.1487499999999997</v>
      </c>
      <c r="AJ47" s="233">
        <v>7.1487499999999997</v>
      </c>
      <c r="AK47" s="233">
        <v>7.1487499999999997</v>
      </c>
      <c r="AL47" s="233">
        <v>7.1487499999999997</v>
      </c>
      <c r="AM47" s="382">
        <f t="shared" si="6"/>
        <v>7.3990787878787927</v>
      </c>
    </row>
    <row r="48" spans="1:39" x14ac:dyDescent="0.2">
      <c r="A48" s="21"/>
      <c r="B48" s="103" t="s">
        <v>80</v>
      </c>
      <c r="C48" s="104" t="s">
        <v>77</v>
      </c>
      <c r="D48" s="8"/>
      <c r="E48" s="192"/>
      <c r="F48" s="105">
        <f>1/2*(((F44/100)*(F6/100)*F5+(F45/100)*(100-F6)/100)*F8*0.99)</f>
        <v>2.2975499533008197</v>
      </c>
      <c r="G48" s="105">
        <f>(G44/100*(G6/100)*G5+G45/100*(100-G6)/100)*G8*0.99+0.15*(2*F48)</f>
        <v>1.0329298676280054</v>
      </c>
      <c r="H48" s="105">
        <f>(H44/100*(H6/100)*H5+H45/100*(100-H6)/100)*H8*0.99+0.15*(2*F48)</f>
        <v>0.96044053846514821</v>
      </c>
      <c r="I48" s="105">
        <f>(I44/100*(I6/100)*I5+I45/100*(100-I6)/100)*I8*0.99+0.2*(2*F48)</f>
        <v>1.8605438129236742</v>
      </c>
      <c r="J48" s="105">
        <f t="shared" ref="J48:AL48" si="7">(J44/100*(J6/100)*J5+J45/100*(100-J6)/100)*J8*0.99</f>
        <v>0.48380164437157674</v>
      </c>
      <c r="K48" s="105">
        <f t="shared" si="7"/>
        <v>0.73338026097001174</v>
      </c>
      <c r="L48" s="105">
        <f t="shared" si="7"/>
        <v>0.26721984855808006</v>
      </c>
      <c r="M48" s="105">
        <f t="shared" si="7"/>
        <v>2.6262567881249388</v>
      </c>
      <c r="N48" s="105">
        <f t="shared" si="7"/>
        <v>0.69928217419273497</v>
      </c>
      <c r="O48" s="105">
        <f t="shared" si="7"/>
        <v>0.36635497003104378</v>
      </c>
      <c r="P48" s="105">
        <f t="shared" si="7"/>
        <v>1.2480885794109695</v>
      </c>
      <c r="Q48" s="105">
        <f t="shared" si="7"/>
        <v>1.1961825574177973</v>
      </c>
      <c r="R48" s="105">
        <f t="shared" si="7"/>
        <v>1.9426253811414727</v>
      </c>
      <c r="S48" s="105">
        <f t="shared" si="7"/>
        <v>0.85361614876989633</v>
      </c>
      <c r="T48" s="105">
        <f t="shared" si="7"/>
        <v>1.8503771678564087</v>
      </c>
      <c r="U48" s="105">
        <f t="shared" si="7"/>
        <v>1.3475514189275026</v>
      </c>
      <c r="V48" s="105">
        <f t="shared" si="7"/>
        <v>1.4815297564070822</v>
      </c>
      <c r="W48" s="105">
        <f t="shared" si="7"/>
        <v>0.5345236177423065</v>
      </c>
      <c r="X48" s="105">
        <f t="shared" si="7"/>
        <v>0.85950368795833532</v>
      </c>
      <c r="Y48" s="105">
        <f t="shared" si="7"/>
        <v>1.6081159336910895</v>
      </c>
      <c r="Z48" s="105">
        <f t="shared" si="7"/>
        <v>0.22017253620661612</v>
      </c>
      <c r="AA48" s="105">
        <f t="shared" si="7"/>
        <v>1.3483578366424842</v>
      </c>
      <c r="AB48" s="105">
        <f t="shared" si="7"/>
        <v>0.22966907153752483</v>
      </c>
      <c r="AC48" s="105">
        <f t="shared" si="7"/>
        <v>1.6986760662380038</v>
      </c>
      <c r="AD48" s="105">
        <f t="shared" si="7"/>
        <v>1.1044185368581123</v>
      </c>
      <c r="AE48" s="105">
        <f t="shared" si="7"/>
        <v>0.55563835841683895</v>
      </c>
      <c r="AF48" s="105">
        <f t="shared" si="7"/>
        <v>0.27340626331382362</v>
      </c>
      <c r="AG48" s="105">
        <f t="shared" si="7"/>
        <v>0.30801072565941995</v>
      </c>
      <c r="AH48" s="105">
        <f t="shared" si="7"/>
        <v>0.22793000279252559</v>
      </c>
      <c r="AI48" s="105">
        <f t="shared" si="7"/>
        <v>1.9371688311606561</v>
      </c>
      <c r="AJ48" s="105">
        <f t="shared" si="7"/>
        <v>1.6799629272968655</v>
      </c>
      <c r="AK48" s="105">
        <f t="shared" si="7"/>
        <v>1.3613836400620176</v>
      </c>
      <c r="AL48" s="105">
        <f t="shared" si="7"/>
        <v>0.36697168812541281</v>
      </c>
      <c r="AM48" s="381">
        <f>SUM(F48:AL48)</f>
        <v>35.561640592199183</v>
      </c>
    </row>
    <row r="49" spans="1:39" x14ac:dyDescent="0.2">
      <c r="A49" s="21"/>
      <c r="B49" s="93" t="s">
        <v>82</v>
      </c>
      <c r="C49" s="98" t="s">
        <v>83</v>
      </c>
      <c r="D49" s="8"/>
      <c r="E49" s="27"/>
      <c r="F49" s="105">
        <f>1/2*(((F46/100)*(F6/100)*F5+(F47/100)*(100-F6)/100)*(0.11*(F12*(1-0.058)+F13)+0.058*F12))</f>
        <v>17.149067486313992</v>
      </c>
      <c r="G49" s="105">
        <f>(G46/100*(G6/100)*G5+G47/100*(100-G6)/100)*(0.11*(G12*(1-0.058)+G13)+0.058*G12)+0.15*(2*F49)</f>
        <v>7.0196632067349132</v>
      </c>
      <c r="H49" s="105">
        <f>(H46/100*(H6/100)*H5+H47/100*(100-H6)/100)*(0.11*(H12*(1-0.058)+H13)+0.058*H12)+0.15*(2*F49)</f>
        <v>6.6426596505873237</v>
      </c>
      <c r="I49" s="105">
        <f>(I46/100*(I6/100)*I5+I47/100*(100-I6)/100)*(0.11*(I12*(1-0.058)+I13)+0.058*I12)+0.2*(2*F49)</f>
        <v>11.68212485808662</v>
      </c>
      <c r="J49" s="105">
        <f t="shared" ref="J49:AL49" si="8">(J46/100*(J6/100)*J5+J47/100*(100-J6)/100)*(0.11*(J12*(1-0.058)+J13)+0.058*J12)</f>
        <v>2.5776796719231174</v>
      </c>
      <c r="K49" s="105">
        <f t="shared" si="8"/>
        <v>3.7280771030846425</v>
      </c>
      <c r="L49" s="105">
        <f t="shared" si="8"/>
        <v>1.5255693361463465</v>
      </c>
      <c r="M49" s="105">
        <f t="shared" si="8"/>
        <v>12.952298556794883</v>
      </c>
      <c r="N49" s="105">
        <f t="shared" si="8"/>
        <v>3.6312079635569416</v>
      </c>
      <c r="O49" s="105">
        <f t="shared" si="8"/>
        <v>1.9917901815760637</v>
      </c>
      <c r="P49" s="105">
        <f t="shared" si="8"/>
        <v>6.3317523350273968</v>
      </c>
      <c r="Q49" s="105">
        <f t="shared" si="8"/>
        <v>5.9614776660783715</v>
      </c>
      <c r="R49" s="105">
        <f t="shared" si="8"/>
        <v>9.7474507243479458</v>
      </c>
      <c r="S49" s="105">
        <f t="shared" si="8"/>
        <v>4.4048915305368421</v>
      </c>
      <c r="T49" s="105">
        <f t="shared" si="8"/>
        <v>9.3111294105877001</v>
      </c>
      <c r="U49" s="105">
        <f t="shared" si="8"/>
        <v>6.8219584511607865</v>
      </c>
      <c r="V49" s="105">
        <f t="shared" si="8"/>
        <v>7.5083515693137217</v>
      </c>
      <c r="W49" s="105">
        <f t="shared" si="8"/>
        <v>2.7855298269974598</v>
      </c>
      <c r="X49" s="105">
        <f t="shared" si="8"/>
        <v>4.3348255432864438</v>
      </c>
      <c r="Y49" s="105">
        <f t="shared" si="8"/>
        <v>7.9836339369182596</v>
      </c>
      <c r="Z49" s="105">
        <f t="shared" si="8"/>
        <v>1.2509608346384442</v>
      </c>
      <c r="AA49" s="105">
        <f t="shared" si="8"/>
        <v>6.7332370837980928</v>
      </c>
      <c r="AB49" s="105">
        <f t="shared" si="8"/>
        <v>1.3320674387223603</v>
      </c>
      <c r="AC49" s="105">
        <f t="shared" si="8"/>
        <v>8.5643783032908907</v>
      </c>
      <c r="AD49" s="105">
        <f t="shared" si="8"/>
        <v>5.5341731332343826</v>
      </c>
      <c r="AE49" s="105">
        <f t="shared" si="8"/>
        <v>2.8719612581563787</v>
      </c>
      <c r="AF49" s="105">
        <f t="shared" si="8"/>
        <v>1.521820603889579</v>
      </c>
      <c r="AG49" s="105">
        <f t="shared" si="8"/>
        <v>1.7470412418889396</v>
      </c>
      <c r="AH49" s="105">
        <f t="shared" si="8"/>
        <v>1.3390155091158065</v>
      </c>
      <c r="AI49" s="105">
        <f t="shared" si="8"/>
        <v>9.6150352291990018</v>
      </c>
      <c r="AJ49" s="105">
        <f t="shared" si="8"/>
        <v>8.336708945304709</v>
      </c>
      <c r="AK49" s="105">
        <f t="shared" si="8"/>
        <v>6.8030352449787195</v>
      </c>
      <c r="AL49" s="105">
        <f t="shared" si="8"/>
        <v>1.8729676619077222</v>
      </c>
      <c r="AM49" s="381">
        <f>SUM(F49:AL49)</f>
        <v>191.6135414971848</v>
      </c>
    </row>
    <row r="50" spans="1:39" x14ac:dyDescent="0.2">
      <c r="A50" s="21"/>
      <c r="B50" s="93"/>
      <c r="C50" s="98"/>
      <c r="D50" s="8"/>
      <c r="E50" s="27"/>
      <c r="F50" s="193"/>
      <c r="G50" s="193"/>
      <c r="H50" s="193"/>
      <c r="I50" s="193"/>
      <c r="J50" s="193"/>
      <c r="K50" s="193"/>
      <c r="L50" s="193"/>
      <c r="M50" s="193"/>
      <c r="N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3"/>
      <c r="AK50" s="193"/>
      <c r="AL50" s="193"/>
      <c r="AM50" s="103"/>
    </row>
    <row r="51" spans="1:39" x14ac:dyDescent="0.2">
      <c r="A51" s="8"/>
      <c r="B51" s="23" t="s">
        <v>84</v>
      </c>
      <c r="C51" s="29"/>
      <c r="D51" s="8"/>
      <c r="E51" s="27"/>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07"/>
    </row>
    <row r="52" spans="1:39" x14ac:dyDescent="0.2">
      <c r="A52" s="8"/>
      <c r="B52" s="36" t="s">
        <v>85</v>
      </c>
      <c r="C52" s="29"/>
      <c r="D52" s="8"/>
      <c r="E52" s="27"/>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07"/>
    </row>
    <row r="53" spans="1:39" x14ac:dyDescent="0.2">
      <c r="A53" s="8"/>
      <c r="B53" s="37" t="s">
        <v>86</v>
      </c>
      <c r="C53" s="38" t="s">
        <v>87</v>
      </c>
      <c r="D53" s="19" t="s">
        <v>1120</v>
      </c>
      <c r="E53" s="27"/>
      <c r="F53" s="229">
        <v>2.7E-2</v>
      </c>
      <c r="G53" s="229">
        <v>2.7E-2</v>
      </c>
      <c r="H53" s="229">
        <v>2.7E-2</v>
      </c>
      <c r="I53" s="229">
        <v>2.7E-2</v>
      </c>
      <c r="J53" s="229">
        <v>2.7E-2</v>
      </c>
      <c r="K53" s="229">
        <v>2.7E-2</v>
      </c>
      <c r="L53" s="229">
        <v>2.7E-2</v>
      </c>
      <c r="M53" s="229">
        <v>2.7E-2</v>
      </c>
      <c r="N53" s="229">
        <v>2.7E-2</v>
      </c>
      <c r="O53" s="229">
        <v>2.7E-2</v>
      </c>
      <c r="P53" s="229">
        <v>2.7E-2</v>
      </c>
      <c r="Q53" s="229">
        <v>2.7E-2</v>
      </c>
      <c r="R53" s="229">
        <v>2.7E-2</v>
      </c>
      <c r="S53" s="229">
        <v>2.7E-2</v>
      </c>
      <c r="T53" s="229">
        <v>2.7E-2</v>
      </c>
      <c r="U53" s="229">
        <v>2.7E-2</v>
      </c>
      <c r="V53" s="229">
        <v>2.7E-2</v>
      </c>
      <c r="W53" s="229">
        <v>2.7E-2</v>
      </c>
      <c r="X53" s="229">
        <v>2.7E-2</v>
      </c>
      <c r="Y53" s="229">
        <v>2.7E-2</v>
      </c>
      <c r="Z53" s="229">
        <v>2.7E-2</v>
      </c>
      <c r="AA53" s="229">
        <v>2.7E-2</v>
      </c>
      <c r="AB53" s="229">
        <v>2.7E-2</v>
      </c>
      <c r="AC53" s="229">
        <v>2.7E-2</v>
      </c>
      <c r="AD53" s="229">
        <v>2.7E-2</v>
      </c>
      <c r="AE53" s="229">
        <v>2.7E-2</v>
      </c>
      <c r="AF53" s="229">
        <v>2.7E-2</v>
      </c>
      <c r="AG53" s="229">
        <v>2.7E-2</v>
      </c>
      <c r="AH53" s="229">
        <v>2.7E-2</v>
      </c>
      <c r="AI53" s="229">
        <v>2.7E-2</v>
      </c>
      <c r="AJ53" s="229">
        <v>2.7E-2</v>
      </c>
      <c r="AK53" s="229">
        <v>2.7E-2</v>
      </c>
      <c r="AL53" s="229">
        <v>2.7E-2</v>
      </c>
      <c r="AM53" s="383">
        <f>AVERAGE(F53:AL53)</f>
        <v>2.7000000000000017E-2</v>
      </c>
    </row>
    <row r="54" spans="1:39" x14ac:dyDescent="0.2">
      <c r="A54" s="8"/>
      <c r="B54" s="37" t="s">
        <v>88</v>
      </c>
      <c r="C54" s="38" t="s">
        <v>87</v>
      </c>
      <c r="D54" s="19" t="s">
        <v>1120</v>
      </c>
      <c r="E54" s="27"/>
      <c r="F54" s="229">
        <v>2.7E-2</v>
      </c>
      <c r="G54" s="229">
        <v>2.7E-2</v>
      </c>
      <c r="H54" s="229">
        <v>2.7E-2</v>
      </c>
      <c r="I54" s="229">
        <v>2.7E-2</v>
      </c>
      <c r="J54" s="229">
        <v>2.7E-2</v>
      </c>
      <c r="K54" s="229">
        <v>2.7E-2</v>
      </c>
      <c r="L54" s="229">
        <v>2.7E-2</v>
      </c>
      <c r="M54" s="229">
        <v>2.7E-2</v>
      </c>
      <c r="N54" s="229">
        <v>2.7E-2</v>
      </c>
      <c r="O54" s="229">
        <v>2.7E-2</v>
      </c>
      <c r="P54" s="229">
        <v>2.7E-2</v>
      </c>
      <c r="Q54" s="229">
        <v>2.7E-2</v>
      </c>
      <c r="R54" s="229">
        <v>2.7E-2</v>
      </c>
      <c r="S54" s="229">
        <v>2.7E-2</v>
      </c>
      <c r="T54" s="229">
        <v>2.7E-2</v>
      </c>
      <c r="U54" s="229">
        <v>2.7E-2</v>
      </c>
      <c r="V54" s="229">
        <v>2.7E-2</v>
      </c>
      <c r="W54" s="229">
        <v>2.7E-2</v>
      </c>
      <c r="X54" s="229">
        <v>2.7E-2</v>
      </c>
      <c r="Y54" s="229">
        <v>2.7E-2</v>
      </c>
      <c r="Z54" s="229">
        <v>2.7E-2</v>
      </c>
      <c r="AA54" s="229">
        <v>2.7E-2</v>
      </c>
      <c r="AB54" s="229">
        <v>2.7E-2</v>
      </c>
      <c r="AC54" s="229">
        <v>2.7E-2</v>
      </c>
      <c r="AD54" s="229">
        <v>2.7E-2</v>
      </c>
      <c r="AE54" s="229">
        <v>2.7E-2</v>
      </c>
      <c r="AF54" s="229">
        <v>2.7E-2</v>
      </c>
      <c r="AG54" s="229">
        <v>2.7E-2</v>
      </c>
      <c r="AH54" s="229">
        <v>2.7E-2</v>
      </c>
      <c r="AI54" s="229">
        <v>2.7E-2</v>
      </c>
      <c r="AJ54" s="229">
        <v>2.7E-2</v>
      </c>
      <c r="AK54" s="229">
        <v>2.7E-2</v>
      </c>
      <c r="AL54" s="229">
        <v>2.7E-2</v>
      </c>
      <c r="AM54" s="383">
        <f t="shared" ref="AM54:AM86" si="9">AVERAGE(F54:AL54)</f>
        <v>2.7000000000000017E-2</v>
      </c>
    </row>
    <row r="55" spans="1:39" x14ac:dyDescent="0.2">
      <c r="A55" s="8"/>
      <c r="B55" s="37" t="s">
        <v>89</v>
      </c>
      <c r="C55" s="38" t="s">
        <v>87</v>
      </c>
      <c r="D55" s="19" t="s">
        <v>1120</v>
      </c>
      <c r="E55" s="27"/>
      <c r="F55" s="229">
        <v>2.7E-2</v>
      </c>
      <c r="G55" s="229">
        <v>2.7E-2</v>
      </c>
      <c r="H55" s="229">
        <v>2.7E-2</v>
      </c>
      <c r="I55" s="229">
        <v>2.7E-2</v>
      </c>
      <c r="J55" s="229">
        <v>2.7E-2</v>
      </c>
      <c r="K55" s="229">
        <v>2.7E-2</v>
      </c>
      <c r="L55" s="229">
        <v>2.7E-2</v>
      </c>
      <c r="M55" s="229">
        <v>2.7E-2</v>
      </c>
      <c r="N55" s="229">
        <v>2.7E-2</v>
      </c>
      <c r="O55" s="229">
        <v>2.7E-2</v>
      </c>
      <c r="P55" s="229">
        <v>2.7E-2</v>
      </c>
      <c r="Q55" s="229">
        <v>2.7E-2</v>
      </c>
      <c r="R55" s="229">
        <v>2.7E-2</v>
      </c>
      <c r="S55" s="229">
        <v>2.7E-2</v>
      </c>
      <c r="T55" s="229">
        <v>2.7E-2</v>
      </c>
      <c r="U55" s="229">
        <v>2.7E-2</v>
      </c>
      <c r="V55" s="229">
        <v>2.7E-2</v>
      </c>
      <c r="W55" s="229">
        <v>2.7E-2</v>
      </c>
      <c r="X55" s="229">
        <v>2.7E-2</v>
      </c>
      <c r="Y55" s="229">
        <v>2.7E-2</v>
      </c>
      <c r="Z55" s="229">
        <v>2.7E-2</v>
      </c>
      <c r="AA55" s="229">
        <v>2.7E-2</v>
      </c>
      <c r="AB55" s="229">
        <v>2.7E-2</v>
      </c>
      <c r="AC55" s="229">
        <v>2.7E-2</v>
      </c>
      <c r="AD55" s="229">
        <v>2.7E-2</v>
      </c>
      <c r="AE55" s="229">
        <v>2.7E-2</v>
      </c>
      <c r="AF55" s="229">
        <v>2.7E-2</v>
      </c>
      <c r="AG55" s="229">
        <v>2.7E-2</v>
      </c>
      <c r="AH55" s="229">
        <v>2.7E-2</v>
      </c>
      <c r="AI55" s="229">
        <v>2.7E-2</v>
      </c>
      <c r="AJ55" s="229">
        <v>2.7E-2</v>
      </c>
      <c r="AK55" s="229">
        <v>2.7E-2</v>
      </c>
      <c r="AL55" s="229">
        <v>2.7E-2</v>
      </c>
      <c r="AM55" s="383">
        <f t="shared" si="9"/>
        <v>2.7000000000000017E-2</v>
      </c>
    </row>
    <row r="56" spans="1:39" x14ac:dyDescent="0.2">
      <c r="A56" s="8"/>
      <c r="B56" s="37" t="s">
        <v>90</v>
      </c>
      <c r="C56" s="38" t="s">
        <v>87</v>
      </c>
      <c r="D56" s="19" t="s">
        <v>1120</v>
      </c>
      <c r="E56" s="27"/>
      <c r="F56" s="229">
        <v>2.7E-2</v>
      </c>
      <c r="G56" s="229">
        <v>2.7E-2</v>
      </c>
      <c r="H56" s="229">
        <v>2.7E-2</v>
      </c>
      <c r="I56" s="229">
        <v>2.7E-2</v>
      </c>
      <c r="J56" s="229">
        <v>2.7E-2</v>
      </c>
      <c r="K56" s="229">
        <v>2.7E-2</v>
      </c>
      <c r="L56" s="229">
        <v>2.7E-2</v>
      </c>
      <c r="M56" s="229">
        <v>2.7E-2</v>
      </c>
      <c r="N56" s="229">
        <v>2.7E-2</v>
      </c>
      <c r="O56" s="229">
        <v>2.7E-2</v>
      </c>
      <c r="P56" s="229">
        <v>2.7E-2</v>
      </c>
      <c r="Q56" s="229">
        <v>2.7E-2</v>
      </c>
      <c r="R56" s="229">
        <v>2.7E-2</v>
      </c>
      <c r="S56" s="229">
        <v>2.7E-2</v>
      </c>
      <c r="T56" s="229">
        <v>2.7E-2</v>
      </c>
      <c r="U56" s="229">
        <v>2.7E-2</v>
      </c>
      <c r="V56" s="229">
        <v>2.7E-2</v>
      </c>
      <c r="W56" s="229">
        <v>2.7E-2</v>
      </c>
      <c r="X56" s="229">
        <v>2.7E-2</v>
      </c>
      <c r="Y56" s="229">
        <v>2.7E-2</v>
      </c>
      <c r="Z56" s="229">
        <v>2.7E-2</v>
      </c>
      <c r="AA56" s="229">
        <v>2.7E-2</v>
      </c>
      <c r="AB56" s="229">
        <v>2.7E-2</v>
      </c>
      <c r="AC56" s="229">
        <v>2.7E-2</v>
      </c>
      <c r="AD56" s="229">
        <v>2.7E-2</v>
      </c>
      <c r="AE56" s="229">
        <v>2.7E-2</v>
      </c>
      <c r="AF56" s="229">
        <v>2.7E-2</v>
      </c>
      <c r="AG56" s="229">
        <v>2.7E-2</v>
      </c>
      <c r="AH56" s="229">
        <v>2.7E-2</v>
      </c>
      <c r="AI56" s="229">
        <v>2.7E-2</v>
      </c>
      <c r="AJ56" s="229">
        <v>2.7E-2</v>
      </c>
      <c r="AK56" s="229">
        <v>2.7E-2</v>
      </c>
      <c r="AL56" s="229">
        <v>2.7E-2</v>
      </c>
      <c r="AM56" s="383">
        <f t="shared" si="9"/>
        <v>2.7000000000000017E-2</v>
      </c>
    </row>
    <row r="57" spans="1:39" x14ac:dyDescent="0.2">
      <c r="A57" s="8"/>
      <c r="B57" s="37" t="s">
        <v>91</v>
      </c>
      <c r="C57" s="38" t="s">
        <v>87</v>
      </c>
      <c r="D57" s="19" t="s">
        <v>1120</v>
      </c>
      <c r="E57" s="27"/>
      <c r="F57" s="229">
        <v>2.7E-2</v>
      </c>
      <c r="G57" s="229">
        <v>2.7E-2</v>
      </c>
      <c r="H57" s="229">
        <v>2.7E-2</v>
      </c>
      <c r="I57" s="229">
        <v>2.7E-2</v>
      </c>
      <c r="J57" s="229">
        <v>2.7E-2</v>
      </c>
      <c r="K57" s="229">
        <v>2.7E-2</v>
      </c>
      <c r="L57" s="229">
        <v>2.7E-2</v>
      </c>
      <c r="M57" s="229">
        <v>2.7E-2</v>
      </c>
      <c r="N57" s="229">
        <v>2.7E-2</v>
      </c>
      <c r="O57" s="229">
        <v>2.7E-2</v>
      </c>
      <c r="P57" s="229">
        <v>2.7E-2</v>
      </c>
      <c r="Q57" s="229">
        <v>2.7E-2</v>
      </c>
      <c r="R57" s="229">
        <v>2.7E-2</v>
      </c>
      <c r="S57" s="229">
        <v>2.7E-2</v>
      </c>
      <c r="T57" s="229">
        <v>2.7E-2</v>
      </c>
      <c r="U57" s="229">
        <v>2.7E-2</v>
      </c>
      <c r="V57" s="229">
        <v>2.7E-2</v>
      </c>
      <c r="W57" s="229">
        <v>2.7E-2</v>
      </c>
      <c r="X57" s="229">
        <v>2.7E-2</v>
      </c>
      <c r="Y57" s="229">
        <v>2.7E-2</v>
      </c>
      <c r="Z57" s="229">
        <v>2.7E-2</v>
      </c>
      <c r="AA57" s="229">
        <v>2.7E-2</v>
      </c>
      <c r="AB57" s="229">
        <v>2.7E-2</v>
      </c>
      <c r="AC57" s="229">
        <v>2.7E-2</v>
      </c>
      <c r="AD57" s="229">
        <v>2.7E-2</v>
      </c>
      <c r="AE57" s="229">
        <v>2.7E-2</v>
      </c>
      <c r="AF57" s="229">
        <v>2.7E-2</v>
      </c>
      <c r="AG57" s="229">
        <v>2.7E-2</v>
      </c>
      <c r="AH57" s="229">
        <v>2.7E-2</v>
      </c>
      <c r="AI57" s="229">
        <v>2.7E-2</v>
      </c>
      <c r="AJ57" s="229">
        <v>2.7E-2</v>
      </c>
      <c r="AK57" s="229">
        <v>2.7E-2</v>
      </c>
      <c r="AL57" s="229">
        <v>2.7E-2</v>
      </c>
      <c r="AM57" s="383">
        <f t="shared" si="9"/>
        <v>2.7000000000000017E-2</v>
      </c>
    </row>
    <row r="58" spans="1:39" x14ac:dyDescent="0.2">
      <c r="A58" s="8"/>
      <c r="B58" s="37" t="s">
        <v>92</v>
      </c>
      <c r="C58" s="38" t="s">
        <v>87</v>
      </c>
      <c r="D58" s="19" t="s">
        <v>1120</v>
      </c>
      <c r="E58" s="27"/>
      <c r="F58" s="229">
        <v>2.7E-2</v>
      </c>
      <c r="G58" s="229">
        <v>2.7E-2</v>
      </c>
      <c r="H58" s="229">
        <v>2.7E-2</v>
      </c>
      <c r="I58" s="229">
        <v>2.7E-2</v>
      </c>
      <c r="J58" s="229">
        <v>2.7E-2</v>
      </c>
      <c r="K58" s="229">
        <v>2.7E-2</v>
      </c>
      <c r="L58" s="229">
        <v>2.7E-2</v>
      </c>
      <c r="M58" s="229">
        <v>2.7E-2</v>
      </c>
      <c r="N58" s="229">
        <v>2.7E-2</v>
      </c>
      <c r="O58" s="229">
        <v>2.7E-2</v>
      </c>
      <c r="P58" s="229">
        <v>2.7E-2</v>
      </c>
      <c r="Q58" s="229">
        <v>2.7E-2</v>
      </c>
      <c r="R58" s="229">
        <v>2.7E-2</v>
      </c>
      <c r="S58" s="229">
        <v>2.7E-2</v>
      </c>
      <c r="T58" s="229">
        <v>2.7E-2</v>
      </c>
      <c r="U58" s="229">
        <v>2.7E-2</v>
      </c>
      <c r="V58" s="229">
        <v>2.7E-2</v>
      </c>
      <c r="W58" s="229">
        <v>2.7E-2</v>
      </c>
      <c r="X58" s="229">
        <v>2.7E-2</v>
      </c>
      <c r="Y58" s="229">
        <v>2.7E-2</v>
      </c>
      <c r="Z58" s="229">
        <v>2.7E-2</v>
      </c>
      <c r="AA58" s="229">
        <v>2.7E-2</v>
      </c>
      <c r="AB58" s="229">
        <v>2.7E-2</v>
      </c>
      <c r="AC58" s="229">
        <v>2.7E-2</v>
      </c>
      <c r="AD58" s="229">
        <v>2.7E-2</v>
      </c>
      <c r="AE58" s="229">
        <v>2.7E-2</v>
      </c>
      <c r="AF58" s="229">
        <v>2.7E-2</v>
      </c>
      <c r="AG58" s="229">
        <v>2.7E-2</v>
      </c>
      <c r="AH58" s="229">
        <v>2.7E-2</v>
      </c>
      <c r="AI58" s="229">
        <v>2.7E-2</v>
      </c>
      <c r="AJ58" s="229">
        <v>2.7E-2</v>
      </c>
      <c r="AK58" s="229">
        <v>2.7E-2</v>
      </c>
      <c r="AL58" s="229">
        <v>2.7E-2</v>
      </c>
      <c r="AM58" s="383">
        <f t="shared" si="9"/>
        <v>2.7000000000000017E-2</v>
      </c>
    </row>
    <row r="59" spans="1:39" x14ac:dyDescent="0.2">
      <c r="A59" s="8"/>
      <c r="B59" s="37" t="s">
        <v>93</v>
      </c>
      <c r="C59" s="38" t="s">
        <v>87</v>
      </c>
      <c r="D59" s="19" t="s">
        <v>1120</v>
      </c>
      <c r="E59" s="27"/>
      <c r="F59" s="229">
        <v>2.7E-2</v>
      </c>
      <c r="G59" s="229">
        <v>2.7E-2</v>
      </c>
      <c r="H59" s="229">
        <v>2.7E-2</v>
      </c>
      <c r="I59" s="229">
        <v>2.7E-2</v>
      </c>
      <c r="J59" s="229">
        <v>2.7E-2</v>
      </c>
      <c r="K59" s="229">
        <v>2.7E-2</v>
      </c>
      <c r="L59" s="229">
        <v>2.7E-2</v>
      </c>
      <c r="M59" s="229">
        <v>2.7E-2</v>
      </c>
      <c r="N59" s="229">
        <v>2.7E-2</v>
      </c>
      <c r="O59" s="229">
        <v>2.7E-2</v>
      </c>
      <c r="P59" s="229">
        <v>2.7E-2</v>
      </c>
      <c r="Q59" s="229">
        <v>2.7E-2</v>
      </c>
      <c r="R59" s="229">
        <v>2.7E-2</v>
      </c>
      <c r="S59" s="229">
        <v>2.7E-2</v>
      </c>
      <c r="T59" s="229">
        <v>2.7E-2</v>
      </c>
      <c r="U59" s="229">
        <v>2.7E-2</v>
      </c>
      <c r="V59" s="229">
        <v>2.7E-2</v>
      </c>
      <c r="W59" s="229">
        <v>2.7E-2</v>
      </c>
      <c r="X59" s="229">
        <v>2.7E-2</v>
      </c>
      <c r="Y59" s="229">
        <v>2.7E-2</v>
      </c>
      <c r="Z59" s="229">
        <v>2.7E-2</v>
      </c>
      <c r="AA59" s="229">
        <v>2.7E-2</v>
      </c>
      <c r="AB59" s="229">
        <v>2.7E-2</v>
      </c>
      <c r="AC59" s="229">
        <v>2.7E-2</v>
      </c>
      <c r="AD59" s="229">
        <v>2.7E-2</v>
      </c>
      <c r="AE59" s="229">
        <v>2.7E-2</v>
      </c>
      <c r="AF59" s="229">
        <v>2.7E-2</v>
      </c>
      <c r="AG59" s="229">
        <v>2.7E-2</v>
      </c>
      <c r="AH59" s="229">
        <v>2.7E-2</v>
      </c>
      <c r="AI59" s="229">
        <v>2.7E-2</v>
      </c>
      <c r="AJ59" s="229">
        <v>2.7E-2</v>
      </c>
      <c r="AK59" s="229">
        <v>2.7E-2</v>
      </c>
      <c r="AL59" s="229">
        <v>2.7E-2</v>
      </c>
      <c r="AM59" s="383">
        <f t="shared" si="9"/>
        <v>2.7000000000000017E-2</v>
      </c>
    </row>
    <row r="60" spans="1:39" x14ac:dyDescent="0.2">
      <c r="A60" s="8"/>
      <c r="B60" s="37" t="s">
        <v>94</v>
      </c>
      <c r="C60" s="38" t="s">
        <v>87</v>
      </c>
      <c r="D60" s="19" t="s">
        <v>1120</v>
      </c>
      <c r="E60" s="27"/>
      <c r="F60" s="229">
        <v>0</v>
      </c>
      <c r="G60" s="229">
        <v>0</v>
      </c>
      <c r="H60" s="229">
        <v>0</v>
      </c>
      <c r="I60" s="229">
        <v>0</v>
      </c>
      <c r="J60" s="229">
        <v>0</v>
      </c>
      <c r="K60" s="229">
        <v>0</v>
      </c>
      <c r="L60" s="229">
        <v>0</v>
      </c>
      <c r="M60" s="229">
        <v>0</v>
      </c>
      <c r="N60" s="229">
        <v>0</v>
      </c>
      <c r="O60" s="229">
        <v>0</v>
      </c>
      <c r="P60" s="229">
        <v>0</v>
      </c>
      <c r="Q60" s="229">
        <v>0</v>
      </c>
      <c r="R60" s="229">
        <v>0</v>
      </c>
      <c r="S60" s="229">
        <v>0</v>
      </c>
      <c r="T60" s="229">
        <v>0</v>
      </c>
      <c r="U60" s="229">
        <v>0</v>
      </c>
      <c r="V60" s="229">
        <v>0</v>
      </c>
      <c r="W60" s="229">
        <v>0</v>
      </c>
      <c r="X60" s="229">
        <v>0</v>
      </c>
      <c r="Y60" s="229">
        <v>0</v>
      </c>
      <c r="Z60" s="229">
        <v>0</v>
      </c>
      <c r="AA60" s="229">
        <v>0</v>
      </c>
      <c r="AB60" s="229">
        <v>0</v>
      </c>
      <c r="AC60" s="229">
        <v>0</v>
      </c>
      <c r="AD60" s="229">
        <v>0</v>
      </c>
      <c r="AE60" s="229">
        <v>0</v>
      </c>
      <c r="AF60" s="229">
        <v>0</v>
      </c>
      <c r="AG60" s="229">
        <v>0</v>
      </c>
      <c r="AH60" s="229">
        <v>0</v>
      </c>
      <c r="AI60" s="229">
        <v>0</v>
      </c>
      <c r="AJ60" s="229">
        <v>0</v>
      </c>
      <c r="AK60" s="229">
        <v>0</v>
      </c>
      <c r="AL60" s="229">
        <v>0</v>
      </c>
      <c r="AM60" s="383">
        <f t="shared" si="9"/>
        <v>0</v>
      </c>
    </row>
    <row r="61" spans="1:39" x14ac:dyDescent="0.2">
      <c r="A61" s="8"/>
      <c r="B61" s="39" t="s">
        <v>95</v>
      </c>
      <c r="C61" s="38" t="s">
        <v>87</v>
      </c>
      <c r="D61" s="19" t="s">
        <v>1120</v>
      </c>
      <c r="E61" s="27"/>
      <c r="F61" s="229">
        <v>0</v>
      </c>
      <c r="G61" s="229">
        <v>0</v>
      </c>
      <c r="H61" s="229">
        <v>0</v>
      </c>
      <c r="I61" s="229">
        <v>0</v>
      </c>
      <c r="J61" s="229">
        <v>0</v>
      </c>
      <c r="K61" s="229">
        <v>0</v>
      </c>
      <c r="L61" s="229">
        <v>0</v>
      </c>
      <c r="M61" s="229">
        <v>0</v>
      </c>
      <c r="N61" s="229">
        <v>0</v>
      </c>
      <c r="O61" s="229">
        <v>0</v>
      </c>
      <c r="P61" s="229">
        <v>0</v>
      </c>
      <c r="Q61" s="229">
        <v>0</v>
      </c>
      <c r="R61" s="229">
        <v>0</v>
      </c>
      <c r="S61" s="229">
        <v>0</v>
      </c>
      <c r="T61" s="229">
        <v>0</v>
      </c>
      <c r="U61" s="229">
        <v>0</v>
      </c>
      <c r="V61" s="229">
        <v>0</v>
      </c>
      <c r="W61" s="229">
        <v>0</v>
      </c>
      <c r="X61" s="229">
        <v>0</v>
      </c>
      <c r="Y61" s="229">
        <v>0</v>
      </c>
      <c r="Z61" s="229">
        <v>0</v>
      </c>
      <c r="AA61" s="229">
        <v>0</v>
      </c>
      <c r="AB61" s="229">
        <v>0</v>
      </c>
      <c r="AC61" s="229">
        <v>0</v>
      </c>
      <c r="AD61" s="229">
        <v>0</v>
      </c>
      <c r="AE61" s="229">
        <v>0</v>
      </c>
      <c r="AF61" s="229">
        <v>0</v>
      </c>
      <c r="AG61" s="229">
        <v>0</v>
      </c>
      <c r="AH61" s="229">
        <v>0</v>
      </c>
      <c r="AI61" s="229">
        <v>0</v>
      </c>
      <c r="AJ61" s="229">
        <v>0</v>
      </c>
      <c r="AK61" s="229">
        <v>0</v>
      </c>
      <c r="AL61" s="229">
        <v>0</v>
      </c>
      <c r="AM61" s="383">
        <f t="shared" si="9"/>
        <v>0</v>
      </c>
    </row>
    <row r="62" spans="1:39" x14ac:dyDescent="0.2">
      <c r="A62" s="8"/>
      <c r="B62" s="39" t="s">
        <v>96</v>
      </c>
      <c r="C62" s="38" t="s">
        <v>87</v>
      </c>
      <c r="D62" s="19" t="s">
        <v>1120</v>
      </c>
      <c r="E62" s="27"/>
      <c r="F62" s="229">
        <v>0</v>
      </c>
      <c r="G62" s="229">
        <v>0</v>
      </c>
      <c r="H62" s="229">
        <v>0</v>
      </c>
      <c r="I62" s="229">
        <v>0</v>
      </c>
      <c r="J62" s="229">
        <v>0</v>
      </c>
      <c r="K62" s="229">
        <v>0</v>
      </c>
      <c r="L62" s="229">
        <v>0</v>
      </c>
      <c r="M62" s="229">
        <v>0</v>
      </c>
      <c r="N62" s="229">
        <v>0</v>
      </c>
      <c r="O62" s="229">
        <v>0</v>
      </c>
      <c r="P62" s="229">
        <v>0</v>
      </c>
      <c r="Q62" s="229">
        <v>0</v>
      </c>
      <c r="R62" s="229">
        <v>0</v>
      </c>
      <c r="S62" s="229">
        <v>0</v>
      </c>
      <c r="T62" s="229">
        <v>0</v>
      </c>
      <c r="U62" s="229">
        <v>0</v>
      </c>
      <c r="V62" s="229">
        <v>0</v>
      </c>
      <c r="W62" s="229">
        <v>0</v>
      </c>
      <c r="X62" s="229">
        <v>0</v>
      </c>
      <c r="Y62" s="229">
        <v>0</v>
      </c>
      <c r="Z62" s="229">
        <v>0</v>
      </c>
      <c r="AA62" s="229">
        <v>0</v>
      </c>
      <c r="AB62" s="229">
        <v>0</v>
      </c>
      <c r="AC62" s="229">
        <v>0</v>
      </c>
      <c r="AD62" s="229">
        <v>0</v>
      </c>
      <c r="AE62" s="229">
        <v>0</v>
      </c>
      <c r="AF62" s="229">
        <v>0</v>
      </c>
      <c r="AG62" s="229">
        <v>0</v>
      </c>
      <c r="AH62" s="229">
        <v>0</v>
      </c>
      <c r="AI62" s="229">
        <v>0</v>
      </c>
      <c r="AJ62" s="229">
        <v>0</v>
      </c>
      <c r="AK62" s="229">
        <v>0</v>
      </c>
      <c r="AL62" s="229">
        <v>0</v>
      </c>
      <c r="AM62" s="383">
        <f t="shared" si="9"/>
        <v>0</v>
      </c>
    </row>
    <row r="63" spans="1:39" x14ac:dyDescent="0.2">
      <c r="A63" s="8"/>
      <c r="B63" s="39" t="s">
        <v>97</v>
      </c>
      <c r="C63" s="38" t="s">
        <v>87</v>
      </c>
      <c r="D63" s="19" t="s">
        <v>1120</v>
      </c>
      <c r="E63" s="27"/>
      <c r="F63" s="229">
        <v>2.7E-2</v>
      </c>
      <c r="G63" s="229">
        <v>2.7E-2</v>
      </c>
      <c r="H63" s="229">
        <v>2.7E-2</v>
      </c>
      <c r="I63" s="229">
        <v>2.7E-2</v>
      </c>
      <c r="J63" s="229">
        <v>2.7E-2</v>
      </c>
      <c r="K63" s="229">
        <v>2.7E-2</v>
      </c>
      <c r="L63" s="229">
        <v>2.7E-2</v>
      </c>
      <c r="M63" s="229">
        <v>2.7E-2</v>
      </c>
      <c r="N63" s="229">
        <v>2.7E-2</v>
      </c>
      <c r="O63" s="229">
        <v>2.7E-2</v>
      </c>
      <c r="P63" s="229">
        <v>2.7E-2</v>
      </c>
      <c r="Q63" s="229">
        <v>2.7E-2</v>
      </c>
      <c r="R63" s="229">
        <v>2.7E-2</v>
      </c>
      <c r="S63" s="229">
        <v>2.7E-2</v>
      </c>
      <c r="T63" s="229">
        <v>2.7E-2</v>
      </c>
      <c r="U63" s="229">
        <v>2.7E-2</v>
      </c>
      <c r="V63" s="229">
        <v>2.7E-2</v>
      </c>
      <c r="W63" s="229">
        <v>2.7E-2</v>
      </c>
      <c r="X63" s="229">
        <v>2.7E-2</v>
      </c>
      <c r="Y63" s="229">
        <v>2.7E-2</v>
      </c>
      <c r="Z63" s="229">
        <v>2.7E-2</v>
      </c>
      <c r="AA63" s="229">
        <v>2.7E-2</v>
      </c>
      <c r="AB63" s="229">
        <v>2.7E-2</v>
      </c>
      <c r="AC63" s="229">
        <v>2.7E-2</v>
      </c>
      <c r="AD63" s="229">
        <v>2.7E-2</v>
      </c>
      <c r="AE63" s="229">
        <v>2.7E-2</v>
      </c>
      <c r="AF63" s="229">
        <v>2.7E-2</v>
      </c>
      <c r="AG63" s="229">
        <v>2.7E-2</v>
      </c>
      <c r="AH63" s="229">
        <v>2.7E-2</v>
      </c>
      <c r="AI63" s="229">
        <v>2.7E-2</v>
      </c>
      <c r="AJ63" s="229">
        <v>2.7E-2</v>
      </c>
      <c r="AK63" s="229">
        <v>2.7E-2</v>
      </c>
      <c r="AL63" s="229">
        <v>2.7E-2</v>
      </c>
      <c r="AM63" s="383">
        <f t="shared" si="9"/>
        <v>2.7000000000000017E-2</v>
      </c>
    </row>
    <row r="64" spans="1:39" x14ac:dyDescent="0.2">
      <c r="A64" s="8"/>
      <c r="B64" s="39" t="s">
        <v>98</v>
      </c>
      <c r="C64" s="38" t="s">
        <v>87</v>
      </c>
      <c r="D64" s="19" t="s">
        <v>1120</v>
      </c>
      <c r="E64" s="27"/>
      <c r="F64" s="229">
        <v>2.7E-2</v>
      </c>
      <c r="G64" s="229">
        <v>2.7E-2</v>
      </c>
      <c r="H64" s="229">
        <v>2.7E-2</v>
      </c>
      <c r="I64" s="229">
        <v>2.7E-2</v>
      </c>
      <c r="J64" s="229">
        <v>2.7E-2</v>
      </c>
      <c r="K64" s="229">
        <v>2.7E-2</v>
      </c>
      <c r="L64" s="229">
        <v>2.7E-2</v>
      </c>
      <c r="M64" s="229">
        <v>2.7E-2</v>
      </c>
      <c r="N64" s="229">
        <v>2.7E-2</v>
      </c>
      <c r="O64" s="229">
        <v>2.7E-2</v>
      </c>
      <c r="P64" s="229">
        <v>2.7E-2</v>
      </c>
      <c r="Q64" s="229">
        <v>2.7E-2</v>
      </c>
      <c r="R64" s="229">
        <v>2.7E-2</v>
      </c>
      <c r="S64" s="229">
        <v>2.7E-2</v>
      </c>
      <c r="T64" s="229">
        <v>2.7E-2</v>
      </c>
      <c r="U64" s="229">
        <v>2.7E-2</v>
      </c>
      <c r="V64" s="229">
        <v>2.7E-2</v>
      </c>
      <c r="W64" s="229">
        <v>2.7E-2</v>
      </c>
      <c r="X64" s="229">
        <v>2.7E-2</v>
      </c>
      <c r="Y64" s="229">
        <v>2.7E-2</v>
      </c>
      <c r="Z64" s="229">
        <v>2.7E-2</v>
      </c>
      <c r="AA64" s="229">
        <v>2.7E-2</v>
      </c>
      <c r="AB64" s="229">
        <v>2.7E-2</v>
      </c>
      <c r="AC64" s="229">
        <v>2.7E-2</v>
      </c>
      <c r="AD64" s="229">
        <v>2.7E-2</v>
      </c>
      <c r="AE64" s="229">
        <v>2.7E-2</v>
      </c>
      <c r="AF64" s="229">
        <v>2.7E-2</v>
      </c>
      <c r="AG64" s="229">
        <v>2.7E-2</v>
      </c>
      <c r="AH64" s="229">
        <v>2.7E-2</v>
      </c>
      <c r="AI64" s="229">
        <v>2.7E-2</v>
      </c>
      <c r="AJ64" s="229">
        <v>2.7E-2</v>
      </c>
      <c r="AK64" s="229">
        <v>2.7E-2</v>
      </c>
      <c r="AL64" s="229">
        <v>2.7E-2</v>
      </c>
      <c r="AM64" s="383">
        <f t="shared" si="9"/>
        <v>2.7000000000000017E-2</v>
      </c>
    </row>
    <row r="65" spans="1:39" x14ac:dyDescent="0.2">
      <c r="A65" s="8"/>
      <c r="B65" s="39" t="s">
        <v>99</v>
      </c>
      <c r="C65" s="38" t="s">
        <v>87</v>
      </c>
      <c r="D65" s="19" t="s">
        <v>1120</v>
      </c>
      <c r="E65" s="27"/>
      <c r="F65" s="229">
        <v>2.7E-2</v>
      </c>
      <c r="G65" s="229">
        <v>2.7E-2</v>
      </c>
      <c r="H65" s="229">
        <v>2.7E-2</v>
      </c>
      <c r="I65" s="229">
        <v>2.7E-2</v>
      </c>
      <c r="J65" s="229">
        <v>2.7E-2</v>
      </c>
      <c r="K65" s="229">
        <v>2.7E-2</v>
      </c>
      <c r="L65" s="229">
        <v>2.7E-2</v>
      </c>
      <c r="M65" s="229">
        <v>2.7E-2</v>
      </c>
      <c r="N65" s="229">
        <v>2.7E-2</v>
      </c>
      <c r="O65" s="229">
        <v>2.7E-2</v>
      </c>
      <c r="P65" s="229">
        <v>2.7E-2</v>
      </c>
      <c r="Q65" s="229">
        <v>2.7E-2</v>
      </c>
      <c r="R65" s="229">
        <v>2.7E-2</v>
      </c>
      <c r="S65" s="229">
        <v>2.7E-2</v>
      </c>
      <c r="T65" s="229">
        <v>2.7E-2</v>
      </c>
      <c r="U65" s="229">
        <v>2.7E-2</v>
      </c>
      <c r="V65" s="229">
        <v>2.7E-2</v>
      </c>
      <c r="W65" s="229">
        <v>2.7E-2</v>
      </c>
      <c r="X65" s="229">
        <v>2.7E-2</v>
      </c>
      <c r="Y65" s="229">
        <v>2.7E-2</v>
      </c>
      <c r="Z65" s="229">
        <v>2.7E-2</v>
      </c>
      <c r="AA65" s="229">
        <v>2.7E-2</v>
      </c>
      <c r="AB65" s="229">
        <v>2.7E-2</v>
      </c>
      <c r="AC65" s="229">
        <v>2.7E-2</v>
      </c>
      <c r="AD65" s="229">
        <v>2.7E-2</v>
      </c>
      <c r="AE65" s="229">
        <v>2.7E-2</v>
      </c>
      <c r="AF65" s="229">
        <v>2.7E-2</v>
      </c>
      <c r="AG65" s="229">
        <v>2.7E-2</v>
      </c>
      <c r="AH65" s="229">
        <v>2.7E-2</v>
      </c>
      <c r="AI65" s="229">
        <v>2.7E-2</v>
      </c>
      <c r="AJ65" s="229">
        <v>2.7E-2</v>
      </c>
      <c r="AK65" s="229">
        <v>2.7E-2</v>
      </c>
      <c r="AL65" s="229">
        <v>2.7E-2</v>
      </c>
      <c r="AM65" s="383">
        <f t="shared" si="9"/>
        <v>2.7000000000000017E-2</v>
      </c>
    </row>
    <row r="66" spans="1:39" x14ac:dyDescent="0.2">
      <c r="A66" s="8"/>
      <c r="B66" s="39" t="s">
        <v>100</v>
      </c>
      <c r="C66" s="38" t="s">
        <v>87</v>
      </c>
      <c r="D66" s="19" t="s">
        <v>1120</v>
      </c>
      <c r="E66" s="27"/>
      <c r="F66" s="229">
        <v>2.7E-2</v>
      </c>
      <c r="G66" s="229">
        <v>2.7E-2</v>
      </c>
      <c r="H66" s="229">
        <v>2.7E-2</v>
      </c>
      <c r="I66" s="229">
        <v>2.7E-2</v>
      </c>
      <c r="J66" s="229">
        <v>2.7E-2</v>
      </c>
      <c r="K66" s="229">
        <v>2.7E-2</v>
      </c>
      <c r="L66" s="229">
        <v>2.7E-2</v>
      </c>
      <c r="M66" s="229">
        <v>2.7E-2</v>
      </c>
      <c r="N66" s="229">
        <v>2.7E-2</v>
      </c>
      <c r="O66" s="229">
        <v>2.7E-2</v>
      </c>
      <c r="P66" s="229">
        <v>2.7E-2</v>
      </c>
      <c r="Q66" s="229">
        <v>2.7E-2</v>
      </c>
      <c r="R66" s="229">
        <v>2.7E-2</v>
      </c>
      <c r="S66" s="229">
        <v>2.7E-2</v>
      </c>
      <c r="T66" s="229">
        <v>2.7E-2</v>
      </c>
      <c r="U66" s="229">
        <v>2.7E-2</v>
      </c>
      <c r="V66" s="229">
        <v>2.7E-2</v>
      </c>
      <c r="W66" s="229">
        <v>2.7E-2</v>
      </c>
      <c r="X66" s="229">
        <v>2.7E-2</v>
      </c>
      <c r="Y66" s="229">
        <v>2.7E-2</v>
      </c>
      <c r="Z66" s="229">
        <v>2.7E-2</v>
      </c>
      <c r="AA66" s="229">
        <v>2.7E-2</v>
      </c>
      <c r="AB66" s="229">
        <v>2.7E-2</v>
      </c>
      <c r="AC66" s="229">
        <v>2.7E-2</v>
      </c>
      <c r="AD66" s="229">
        <v>2.7E-2</v>
      </c>
      <c r="AE66" s="229">
        <v>2.7E-2</v>
      </c>
      <c r="AF66" s="229">
        <v>2.7E-2</v>
      </c>
      <c r="AG66" s="229">
        <v>2.7E-2</v>
      </c>
      <c r="AH66" s="229">
        <v>2.7E-2</v>
      </c>
      <c r="AI66" s="229">
        <v>2.7E-2</v>
      </c>
      <c r="AJ66" s="229">
        <v>2.7E-2</v>
      </c>
      <c r="AK66" s="229">
        <v>2.7E-2</v>
      </c>
      <c r="AL66" s="229">
        <v>2.7E-2</v>
      </c>
      <c r="AM66" s="383">
        <f t="shared" si="9"/>
        <v>2.7000000000000017E-2</v>
      </c>
    </row>
    <row r="67" spans="1:39" x14ac:dyDescent="0.2">
      <c r="A67" s="8"/>
      <c r="B67" s="39" t="s">
        <v>101</v>
      </c>
      <c r="C67" s="38" t="s">
        <v>87</v>
      </c>
      <c r="D67" s="19" t="s">
        <v>1120</v>
      </c>
      <c r="E67" s="27"/>
      <c r="F67" s="229">
        <v>2.7E-2</v>
      </c>
      <c r="G67" s="229">
        <v>2.7E-2</v>
      </c>
      <c r="H67" s="229">
        <v>2.7E-2</v>
      </c>
      <c r="I67" s="229">
        <v>2.7E-2</v>
      </c>
      <c r="J67" s="229">
        <v>2.7E-2</v>
      </c>
      <c r="K67" s="229">
        <v>2.7E-2</v>
      </c>
      <c r="L67" s="229">
        <v>2.7E-2</v>
      </c>
      <c r="M67" s="229">
        <v>2.7E-2</v>
      </c>
      <c r="N67" s="229">
        <v>2.7E-2</v>
      </c>
      <c r="O67" s="229">
        <v>2.7E-2</v>
      </c>
      <c r="P67" s="229">
        <v>2.7E-2</v>
      </c>
      <c r="Q67" s="229">
        <v>2.7E-2</v>
      </c>
      <c r="R67" s="229">
        <v>2.7E-2</v>
      </c>
      <c r="S67" s="229">
        <v>2.7E-2</v>
      </c>
      <c r="T67" s="229">
        <v>2.7E-2</v>
      </c>
      <c r="U67" s="229">
        <v>2.7E-2</v>
      </c>
      <c r="V67" s="229">
        <v>2.7E-2</v>
      </c>
      <c r="W67" s="229">
        <v>2.7E-2</v>
      </c>
      <c r="X67" s="229">
        <v>2.7E-2</v>
      </c>
      <c r="Y67" s="229">
        <v>2.7E-2</v>
      </c>
      <c r="Z67" s="229">
        <v>2.7E-2</v>
      </c>
      <c r="AA67" s="229">
        <v>2.7E-2</v>
      </c>
      <c r="AB67" s="229">
        <v>2.7E-2</v>
      </c>
      <c r="AC67" s="229">
        <v>2.7E-2</v>
      </c>
      <c r="AD67" s="229">
        <v>2.7E-2</v>
      </c>
      <c r="AE67" s="229">
        <v>2.7E-2</v>
      </c>
      <c r="AF67" s="229">
        <v>2.7E-2</v>
      </c>
      <c r="AG67" s="229">
        <v>2.7E-2</v>
      </c>
      <c r="AH67" s="229">
        <v>2.7E-2</v>
      </c>
      <c r="AI67" s="229">
        <v>2.7E-2</v>
      </c>
      <c r="AJ67" s="229">
        <v>2.7E-2</v>
      </c>
      <c r="AK67" s="229">
        <v>2.7E-2</v>
      </c>
      <c r="AL67" s="229">
        <v>2.7E-2</v>
      </c>
      <c r="AM67" s="383">
        <f t="shared" si="9"/>
        <v>2.7000000000000017E-2</v>
      </c>
    </row>
    <row r="68" spans="1:39" x14ac:dyDescent="0.2">
      <c r="A68" s="8"/>
      <c r="B68" s="39" t="s">
        <v>102</v>
      </c>
      <c r="C68" s="38" t="s">
        <v>87</v>
      </c>
      <c r="D68" s="19" t="s">
        <v>1120</v>
      </c>
      <c r="E68" s="27"/>
      <c r="F68" s="229">
        <v>5.6000000000000001E-2</v>
      </c>
      <c r="G68" s="229">
        <v>5.6000000000000001E-2</v>
      </c>
      <c r="H68" s="229">
        <v>5.6000000000000001E-2</v>
      </c>
      <c r="I68" s="229">
        <v>5.6000000000000001E-2</v>
      </c>
      <c r="J68" s="229">
        <v>5.6000000000000001E-2</v>
      </c>
      <c r="K68" s="229">
        <v>5.6000000000000001E-2</v>
      </c>
      <c r="L68" s="229">
        <v>5.6000000000000001E-2</v>
      </c>
      <c r="M68" s="229">
        <v>5.6000000000000001E-2</v>
      </c>
      <c r="N68" s="229">
        <v>5.6000000000000001E-2</v>
      </c>
      <c r="O68" s="229">
        <v>5.6000000000000001E-2</v>
      </c>
      <c r="P68" s="229">
        <v>5.6000000000000001E-2</v>
      </c>
      <c r="Q68" s="229">
        <v>5.6000000000000001E-2</v>
      </c>
      <c r="R68" s="229">
        <v>5.6000000000000001E-2</v>
      </c>
      <c r="S68" s="229">
        <v>5.6000000000000001E-2</v>
      </c>
      <c r="T68" s="229">
        <v>5.6000000000000001E-2</v>
      </c>
      <c r="U68" s="229">
        <v>5.6000000000000001E-2</v>
      </c>
      <c r="V68" s="229">
        <v>5.6000000000000001E-2</v>
      </c>
      <c r="W68" s="229">
        <v>5.6000000000000001E-2</v>
      </c>
      <c r="X68" s="229">
        <v>5.6000000000000001E-2</v>
      </c>
      <c r="Y68" s="229">
        <v>5.6000000000000001E-2</v>
      </c>
      <c r="Z68" s="229">
        <v>5.6000000000000001E-2</v>
      </c>
      <c r="AA68" s="229">
        <v>5.6000000000000001E-2</v>
      </c>
      <c r="AB68" s="229">
        <v>5.6000000000000001E-2</v>
      </c>
      <c r="AC68" s="229">
        <v>5.6000000000000001E-2</v>
      </c>
      <c r="AD68" s="229">
        <v>5.6000000000000001E-2</v>
      </c>
      <c r="AE68" s="229">
        <v>5.6000000000000001E-2</v>
      </c>
      <c r="AF68" s="229">
        <v>5.6000000000000001E-2</v>
      </c>
      <c r="AG68" s="229">
        <v>5.6000000000000001E-2</v>
      </c>
      <c r="AH68" s="229">
        <v>5.6000000000000001E-2</v>
      </c>
      <c r="AI68" s="229">
        <v>5.6000000000000001E-2</v>
      </c>
      <c r="AJ68" s="229">
        <v>5.6000000000000001E-2</v>
      </c>
      <c r="AK68" s="229">
        <v>5.6000000000000001E-2</v>
      </c>
      <c r="AL68" s="229">
        <v>5.6000000000000001E-2</v>
      </c>
      <c r="AM68" s="383">
        <f t="shared" si="9"/>
        <v>5.6000000000000036E-2</v>
      </c>
    </row>
    <row r="69" spans="1:39" x14ac:dyDescent="0.2">
      <c r="A69" s="8"/>
      <c r="B69" s="39" t="s">
        <v>103</v>
      </c>
      <c r="C69" s="38" t="s">
        <v>87</v>
      </c>
      <c r="D69" s="19" t="s">
        <v>1120</v>
      </c>
      <c r="E69" s="27"/>
      <c r="F69" s="229">
        <v>5.6000000000000001E-2</v>
      </c>
      <c r="G69" s="229">
        <v>5.6000000000000001E-2</v>
      </c>
      <c r="H69" s="229">
        <v>5.6000000000000001E-2</v>
      </c>
      <c r="I69" s="229">
        <v>5.6000000000000001E-2</v>
      </c>
      <c r="J69" s="229">
        <v>5.6000000000000001E-2</v>
      </c>
      <c r="K69" s="229">
        <v>5.6000000000000001E-2</v>
      </c>
      <c r="L69" s="229">
        <v>5.6000000000000001E-2</v>
      </c>
      <c r="M69" s="229">
        <v>5.6000000000000001E-2</v>
      </c>
      <c r="N69" s="229">
        <v>5.6000000000000001E-2</v>
      </c>
      <c r="O69" s="229">
        <v>5.6000000000000001E-2</v>
      </c>
      <c r="P69" s="229">
        <v>5.6000000000000001E-2</v>
      </c>
      <c r="Q69" s="229">
        <v>5.6000000000000001E-2</v>
      </c>
      <c r="R69" s="229">
        <v>5.6000000000000001E-2</v>
      </c>
      <c r="S69" s="229">
        <v>5.6000000000000001E-2</v>
      </c>
      <c r="T69" s="229">
        <v>5.6000000000000001E-2</v>
      </c>
      <c r="U69" s="229">
        <v>5.6000000000000001E-2</v>
      </c>
      <c r="V69" s="229">
        <v>5.6000000000000001E-2</v>
      </c>
      <c r="W69" s="229">
        <v>5.6000000000000001E-2</v>
      </c>
      <c r="X69" s="229">
        <v>5.6000000000000001E-2</v>
      </c>
      <c r="Y69" s="229">
        <v>5.6000000000000001E-2</v>
      </c>
      <c r="Z69" s="229">
        <v>5.6000000000000001E-2</v>
      </c>
      <c r="AA69" s="229">
        <v>5.6000000000000001E-2</v>
      </c>
      <c r="AB69" s="229">
        <v>5.6000000000000001E-2</v>
      </c>
      <c r="AC69" s="229">
        <v>5.6000000000000001E-2</v>
      </c>
      <c r="AD69" s="229">
        <v>5.6000000000000001E-2</v>
      </c>
      <c r="AE69" s="229">
        <v>5.6000000000000001E-2</v>
      </c>
      <c r="AF69" s="229">
        <v>5.6000000000000001E-2</v>
      </c>
      <c r="AG69" s="229">
        <v>5.6000000000000001E-2</v>
      </c>
      <c r="AH69" s="229">
        <v>5.6000000000000001E-2</v>
      </c>
      <c r="AI69" s="229">
        <v>5.6000000000000001E-2</v>
      </c>
      <c r="AJ69" s="229">
        <v>5.6000000000000001E-2</v>
      </c>
      <c r="AK69" s="229">
        <v>5.6000000000000001E-2</v>
      </c>
      <c r="AL69" s="229">
        <v>5.6000000000000001E-2</v>
      </c>
      <c r="AM69" s="383">
        <f t="shared" si="9"/>
        <v>5.6000000000000036E-2</v>
      </c>
    </row>
    <row r="70" spans="1:39" x14ac:dyDescent="0.2">
      <c r="A70" s="8"/>
      <c r="B70" s="39" t="s">
        <v>104</v>
      </c>
      <c r="C70" s="38" t="s">
        <v>87</v>
      </c>
      <c r="D70" s="19" t="s">
        <v>1120</v>
      </c>
      <c r="E70" s="27"/>
      <c r="F70" s="229">
        <v>5.6000000000000001E-2</v>
      </c>
      <c r="G70" s="229">
        <v>5.6000000000000001E-2</v>
      </c>
      <c r="H70" s="229">
        <v>5.6000000000000001E-2</v>
      </c>
      <c r="I70" s="229">
        <v>5.6000000000000001E-2</v>
      </c>
      <c r="J70" s="229">
        <v>5.6000000000000001E-2</v>
      </c>
      <c r="K70" s="229">
        <v>5.6000000000000001E-2</v>
      </c>
      <c r="L70" s="229">
        <v>5.6000000000000001E-2</v>
      </c>
      <c r="M70" s="229">
        <v>5.6000000000000001E-2</v>
      </c>
      <c r="N70" s="229">
        <v>5.6000000000000001E-2</v>
      </c>
      <c r="O70" s="229">
        <v>5.6000000000000001E-2</v>
      </c>
      <c r="P70" s="229">
        <v>5.6000000000000001E-2</v>
      </c>
      <c r="Q70" s="229">
        <v>5.6000000000000001E-2</v>
      </c>
      <c r="R70" s="229">
        <v>5.6000000000000001E-2</v>
      </c>
      <c r="S70" s="229">
        <v>5.6000000000000001E-2</v>
      </c>
      <c r="T70" s="229">
        <v>5.6000000000000001E-2</v>
      </c>
      <c r="U70" s="229">
        <v>5.6000000000000001E-2</v>
      </c>
      <c r="V70" s="229">
        <v>5.6000000000000001E-2</v>
      </c>
      <c r="W70" s="229">
        <v>5.6000000000000001E-2</v>
      </c>
      <c r="X70" s="229">
        <v>5.6000000000000001E-2</v>
      </c>
      <c r="Y70" s="229">
        <v>5.6000000000000001E-2</v>
      </c>
      <c r="Z70" s="229">
        <v>5.6000000000000001E-2</v>
      </c>
      <c r="AA70" s="229">
        <v>5.6000000000000001E-2</v>
      </c>
      <c r="AB70" s="229">
        <v>5.6000000000000001E-2</v>
      </c>
      <c r="AC70" s="229">
        <v>5.6000000000000001E-2</v>
      </c>
      <c r="AD70" s="229">
        <v>5.6000000000000001E-2</v>
      </c>
      <c r="AE70" s="229">
        <v>5.6000000000000001E-2</v>
      </c>
      <c r="AF70" s="229">
        <v>5.6000000000000001E-2</v>
      </c>
      <c r="AG70" s="229">
        <v>5.6000000000000001E-2</v>
      </c>
      <c r="AH70" s="229">
        <v>5.6000000000000001E-2</v>
      </c>
      <c r="AI70" s="229">
        <v>5.6000000000000001E-2</v>
      </c>
      <c r="AJ70" s="229">
        <v>5.6000000000000001E-2</v>
      </c>
      <c r="AK70" s="229">
        <v>5.6000000000000001E-2</v>
      </c>
      <c r="AL70" s="229">
        <v>5.6000000000000001E-2</v>
      </c>
      <c r="AM70" s="383">
        <f t="shared" si="9"/>
        <v>5.6000000000000036E-2</v>
      </c>
    </row>
    <row r="71" spans="1:39" x14ac:dyDescent="0.2">
      <c r="A71" s="8"/>
      <c r="B71" s="39" t="s">
        <v>105</v>
      </c>
      <c r="C71" s="38" t="s">
        <v>87</v>
      </c>
      <c r="D71" s="19" t="s">
        <v>1120</v>
      </c>
      <c r="E71" s="27"/>
      <c r="F71" s="229">
        <v>2.7E-2</v>
      </c>
      <c r="G71" s="229">
        <v>2.7E-2</v>
      </c>
      <c r="H71" s="229">
        <v>2.7E-2</v>
      </c>
      <c r="I71" s="229">
        <v>2.7E-2</v>
      </c>
      <c r="J71" s="229">
        <v>2.7E-2</v>
      </c>
      <c r="K71" s="229">
        <v>2.7E-2</v>
      </c>
      <c r="L71" s="229">
        <v>2.7E-2</v>
      </c>
      <c r="M71" s="229">
        <v>2.7E-2</v>
      </c>
      <c r="N71" s="229">
        <v>2.7E-2</v>
      </c>
      <c r="O71" s="229">
        <v>2.7E-2</v>
      </c>
      <c r="P71" s="229">
        <v>2.7E-2</v>
      </c>
      <c r="Q71" s="229">
        <v>2.7E-2</v>
      </c>
      <c r="R71" s="229">
        <v>2.7E-2</v>
      </c>
      <c r="S71" s="229">
        <v>2.7E-2</v>
      </c>
      <c r="T71" s="229">
        <v>2.7E-2</v>
      </c>
      <c r="U71" s="229">
        <v>2.7E-2</v>
      </c>
      <c r="V71" s="229">
        <v>2.7E-2</v>
      </c>
      <c r="W71" s="229">
        <v>2.7E-2</v>
      </c>
      <c r="X71" s="229">
        <v>2.7E-2</v>
      </c>
      <c r="Y71" s="229">
        <v>2.7E-2</v>
      </c>
      <c r="Z71" s="229">
        <v>2.7E-2</v>
      </c>
      <c r="AA71" s="229">
        <v>2.7E-2</v>
      </c>
      <c r="AB71" s="229">
        <v>2.7E-2</v>
      </c>
      <c r="AC71" s="229">
        <v>2.7E-2</v>
      </c>
      <c r="AD71" s="229">
        <v>2.7E-2</v>
      </c>
      <c r="AE71" s="229">
        <v>2.7E-2</v>
      </c>
      <c r="AF71" s="229">
        <v>2.7E-2</v>
      </c>
      <c r="AG71" s="229">
        <v>2.7E-2</v>
      </c>
      <c r="AH71" s="229">
        <v>2.7E-2</v>
      </c>
      <c r="AI71" s="229">
        <v>2.7E-2</v>
      </c>
      <c r="AJ71" s="229">
        <v>2.7E-2</v>
      </c>
      <c r="AK71" s="229">
        <v>2.7E-2</v>
      </c>
      <c r="AL71" s="229">
        <v>2.7E-2</v>
      </c>
      <c r="AM71" s="383">
        <f t="shared" si="9"/>
        <v>2.7000000000000017E-2</v>
      </c>
    </row>
    <row r="72" spans="1:39" x14ac:dyDescent="0.2">
      <c r="A72" s="8"/>
      <c r="B72" s="39" t="s">
        <v>106</v>
      </c>
      <c r="C72" s="38" t="s">
        <v>87</v>
      </c>
      <c r="D72" s="19" t="s">
        <v>1120</v>
      </c>
      <c r="E72" s="27"/>
      <c r="F72" s="229">
        <v>2.7E-2</v>
      </c>
      <c r="G72" s="229">
        <v>2.7E-2</v>
      </c>
      <c r="H72" s="229">
        <v>2.7E-2</v>
      </c>
      <c r="I72" s="229">
        <v>2.7E-2</v>
      </c>
      <c r="J72" s="229">
        <v>2.7E-2</v>
      </c>
      <c r="K72" s="229">
        <v>2.7E-2</v>
      </c>
      <c r="L72" s="229">
        <v>2.7E-2</v>
      </c>
      <c r="M72" s="229">
        <v>2.7E-2</v>
      </c>
      <c r="N72" s="229">
        <v>2.7E-2</v>
      </c>
      <c r="O72" s="229">
        <v>2.7E-2</v>
      </c>
      <c r="P72" s="229">
        <v>2.7E-2</v>
      </c>
      <c r="Q72" s="229">
        <v>2.7E-2</v>
      </c>
      <c r="R72" s="229">
        <v>2.7E-2</v>
      </c>
      <c r="S72" s="229">
        <v>2.7E-2</v>
      </c>
      <c r="T72" s="229">
        <v>2.7E-2</v>
      </c>
      <c r="U72" s="229">
        <v>2.7E-2</v>
      </c>
      <c r="V72" s="229">
        <v>2.7E-2</v>
      </c>
      <c r="W72" s="229">
        <v>2.7E-2</v>
      </c>
      <c r="X72" s="229">
        <v>2.7E-2</v>
      </c>
      <c r="Y72" s="229">
        <v>2.7E-2</v>
      </c>
      <c r="Z72" s="229">
        <v>2.7E-2</v>
      </c>
      <c r="AA72" s="229">
        <v>2.7E-2</v>
      </c>
      <c r="AB72" s="229">
        <v>2.7E-2</v>
      </c>
      <c r="AC72" s="229">
        <v>2.7E-2</v>
      </c>
      <c r="AD72" s="229">
        <v>2.7E-2</v>
      </c>
      <c r="AE72" s="229">
        <v>2.7E-2</v>
      </c>
      <c r="AF72" s="229">
        <v>2.7E-2</v>
      </c>
      <c r="AG72" s="229">
        <v>2.7E-2</v>
      </c>
      <c r="AH72" s="229">
        <v>2.7E-2</v>
      </c>
      <c r="AI72" s="229">
        <v>2.7E-2</v>
      </c>
      <c r="AJ72" s="229">
        <v>2.7E-2</v>
      </c>
      <c r="AK72" s="229">
        <v>2.7E-2</v>
      </c>
      <c r="AL72" s="229">
        <v>2.7E-2</v>
      </c>
      <c r="AM72" s="383">
        <f t="shared" si="9"/>
        <v>2.7000000000000017E-2</v>
      </c>
    </row>
    <row r="73" spans="1:39" x14ac:dyDescent="0.2">
      <c r="A73" s="8"/>
      <c r="B73" s="39" t="s">
        <v>107</v>
      </c>
      <c r="C73" s="38" t="s">
        <v>87</v>
      </c>
      <c r="D73" s="19" t="s">
        <v>1120</v>
      </c>
      <c r="E73" s="27"/>
      <c r="F73" s="229">
        <v>2.7E-2</v>
      </c>
      <c r="G73" s="229">
        <v>2.7E-2</v>
      </c>
      <c r="H73" s="229">
        <v>2.7E-2</v>
      </c>
      <c r="I73" s="229">
        <v>2.7E-2</v>
      </c>
      <c r="J73" s="229">
        <v>2.7E-2</v>
      </c>
      <c r="K73" s="229">
        <v>2.7E-2</v>
      </c>
      <c r="L73" s="229">
        <v>2.7E-2</v>
      </c>
      <c r="M73" s="229">
        <v>2.7E-2</v>
      </c>
      <c r="N73" s="229">
        <v>2.7E-2</v>
      </c>
      <c r="O73" s="229">
        <v>2.7E-2</v>
      </c>
      <c r="P73" s="229">
        <v>2.7E-2</v>
      </c>
      <c r="Q73" s="229">
        <v>2.7E-2</v>
      </c>
      <c r="R73" s="229">
        <v>2.7E-2</v>
      </c>
      <c r="S73" s="229">
        <v>2.7E-2</v>
      </c>
      <c r="T73" s="229">
        <v>2.7E-2</v>
      </c>
      <c r="U73" s="229">
        <v>2.7E-2</v>
      </c>
      <c r="V73" s="229">
        <v>2.7E-2</v>
      </c>
      <c r="W73" s="229">
        <v>2.7E-2</v>
      </c>
      <c r="X73" s="229">
        <v>2.7E-2</v>
      </c>
      <c r="Y73" s="229">
        <v>2.7E-2</v>
      </c>
      <c r="Z73" s="229">
        <v>2.7E-2</v>
      </c>
      <c r="AA73" s="229">
        <v>2.7E-2</v>
      </c>
      <c r="AB73" s="229">
        <v>2.7E-2</v>
      </c>
      <c r="AC73" s="229">
        <v>2.7E-2</v>
      </c>
      <c r="AD73" s="229">
        <v>2.7E-2</v>
      </c>
      <c r="AE73" s="229">
        <v>2.7E-2</v>
      </c>
      <c r="AF73" s="229">
        <v>2.7E-2</v>
      </c>
      <c r="AG73" s="229">
        <v>2.7E-2</v>
      </c>
      <c r="AH73" s="229">
        <v>2.7E-2</v>
      </c>
      <c r="AI73" s="229">
        <v>2.7E-2</v>
      </c>
      <c r="AJ73" s="229">
        <v>2.7E-2</v>
      </c>
      <c r="AK73" s="229">
        <v>2.7E-2</v>
      </c>
      <c r="AL73" s="229">
        <v>2.7E-2</v>
      </c>
      <c r="AM73" s="383">
        <f t="shared" si="9"/>
        <v>2.7000000000000017E-2</v>
      </c>
    </row>
    <row r="74" spans="1:39" x14ac:dyDescent="0.2">
      <c r="A74" s="8"/>
      <c r="B74" s="39" t="s">
        <v>108</v>
      </c>
      <c r="C74" s="38" t="s">
        <v>87</v>
      </c>
      <c r="D74" s="19" t="s">
        <v>1120</v>
      </c>
      <c r="E74" s="27"/>
      <c r="F74" s="229">
        <v>2.7E-2</v>
      </c>
      <c r="G74" s="229">
        <v>2.7E-2</v>
      </c>
      <c r="H74" s="229">
        <v>2.7E-2</v>
      </c>
      <c r="I74" s="229">
        <v>2.7E-2</v>
      </c>
      <c r="J74" s="229">
        <v>2.7E-2</v>
      </c>
      <c r="K74" s="229">
        <v>2.7E-2</v>
      </c>
      <c r="L74" s="229">
        <v>2.7E-2</v>
      </c>
      <c r="M74" s="229">
        <v>2.7E-2</v>
      </c>
      <c r="N74" s="229">
        <v>2.7E-2</v>
      </c>
      <c r="O74" s="229">
        <v>2.7E-2</v>
      </c>
      <c r="P74" s="229">
        <v>2.7E-2</v>
      </c>
      <c r="Q74" s="229">
        <v>2.7E-2</v>
      </c>
      <c r="R74" s="229">
        <v>2.7E-2</v>
      </c>
      <c r="S74" s="229">
        <v>2.7E-2</v>
      </c>
      <c r="T74" s="229">
        <v>2.7E-2</v>
      </c>
      <c r="U74" s="229">
        <v>2.7E-2</v>
      </c>
      <c r="V74" s="229">
        <v>2.7E-2</v>
      </c>
      <c r="W74" s="229">
        <v>2.7E-2</v>
      </c>
      <c r="X74" s="229">
        <v>2.7E-2</v>
      </c>
      <c r="Y74" s="229">
        <v>2.7E-2</v>
      </c>
      <c r="Z74" s="229">
        <v>2.7E-2</v>
      </c>
      <c r="AA74" s="229">
        <v>2.7E-2</v>
      </c>
      <c r="AB74" s="229">
        <v>2.7E-2</v>
      </c>
      <c r="AC74" s="229">
        <v>2.7E-2</v>
      </c>
      <c r="AD74" s="229">
        <v>2.7E-2</v>
      </c>
      <c r="AE74" s="229">
        <v>2.7E-2</v>
      </c>
      <c r="AF74" s="229">
        <v>2.7E-2</v>
      </c>
      <c r="AG74" s="229">
        <v>2.7E-2</v>
      </c>
      <c r="AH74" s="229">
        <v>2.7E-2</v>
      </c>
      <c r="AI74" s="229">
        <v>2.7E-2</v>
      </c>
      <c r="AJ74" s="229">
        <v>2.7E-2</v>
      </c>
      <c r="AK74" s="229">
        <v>2.7E-2</v>
      </c>
      <c r="AL74" s="229">
        <v>2.7E-2</v>
      </c>
      <c r="AM74" s="383">
        <f t="shared" si="9"/>
        <v>2.7000000000000017E-2</v>
      </c>
    </row>
    <row r="75" spans="1:39" x14ac:dyDescent="0.2">
      <c r="A75" s="8"/>
      <c r="B75" s="39" t="s">
        <v>109</v>
      </c>
      <c r="C75" s="38" t="s">
        <v>87</v>
      </c>
      <c r="D75" s="19" t="s">
        <v>1120</v>
      </c>
      <c r="E75" s="27"/>
      <c r="F75" s="229">
        <v>2.7E-2</v>
      </c>
      <c r="G75" s="229">
        <v>2.7E-2</v>
      </c>
      <c r="H75" s="229">
        <v>2.7E-2</v>
      </c>
      <c r="I75" s="229">
        <v>2.7E-2</v>
      </c>
      <c r="J75" s="229">
        <v>2.7E-2</v>
      </c>
      <c r="K75" s="229">
        <v>2.7E-2</v>
      </c>
      <c r="L75" s="229">
        <v>2.7E-2</v>
      </c>
      <c r="M75" s="229">
        <v>2.7E-2</v>
      </c>
      <c r="N75" s="229">
        <v>2.7E-2</v>
      </c>
      <c r="O75" s="229">
        <v>2.7E-2</v>
      </c>
      <c r="P75" s="229">
        <v>2.7E-2</v>
      </c>
      <c r="Q75" s="229">
        <v>2.7E-2</v>
      </c>
      <c r="R75" s="229">
        <v>2.7E-2</v>
      </c>
      <c r="S75" s="229">
        <v>2.7E-2</v>
      </c>
      <c r="T75" s="229">
        <v>2.7E-2</v>
      </c>
      <c r="U75" s="229">
        <v>2.7E-2</v>
      </c>
      <c r="V75" s="229">
        <v>2.7E-2</v>
      </c>
      <c r="W75" s="229">
        <v>2.7E-2</v>
      </c>
      <c r="X75" s="229">
        <v>2.7E-2</v>
      </c>
      <c r="Y75" s="229">
        <v>2.7E-2</v>
      </c>
      <c r="Z75" s="229">
        <v>2.7E-2</v>
      </c>
      <c r="AA75" s="229">
        <v>2.7E-2</v>
      </c>
      <c r="AB75" s="229">
        <v>2.7E-2</v>
      </c>
      <c r="AC75" s="229">
        <v>2.7E-2</v>
      </c>
      <c r="AD75" s="229">
        <v>2.7E-2</v>
      </c>
      <c r="AE75" s="229">
        <v>2.7E-2</v>
      </c>
      <c r="AF75" s="229">
        <v>2.7E-2</v>
      </c>
      <c r="AG75" s="229">
        <v>2.7E-2</v>
      </c>
      <c r="AH75" s="229">
        <v>2.7E-2</v>
      </c>
      <c r="AI75" s="229">
        <v>2.7E-2</v>
      </c>
      <c r="AJ75" s="229">
        <v>2.7E-2</v>
      </c>
      <c r="AK75" s="229">
        <v>2.7E-2</v>
      </c>
      <c r="AL75" s="229">
        <v>2.7E-2</v>
      </c>
      <c r="AM75" s="383">
        <f t="shared" si="9"/>
        <v>2.7000000000000017E-2</v>
      </c>
    </row>
    <row r="76" spans="1:39" x14ac:dyDescent="0.2">
      <c r="A76" s="8"/>
      <c r="B76" s="39" t="s">
        <v>110</v>
      </c>
      <c r="C76" s="38" t="s">
        <v>87</v>
      </c>
      <c r="D76" s="19" t="s">
        <v>1120</v>
      </c>
      <c r="E76" s="27"/>
      <c r="F76" s="229">
        <v>0</v>
      </c>
      <c r="G76" s="229">
        <v>0</v>
      </c>
      <c r="H76" s="229">
        <v>0</v>
      </c>
      <c r="I76" s="229">
        <v>0</v>
      </c>
      <c r="J76" s="229">
        <v>0</v>
      </c>
      <c r="K76" s="229">
        <v>0</v>
      </c>
      <c r="L76" s="229">
        <v>0</v>
      </c>
      <c r="M76" s="229">
        <v>0</v>
      </c>
      <c r="N76" s="229">
        <v>0</v>
      </c>
      <c r="O76" s="229">
        <v>0</v>
      </c>
      <c r="P76" s="229">
        <v>0</v>
      </c>
      <c r="Q76" s="229">
        <v>0</v>
      </c>
      <c r="R76" s="229">
        <v>0</v>
      </c>
      <c r="S76" s="229">
        <v>0</v>
      </c>
      <c r="T76" s="229">
        <v>0</v>
      </c>
      <c r="U76" s="229">
        <v>0</v>
      </c>
      <c r="V76" s="229">
        <v>0</v>
      </c>
      <c r="W76" s="229">
        <v>0</v>
      </c>
      <c r="X76" s="229">
        <v>0</v>
      </c>
      <c r="Y76" s="229">
        <v>0</v>
      </c>
      <c r="Z76" s="229">
        <v>0</v>
      </c>
      <c r="AA76" s="229">
        <v>0</v>
      </c>
      <c r="AB76" s="229">
        <v>0</v>
      </c>
      <c r="AC76" s="229">
        <v>0</v>
      </c>
      <c r="AD76" s="229">
        <v>0</v>
      </c>
      <c r="AE76" s="229">
        <v>0</v>
      </c>
      <c r="AF76" s="229">
        <v>0</v>
      </c>
      <c r="AG76" s="229">
        <v>0</v>
      </c>
      <c r="AH76" s="229">
        <v>0</v>
      </c>
      <c r="AI76" s="229">
        <v>0</v>
      </c>
      <c r="AJ76" s="229">
        <v>0</v>
      </c>
      <c r="AK76" s="229">
        <v>0</v>
      </c>
      <c r="AL76" s="229">
        <v>0</v>
      </c>
      <c r="AM76" s="383">
        <f t="shared" si="9"/>
        <v>0</v>
      </c>
    </row>
    <row r="77" spans="1:39" x14ac:dyDescent="0.2">
      <c r="A77" s="8"/>
      <c r="B77" s="39" t="s">
        <v>111</v>
      </c>
      <c r="C77" s="38" t="s">
        <v>87</v>
      </c>
      <c r="D77" s="19" t="s">
        <v>1120</v>
      </c>
      <c r="E77" s="27"/>
      <c r="F77" s="229">
        <v>0</v>
      </c>
      <c r="G77" s="229">
        <v>0</v>
      </c>
      <c r="H77" s="229">
        <v>0</v>
      </c>
      <c r="I77" s="229">
        <v>0</v>
      </c>
      <c r="J77" s="229">
        <v>0</v>
      </c>
      <c r="K77" s="229">
        <v>0</v>
      </c>
      <c r="L77" s="229">
        <v>0</v>
      </c>
      <c r="M77" s="229">
        <v>0</v>
      </c>
      <c r="N77" s="229">
        <v>0</v>
      </c>
      <c r="O77" s="229">
        <v>0</v>
      </c>
      <c r="P77" s="229">
        <v>0</v>
      </c>
      <c r="Q77" s="229">
        <v>0</v>
      </c>
      <c r="R77" s="229">
        <v>0</v>
      </c>
      <c r="S77" s="229">
        <v>0</v>
      </c>
      <c r="T77" s="229">
        <v>0</v>
      </c>
      <c r="U77" s="229">
        <v>0</v>
      </c>
      <c r="V77" s="229">
        <v>0</v>
      </c>
      <c r="W77" s="229">
        <v>0</v>
      </c>
      <c r="X77" s="229">
        <v>0</v>
      </c>
      <c r="Y77" s="229">
        <v>0</v>
      </c>
      <c r="Z77" s="229">
        <v>0</v>
      </c>
      <c r="AA77" s="229">
        <v>0</v>
      </c>
      <c r="AB77" s="229">
        <v>0</v>
      </c>
      <c r="AC77" s="229">
        <v>0</v>
      </c>
      <c r="AD77" s="229">
        <v>0</v>
      </c>
      <c r="AE77" s="229">
        <v>0</v>
      </c>
      <c r="AF77" s="229">
        <v>0</v>
      </c>
      <c r="AG77" s="229">
        <v>0</v>
      </c>
      <c r="AH77" s="229">
        <v>0</v>
      </c>
      <c r="AI77" s="229">
        <v>0</v>
      </c>
      <c r="AJ77" s="229">
        <v>0</v>
      </c>
      <c r="AK77" s="229">
        <v>0</v>
      </c>
      <c r="AL77" s="229">
        <v>0</v>
      </c>
      <c r="AM77" s="383">
        <f t="shared" si="9"/>
        <v>0</v>
      </c>
    </row>
    <row r="78" spans="1:39" x14ac:dyDescent="0.2">
      <c r="A78" s="8"/>
      <c r="B78" s="39" t="s">
        <v>112</v>
      </c>
      <c r="C78" s="38" t="s">
        <v>87</v>
      </c>
      <c r="D78" s="19" t="s">
        <v>1120</v>
      </c>
      <c r="E78" s="27"/>
      <c r="F78" s="229">
        <v>0</v>
      </c>
      <c r="G78" s="229">
        <v>0</v>
      </c>
      <c r="H78" s="229">
        <v>0</v>
      </c>
      <c r="I78" s="229">
        <v>0</v>
      </c>
      <c r="J78" s="229">
        <v>0</v>
      </c>
      <c r="K78" s="229">
        <v>0</v>
      </c>
      <c r="L78" s="229">
        <v>0</v>
      </c>
      <c r="M78" s="229">
        <v>0</v>
      </c>
      <c r="N78" s="229">
        <v>0</v>
      </c>
      <c r="O78" s="229">
        <v>0</v>
      </c>
      <c r="P78" s="229">
        <v>0</v>
      </c>
      <c r="Q78" s="229">
        <v>0</v>
      </c>
      <c r="R78" s="229">
        <v>0</v>
      </c>
      <c r="S78" s="229">
        <v>0</v>
      </c>
      <c r="T78" s="229">
        <v>0</v>
      </c>
      <c r="U78" s="229">
        <v>0</v>
      </c>
      <c r="V78" s="229">
        <v>0</v>
      </c>
      <c r="W78" s="229">
        <v>0</v>
      </c>
      <c r="X78" s="229">
        <v>0</v>
      </c>
      <c r="Y78" s="229">
        <v>0</v>
      </c>
      <c r="Z78" s="229">
        <v>0</v>
      </c>
      <c r="AA78" s="229">
        <v>0</v>
      </c>
      <c r="AB78" s="229">
        <v>0</v>
      </c>
      <c r="AC78" s="229">
        <v>0</v>
      </c>
      <c r="AD78" s="229">
        <v>0</v>
      </c>
      <c r="AE78" s="229">
        <v>0</v>
      </c>
      <c r="AF78" s="229">
        <v>0</v>
      </c>
      <c r="AG78" s="229">
        <v>0</v>
      </c>
      <c r="AH78" s="229">
        <v>0</v>
      </c>
      <c r="AI78" s="229">
        <v>0</v>
      </c>
      <c r="AJ78" s="229">
        <v>0</v>
      </c>
      <c r="AK78" s="229">
        <v>0</v>
      </c>
      <c r="AL78" s="229">
        <v>0</v>
      </c>
      <c r="AM78" s="383">
        <f t="shared" si="9"/>
        <v>0</v>
      </c>
    </row>
    <row r="79" spans="1:39" x14ac:dyDescent="0.2">
      <c r="A79" s="8"/>
      <c r="B79" s="39" t="s">
        <v>113</v>
      </c>
      <c r="C79" s="38" t="s">
        <v>87</v>
      </c>
      <c r="D79" s="19" t="s">
        <v>1120</v>
      </c>
      <c r="E79" s="27"/>
      <c r="F79" s="229">
        <v>0</v>
      </c>
      <c r="G79" s="229">
        <v>0</v>
      </c>
      <c r="H79" s="229">
        <v>0</v>
      </c>
      <c r="I79" s="229">
        <v>0</v>
      </c>
      <c r="J79" s="229">
        <v>0</v>
      </c>
      <c r="K79" s="229">
        <v>0</v>
      </c>
      <c r="L79" s="229">
        <v>0</v>
      </c>
      <c r="M79" s="229">
        <v>0</v>
      </c>
      <c r="N79" s="229">
        <v>0</v>
      </c>
      <c r="O79" s="229">
        <v>0</v>
      </c>
      <c r="P79" s="229">
        <v>0</v>
      </c>
      <c r="Q79" s="229">
        <v>0</v>
      </c>
      <c r="R79" s="229">
        <v>0</v>
      </c>
      <c r="S79" s="229">
        <v>0</v>
      </c>
      <c r="T79" s="229">
        <v>0</v>
      </c>
      <c r="U79" s="229">
        <v>0</v>
      </c>
      <c r="V79" s="229">
        <v>0</v>
      </c>
      <c r="W79" s="229">
        <v>0</v>
      </c>
      <c r="X79" s="229">
        <v>0</v>
      </c>
      <c r="Y79" s="229">
        <v>0</v>
      </c>
      <c r="Z79" s="229">
        <v>0</v>
      </c>
      <c r="AA79" s="229">
        <v>0</v>
      </c>
      <c r="AB79" s="229">
        <v>0</v>
      </c>
      <c r="AC79" s="229">
        <v>0</v>
      </c>
      <c r="AD79" s="229">
        <v>0</v>
      </c>
      <c r="AE79" s="229">
        <v>0</v>
      </c>
      <c r="AF79" s="229">
        <v>0</v>
      </c>
      <c r="AG79" s="229">
        <v>0</v>
      </c>
      <c r="AH79" s="229">
        <v>0</v>
      </c>
      <c r="AI79" s="229">
        <v>0</v>
      </c>
      <c r="AJ79" s="229">
        <v>0</v>
      </c>
      <c r="AK79" s="229">
        <v>0</v>
      </c>
      <c r="AL79" s="229">
        <v>0</v>
      </c>
      <c r="AM79" s="383">
        <f t="shared" si="9"/>
        <v>0</v>
      </c>
    </row>
    <row r="80" spans="1:39" x14ac:dyDescent="0.2">
      <c r="A80" s="8"/>
      <c r="B80" s="39" t="s">
        <v>114</v>
      </c>
      <c r="C80" s="38" t="s">
        <v>87</v>
      </c>
      <c r="D80" s="19" t="s">
        <v>1120</v>
      </c>
      <c r="E80" s="27"/>
      <c r="F80" s="229">
        <v>0</v>
      </c>
      <c r="G80" s="229">
        <v>0</v>
      </c>
      <c r="H80" s="229">
        <v>0</v>
      </c>
      <c r="I80" s="229">
        <v>0</v>
      </c>
      <c r="J80" s="229">
        <v>0</v>
      </c>
      <c r="K80" s="229">
        <v>0</v>
      </c>
      <c r="L80" s="229">
        <v>0</v>
      </c>
      <c r="M80" s="229">
        <v>0</v>
      </c>
      <c r="N80" s="229">
        <v>0</v>
      </c>
      <c r="O80" s="229">
        <v>0</v>
      </c>
      <c r="P80" s="229">
        <v>0</v>
      </c>
      <c r="Q80" s="229">
        <v>0</v>
      </c>
      <c r="R80" s="229">
        <v>0</v>
      </c>
      <c r="S80" s="229">
        <v>0</v>
      </c>
      <c r="T80" s="229">
        <v>0</v>
      </c>
      <c r="U80" s="229">
        <v>0</v>
      </c>
      <c r="V80" s="229">
        <v>0</v>
      </c>
      <c r="W80" s="229">
        <v>0</v>
      </c>
      <c r="X80" s="229">
        <v>0</v>
      </c>
      <c r="Y80" s="229">
        <v>0</v>
      </c>
      <c r="Z80" s="229">
        <v>0</v>
      </c>
      <c r="AA80" s="229">
        <v>0</v>
      </c>
      <c r="AB80" s="229">
        <v>0</v>
      </c>
      <c r="AC80" s="229">
        <v>0</v>
      </c>
      <c r="AD80" s="229">
        <v>0</v>
      </c>
      <c r="AE80" s="229">
        <v>0</v>
      </c>
      <c r="AF80" s="229">
        <v>0</v>
      </c>
      <c r="AG80" s="229">
        <v>0</v>
      </c>
      <c r="AH80" s="229">
        <v>0</v>
      </c>
      <c r="AI80" s="229">
        <v>0</v>
      </c>
      <c r="AJ80" s="229">
        <v>0</v>
      </c>
      <c r="AK80" s="229">
        <v>0</v>
      </c>
      <c r="AL80" s="229">
        <v>0</v>
      </c>
      <c r="AM80" s="383">
        <f t="shared" si="9"/>
        <v>0</v>
      </c>
    </row>
    <row r="81" spans="1:39" x14ac:dyDescent="0.2">
      <c r="A81" s="8"/>
      <c r="B81" s="39" t="s">
        <v>115</v>
      </c>
      <c r="C81" s="38" t="s">
        <v>87</v>
      </c>
      <c r="D81" s="19" t="s">
        <v>1120</v>
      </c>
      <c r="E81" s="27"/>
      <c r="F81" s="229">
        <v>0</v>
      </c>
      <c r="G81" s="229">
        <v>0</v>
      </c>
      <c r="H81" s="229">
        <v>0</v>
      </c>
      <c r="I81" s="229">
        <v>0</v>
      </c>
      <c r="J81" s="229">
        <v>0</v>
      </c>
      <c r="K81" s="229">
        <v>0</v>
      </c>
      <c r="L81" s="229">
        <v>0</v>
      </c>
      <c r="M81" s="229">
        <v>0</v>
      </c>
      <c r="N81" s="229">
        <v>0</v>
      </c>
      <c r="O81" s="229">
        <v>0</v>
      </c>
      <c r="P81" s="229">
        <v>0</v>
      </c>
      <c r="Q81" s="229">
        <v>0</v>
      </c>
      <c r="R81" s="229">
        <v>0</v>
      </c>
      <c r="S81" s="229">
        <v>0</v>
      </c>
      <c r="T81" s="229">
        <v>0</v>
      </c>
      <c r="U81" s="229">
        <v>0</v>
      </c>
      <c r="V81" s="229">
        <v>0</v>
      </c>
      <c r="W81" s="229">
        <v>0</v>
      </c>
      <c r="X81" s="229">
        <v>0</v>
      </c>
      <c r="Y81" s="229">
        <v>0</v>
      </c>
      <c r="Z81" s="229">
        <v>0</v>
      </c>
      <c r="AA81" s="229">
        <v>0</v>
      </c>
      <c r="AB81" s="229">
        <v>0</v>
      </c>
      <c r="AC81" s="229">
        <v>0</v>
      </c>
      <c r="AD81" s="229">
        <v>0</v>
      </c>
      <c r="AE81" s="229">
        <v>0</v>
      </c>
      <c r="AF81" s="229">
        <v>0</v>
      </c>
      <c r="AG81" s="229">
        <v>0</v>
      </c>
      <c r="AH81" s="229">
        <v>0</v>
      </c>
      <c r="AI81" s="229">
        <v>0</v>
      </c>
      <c r="AJ81" s="229">
        <v>0</v>
      </c>
      <c r="AK81" s="229">
        <v>0</v>
      </c>
      <c r="AL81" s="229">
        <v>0</v>
      </c>
      <c r="AM81" s="383">
        <f t="shared" si="9"/>
        <v>0</v>
      </c>
    </row>
    <row r="82" spans="1:39" x14ac:dyDescent="0.2">
      <c r="A82" s="8"/>
      <c r="B82" s="39" t="s">
        <v>116</v>
      </c>
      <c r="C82" s="38" t="s">
        <v>87</v>
      </c>
      <c r="D82" s="19" t="s">
        <v>1120</v>
      </c>
      <c r="E82" s="27"/>
      <c r="F82" s="229">
        <v>0</v>
      </c>
      <c r="G82" s="229">
        <v>0</v>
      </c>
      <c r="H82" s="229">
        <v>0</v>
      </c>
      <c r="I82" s="229">
        <v>0</v>
      </c>
      <c r="J82" s="229">
        <v>0</v>
      </c>
      <c r="K82" s="229">
        <v>0</v>
      </c>
      <c r="L82" s="229">
        <v>0</v>
      </c>
      <c r="M82" s="229">
        <v>0</v>
      </c>
      <c r="N82" s="229">
        <v>0</v>
      </c>
      <c r="O82" s="229">
        <v>0</v>
      </c>
      <c r="P82" s="229">
        <v>0</v>
      </c>
      <c r="Q82" s="229">
        <v>0</v>
      </c>
      <c r="R82" s="229">
        <v>0</v>
      </c>
      <c r="S82" s="229">
        <v>0</v>
      </c>
      <c r="T82" s="229">
        <v>0</v>
      </c>
      <c r="U82" s="229">
        <v>0</v>
      </c>
      <c r="V82" s="229">
        <v>0</v>
      </c>
      <c r="W82" s="229">
        <v>0</v>
      </c>
      <c r="X82" s="229">
        <v>0</v>
      </c>
      <c r="Y82" s="229">
        <v>0</v>
      </c>
      <c r="Z82" s="229">
        <v>0</v>
      </c>
      <c r="AA82" s="229">
        <v>0</v>
      </c>
      <c r="AB82" s="229">
        <v>0</v>
      </c>
      <c r="AC82" s="229">
        <v>0</v>
      </c>
      <c r="AD82" s="229">
        <v>0</v>
      </c>
      <c r="AE82" s="229">
        <v>0</v>
      </c>
      <c r="AF82" s="229">
        <v>0</v>
      </c>
      <c r="AG82" s="229">
        <v>0</v>
      </c>
      <c r="AH82" s="229">
        <v>0</v>
      </c>
      <c r="AI82" s="229">
        <v>0</v>
      </c>
      <c r="AJ82" s="229">
        <v>0</v>
      </c>
      <c r="AK82" s="229">
        <v>0</v>
      </c>
      <c r="AL82" s="229">
        <v>0</v>
      </c>
      <c r="AM82" s="383">
        <f t="shared" si="9"/>
        <v>0</v>
      </c>
    </row>
    <row r="83" spans="1:39" x14ac:dyDescent="0.2">
      <c r="A83" s="8"/>
      <c r="B83" s="39" t="s">
        <v>117</v>
      </c>
      <c r="C83" s="38" t="s">
        <v>87</v>
      </c>
      <c r="D83" s="19" t="s">
        <v>1120</v>
      </c>
      <c r="E83" s="27"/>
      <c r="F83" s="229">
        <v>0</v>
      </c>
      <c r="G83" s="229">
        <v>0</v>
      </c>
      <c r="H83" s="229">
        <v>0</v>
      </c>
      <c r="I83" s="229">
        <v>0</v>
      </c>
      <c r="J83" s="229">
        <v>0</v>
      </c>
      <c r="K83" s="229">
        <v>0</v>
      </c>
      <c r="L83" s="229">
        <v>0</v>
      </c>
      <c r="M83" s="229">
        <v>0</v>
      </c>
      <c r="N83" s="229">
        <v>0</v>
      </c>
      <c r="O83" s="229">
        <v>0</v>
      </c>
      <c r="P83" s="229">
        <v>0</v>
      </c>
      <c r="Q83" s="229">
        <v>0</v>
      </c>
      <c r="R83" s="229">
        <v>0</v>
      </c>
      <c r="S83" s="229">
        <v>0</v>
      </c>
      <c r="T83" s="229">
        <v>0</v>
      </c>
      <c r="U83" s="229">
        <v>0</v>
      </c>
      <c r="V83" s="229">
        <v>0</v>
      </c>
      <c r="W83" s="229">
        <v>0</v>
      </c>
      <c r="X83" s="229">
        <v>0</v>
      </c>
      <c r="Y83" s="229">
        <v>0</v>
      </c>
      <c r="Z83" s="229">
        <v>0</v>
      </c>
      <c r="AA83" s="229">
        <v>0</v>
      </c>
      <c r="AB83" s="229">
        <v>0</v>
      </c>
      <c r="AC83" s="229">
        <v>0</v>
      </c>
      <c r="AD83" s="229">
        <v>0</v>
      </c>
      <c r="AE83" s="229">
        <v>0</v>
      </c>
      <c r="AF83" s="229">
        <v>0</v>
      </c>
      <c r="AG83" s="229">
        <v>0</v>
      </c>
      <c r="AH83" s="229">
        <v>0</v>
      </c>
      <c r="AI83" s="229">
        <v>0</v>
      </c>
      <c r="AJ83" s="229">
        <v>0</v>
      </c>
      <c r="AK83" s="229">
        <v>0</v>
      </c>
      <c r="AL83" s="229">
        <v>0</v>
      </c>
      <c r="AM83" s="383">
        <f t="shared" si="9"/>
        <v>0</v>
      </c>
    </row>
    <row r="84" spans="1:39" x14ac:dyDescent="0.2">
      <c r="A84" s="8"/>
      <c r="B84" s="39" t="s">
        <v>118</v>
      </c>
      <c r="C84" s="38" t="s">
        <v>87</v>
      </c>
      <c r="D84" s="19" t="s">
        <v>1120</v>
      </c>
      <c r="E84" s="27"/>
      <c r="F84" s="229">
        <v>2.7E-2</v>
      </c>
      <c r="G84" s="229">
        <v>2.7E-2</v>
      </c>
      <c r="H84" s="229">
        <v>2.7E-2</v>
      </c>
      <c r="I84" s="229">
        <v>2.7E-2</v>
      </c>
      <c r="J84" s="229">
        <v>2.7E-2</v>
      </c>
      <c r="K84" s="229">
        <v>2.7E-2</v>
      </c>
      <c r="L84" s="229">
        <v>2.7E-2</v>
      </c>
      <c r="M84" s="229">
        <v>2.7E-2</v>
      </c>
      <c r="N84" s="229">
        <v>2.7E-2</v>
      </c>
      <c r="O84" s="229">
        <v>2.7E-2</v>
      </c>
      <c r="P84" s="229">
        <v>2.7E-2</v>
      </c>
      <c r="Q84" s="229">
        <v>2.7E-2</v>
      </c>
      <c r="R84" s="229">
        <v>2.7E-2</v>
      </c>
      <c r="S84" s="229">
        <v>2.7E-2</v>
      </c>
      <c r="T84" s="229">
        <v>2.7E-2</v>
      </c>
      <c r="U84" s="229">
        <v>2.7E-2</v>
      </c>
      <c r="V84" s="229">
        <v>2.7E-2</v>
      </c>
      <c r="W84" s="229">
        <v>2.7E-2</v>
      </c>
      <c r="X84" s="229">
        <v>2.7E-2</v>
      </c>
      <c r="Y84" s="229">
        <v>2.7E-2</v>
      </c>
      <c r="Z84" s="229">
        <v>2.7E-2</v>
      </c>
      <c r="AA84" s="229">
        <v>2.7E-2</v>
      </c>
      <c r="AB84" s="229">
        <v>2.7E-2</v>
      </c>
      <c r="AC84" s="229">
        <v>2.7E-2</v>
      </c>
      <c r="AD84" s="229">
        <v>2.7E-2</v>
      </c>
      <c r="AE84" s="229">
        <v>2.7E-2</v>
      </c>
      <c r="AF84" s="229">
        <v>2.7E-2</v>
      </c>
      <c r="AG84" s="229">
        <v>2.7E-2</v>
      </c>
      <c r="AH84" s="229">
        <v>2.7E-2</v>
      </c>
      <c r="AI84" s="229">
        <v>2.7E-2</v>
      </c>
      <c r="AJ84" s="229">
        <v>2.7E-2</v>
      </c>
      <c r="AK84" s="229">
        <v>2.7E-2</v>
      </c>
      <c r="AL84" s="229">
        <v>2.7E-2</v>
      </c>
      <c r="AM84" s="383">
        <f t="shared" si="9"/>
        <v>2.7000000000000017E-2</v>
      </c>
    </row>
    <row r="85" spans="1:39" x14ac:dyDescent="0.2">
      <c r="A85" s="8"/>
      <c r="B85" s="39" t="s">
        <v>119</v>
      </c>
      <c r="C85" s="38" t="s">
        <v>87</v>
      </c>
      <c r="D85" s="19" t="s">
        <v>1120</v>
      </c>
      <c r="E85" s="27"/>
      <c r="F85" s="229">
        <v>0</v>
      </c>
      <c r="G85" s="229">
        <v>0</v>
      </c>
      <c r="H85" s="229">
        <v>0</v>
      </c>
      <c r="I85" s="229">
        <v>0</v>
      </c>
      <c r="J85" s="229">
        <v>0</v>
      </c>
      <c r="K85" s="229">
        <v>0</v>
      </c>
      <c r="L85" s="229">
        <v>0</v>
      </c>
      <c r="M85" s="229">
        <v>0</v>
      </c>
      <c r="N85" s="229">
        <v>0</v>
      </c>
      <c r="O85" s="229">
        <v>0</v>
      </c>
      <c r="P85" s="229">
        <v>0</v>
      </c>
      <c r="Q85" s="229">
        <v>0</v>
      </c>
      <c r="R85" s="229">
        <v>0</v>
      </c>
      <c r="S85" s="229">
        <v>0</v>
      </c>
      <c r="T85" s="229">
        <v>0</v>
      </c>
      <c r="U85" s="229">
        <v>0</v>
      </c>
      <c r="V85" s="229">
        <v>0</v>
      </c>
      <c r="W85" s="229">
        <v>0</v>
      </c>
      <c r="X85" s="229">
        <v>0</v>
      </c>
      <c r="Y85" s="229">
        <v>0</v>
      </c>
      <c r="Z85" s="229">
        <v>0</v>
      </c>
      <c r="AA85" s="229">
        <v>0</v>
      </c>
      <c r="AB85" s="229">
        <v>0</v>
      </c>
      <c r="AC85" s="229">
        <v>0</v>
      </c>
      <c r="AD85" s="229">
        <v>0</v>
      </c>
      <c r="AE85" s="229">
        <v>0</v>
      </c>
      <c r="AF85" s="229">
        <v>0</v>
      </c>
      <c r="AG85" s="229">
        <v>0</v>
      </c>
      <c r="AH85" s="229">
        <v>0</v>
      </c>
      <c r="AI85" s="229">
        <v>0</v>
      </c>
      <c r="AJ85" s="229">
        <v>0</v>
      </c>
      <c r="AK85" s="229">
        <v>0</v>
      </c>
      <c r="AL85" s="229">
        <v>0</v>
      </c>
      <c r="AM85" s="383">
        <f t="shared" si="9"/>
        <v>0</v>
      </c>
    </row>
    <row r="86" spans="1:39" x14ac:dyDescent="0.2">
      <c r="A86" s="8"/>
      <c r="B86" s="39" t="s">
        <v>120</v>
      </c>
      <c r="C86" s="38" t="s">
        <v>87</v>
      </c>
      <c r="D86" s="19" t="s">
        <v>1120</v>
      </c>
      <c r="E86" s="27"/>
      <c r="F86" s="229">
        <v>0</v>
      </c>
      <c r="G86" s="229">
        <v>0</v>
      </c>
      <c r="H86" s="229">
        <v>0</v>
      </c>
      <c r="I86" s="229">
        <v>0</v>
      </c>
      <c r="J86" s="229">
        <v>0</v>
      </c>
      <c r="K86" s="229">
        <v>0</v>
      </c>
      <c r="L86" s="229">
        <v>0</v>
      </c>
      <c r="M86" s="229">
        <v>0</v>
      </c>
      <c r="N86" s="229">
        <v>0</v>
      </c>
      <c r="O86" s="229">
        <v>0</v>
      </c>
      <c r="P86" s="229">
        <v>0</v>
      </c>
      <c r="Q86" s="229">
        <v>0</v>
      </c>
      <c r="R86" s="229">
        <v>0</v>
      </c>
      <c r="S86" s="229">
        <v>0</v>
      </c>
      <c r="T86" s="229">
        <v>0</v>
      </c>
      <c r="U86" s="229">
        <v>0</v>
      </c>
      <c r="V86" s="229">
        <v>0</v>
      </c>
      <c r="W86" s="229">
        <v>0</v>
      </c>
      <c r="X86" s="229">
        <v>0</v>
      </c>
      <c r="Y86" s="229">
        <v>0</v>
      </c>
      <c r="Z86" s="229">
        <v>0</v>
      </c>
      <c r="AA86" s="229">
        <v>0</v>
      </c>
      <c r="AB86" s="229">
        <v>0</v>
      </c>
      <c r="AC86" s="229">
        <v>0</v>
      </c>
      <c r="AD86" s="229">
        <v>0</v>
      </c>
      <c r="AE86" s="229">
        <v>0</v>
      </c>
      <c r="AF86" s="229">
        <v>0</v>
      </c>
      <c r="AG86" s="229">
        <v>0</v>
      </c>
      <c r="AH86" s="229">
        <v>0</v>
      </c>
      <c r="AI86" s="229">
        <v>0</v>
      </c>
      <c r="AJ86" s="229">
        <v>0</v>
      </c>
      <c r="AK86" s="229">
        <v>0</v>
      </c>
      <c r="AL86" s="229">
        <v>0</v>
      </c>
      <c r="AM86" s="383">
        <f t="shared" si="9"/>
        <v>0</v>
      </c>
    </row>
    <row r="87" spans="1:39" x14ac:dyDescent="0.2">
      <c r="A87" s="8"/>
      <c r="B87" s="33"/>
      <c r="C87" s="29"/>
      <c r="D87" s="8"/>
      <c r="E87" s="27"/>
      <c r="F87" s="192"/>
      <c r="G87" s="229"/>
      <c r="H87" s="229"/>
      <c r="I87" s="229"/>
      <c r="J87" s="229"/>
      <c r="K87" s="229"/>
      <c r="L87" s="229"/>
      <c r="M87" s="229"/>
      <c r="N87" s="229"/>
      <c r="O87" s="229"/>
      <c r="P87" s="229"/>
      <c r="Q87" s="229"/>
      <c r="R87" s="229"/>
      <c r="S87" s="229"/>
      <c r="T87" s="229"/>
      <c r="U87" s="229"/>
      <c r="V87" s="229"/>
      <c r="W87" s="229"/>
      <c r="X87" s="229"/>
      <c r="Y87" s="229"/>
      <c r="Z87" s="229"/>
      <c r="AA87" s="229"/>
      <c r="AB87" s="229"/>
      <c r="AC87" s="229"/>
      <c r="AD87" s="229"/>
      <c r="AE87" s="229"/>
      <c r="AF87" s="229"/>
      <c r="AG87" s="229"/>
      <c r="AH87" s="229"/>
      <c r="AI87" s="229"/>
      <c r="AJ87" s="229"/>
      <c r="AK87" s="229"/>
      <c r="AL87" s="229"/>
      <c r="AM87" s="107"/>
    </row>
    <row r="88" spans="1:39" x14ac:dyDescent="0.2">
      <c r="A88" s="8"/>
      <c r="B88" s="40" t="s">
        <v>121</v>
      </c>
      <c r="C88" s="29"/>
      <c r="D88" s="8"/>
      <c r="E88" s="27"/>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07"/>
    </row>
    <row r="89" spans="1:39" x14ac:dyDescent="0.2">
      <c r="A89" s="8"/>
      <c r="B89" s="41" t="s">
        <v>86</v>
      </c>
      <c r="C89" s="29" t="s">
        <v>77</v>
      </c>
      <c r="D89" s="8"/>
      <c r="E89" s="27"/>
      <c r="F89" s="192">
        <v>0</v>
      </c>
      <c r="G89" s="192">
        <v>0</v>
      </c>
      <c r="H89" s="192">
        <v>0</v>
      </c>
      <c r="I89" s="192">
        <v>0</v>
      </c>
      <c r="J89" s="192">
        <v>0</v>
      </c>
      <c r="K89" s="192">
        <v>0</v>
      </c>
      <c r="L89" s="192">
        <v>0</v>
      </c>
      <c r="M89" s="192">
        <v>0</v>
      </c>
      <c r="N89" s="192">
        <v>0</v>
      </c>
      <c r="O89" s="192">
        <v>0</v>
      </c>
      <c r="P89" s="192">
        <v>0</v>
      </c>
      <c r="Q89" s="192">
        <v>0</v>
      </c>
      <c r="R89" s="192">
        <v>0</v>
      </c>
      <c r="S89" s="192">
        <v>0</v>
      </c>
      <c r="T89" s="192">
        <v>0</v>
      </c>
      <c r="U89" s="192">
        <v>0</v>
      </c>
      <c r="V89" s="192">
        <v>0</v>
      </c>
      <c r="W89" s="192">
        <v>0</v>
      </c>
      <c r="X89" s="192">
        <v>0</v>
      </c>
      <c r="Y89" s="192">
        <v>0</v>
      </c>
      <c r="Z89" s="192">
        <v>0</v>
      </c>
      <c r="AA89" s="192">
        <v>0</v>
      </c>
      <c r="AB89" s="192">
        <v>0</v>
      </c>
      <c r="AC89" s="192">
        <v>0</v>
      </c>
      <c r="AD89" s="192">
        <v>0</v>
      </c>
      <c r="AE89" s="192">
        <v>0</v>
      </c>
      <c r="AF89" s="192">
        <v>0</v>
      </c>
      <c r="AG89" s="192">
        <v>0</v>
      </c>
      <c r="AH89" s="192">
        <v>0</v>
      </c>
      <c r="AI89" s="192">
        <v>0</v>
      </c>
      <c r="AJ89" s="192">
        <v>0</v>
      </c>
      <c r="AK89" s="192">
        <v>0</v>
      </c>
      <c r="AL89" s="192">
        <v>0</v>
      </c>
      <c r="AM89" s="381">
        <f>SUM(F89:AL89)</f>
        <v>0</v>
      </c>
    </row>
    <row r="90" spans="1:39" x14ac:dyDescent="0.2">
      <c r="A90" s="8"/>
      <c r="B90" s="41" t="s">
        <v>88</v>
      </c>
      <c r="C90" s="29" t="s">
        <v>77</v>
      </c>
      <c r="D90" s="8"/>
      <c r="E90" s="27"/>
      <c r="F90" s="192">
        <v>0</v>
      </c>
      <c r="G90" s="192">
        <v>0</v>
      </c>
      <c r="H90" s="192">
        <v>0</v>
      </c>
      <c r="I90" s="192">
        <v>0</v>
      </c>
      <c r="J90" s="192">
        <v>0</v>
      </c>
      <c r="K90" s="192">
        <v>0</v>
      </c>
      <c r="L90" s="192">
        <v>0</v>
      </c>
      <c r="M90" s="192">
        <v>0</v>
      </c>
      <c r="N90" s="192">
        <v>0</v>
      </c>
      <c r="O90" s="192">
        <v>0</v>
      </c>
      <c r="P90" s="192">
        <v>0</v>
      </c>
      <c r="Q90" s="192">
        <v>0</v>
      </c>
      <c r="R90" s="192">
        <v>0</v>
      </c>
      <c r="S90" s="192">
        <v>0</v>
      </c>
      <c r="T90" s="192">
        <v>0</v>
      </c>
      <c r="U90" s="192">
        <v>0</v>
      </c>
      <c r="V90" s="192">
        <v>0</v>
      </c>
      <c r="W90" s="192">
        <v>0</v>
      </c>
      <c r="X90" s="192">
        <v>0</v>
      </c>
      <c r="Y90" s="192">
        <v>0</v>
      </c>
      <c r="Z90" s="192">
        <v>0</v>
      </c>
      <c r="AA90" s="192">
        <v>0</v>
      </c>
      <c r="AB90" s="192">
        <v>0</v>
      </c>
      <c r="AC90" s="192">
        <v>0</v>
      </c>
      <c r="AD90" s="192">
        <v>0</v>
      </c>
      <c r="AE90" s="192">
        <v>0</v>
      </c>
      <c r="AF90" s="192">
        <v>0</v>
      </c>
      <c r="AG90" s="192">
        <v>0</v>
      </c>
      <c r="AH90" s="192">
        <v>0</v>
      </c>
      <c r="AI90" s="192">
        <v>0</v>
      </c>
      <c r="AJ90" s="192">
        <v>0</v>
      </c>
      <c r="AK90" s="192">
        <v>0</v>
      </c>
      <c r="AL90" s="192">
        <v>0</v>
      </c>
      <c r="AM90" s="381">
        <f t="shared" ref="AM90:AM124" si="10">SUM(F90:AL90)</f>
        <v>0</v>
      </c>
    </row>
    <row r="91" spans="1:39" x14ac:dyDescent="0.2">
      <c r="A91" s="8"/>
      <c r="B91" s="41" t="s">
        <v>89</v>
      </c>
      <c r="C91" s="29" t="s">
        <v>77</v>
      </c>
      <c r="D91" s="8"/>
      <c r="E91" s="27"/>
      <c r="F91" s="192">
        <v>0</v>
      </c>
      <c r="G91" s="192">
        <v>0</v>
      </c>
      <c r="H91" s="192">
        <v>0</v>
      </c>
      <c r="I91" s="192">
        <v>0</v>
      </c>
      <c r="J91" s="192">
        <v>0</v>
      </c>
      <c r="K91" s="192">
        <v>0</v>
      </c>
      <c r="L91" s="192">
        <v>0</v>
      </c>
      <c r="M91" s="192">
        <v>0</v>
      </c>
      <c r="N91" s="192">
        <v>0</v>
      </c>
      <c r="O91" s="192">
        <v>0</v>
      </c>
      <c r="P91" s="192">
        <v>0</v>
      </c>
      <c r="Q91" s="192">
        <v>0</v>
      </c>
      <c r="R91" s="192">
        <v>0</v>
      </c>
      <c r="S91" s="192">
        <v>0</v>
      </c>
      <c r="T91" s="192">
        <v>0</v>
      </c>
      <c r="U91" s="192">
        <v>0</v>
      </c>
      <c r="V91" s="192">
        <v>0</v>
      </c>
      <c r="W91" s="192">
        <v>0</v>
      </c>
      <c r="X91" s="192">
        <v>0</v>
      </c>
      <c r="Y91" s="192">
        <v>0</v>
      </c>
      <c r="Z91" s="192">
        <v>0</v>
      </c>
      <c r="AA91" s="192">
        <v>0</v>
      </c>
      <c r="AB91" s="192">
        <v>0</v>
      </c>
      <c r="AC91" s="192">
        <v>0</v>
      </c>
      <c r="AD91" s="192">
        <v>0</v>
      </c>
      <c r="AE91" s="192">
        <v>0</v>
      </c>
      <c r="AF91" s="192">
        <v>0</v>
      </c>
      <c r="AG91" s="192">
        <v>0</v>
      </c>
      <c r="AH91" s="192">
        <v>0</v>
      </c>
      <c r="AI91" s="192">
        <v>0</v>
      </c>
      <c r="AJ91" s="192">
        <v>0</v>
      </c>
      <c r="AK91" s="192">
        <v>0</v>
      </c>
      <c r="AL91" s="192">
        <v>0</v>
      </c>
      <c r="AM91" s="381">
        <f t="shared" si="10"/>
        <v>0</v>
      </c>
    </row>
    <row r="92" spans="1:39" x14ac:dyDescent="0.2">
      <c r="A92" s="8"/>
      <c r="B92" s="41" t="s">
        <v>90</v>
      </c>
      <c r="C92" s="29" t="s">
        <v>77</v>
      </c>
      <c r="D92" s="8"/>
      <c r="E92" s="27"/>
      <c r="F92" s="192">
        <v>0</v>
      </c>
      <c r="G92" s="192">
        <v>0</v>
      </c>
      <c r="H92" s="192">
        <v>0</v>
      </c>
      <c r="I92" s="192">
        <v>0</v>
      </c>
      <c r="J92" s="192">
        <v>0</v>
      </c>
      <c r="K92" s="192">
        <v>0</v>
      </c>
      <c r="L92" s="192">
        <v>0</v>
      </c>
      <c r="M92" s="192">
        <v>0</v>
      </c>
      <c r="N92" s="192">
        <v>0</v>
      </c>
      <c r="O92" s="192">
        <v>0</v>
      </c>
      <c r="P92" s="192">
        <v>0</v>
      </c>
      <c r="Q92" s="192">
        <v>0</v>
      </c>
      <c r="R92" s="192">
        <v>0</v>
      </c>
      <c r="S92" s="192">
        <v>0</v>
      </c>
      <c r="T92" s="192">
        <v>0</v>
      </c>
      <c r="U92" s="192">
        <v>0</v>
      </c>
      <c r="V92" s="192">
        <v>0</v>
      </c>
      <c r="W92" s="192">
        <v>0</v>
      </c>
      <c r="X92" s="192">
        <v>0</v>
      </c>
      <c r="Y92" s="192">
        <v>0</v>
      </c>
      <c r="Z92" s="192">
        <v>0</v>
      </c>
      <c r="AA92" s="192">
        <v>0</v>
      </c>
      <c r="AB92" s="192">
        <v>0</v>
      </c>
      <c r="AC92" s="192">
        <v>0</v>
      </c>
      <c r="AD92" s="192">
        <v>0</v>
      </c>
      <c r="AE92" s="192">
        <v>0</v>
      </c>
      <c r="AF92" s="192">
        <v>0</v>
      </c>
      <c r="AG92" s="192">
        <v>0</v>
      </c>
      <c r="AH92" s="192">
        <v>0</v>
      </c>
      <c r="AI92" s="192">
        <v>0</v>
      </c>
      <c r="AJ92" s="192">
        <v>0</v>
      </c>
      <c r="AK92" s="192">
        <v>0</v>
      </c>
      <c r="AL92" s="192">
        <v>0</v>
      </c>
      <c r="AM92" s="381">
        <f t="shared" si="10"/>
        <v>0</v>
      </c>
    </row>
    <row r="93" spans="1:39" x14ac:dyDescent="0.2">
      <c r="A93" s="8"/>
      <c r="B93" s="41" t="s">
        <v>91</v>
      </c>
      <c r="C93" s="29" t="s">
        <v>77</v>
      </c>
      <c r="D93" s="8"/>
      <c r="E93" s="27"/>
      <c r="F93" s="192">
        <v>0</v>
      </c>
      <c r="G93" s="192">
        <v>0</v>
      </c>
      <c r="H93" s="192">
        <v>0</v>
      </c>
      <c r="I93" s="192">
        <v>0</v>
      </c>
      <c r="J93" s="192">
        <v>0</v>
      </c>
      <c r="K93" s="192">
        <v>0</v>
      </c>
      <c r="L93" s="192">
        <v>0</v>
      </c>
      <c r="M93" s="192">
        <v>0</v>
      </c>
      <c r="N93" s="192">
        <v>0</v>
      </c>
      <c r="O93" s="192">
        <v>0</v>
      </c>
      <c r="P93" s="192">
        <v>0</v>
      </c>
      <c r="Q93" s="192">
        <v>0</v>
      </c>
      <c r="R93" s="192">
        <v>0</v>
      </c>
      <c r="S93" s="192">
        <v>0</v>
      </c>
      <c r="T93" s="192">
        <v>0</v>
      </c>
      <c r="U93" s="192">
        <v>0</v>
      </c>
      <c r="V93" s="192">
        <v>0</v>
      </c>
      <c r="W93" s="192">
        <v>0</v>
      </c>
      <c r="X93" s="192">
        <v>0</v>
      </c>
      <c r="Y93" s="192">
        <v>0</v>
      </c>
      <c r="Z93" s="192">
        <v>0</v>
      </c>
      <c r="AA93" s="192">
        <v>0</v>
      </c>
      <c r="AB93" s="192">
        <v>0</v>
      </c>
      <c r="AC93" s="192">
        <v>0</v>
      </c>
      <c r="AD93" s="192">
        <v>0</v>
      </c>
      <c r="AE93" s="192">
        <v>0</v>
      </c>
      <c r="AF93" s="192">
        <v>0</v>
      </c>
      <c r="AG93" s="192">
        <v>0</v>
      </c>
      <c r="AH93" s="192">
        <v>0</v>
      </c>
      <c r="AI93" s="192">
        <v>0</v>
      </c>
      <c r="AJ93" s="192">
        <v>0</v>
      </c>
      <c r="AK93" s="192">
        <v>0</v>
      </c>
      <c r="AL93" s="192">
        <v>0</v>
      </c>
      <c r="AM93" s="381">
        <f t="shared" si="10"/>
        <v>0</v>
      </c>
    </row>
    <row r="94" spans="1:39" x14ac:dyDescent="0.2">
      <c r="A94" s="8"/>
      <c r="B94" s="41" t="s">
        <v>92</v>
      </c>
      <c r="C94" s="29" t="s">
        <v>77</v>
      </c>
      <c r="D94" s="8"/>
      <c r="E94" s="27"/>
      <c r="F94" s="192">
        <v>0</v>
      </c>
      <c r="G94" s="192">
        <v>0</v>
      </c>
      <c r="H94" s="192">
        <v>0</v>
      </c>
      <c r="I94" s="192">
        <v>0</v>
      </c>
      <c r="J94" s="192">
        <v>0</v>
      </c>
      <c r="K94" s="192">
        <v>0</v>
      </c>
      <c r="L94" s="192">
        <v>0</v>
      </c>
      <c r="M94" s="192">
        <v>0</v>
      </c>
      <c r="N94" s="192">
        <v>0</v>
      </c>
      <c r="O94" s="192">
        <v>0</v>
      </c>
      <c r="P94" s="192">
        <v>0</v>
      </c>
      <c r="Q94" s="192">
        <v>0</v>
      </c>
      <c r="R94" s="192">
        <v>0</v>
      </c>
      <c r="S94" s="192">
        <v>0</v>
      </c>
      <c r="T94" s="192">
        <v>0</v>
      </c>
      <c r="U94" s="192">
        <v>0</v>
      </c>
      <c r="V94" s="192">
        <v>0</v>
      </c>
      <c r="W94" s="192">
        <v>0</v>
      </c>
      <c r="X94" s="192">
        <v>0</v>
      </c>
      <c r="Y94" s="192">
        <v>0</v>
      </c>
      <c r="Z94" s="192">
        <v>0</v>
      </c>
      <c r="AA94" s="192">
        <v>0</v>
      </c>
      <c r="AB94" s="192">
        <v>0</v>
      </c>
      <c r="AC94" s="192">
        <v>0</v>
      </c>
      <c r="AD94" s="192">
        <v>0</v>
      </c>
      <c r="AE94" s="192">
        <v>0</v>
      </c>
      <c r="AF94" s="192">
        <v>0</v>
      </c>
      <c r="AG94" s="192">
        <v>0</v>
      </c>
      <c r="AH94" s="192">
        <v>0</v>
      </c>
      <c r="AI94" s="192">
        <v>0</v>
      </c>
      <c r="AJ94" s="192">
        <v>0</v>
      </c>
      <c r="AK94" s="192">
        <v>0</v>
      </c>
      <c r="AL94" s="192">
        <v>0</v>
      </c>
      <c r="AM94" s="381">
        <f t="shared" si="10"/>
        <v>0</v>
      </c>
    </row>
    <row r="95" spans="1:39" x14ac:dyDescent="0.2">
      <c r="A95" s="8"/>
      <c r="B95" s="41" t="s">
        <v>93</v>
      </c>
      <c r="C95" s="29" t="s">
        <v>77</v>
      </c>
      <c r="D95" s="8"/>
      <c r="E95" s="27"/>
      <c r="F95" s="192">
        <v>0</v>
      </c>
      <c r="G95" s="192">
        <v>0</v>
      </c>
      <c r="H95" s="192">
        <v>0</v>
      </c>
      <c r="I95" s="192">
        <v>0</v>
      </c>
      <c r="J95" s="192">
        <v>0</v>
      </c>
      <c r="K95" s="192">
        <v>0</v>
      </c>
      <c r="L95" s="192">
        <v>0</v>
      </c>
      <c r="M95" s="192">
        <v>0</v>
      </c>
      <c r="N95" s="192">
        <v>0</v>
      </c>
      <c r="O95" s="192">
        <v>0</v>
      </c>
      <c r="P95" s="192">
        <v>0</v>
      </c>
      <c r="Q95" s="192">
        <v>0</v>
      </c>
      <c r="R95" s="192">
        <v>0</v>
      </c>
      <c r="S95" s="192">
        <v>0</v>
      </c>
      <c r="T95" s="192">
        <v>0</v>
      </c>
      <c r="U95" s="192">
        <v>0</v>
      </c>
      <c r="V95" s="192">
        <v>0</v>
      </c>
      <c r="W95" s="192">
        <v>0</v>
      </c>
      <c r="X95" s="192">
        <v>0</v>
      </c>
      <c r="Y95" s="192">
        <v>0</v>
      </c>
      <c r="Z95" s="192">
        <v>0</v>
      </c>
      <c r="AA95" s="192">
        <v>0</v>
      </c>
      <c r="AB95" s="192">
        <v>0</v>
      </c>
      <c r="AC95" s="192">
        <v>0</v>
      </c>
      <c r="AD95" s="192">
        <v>0</v>
      </c>
      <c r="AE95" s="192">
        <v>0</v>
      </c>
      <c r="AF95" s="192">
        <v>0</v>
      </c>
      <c r="AG95" s="192">
        <v>0</v>
      </c>
      <c r="AH95" s="192">
        <v>0</v>
      </c>
      <c r="AI95" s="192">
        <v>0</v>
      </c>
      <c r="AJ95" s="192">
        <v>0</v>
      </c>
      <c r="AK95" s="192">
        <v>0</v>
      </c>
      <c r="AL95" s="192">
        <v>0</v>
      </c>
      <c r="AM95" s="381">
        <f t="shared" si="10"/>
        <v>0</v>
      </c>
    </row>
    <row r="96" spans="1:39" x14ac:dyDescent="0.2">
      <c r="A96" s="8"/>
      <c r="B96" s="41" t="s">
        <v>94</v>
      </c>
      <c r="C96" s="29" t="s">
        <v>77</v>
      </c>
      <c r="D96" s="8"/>
      <c r="E96" s="27"/>
      <c r="F96" s="192">
        <v>0</v>
      </c>
      <c r="G96" s="192">
        <v>0</v>
      </c>
      <c r="H96" s="192">
        <v>0</v>
      </c>
      <c r="I96" s="192">
        <v>0</v>
      </c>
      <c r="J96" s="192">
        <v>0</v>
      </c>
      <c r="K96" s="192">
        <v>0</v>
      </c>
      <c r="L96" s="192">
        <v>0</v>
      </c>
      <c r="M96" s="192">
        <v>0</v>
      </c>
      <c r="N96" s="192">
        <v>0</v>
      </c>
      <c r="O96" s="192">
        <v>0</v>
      </c>
      <c r="P96" s="192">
        <v>0</v>
      </c>
      <c r="Q96" s="192">
        <v>0</v>
      </c>
      <c r="R96" s="192">
        <v>0</v>
      </c>
      <c r="S96" s="192">
        <v>0</v>
      </c>
      <c r="T96" s="192">
        <v>0</v>
      </c>
      <c r="U96" s="192">
        <v>0</v>
      </c>
      <c r="V96" s="192">
        <v>0</v>
      </c>
      <c r="W96" s="192">
        <v>0</v>
      </c>
      <c r="X96" s="192">
        <v>0</v>
      </c>
      <c r="Y96" s="192">
        <v>0</v>
      </c>
      <c r="Z96" s="192">
        <v>0</v>
      </c>
      <c r="AA96" s="192">
        <v>0</v>
      </c>
      <c r="AB96" s="192">
        <v>0</v>
      </c>
      <c r="AC96" s="192">
        <v>0</v>
      </c>
      <c r="AD96" s="192">
        <v>0</v>
      </c>
      <c r="AE96" s="192">
        <v>0</v>
      </c>
      <c r="AF96" s="192">
        <v>0</v>
      </c>
      <c r="AG96" s="192">
        <v>0</v>
      </c>
      <c r="AH96" s="192">
        <v>0</v>
      </c>
      <c r="AI96" s="192">
        <v>0</v>
      </c>
      <c r="AJ96" s="192">
        <v>0</v>
      </c>
      <c r="AK96" s="192">
        <v>0</v>
      </c>
      <c r="AL96" s="192">
        <v>0</v>
      </c>
      <c r="AM96" s="381">
        <f t="shared" si="10"/>
        <v>0</v>
      </c>
    </row>
    <row r="97" spans="1:39" x14ac:dyDescent="0.2">
      <c r="A97" s="8"/>
      <c r="B97" s="42" t="s">
        <v>95</v>
      </c>
      <c r="C97" s="29" t="s">
        <v>77</v>
      </c>
      <c r="D97" s="8"/>
      <c r="E97" s="27"/>
      <c r="F97" s="192">
        <v>0</v>
      </c>
      <c r="G97" s="192">
        <v>0</v>
      </c>
      <c r="H97" s="192">
        <v>0</v>
      </c>
      <c r="I97" s="192">
        <v>0</v>
      </c>
      <c r="J97" s="192">
        <v>0</v>
      </c>
      <c r="K97" s="192">
        <v>0</v>
      </c>
      <c r="L97" s="192">
        <v>0</v>
      </c>
      <c r="M97" s="192">
        <v>0</v>
      </c>
      <c r="N97" s="192">
        <v>0</v>
      </c>
      <c r="O97" s="192">
        <v>0</v>
      </c>
      <c r="P97" s="192">
        <v>0</v>
      </c>
      <c r="Q97" s="192">
        <v>0</v>
      </c>
      <c r="R97" s="192">
        <v>0</v>
      </c>
      <c r="S97" s="192">
        <v>0</v>
      </c>
      <c r="T97" s="192">
        <v>0</v>
      </c>
      <c r="U97" s="192">
        <v>0</v>
      </c>
      <c r="V97" s="192">
        <v>0</v>
      </c>
      <c r="W97" s="192">
        <v>0</v>
      </c>
      <c r="X97" s="192">
        <v>0</v>
      </c>
      <c r="Y97" s="192">
        <v>0</v>
      </c>
      <c r="Z97" s="192">
        <v>0</v>
      </c>
      <c r="AA97" s="192">
        <v>0</v>
      </c>
      <c r="AB97" s="192">
        <v>0</v>
      </c>
      <c r="AC97" s="192">
        <v>0</v>
      </c>
      <c r="AD97" s="192">
        <v>0</v>
      </c>
      <c r="AE97" s="192">
        <v>0</v>
      </c>
      <c r="AF97" s="192">
        <v>0</v>
      </c>
      <c r="AG97" s="192">
        <v>0</v>
      </c>
      <c r="AH97" s="192">
        <v>0</v>
      </c>
      <c r="AI97" s="192">
        <v>0</v>
      </c>
      <c r="AJ97" s="192">
        <v>0</v>
      </c>
      <c r="AK97" s="192">
        <v>0</v>
      </c>
      <c r="AL97" s="192">
        <v>0</v>
      </c>
      <c r="AM97" s="381">
        <f t="shared" si="10"/>
        <v>0</v>
      </c>
    </row>
    <row r="98" spans="1:39" x14ac:dyDescent="0.2">
      <c r="A98" s="8"/>
      <c r="B98" s="42" t="s">
        <v>96</v>
      </c>
      <c r="C98" s="29" t="s">
        <v>77</v>
      </c>
      <c r="D98" s="8"/>
      <c r="E98" s="27"/>
      <c r="F98" s="192">
        <v>0</v>
      </c>
      <c r="G98" s="192">
        <v>0</v>
      </c>
      <c r="H98" s="192">
        <v>0</v>
      </c>
      <c r="I98" s="192">
        <v>0</v>
      </c>
      <c r="J98" s="192">
        <v>0</v>
      </c>
      <c r="K98" s="192">
        <v>0</v>
      </c>
      <c r="L98" s="192">
        <v>0</v>
      </c>
      <c r="M98" s="192">
        <v>0</v>
      </c>
      <c r="N98" s="192">
        <v>0</v>
      </c>
      <c r="O98" s="192">
        <v>0</v>
      </c>
      <c r="P98" s="192">
        <v>0</v>
      </c>
      <c r="Q98" s="192">
        <v>0</v>
      </c>
      <c r="R98" s="192">
        <v>0</v>
      </c>
      <c r="S98" s="192">
        <v>0</v>
      </c>
      <c r="T98" s="192">
        <v>0</v>
      </c>
      <c r="U98" s="192">
        <v>0</v>
      </c>
      <c r="V98" s="192">
        <v>0</v>
      </c>
      <c r="W98" s="192">
        <v>0</v>
      </c>
      <c r="X98" s="192">
        <v>0</v>
      </c>
      <c r="Y98" s="192">
        <v>0</v>
      </c>
      <c r="Z98" s="192">
        <v>0</v>
      </c>
      <c r="AA98" s="192">
        <v>0</v>
      </c>
      <c r="AB98" s="192">
        <v>0</v>
      </c>
      <c r="AC98" s="192">
        <v>0</v>
      </c>
      <c r="AD98" s="192">
        <v>0</v>
      </c>
      <c r="AE98" s="192">
        <v>0</v>
      </c>
      <c r="AF98" s="192">
        <v>0</v>
      </c>
      <c r="AG98" s="192">
        <v>0</v>
      </c>
      <c r="AH98" s="192">
        <v>0</v>
      </c>
      <c r="AI98" s="192">
        <v>0</v>
      </c>
      <c r="AJ98" s="192">
        <v>0</v>
      </c>
      <c r="AK98" s="192">
        <v>0</v>
      </c>
      <c r="AL98" s="192">
        <v>0</v>
      </c>
      <c r="AM98" s="381">
        <f t="shared" si="10"/>
        <v>0</v>
      </c>
    </row>
    <row r="99" spans="1:39" x14ac:dyDescent="0.2">
      <c r="A99" s="8"/>
      <c r="B99" s="42" t="s">
        <v>97</v>
      </c>
      <c r="C99" s="29" t="s">
        <v>77</v>
      </c>
      <c r="D99" s="8"/>
      <c r="E99" s="27"/>
      <c r="F99" s="192">
        <v>0</v>
      </c>
      <c r="G99" s="192">
        <v>0</v>
      </c>
      <c r="H99" s="192">
        <v>0</v>
      </c>
      <c r="I99" s="192">
        <v>0</v>
      </c>
      <c r="J99" s="192">
        <v>0</v>
      </c>
      <c r="K99" s="192">
        <v>0</v>
      </c>
      <c r="L99" s="192">
        <v>0</v>
      </c>
      <c r="M99" s="192">
        <v>0</v>
      </c>
      <c r="N99" s="192">
        <v>0</v>
      </c>
      <c r="O99" s="192">
        <v>0</v>
      </c>
      <c r="P99" s="192">
        <v>0</v>
      </c>
      <c r="Q99" s="192">
        <v>0</v>
      </c>
      <c r="R99" s="192">
        <v>0</v>
      </c>
      <c r="S99" s="192">
        <v>0</v>
      </c>
      <c r="T99" s="192">
        <v>0</v>
      </c>
      <c r="U99" s="192">
        <v>0</v>
      </c>
      <c r="V99" s="192">
        <v>0</v>
      </c>
      <c r="W99" s="192">
        <v>0</v>
      </c>
      <c r="X99" s="192">
        <v>0</v>
      </c>
      <c r="Y99" s="192">
        <v>0</v>
      </c>
      <c r="Z99" s="192">
        <v>0</v>
      </c>
      <c r="AA99" s="192">
        <v>0</v>
      </c>
      <c r="AB99" s="192">
        <v>0</v>
      </c>
      <c r="AC99" s="192">
        <v>0</v>
      </c>
      <c r="AD99" s="192">
        <v>0</v>
      </c>
      <c r="AE99" s="192">
        <v>0</v>
      </c>
      <c r="AF99" s="192">
        <v>0</v>
      </c>
      <c r="AG99" s="192">
        <v>0</v>
      </c>
      <c r="AH99" s="192">
        <v>0</v>
      </c>
      <c r="AI99" s="192">
        <v>0</v>
      </c>
      <c r="AJ99" s="192">
        <v>0</v>
      </c>
      <c r="AK99" s="192">
        <v>0</v>
      </c>
      <c r="AL99" s="192">
        <v>0</v>
      </c>
      <c r="AM99" s="381">
        <f t="shared" si="10"/>
        <v>0</v>
      </c>
    </row>
    <row r="100" spans="1:39" x14ac:dyDescent="0.2">
      <c r="A100" s="8"/>
      <c r="B100" s="42" t="s">
        <v>98</v>
      </c>
      <c r="C100" s="29" t="s">
        <v>77</v>
      </c>
      <c r="D100" s="8"/>
      <c r="E100" s="27"/>
      <c r="F100" s="192">
        <v>0</v>
      </c>
      <c r="G100" s="192">
        <v>0</v>
      </c>
      <c r="H100" s="192">
        <v>0</v>
      </c>
      <c r="I100" s="192">
        <v>0</v>
      </c>
      <c r="J100" s="192">
        <v>0</v>
      </c>
      <c r="K100" s="192">
        <v>0</v>
      </c>
      <c r="L100" s="192">
        <v>0</v>
      </c>
      <c r="M100" s="192">
        <v>0</v>
      </c>
      <c r="N100" s="192">
        <v>0</v>
      </c>
      <c r="O100" s="192">
        <v>0</v>
      </c>
      <c r="P100" s="192">
        <v>0</v>
      </c>
      <c r="Q100" s="192">
        <v>0</v>
      </c>
      <c r="R100" s="192">
        <v>0</v>
      </c>
      <c r="S100" s="192">
        <v>0</v>
      </c>
      <c r="T100" s="192">
        <v>0</v>
      </c>
      <c r="U100" s="192">
        <v>0</v>
      </c>
      <c r="V100" s="192">
        <v>0</v>
      </c>
      <c r="W100" s="192">
        <v>0</v>
      </c>
      <c r="X100" s="192">
        <v>0</v>
      </c>
      <c r="Y100" s="192">
        <v>0</v>
      </c>
      <c r="Z100" s="192">
        <v>0</v>
      </c>
      <c r="AA100" s="192">
        <v>0</v>
      </c>
      <c r="AB100" s="192">
        <v>0</v>
      </c>
      <c r="AC100" s="192">
        <v>0</v>
      </c>
      <c r="AD100" s="192">
        <v>0</v>
      </c>
      <c r="AE100" s="192">
        <v>0</v>
      </c>
      <c r="AF100" s="192">
        <v>0</v>
      </c>
      <c r="AG100" s="192">
        <v>0</v>
      </c>
      <c r="AH100" s="192">
        <v>0</v>
      </c>
      <c r="AI100" s="192">
        <v>0</v>
      </c>
      <c r="AJ100" s="192">
        <v>0</v>
      </c>
      <c r="AK100" s="192">
        <v>0</v>
      </c>
      <c r="AL100" s="192">
        <v>0</v>
      </c>
      <c r="AM100" s="381">
        <f t="shared" si="10"/>
        <v>0</v>
      </c>
    </row>
    <row r="101" spans="1:39" x14ac:dyDescent="0.2">
      <c r="A101" s="8"/>
      <c r="B101" s="42" t="s">
        <v>99</v>
      </c>
      <c r="C101" s="29" t="s">
        <v>77</v>
      </c>
      <c r="D101" s="8"/>
      <c r="E101" s="27"/>
      <c r="F101" s="192">
        <v>0</v>
      </c>
      <c r="G101" s="192">
        <v>0</v>
      </c>
      <c r="H101" s="192">
        <v>0</v>
      </c>
      <c r="I101" s="192">
        <v>0</v>
      </c>
      <c r="J101" s="192">
        <v>0</v>
      </c>
      <c r="K101" s="192">
        <v>0</v>
      </c>
      <c r="L101" s="192">
        <v>0</v>
      </c>
      <c r="M101" s="192">
        <v>0</v>
      </c>
      <c r="N101" s="192">
        <v>0</v>
      </c>
      <c r="O101" s="192">
        <v>0</v>
      </c>
      <c r="P101" s="192">
        <v>0</v>
      </c>
      <c r="Q101" s="192">
        <v>0</v>
      </c>
      <c r="R101" s="192">
        <v>0</v>
      </c>
      <c r="S101" s="192">
        <v>0</v>
      </c>
      <c r="T101" s="192">
        <v>0</v>
      </c>
      <c r="U101" s="192">
        <v>0</v>
      </c>
      <c r="V101" s="192">
        <v>0</v>
      </c>
      <c r="W101" s="192">
        <v>0</v>
      </c>
      <c r="X101" s="192">
        <v>0</v>
      </c>
      <c r="Y101" s="192">
        <v>0</v>
      </c>
      <c r="Z101" s="192">
        <v>0</v>
      </c>
      <c r="AA101" s="192">
        <v>0</v>
      </c>
      <c r="AB101" s="192">
        <v>0</v>
      </c>
      <c r="AC101" s="192">
        <v>0</v>
      </c>
      <c r="AD101" s="192">
        <v>0</v>
      </c>
      <c r="AE101" s="192">
        <v>0</v>
      </c>
      <c r="AF101" s="192">
        <v>0</v>
      </c>
      <c r="AG101" s="192">
        <v>0</v>
      </c>
      <c r="AH101" s="192">
        <v>0</v>
      </c>
      <c r="AI101" s="192">
        <v>0</v>
      </c>
      <c r="AJ101" s="192">
        <v>0</v>
      </c>
      <c r="AK101" s="192">
        <v>0</v>
      </c>
      <c r="AL101" s="192">
        <v>0</v>
      </c>
      <c r="AM101" s="381">
        <f t="shared" si="10"/>
        <v>0</v>
      </c>
    </row>
    <row r="102" spans="1:39" x14ac:dyDescent="0.2">
      <c r="A102" s="8"/>
      <c r="B102" s="42" t="s">
        <v>100</v>
      </c>
      <c r="C102" s="29" t="s">
        <v>77</v>
      </c>
      <c r="D102" s="8"/>
      <c r="E102" s="27"/>
      <c r="F102" s="192">
        <v>0</v>
      </c>
      <c r="G102" s="192">
        <v>0</v>
      </c>
      <c r="H102" s="192">
        <v>0</v>
      </c>
      <c r="I102" s="192">
        <v>0</v>
      </c>
      <c r="J102" s="192">
        <v>0</v>
      </c>
      <c r="K102" s="192">
        <v>0</v>
      </c>
      <c r="L102" s="192">
        <v>0</v>
      </c>
      <c r="M102" s="192">
        <v>0</v>
      </c>
      <c r="N102" s="192">
        <v>0</v>
      </c>
      <c r="O102" s="192">
        <v>0</v>
      </c>
      <c r="P102" s="192">
        <v>0</v>
      </c>
      <c r="Q102" s="192">
        <v>0</v>
      </c>
      <c r="R102" s="192">
        <v>0</v>
      </c>
      <c r="S102" s="192">
        <v>0</v>
      </c>
      <c r="T102" s="192">
        <v>0</v>
      </c>
      <c r="U102" s="192">
        <v>0</v>
      </c>
      <c r="V102" s="192">
        <v>0</v>
      </c>
      <c r="W102" s="192">
        <v>0</v>
      </c>
      <c r="X102" s="192">
        <v>0</v>
      </c>
      <c r="Y102" s="192">
        <v>0</v>
      </c>
      <c r="Z102" s="192">
        <v>0</v>
      </c>
      <c r="AA102" s="192">
        <v>0</v>
      </c>
      <c r="AB102" s="192">
        <v>0</v>
      </c>
      <c r="AC102" s="192">
        <v>0</v>
      </c>
      <c r="AD102" s="192">
        <v>0</v>
      </c>
      <c r="AE102" s="192">
        <v>0</v>
      </c>
      <c r="AF102" s="192">
        <v>0</v>
      </c>
      <c r="AG102" s="192">
        <v>0</v>
      </c>
      <c r="AH102" s="192">
        <v>0</v>
      </c>
      <c r="AI102" s="192">
        <v>0</v>
      </c>
      <c r="AJ102" s="192">
        <v>0</v>
      </c>
      <c r="AK102" s="192">
        <v>0</v>
      </c>
      <c r="AL102" s="192">
        <v>0</v>
      </c>
      <c r="AM102" s="381">
        <f t="shared" si="10"/>
        <v>0</v>
      </c>
    </row>
    <row r="103" spans="1:39" x14ac:dyDescent="0.2">
      <c r="A103" s="8"/>
      <c r="B103" s="42" t="s">
        <v>101</v>
      </c>
      <c r="C103" s="29" t="s">
        <v>77</v>
      </c>
      <c r="D103" s="8"/>
      <c r="E103" s="27"/>
      <c r="F103" s="192">
        <v>0</v>
      </c>
      <c r="G103" s="192">
        <v>0</v>
      </c>
      <c r="H103" s="192">
        <v>0</v>
      </c>
      <c r="I103" s="192">
        <v>0</v>
      </c>
      <c r="J103" s="192">
        <v>0</v>
      </c>
      <c r="K103" s="192">
        <v>0</v>
      </c>
      <c r="L103" s="192">
        <v>0</v>
      </c>
      <c r="M103" s="192">
        <v>0</v>
      </c>
      <c r="N103" s="192">
        <v>0</v>
      </c>
      <c r="O103" s="192">
        <v>0</v>
      </c>
      <c r="P103" s="192">
        <v>0</v>
      </c>
      <c r="Q103" s="192">
        <v>0</v>
      </c>
      <c r="R103" s="192">
        <v>0</v>
      </c>
      <c r="S103" s="192">
        <v>0</v>
      </c>
      <c r="T103" s="192">
        <v>0</v>
      </c>
      <c r="U103" s="192">
        <v>0</v>
      </c>
      <c r="V103" s="192">
        <v>0</v>
      </c>
      <c r="W103" s="192">
        <v>0</v>
      </c>
      <c r="X103" s="192">
        <v>0</v>
      </c>
      <c r="Y103" s="192">
        <v>0</v>
      </c>
      <c r="Z103" s="192">
        <v>0</v>
      </c>
      <c r="AA103" s="192">
        <v>0</v>
      </c>
      <c r="AB103" s="192">
        <v>0</v>
      </c>
      <c r="AC103" s="192">
        <v>0</v>
      </c>
      <c r="AD103" s="192">
        <v>0</v>
      </c>
      <c r="AE103" s="192">
        <v>0</v>
      </c>
      <c r="AF103" s="192">
        <v>0</v>
      </c>
      <c r="AG103" s="192">
        <v>0</v>
      </c>
      <c r="AH103" s="192">
        <v>0</v>
      </c>
      <c r="AI103" s="192">
        <v>0</v>
      </c>
      <c r="AJ103" s="192">
        <v>0</v>
      </c>
      <c r="AK103" s="192">
        <v>0</v>
      </c>
      <c r="AL103" s="192">
        <v>0</v>
      </c>
      <c r="AM103" s="381">
        <f t="shared" si="10"/>
        <v>0</v>
      </c>
    </row>
    <row r="104" spans="1:39" x14ac:dyDescent="0.2">
      <c r="A104" s="8"/>
      <c r="B104" s="42" t="s">
        <v>102</v>
      </c>
      <c r="C104" s="29" t="s">
        <v>77</v>
      </c>
      <c r="D104" s="8"/>
      <c r="E104" s="27"/>
      <c r="F104" s="192">
        <v>0</v>
      </c>
      <c r="G104" s="192">
        <v>0</v>
      </c>
      <c r="H104" s="192">
        <v>0</v>
      </c>
      <c r="I104" s="192">
        <v>0</v>
      </c>
      <c r="J104" s="192">
        <v>0</v>
      </c>
      <c r="K104" s="192">
        <v>0</v>
      </c>
      <c r="L104" s="192">
        <v>0</v>
      </c>
      <c r="M104" s="192">
        <v>0</v>
      </c>
      <c r="N104" s="192">
        <v>0</v>
      </c>
      <c r="O104" s="192">
        <v>0</v>
      </c>
      <c r="P104" s="192">
        <v>0</v>
      </c>
      <c r="Q104" s="192">
        <v>0</v>
      </c>
      <c r="R104" s="192">
        <v>0</v>
      </c>
      <c r="S104" s="192">
        <v>0</v>
      </c>
      <c r="T104" s="192">
        <v>0</v>
      </c>
      <c r="U104" s="192">
        <v>0</v>
      </c>
      <c r="V104" s="192">
        <v>0</v>
      </c>
      <c r="W104" s="192">
        <v>0</v>
      </c>
      <c r="X104" s="192">
        <v>0</v>
      </c>
      <c r="Y104" s="192">
        <v>0</v>
      </c>
      <c r="Z104" s="192">
        <v>0</v>
      </c>
      <c r="AA104" s="192">
        <v>0</v>
      </c>
      <c r="AB104" s="192">
        <v>0</v>
      </c>
      <c r="AC104" s="192">
        <v>0</v>
      </c>
      <c r="AD104" s="192">
        <v>0</v>
      </c>
      <c r="AE104" s="192">
        <v>0</v>
      </c>
      <c r="AF104" s="192">
        <v>0</v>
      </c>
      <c r="AG104" s="192">
        <v>0</v>
      </c>
      <c r="AH104" s="192">
        <v>0</v>
      </c>
      <c r="AI104" s="192">
        <v>0</v>
      </c>
      <c r="AJ104" s="192">
        <v>0</v>
      </c>
      <c r="AK104" s="192">
        <v>0</v>
      </c>
      <c r="AL104" s="192">
        <v>0</v>
      </c>
      <c r="AM104" s="381">
        <f t="shared" si="10"/>
        <v>0</v>
      </c>
    </row>
    <row r="105" spans="1:39" x14ac:dyDescent="0.2">
      <c r="A105" s="8"/>
      <c r="B105" s="42" t="s">
        <v>103</v>
      </c>
      <c r="C105" s="29" t="s">
        <v>77</v>
      </c>
      <c r="D105" s="8"/>
      <c r="E105" s="27"/>
      <c r="F105" s="192">
        <v>0</v>
      </c>
      <c r="G105" s="192">
        <v>0</v>
      </c>
      <c r="H105" s="192">
        <v>0</v>
      </c>
      <c r="I105" s="192">
        <v>0</v>
      </c>
      <c r="J105" s="192">
        <v>0</v>
      </c>
      <c r="K105" s="192">
        <v>0</v>
      </c>
      <c r="L105" s="192">
        <v>0</v>
      </c>
      <c r="M105" s="192">
        <v>0</v>
      </c>
      <c r="N105" s="192">
        <v>0</v>
      </c>
      <c r="O105" s="192">
        <v>0</v>
      </c>
      <c r="P105" s="192">
        <v>0</v>
      </c>
      <c r="Q105" s="192">
        <v>0</v>
      </c>
      <c r="R105" s="192">
        <v>0</v>
      </c>
      <c r="S105" s="192">
        <v>0</v>
      </c>
      <c r="T105" s="192">
        <v>0</v>
      </c>
      <c r="U105" s="192">
        <v>0</v>
      </c>
      <c r="V105" s="192">
        <v>0</v>
      </c>
      <c r="W105" s="192">
        <v>0</v>
      </c>
      <c r="X105" s="192">
        <v>0</v>
      </c>
      <c r="Y105" s="192">
        <v>0</v>
      </c>
      <c r="Z105" s="192">
        <v>0</v>
      </c>
      <c r="AA105" s="192">
        <v>0</v>
      </c>
      <c r="AB105" s="192">
        <v>0</v>
      </c>
      <c r="AC105" s="192">
        <v>0</v>
      </c>
      <c r="AD105" s="192">
        <v>0</v>
      </c>
      <c r="AE105" s="192">
        <v>0</v>
      </c>
      <c r="AF105" s="192">
        <v>0</v>
      </c>
      <c r="AG105" s="192">
        <v>0</v>
      </c>
      <c r="AH105" s="192">
        <v>0</v>
      </c>
      <c r="AI105" s="192">
        <v>0</v>
      </c>
      <c r="AJ105" s="192">
        <v>0</v>
      </c>
      <c r="AK105" s="192">
        <v>0</v>
      </c>
      <c r="AL105" s="192">
        <v>0</v>
      </c>
      <c r="AM105" s="381">
        <f t="shared" si="10"/>
        <v>0</v>
      </c>
    </row>
    <row r="106" spans="1:39" x14ac:dyDescent="0.2">
      <c r="A106" s="8"/>
      <c r="B106" s="42" t="s">
        <v>104</v>
      </c>
      <c r="C106" s="29" t="s">
        <v>77</v>
      </c>
      <c r="D106" s="8"/>
      <c r="E106" s="27"/>
      <c r="F106" s="192">
        <v>0</v>
      </c>
      <c r="G106" s="192">
        <v>0</v>
      </c>
      <c r="H106" s="192">
        <v>0</v>
      </c>
      <c r="I106" s="192">
        <v>0</v>
      </c>
      <c r="J106" s="192">
        <v>0</v>
      </c>
      <c r="K106" s="192">
        <v>0</v>
      </c>
      <c r="L106" s="192">
        <v>0</v>
      </c>
      <c r="M106" s="192">
        <v>0</v>
      </c>
      <c r="N106" s="192">
        <v>0</v>
      </c>
      <c r="O106" s="192">
        <v>0</v>
      </c>
      <c r="P106" s="192">
        <v>0</v>
      </c>
      <c r="Q106" s="192">
        <v>0</v>
      </c>
      <c r="R106" s="192">
        <v>0</v>
      </c>
      <c r="S106" s="192">
        <v>0</v>
      </c>
      <c r="T106" s="192">
        <v>0</v>
      </c>
      <c r="U106" s="192">
        <v>0</v>
      </c>
      <c r="V106" s="192">
        <v>0</v>
      </c>
      <c r="W106" s="192">
        <v>0</v>
      </c>
      <c r="X106" s="192">
        <v>0</v>
      </c>
      <c r="Y106" s="192">
        <v>0</v>
      </c>
      <c r="Z106" s="192">
        <v>0</v>
      </c>
      <c r="AA106" s="192">
        <v>0</v>
      </c>
      <c r="AB106" s="192">
        <v>0</v>
      </c>
      <c r="AC106" s="192">
        <v>0</v>
      </c>
      <c r="AD106" s="192">
        <v>0</v>
      </c>
      <c r="AE106" s="192">
        <v>0</v>
      </c>
      <c r="AF106" s="192">
        <v>0</v>
      </c>
      <c r="AG106" s="192">
        <v>0</v>
      </c>
      <c r="AH106" s="192">
        <v>0</v>
      </c>
      <c r="AI106" s="192">
        <v>0</v>
      </c>
      <c r="AJ106" s="192">
        <v>0</v>
      </c>
      <c r="AK106" s="192">
        <v>0</v>
      </c>
      <c r="AL106" s="192">
        <v>0</v>
      </c>
      <c r="AM106" s="381">
        <f t="shared" si="10"/>
        <v>0</v>
      </c>
    </row>
    <row r="107" spans="1:39" x14ac:dyDescent="0.2">
      <c r="A107" s="8"/>
      <c r="B107" s="42" t="s">
        <v>105</v>
      </c>
      <c r="C107" s="29" t="s">
        <v>77</v>
      </c>
      <c r="D107" s="8"/>
      <c r="E107" s="27"/>
      <c r="F107" s="192">
        <v>0</v>
      </c>
      <c r="G107" s="192">
        <v>0</v>
      </c>
      <c r="H107" s="192">
        <v>0</v>
      </c>
      <c r="I107" s="192">
        <v>0</v>
      </c>
      <c r="J107" s="192">
        <v>0</v>
      </c>
      <c r="K107" s="192">
        <v>0</v>
      </c>
      <c r="L107" s="192">
        <v>0</v>
      </c>
      <c r="M107" s="192">
        <v>0</v>
      </c>
      <c r="N107" s="192">
        <v>0</v>
      </c>
      <c r="O107" s="192">
        <v>0</v>
      </c>
      <c r="P107" s="192">
        <v>0</v>
      </c>
      <c r="Q107" s="192">
        <v>0</v>
      </c>
      <c r="R107" s="192">
        <v>0</v>
      </c>
      <c r="S107" s="192">
        <v>0</v>
      </c>
      <c r="T107" s="192">
        <v>0</v>
      </c>
      <c r="U107" s="192">
        <v>0</v>
      </c>
      <c r="V107" s="192">
        <v>0</v>
      </c>
      <c r="W107" s="192">
        <v>0</v>
      </c>
      <c r="X107" s="192">
        <v>0</v>
      </c>
      <c r="Y107" s="192">
        <v>0</v>
      </c>
      <c r="Z107" s="192">
        <v>0</v>
      </c>
      <c r="AA107" s="192">
        <v>0</v>
      </c>
      <c r="AB107" s="192">
        <v>0</v>
      </c>
      <c r="AC107" s="192">
        <v>0</v>
      </c>
      <c r="AD107" s="192">
        <v>0</v>
      </c>
      <c r="AE107" s="192">
        <v>0</v>
      </c>
      <c r="AF107" s="192">
        <v>0</v>
      </c>
      <c r="AG107" s="192">
        <v>0</v>
      </c>
      <c r="AH107" s="192">
        <v>0</v>
      </c>
      <c r="AI107" s="192">
        <v>0</v>
      </c>
      <c r="AJ107" s="192">
        <v>0</v>
      </c>
      <c r="AK107" s="192">
        <v>0</v>
      </c>
      <c r="AL107" s="192">
        <v>0</v>
      </c>
      <c r="AM107" s="381">
        <f t="shared" si="10"/>
        <v>0</v>
      </c>
    </row>
    <row r="108" spans="1:39" x14ac:dyDescent="0.2">
      <c r="A108" s="8"/>
      <c r="B108" s="42" t="s">
        <v>106</v>
      </c>
      <c r="C108" s="29" t="s">
        <v>77</v>
      </c>
      <c r="D108" s="8"/>
      <c r="E108" s="27"/>
      <c r="F108" s="192">
        <v>0</v>
      </c>
      <c r="G108" s="192">
        <v>0</v>
      </c>
      <c r="H108" s="192">
        <v>0</v>
      </c>
      <c r="I108" s="192">
        <v>0</v>
      </c>
      <c r="J108" s="192">
        <v>0</v>
      </c>
      <c r="K108" s="192">
        <v>0</v>
      </c>
      <c r="L108" s="192">
        <v>0</v>
      </c>
      <c r="M108" s="192">
        <v>0</v>
      </c>
      <c r="N108" s="192">
        <v>0</v>
      </c>
      <c r="O108" s="192">
        <v>0</v>
      </c>
      <c r="P108" s="192">
        <v>0</v>
      </c>
      <c r="Q108" s="192">
        <v>0</v>
      </c>
      <c r="R108" s="192">
        <v>0</v>
      </c>
      <c r="S108" s="192">
        <v>0</v>
      </c>
      <c r="T108" s="192">
        <v>0</v>
      </c>
      <c r="U108" s="192">
        <v>0</v>
      </c>
      <c r="V108" s="192">
        <v>0</v>
      </c>
      <c r="W108" s="192">
        <v>0</v>
      </c>
      <c r="X108" s="192">
        <v>0</v>
      </c>
      <c r="Y108" s="192">
        <v>0</v>
      </c>
      <c r="Z108" s="192">
        <v>0</v>
      </c>
      <c r="AA108" s="192">
        <v>0</v>
      </c>
      <c r="AB108" s="192">
        <v>0</v>
      </c>
      <c r="AC108" s="192">
        <v>0</v>
      </c>
      <c r="AD108" s="192">
        <v>0</v>
      </c>
      <c r="AE108" s="192">
        <v>0</v>
      </c>
      <c r="AF108" s="192">
        <v>0</v>
      </c>
      <c r="AG108" s="192">
        <v>0</v>
      </c>
      <c r="AH108" s="192">
        <v>0</v>
      </c>
      <c r="AI108" s="192">
        <v>0</v>
      </c>
      <c r="AJ108" s="192">
        <v>0</v>
      </c>
      <c r="AK108" s="192">
        <v>0</v>
      </c>
      <c r="AL108" s="192">
        <v>0</v>
      </c>
      <c r="AM108" s="381">
        <f t="shared" si="10"/>
        <v>0</v>
      </c>
    </row>
    <row r="109" spans="1:39" x14ac:dyDescent="0.2">
      <c r="A109" s="8"/>
      <c r="B109" s="42" t="s">
        <v>107</v>
      </c>
      <c r="C109" s="29" t="s">
        <v>77</v>
      </c>
      <c r="D109" s="8"/>
      <c r="E109" s="27"/>
      <c r="F109" s="192">
        <v>0</v>
      </c>
      <c r="G109" s="192">
        <v>0</v>
      </c>
      <c r="H109" s="192">
        <v>0</v>
      </c>
      <c r="I109" s="192">
        <v>0</v>
      </c>
      <c r="J109" s="192">
        <v>0</v>
      </c>
      <c r="K109" s="192">
        <v>0</v>
      </c>
      <c r="L109" s="192">
        <v>0</v>
      </c>
      <c r="M109" s="192">
        <v>0</v>
      </c>
      <c r="N109" s="192">
        <v>0</v>
      </c>
      <c r="O109" s="192">
        <v>0</v>
      </c>
      <c r="P109" s="192">
        <v>0</v>
      </c>
      <c r="Q109" s="192">
        <v>0</v>
      </c>
      <c r="R109" s="192">
        <v>0</v>
      </c>
      <c r="S109" s="192">
        <v>0</v>
      </c>
      <c r="T109" s="192">
        <v>0</v>
      </c>
      <c r="U109" s="192">
        <v>0</v>
      </c>
      <c r="V109" s="192">
        <v>0</v>
      </c>
      <c r="W109" s="192">
        <v>0</v>
      </c>
      <c r="X109" s="192">
        <v>0</v>
      </c>
      <c r="Y109" s="192">
        <v>0</v>
      </c>
      <c r="Z109" s="192">
        <v>0</v>
      </c>
      <c r="AA109" s="192">
        <v>0</v>
      </c>
      <c r="AB109" s="192">
        <v>0</v>
      </c>
      <c r="AC109" s="192">
        <v>0</v>
      </c>
      <c r="AD109" s="192">
        <v>0</v>
      </c>
      <c r="AE109" s="192">
        <v>0</v>
      </c>
      <c r="AF109" s="192">
        <v>0</v>
      </c>
      <c r="AG109" s="192">
        <v>0</v>
      </c>
      <c r="AH109" s="192">
        <v>0</v>
      </c>
      <c r="AI109" s="192">
        <v>0</v>
      </c>
      <c r="AJ109" s="192">
        <v>0</v>
      </c>
      <c r="AK109" s="192">
        <v>0</v>
      </c>
      <c r="AL109" s="192">
        <v>0</v>
      </c>
      <c r="AM109" s="381">
        <f t="shared" si="10"/>
        <v>0</v>
      </c>
    </row>
    <row r="110" spans="1:39" x14ac:dyDescent="0.2">
      <c r="A110" s="8"/>
      <c r="B110" s="42" t="s">
        <v>108</v>
      </c>
      <c r="C110" s="29" t="s">
        <v>77</v>
      </c>
      <c r="D110" s="8"/>
      <c r="E110" s="27"/>
      <c r="F110" s="192">
        <v>0</v>
      </c>
      <c r="G110" s="192">
        <v>0</v>
      </c>
      <c r="H110" s="192">
        <v>0</v>
      </c>
      <c r="I110" s="192">
        <v>0</v>
      </c>
      <c r="J110" s="192">
        <v>0</v>
      </c>
      <c r="K110" s="192">
        <v>0</v>
      </c>
      <c r="L110" s="192">
        <v>0</v>
      </c>
      <c r="M110" s="192">
        <v>0</v>
      </c>
      <c r="N110" s="192">
        <v>0</v>
      </c>
      <c r="O110" s="192">
        <v>0</v>
      </c>
      <c r="P110" s="192">
        <v>0</v>
      </c>
      <c r="Q110" s="192">
        <v>0</v>
      </c>
      <c r="R110" s="192">
        <v>0</v>
      </c>
      <c r="S110" s="192">
        <v>0</v>
      </c>
      <c r="T110" s="192">
        <v>0</v>
      </c>
      <c r="U110" s="192">
        <v>0</v>
      </c>
      <c r="V110" s="192">
        <v>0</v>
      </c>
      <c r="W110" s="192">
        <v>0</v>
      </c>
      <c r="X110" s="192">
        <v>0</v>
      </c>
      <c r="Y110" s="192">
        <v>0</v>
      </c>
      <c r="Z110" s="192">
        <v>0</v>
      </c>
      <c r="AA110" s="192">
        <v>0</v>
      </c>
      <c r="AB110" s="192">
        <v>0</v>
      </c>
      <c r="AC110" s="192">
        <v>0</v>
      </c>
      <c r="AD110" s="192">
        <v>0</v>
      </c>
      <c r="AE110" s="192">
        <v>0</v>
      </c>
      <c r="AF110" s="192">
        <v>0</v>
      </c>
      <c r="AG110" s="192">
        <v>0</v>
      </c>
      <c r="AH110" s="192">
        <v>0</v>
      </c>
      <c r="AI110" s="192">
        <v>0</v>
      </c>
      <c r="AJ110" s="192">
        <v>0</v>
      </c>
      <c r="AK110" s="192">
        <v>0</v>
      </c>
      <c r="AL110" s="192">
        <v>0</v>
      </c>
      <c r="AM110" s="381">
        <f t="shared" si="10"/>
        <v>0</v>
      </c>
    </row>
    <row r="111" spans="1:39" x14ac:dyDescent="0.2">
      <c r="A111" s="8"/>
      <c r="B111" s="42" t="s">
        <v>109</v>
      </c>
      <c r="C111" s="29" t="s">
        <v>77</v>
      </c>
      <c r="D111" s="8"/>
      <c r="E111" s="27"/>
      <c r="F111" s="192">
        <v>0</v>
      </c>
      <c r="G111" s="192">
        <v>0</v>
      </c>
      <c r="H111" s="192">
        <v>0</v>
      </c>
      <c r="I111" s="192">
        <v>0</v>
      </c>
      <c r="J111" s="192">
        <v>0</v>
      </c>
      <c r="K111" s="192">
        <v>0</v>
      </c>
      <c r="L111" s="192">
        <v>0</v>
      </c>
      <c r="M111" s="192">
        <v>0</v>
      </c>
      <c r="N111" s="192">
        <v>0</v>
      </c>
      <c r="O111" s="192">
        <v>0</v>
      </c>
      <c r="P111" s="192">
        <v>0</v>
      </c>
      <c r="Q111" s="192">
        <v>0</v>
      </c>
      <c r="R111" s="192">
        <v>0</v>
      </c>
      <c r="S111" s="192">
        <v>0</v>
      </c>
      <c r="T111" s="192">
        <v>0</v>
      </c>
      <c r="U111" s="192">
        <v>0</v>
      </c>
      <c r="V111" s="192">
        <v>0</v>
      </c>
      <c r="W111" s="192">
        <v>0</v>
      </c>
      <c r="X111" s="192">
        <v>0</v>
      </c>
      <c r="Y111" s="192">
        <v>0</v>
      </c>
      <c r="Z111" s="192">
        <v>0</v>
      </c>
      <c r="AA111" s="192">
        <v>0</v>
      </c>
      <c r="AB111" s="192">
        <v>0</v>
      </c>
      <c r="AC111" s="192">
        <v>0</v>
      </c>
      <c r="AD111" s="192">
        <v>0</v>
      </c>
      <c r="AE111" s="192">
        <v>0</v>
      </c>
      <c r="AF111" s="192">
        <v>0</v>
      </c>
      <c r="AG111" s="192">
        <v>0</v>
      </c>
      <c r="AH111" s="192">
        <v>0</v>
      </c>
      <c r="AI111" s="192">
        <v>0</v>
      </c>
      <c r="AJ111" s="192">
        <v>0</v>
      </c>
      <c r="AK111" s="192">
        <v>0</v>
      </c>
      <c r="AL111" s="192">
        <v>0</v>
      </c>
      <c r="AM111" s="381">
        <f t="shared" si="10"/>
        <v>0</v>
      </c>
    </row>
    <row r="112" spans="1:39" x14ac:dyDescent="0.2">
      <c r="A112" s="8"/>
      <c r="B112" s="42" t="s">
        <v>110</v>
      </c>
      <c r="C112" s="29" t="s">
        <v>77</v>
      </c>
      <c r="D112" s="8"/>
      <c r="E112" s="27"/>
      <c r="F112" s="192">
        <v>0</v>
      </c>
      <c r="G112" s="192">
        <v>0</v>
      </c>
      <c r="H112" s="192">
        <v>0</v>
      </c>
      <c r="I112" s="192">
        <v>0</v>
      </c>
      <c r="J112" s="192">
        <v>0</v>
      </c>
      <c r="K112" s="192">
        <v>0</v>
      </c>
      <c r="L112" s="192">
        <v>0</v>
      </c>
      <c r="M112" s="192">
        <v>0</v>
      </c>
      <c r="N112" s="192">
        <v>0</v>
      </c>
      <c r="O112" s="192">
        <v>0</v>
      </c>
      <c r="P112" s="192">
        <v>0</v>
      </c>
      <c r="Q112" s="192">
        <v>0</v>
      </c>
      <c r="R112" s="192">
        <v>0</v>
      </c>
      <c r="S112" s="192">
        <v>0</v>
      </c>
      <c r="T112" s="192">
        <v>0</v>
      </c>
      <c r="U112" s="192">
        <v>0</v>
      </c>
      <c r="V112" s="192">
        <v>0</v>
      </c>
      <c r="W112" s="192">
        <v>0</v>
      </c>
      <c r="X112" s="192">
        <v>0</v>
      </c>
      <c r="Y112" s="192">
        <v>0</v>
      </c>
      <c r="Z112" s="192">
        <v>0</v>
      </c>
      <c r="AA112" s="192">
        <v>0</v>
      </c>
      <c r="AB112" s="192">
        <v>0</v>
      </c>
      <c r="AC112" s="192">
        <v>0</v>
      </c>
      <c r="AD112" s="192">
        <v>0</v>
      </c>
      <c r="AE112" s="192">
        <v>0</v>
      </c>
      <c r="AF112" s="192">
        <v>0</v>
      </c>
      <c r="AG112" s="192">
        <v>0</v>
      </c>
      <c r="AH112" s="192">
        <v>0</v>
      </c>
      <c r="AI112" s="192">
        <v>0</v>
      </c>
      <c r="AJ112" s="192">
        <v>0</v>
      </c>
      <c r="AK112" s="192">
        <v>0</v>
      </c>
      <c r="AL112" s="192">
        <v>0</v>
      </c>
      <c r="AM112" s="381">
        <f t="shared" si="10"/>
        <v>0</v>
      </c>
    </row>
    <row r="113" spans="1:39" x14ac:dyDescent="0.2">
      <c r="A113" s="8"/>
      <c r="B113" s="42" t="s">
        <v>111</v>
      </c>
      <c r="C113" s="29" t="s">
        <v>77</v>
      </c>
      <c r="D113" s="8"/>
      <c r="E113" s="27"/>
      <c r="F113" s="192">
        <v>0</v>
      </c>
      <c r="G113" s="192">
        <v>0</v>
      </c>
      <c r="H113" s="192">
        <v>0</v>
      </c>
      <c r="I113" s="192">
        <v>0</v>
      </c>
      <c r="J113" s="192">
        <v>0</v>
      </c>
      <c r="K113" s="192">
        <v>0</v>
      </c>
      <c r="L113" s="192">
        <v>0</v>
      </c>
      <c r="M113" s="192">
        <v>0</v>
      </c>
      <c r="N113" s="192">
        <v>0</v>
      </c>
      <c r="O113" s="192">
        <v>0</v>
      </c>
      <c r="P113" s="192">
        <v>0</v>
      </c>
      <c r="Q113" s="192">
        <v>0</v>
      </c>
      <c r="R113" s="192">
        <v>0</v>
      </c>
      <c r="S113" s="192">
        <v>0</v>
      </c>
      <c r="T113" s="192">
        <v>0</v>
      </c>
      <c r="U113" s="192">
        <v>0</v>
      </c>
      <c r="V113" s="192">
        <v>0</v>
      </c>
      <c r="W113" s="192">
        <v>0</v>
      </c>
      <c r="X113" s="192">
        <v>0</v>
      </c>
      <c r="Y113" s="192">
        <v>0</v>
      </c>
      <c r="Z113" s="192">
        <v>0</v>
      </c>
      <c r="AA113" s="192">
        <v>0</v>
      </c>
      <c r="AB113" s="192">
        <v>0</v>
      </c>
      <c r="AC113" s="192">
        <v>0</v>
      </c>
      <c r="AD113" s="192">
        <v>0</v>
      </c>
      <c r="AE113" s="192">
        <v>0</v>
      </c>
      <c r="AF113" s="192">
        <v>0</v>
      </c>
      <c r="AG113" s="192">
        <v>0</v>
      </c>
      <c r="AH113" s="192">
        <v>0</v>
      </c>
      <c r="AI113" s="192">
        <v>0</v>
      </c>
      <c r="AJ113" s="192">
        <v>0</v>
      </c>
      <c r="AK113" s="192">
        <v>0</v>
      </c>
      <c r="AL113" s="192">
        <v>0</v>
      </c>
      <c r="AM113" s="381">
        <f t="shared" si="10"/>
        <v>0</v>
      </c>
    </row>
    <row r="114" spans="1:39" x14ac:dyDescent="0.2">
      <c r="A114" s="8"/>
      <c r="B114" s="42" t="s">
        <v>112</v>
      </c>
      <c r="C114" s="29" t="s">
        <v>77</v>
      </c>
      <c r="D114" s="8"/>
      <c r="E114" s="27"/>
      <c r="F114" s="192">
        <v>0</v>
      </c>
      <c r="G114" s="192">
        <v>0</v>
      </c>
      <c r="H114" s="192">
        <v>0</v>
      </c>
      <c r="I114" s="192">
        <v>0</v>
      </c>
      <c r="J114" s="192">
        <v>0</v>
      </c>
      <c r="K114" s="192">
        <v>0</v>
      </c>
      <c r="L114" s="192">
        <v>0</v>
      </c>
      <c r="M114" s="192">
        <v>0</v>
      </c>
      <c r="N114" s="192">
        <v>0</v>
      </c>
      <c r="O114" s="192">
        <v>0</v>
      </c>
      <c r="P114" s="192">
        <v>0</v>
      </c>
      <c r="Q114" s="192">
        <v>0</v>
      </c>
      <c r="R114" s="192">
        <v>0</v>
      </c>
      <c r="S114" s="192">
        <v>0</v>
      </c>
      <c r="T114" s="192">
        <v>0</v>
      </c>
      <c r="U114" s="192">
        <v>0</v>
      </c>
      <c r="V114" s="192">
        <v>0</v>
      </c>
      <c r="W114" s="192">
        <v>0</v>
      </c>
      <c r="X114" s="192">
        <v>0</v>
      </c>
      <c r="Y114" s="192">
        <v>0</v>
      </c>
      <c r="Z114" s="192">
        <v>0</v>
      </c>
      <c r="AA114" s="192">
        <v>0</v>
      </c>
      <c r="AB114" s="192">
        <v>0</v>
      </c>
      <c r="AC114" s="192">
        <v>0</v>
      </c>
      <c r="AD114" s="192">
        <v>0</v>
      </c>
      <c r="AE114" s="192">
        <v>0</v>
      </c>
      <c r="AF114" s="192">
        <v>0</v>
      </c>
      <c r="AG114" s="192">
        <v>0</v>
      </c>
      <c r="AH114" s="192">
        <v>0</v>
      </c>
      <c r="AI114" s="192">
        <v>0</v>
      </c>
      <c r="AJ114" s="192">
        <v>0</v>
      </c>
      <c r="AK114" s="192">
        <v>0</v>
      </c>
      <c r="AL114" s="192">
        <v>0</v>
      </c>
      <c r="AM114" s="381">
        <f t="shared" si="10"/>
        <v>0</v>
      </c>
    </row>
    <row r="115" spans="1:39" x14ac:dyDescent="0.2">
      <c r="A115" s="8"/>
      <c r="B115" s="42" t="s">
        <v>113</v>
      </c>
      <c r="C115" s="29" t="s">
        <v>77</v>
      </c>
      <c r="D115" s="8"/>
      <c r="E115" s="27"/>
      <c r="F115" s="192">
        <v>0</v>
      </c>
      <c r="G115" s="192">
        <v>0</v>
      </c>
      <c r="H115" s="192">
        <v>0</v>
      </c>
      <c r="I115" s="192">
        <v>0</v>
      </c>
      <c r="J115" s="192">
        <v>0</v>
      </c>
      <c r="K115" s="192">
        <v>0</v>
      </c>
      <c r="L115" s="192">
        <v>0</v>
      </c>
      <c r="M115" s="192">
        <v>0</v>
      </c>
      <c r="N115" s="192">
        <v>0</v>
      </c>
      <c r="O115" s="192">
        <v>0</v>
      </c>
      <c r="P115" s="192">
        <v>0</v>
      </c>
      <c r="Q115" s="192">
        <v>0</v>
      </c>
      <c r="R115" s="192">
        <v>0</v>
      </c>
      <c r="S115" s="192">
        <v>0</v>
      </c>
      <c r="T115" s="192">
        <v>0</v>
      </c>
      <c r="U115" s="192">
        <v>0</v>
      </c>
      <c r="V115" s="192">
        <v>0</v>
      </c>
      <c r="W115" s="192">
        <v>0</v>
      </c>
      <c r="X115" s="192">
        <v>0</v>
      </c>
      <c r="Y115" s="192">
        <v>0</v>
      </c>
      <c r="Z115" s="192">
        <v>0</v>
      </c>
      <c r="AA115" s="192">
        <v>0</v>
      </c>
      <c r="AB115" s="192">
        <v>0</v>
      </c>
      <c r="AC115" s="192">
        <v>0</v>
      </c>
      <c r="AD115" s="192">
        <v>0</v>
      </c>
      <c r="AE115" s="192">
        <v>0</v>
      </c>
      <c r="AF115" s="192">
        <v>0</v>
      </c>
      <c r="AG115" s="192">
        <v>0</v>
      </c>
      <c r="AH115" s="192">
        <v>0</v>
      </c>
      <c r="AI115" s="192">
        <v>0</v>
      </c>
      <c r="AJ115" s="192">
        <v>0</v>
      </c>
      <c r="AK115" s="192">
        <v>0</v>
      </c>
      <c r="AL115" s="192">
        <v>0</v>
      </c>
      <c r="AM115" s="381">
        <f t="shared" si="10"/>
        <v>0</v>
      </c>
    </row>
    <row r="116" spans="1:39" x14ac:dyDescent="0.2">
      <c r="A116" s="8"/>
      <c r="B116" s="42" t="s">
        <v>114</v>
      </c>
      <c r="C116" s="29" t="s">
        <v>77</v>
      </c>
      <c r="D116" s="8"/>
      <c r="E116" s="27"/>
      <c r="F116" s="192">
        <v>0</v>
      </c>
      <c r="G116" s="192">
        <v>0</v>
      </c>
      <c r="H116" s="192">
        <v>0</v>
      </c>
      <c r="I116" s="192">
        <v>0</v>
      </c>
      <c r="J116" s="192">
        <v>0</v>
      </c>
      <c r="K116" s="192">
        <v>0</v>
      </c>
      <c r="L116" s="192">
        <v>0</v>
      </c>
      <c r="M116" s="192">
        <v>0</v>
      </c>
      <c r="N116" s="192">
        <v>0</v>
      </c>
      <c r="O116" s="192">
        <v>0</v>
      </c>
      <c r="P116" s="192">
        <v>0</v>
      </c>
      <c r="Q116" s="192">
        <v>0</v>
      </c>
      <c r="R116" s="192">
        <v>0</v>
      </c>
      <c r="S116" s="192">
        <v>0</v>
      </c>
      <c r="T116" s="192">
        <v>0</v>
      </c>
      <c r="U116" s="192">
        <v>0</v>
      </c>
      <c r="V116" s="192">
        <v>0</v>
      </c>
      <c r="W116" s="192">
        <v>0</v>
      </c>
      <c r="X116" s="192">
        <v>0</v>
      </c>
      <c r="Y116" s="192">
        <v>0</v>
      </c>
      <c r="Z116" s="192">
        <v>0</v>
      </c>
      <c r="AA116" s="192">
        <v>0</v>
      </c>
      <c r="AB116" s="192">
        <v>0</v>
      </c>
      <c r="AC116" s="192">
        <v>0</v>
      </c>
      <c r="AD116" s="192">
        <v>0</v>
      </c>
      <c r="AE116" s="192">
        <v>0</v>
      </c>
      <c r="AF116" s="192">
        <v>0</v>
      </c>
      <c r="AG116" s="192">
        <v>0</v>
      </c>
      <c r="AH116" s="192">
        <v>0</v>
      </c>
      <c r="AI116" s="192">
        <v>0</v>
      </c>
      <c r="AJ116" s="192">
        <v>0</v>
      </c>
      <c r="AK116" s="192">
        <v>0</v>
      </c>
      <c r="AL116" s="192">
        <v>0</v>
      </c>
      <c r="AM116" s="381">
        <f t="shared" si="10"/>
        <v>0</v>
      </c>
    </row>
    <row r="117" spans="1:39" x14ac:dyDescent="0.2">
      <c r="A117" s="8"/>
      <c r="B117" s="42" t="s">
        <v>115</v>
      </c>
      <c r="C117" s="29" t="s">
        <v>77</v>
      </c>
      <c r="D117" s="8"/>
      <c r="E117" s="27"/>
      <c r="F117" s="192">
        <v>0</v>
      </c>
      <c r="G117" s="192">
        <v>0</v>
      </c>
      <c r="H117" s="192">
        <v>0</v>
      </c>
      <c r="I117" s="192">
        <v>0</v>
      </c>
      <c r="J117" s="192">
        <v>0</v>
      </c>
      <c r="K117" s="192">
        <v>0</v>
      </c>
      <c r="L117" s="192">
        <v>0</v>
      </c>
      <c r="M117" s="192">
        <v>0</v>
      </c>
      <c r="N117" s="192">
        <v>0</v>
      </c>
      <c r="O117" s="192">
        <v>0</v>
      </c>
      <c r="P117" s="192">
        <v>0</v>
      </c>
      <c r="Q117" s="192">
        <v>0</v>
      </c>
      <c r="R117" s="192">
        <v>0</v>
      </c>
      <c r="S117" s="192">
        <v>0</v>
      </c>
      <c r="T117" s="192">
        <v>0</v>
      </c>
      <c r="U117" s="192">
        <v>0</v>
      </c>
      <c r="V117" s="192">
        <v>0</v>
      </c>
      <c r="W117" s="192">
        <v>0</v>
      </c>
      <c r="X117" s="192">
        <v>0</v>
      </c>
      <c r="Y117" s="192">
        <v>0</v>
      </c>
      <c r="Z117" s="192">
        <v>0</v>
      </c>
      <c r="AA117" s="192">
        <v>0</v>
      </c>
      <c r="AB117" s="192">
        <v>0</v>
      </c>
      <c r="AC117" s="192">
        <v>0</v>
      </c>
      <c r="AD117" s="192">
        <v>0</v>
      </c>
      <c r="AE117" s="192">
        <v>0</v>
      </c>
      <c r="AF117" s="192">
        <v>0</v>
      </c>
      <c r="AG117" s="192">
        <v>0</v>
      </c>
      <c r="AH117" s="192">
        <v>0</v>
      </c>
      <c r="AI117" s="192">
        <v>0</v>
      </c>
      <c r="AJ117" s="192">
        <v>0</v>
      </c>
      <c r="AK117" s="192">
        <v>0</v>
      </c>
      <c r="AL117" s="192">
        <v>0</v>
      </c>
      <c r="AM117" s="381">
        <f t="shared" si="10"/>
        <v>0</v>
      </c>
    </row>
    <row r="118" spans="1:39" x14ac:dyDescent="0.2">
      <c r="A118" s="8"/>
      <c r="B118" s="42" t="s">
        <v>116</v>
      </c>
      <c r="C118" s="29" t="s">
        <v>77</v>
      </c>
      <c r="D118" s="8"/>
      <c r="E118" s="27"/>
      <c r="F118" s="192">
        <v>0</v>
      </c>
      <c r="G118" s="192">
        <v>0</v>
      </c>
      <c r="H118" s="192">
        <v>0</v>
      </c>
      <c r="I118" s="192">
        <v>0</v>
      </c>
      <c r="J118" s="192">
        <v>0</v>
      </c>
      <c r="K118" s="192">
        <v>0</v>
      </c>
      <c r="L118" s="192">
        <v>0</v>
      </c>
      <c r="M118" s="192">
        <v>0</v>
      </c>
      <c r="N118" s="192">
        <v>0</v>
      </c>
      <c r="O118" s="192">
        <v>0</v>
      </c>
      <c r="P118" s="192">
        <v>0</v>
      </c>
      <c r="Q118" s="192">
        <v>0</v>
      </c>
      <c r="R118" s="192">
        <v>0</v>
      </c>
      <c r="S118" s="192">
        <v>0</v>
      </c>
      <c r="T118" s="192">
        <v>0</v>
      </c>
      <c r="U118" s="192">
        <v>0</v>
      </c>
      <c r="V118" s="192">
        <v>0</v>
      </c>
      <c r="W118" s="192">
        <v>0</v>
      </c>
      <c r="X118" s="192">
        <v>0</v>
      </c>
      <c r="Y118" s="192">
        <v>0</v>
      </c>
      <c r="Z118" s="192">
        <v>0</v>
      </c>
      <c r="AA118" s="192">
        <v>0</v>
      </c>
      <c r="AB118" s="192">
        <v>0</v>
      </c>
      <c r="AC118" s="192">
        <v>0</v>
      </c>
      <c r="AD118" s="192">
        <v>0</v>
      </c>
      <c r="AE118" s="192">
        <v>0</v>
      </c>
      <c r="AF118" s="192">
        <v>0</v>
      </c>
      <c r="AG118" s="192">
        <v>0</v>
      </c>
      <c r="AH118" s="192">
        <v>0</v>
      </c>
      <c r="AI118" s="192">
        <v>0</v>
      </c>
      <c r="AJ118" s="192">
        <v>0</v>
      </c>
      <c r="AK118" s="192">
        <v>0</v>
      </c>
      <c r="AL118" s="192">
        <v>0</v>
      </c>
      <c r="AM118" s="381">
        <f t="shared" si="10"/>
        <v>0</v>
      </c>
    </row>
    <row r="119" spans="1:39" x14ac:dyDescent="0.2">
      <c r="A119" s="8"/>
      <c r="B119" s="42" t="s">
        <v>117</v>
      </c>
      <c r="C119" s="29" t="s">
        <v>77</v>
      </c>
      <c r="D119" s="8"/>
      <c r="E119" s="27"/>
      <c r="F119" s="192">
        <v>0</v>
      </c>
      <c r="G119" s="192">
        <v>0</v>
      </c>
      <c r="H119" s="192">
        <v>0</v>
      </c>
      <c r="I119" s="192">
        <v>0</v>
      </c>
      <c r="J119" s="192">
        <v>0</v>
      </c>
      <c r="K119" s="192">
        <v>0</v>
      </c>
      <c r="L119" s="192">
        <v>0</v>
      </c>
      <c r="M119" s="192">
        <v>0</v>
      </c>
      <c r="N119" s="192">
        <v>0</v>
      </c>
      <c r="O119" s="192">
        <v>0</v>
      </c>
      <c r="P119" s="192">
        <v>0</v>
      </c>
      <c r="Q119" s="192">
        <v>0</v>
      </c>
      <c r="R119" s="192">
        <v>0</v>
      </c>
      <c r="S119" s="192">
        <v>0</v>
      </c>
      <c r="T119" s="192">
        <v>0</v>
      </c>
      <c r="U119" s="192">
        <v>0</v>
      </c>
      <c r="V119" s="192">
        <v>0</v>
      </c>
      <c r="W119" s="192">
        <v>0</v>
      </c>
      <c r="X119" s="192">
        <v>0</v>
      </c>
      <c r="Y119" s="192">
        <v>0</v>
      </c>
      <c r="Z119" s="192">
        <v>0</v>
      </c>
      <c r="AA119" s="192">
        <v>0</v>
      </c>
      <c r="AB119" s="192">
        <v>0</v>
      </c>
      <c r="AC119" s="192">
        <v>0</v>
      </c>
      <c r="AD119" s="192">
        <v>0</v>
      </c>
      <c r="AE119" s="192">
        <v>0</v>
      </c>
      <c r="AF119" s="192">
        <v>0</v>
      </c>
      <c r="AG119" s="192">
        <v>0</v>
      </c>
      <c r="AH119" s="192">
        <v>0</v>
      </c>
      <c r="AI119" s="192">
        <v>0</v>
      </c>
      <c r="AJ119" s="192">
        <v>0</v>
      </c>
      <c r="AK119" s="192">
        <v>0</v>
      </c>
      <c r="AL119" s="192">
        <v>0</v>
      </c>
      <c r="AM119" s="381">
        <f t="shared" si="10"/>
        <v>0</v>
      </c>
    </row>
    <row r="120" spans="1:39" x14ac:dyDescent="0.2">
      <c r="A120" s="8"/>
      <c r="B120" s="42" t="s">
        <v>118</v>
      </c>
      <c r="C120" s="29" t="s">
        <v>77</v>
      </c>
      <c r="D120" s="8"/>
      <c r="E120" s="27"/>
      <c r="F120" s="192">
        <v>0</v>
      </c>
      <c r="G120" s="192">
        <v>0</v>
      </c>
      <c r="H120" s="192">
        <v>0</v>
      </c>
      <c r="I120" s="192">
        <v>0</v>
      </c>
      <c r="J120" s="192">
        <v>0</v>
      </c>
      <c r="K120" s="192">
        <v>0</v>
      </c>
      <c r="L120" s="192">
        <v>0</v>
      </c>
      <c r="M120" s="192">
        <v>0</v>
      </c>
      <c r="N120" s="192">
        <v>0</v>
      </c>
      <c r="O120" s="192">
        <v>0</v>
      </c>
      <c r="P120" s="192">
        <v>0</v>
      </c>
      <c r="Q120" s="192">
        <v>0</v>
      </c>
      <c r="R120" s="192">
        <v>0</v>
      </c>
      <c r="S120" s="192">
        <v>0</v>
      </c>
      <c r="T120" s="192">
        <v>0</v>
      </c>
      <c r="U120" s="192">
        <v>0</v>
      </c>
      <c r="V120" s="192">
        <v>0</v>
      </c>
      <c r="W120" s="192">
        <v>0</v>
      </c>
      <c r="X120" s="192">
        <v>0</v>
      </c>
      <c r="Y120" s="192">
        <v>0</v>
      </c>
      <c r="Z120" s="192">
        <v>0</v>
      </c>
      <c r="AA120" s="192">
        <v>0</v>
      </c>
      <c r="AB120" s="192">
        <v>0</v>
      </c>
      <c r="AC120" s="192">
        <v>0</v>
      </c>
      <c r="AD120" s="192">
        <v>0</v>
      </c>
      <c r="AE120" s="192">
        <v>0</v>
      </c>
      <c r="AF120" s="192">
        <v>0</v>
      </c>
      <c r="AG120" s="192">
        <v>0</v>
      </c>
      <c r="AH120" s="192">
        <v>0</v>
      </c>
      <c r="AI120" s="192">
        <v>0</v>
      </c>
      <c r="AJ120" s="192">
        <v>0</v>
      </c>
      <c r="AK120" s="192">
        <v>0</v>
      </c>
      <c r="AL120" s="192">
        <v>0</v>
      </c>
      <c r="AM120" s="381">
        <f t="shared" si="10"/>
        <v>0</v>
      </c>
    </row>
    <row r="121" spans="1:39" x14ac:dyDescent="0.2">
      <c r="A121" s="8"/>
      <c r="B121" s="42" t="s">
        <v>119</v>
      </c>
      <c r="C121" s="29" t="s">
        <v>77</v>
      </c>
      <c r="D121" s="8"/>
      <c r="E121" s="27"/>
      <c r="F121" s="192">
        <v>0</v>
      </c>
      <c r="G121" s="192">
        <v>0</v>
      </c>
      <c r="H121" s="192">
        <v>0</v>
      </c>
      <c r="I121" s="192">
        <v>0</v>
      </c>
      <c r="J121" s="192">
        <v>0</v>
      </c>
      <c r="K121" s="192">
        <v>0</v>
      </c>
      <c r="L121" s="192">
        <v>0</v>
      </c>
      <c r="M121" s="192">
        <v>0</v>
      </c>
      <c r="N121" s="192">
        <v>0</v>
      </c>
      <c r="O121" s="192">
        <v>0</v>
      </c>
      <c r="P121" s="192">
        <v>0</v>
      </c>
      <c r="Q121" s="192">
        <v>0</v>
      </c>
      <c r="R121" s="192">
        <v>0</v>
      </c>
      <c r="S121" s="192">
        <v>0</v>
      </c>
      <c r="T121" s="192">
        <v>0</v>
      </c>
      <c r="U121" s="192">
        <v>0</v>
      </c>
      <c r="V121" s="192">
        <v>0</v>
      </c>
      <c r="W121" s="192">
        <v>0</v>
      </c>
      <c r="X121" s="192">
        <v>0</v>
      </c>
      <c r="Y121" s="192">
        <v>0</v>
      </c>
      <c r="Z121" s="192">
        <v>0</v>
      </c>
      <c r="AA121" s="192">
        <v>0</v>
      </c>
      <c r="AB121" s="192">
        <v>0</v>
      </c>
      <c r="AC121" s="192">
        <v>0</v>
      </c>
      <c r="AD121" s="192">
        <v>0</v>
      </c>
      <c r="AE121" s="192">
        <v>0</v>
      </c>
      <c r="AF121" s="192">
        <v>0</v>
      </c>
      <c r="AG121" s="192">
        <v>0</v>
      </c>
      <c r="AH121" s="192">
        <v>0</v>
      </c>
      <c r="AI121" s="192">
        <v>0</v>
      </c>
      <c r="AJ121" s="192">
        <v>0</v>
      </c>
      <c r="AK121" s="192">
        <v>0</v>
      </c>
      <c r="AL121" s="192">
        <v>0</v>
      </c>
      <c r="AM121" s="381">
        <f t="shared" si="10"/>
        <v>0</v>
      </c>
    </row>
    <row r="122" spans="1:39" x14ac:dyDescent="0.2">
      <c r="A122" s="8"/>
      <c r="B122" s="42" t="s">
        <v>120</v>
      </c>
      <c r="C122" s="29" t="s">
        <v>77</v>
      </c>
      <c r="D122" s="8"/>
      <c r="E122" s="27"/>
      <c r="F122" s="192">
        <v>0</v>
      </c>
      <c r="G122" s="192">
        <v>0</v>
      </c>
      <c r="H122" s="192">
        <v>0</v>
      </c>
      <c r="I122" s="192">
        <v>0</v>
      </c>
      <c r="J122" s="192">
        <v>0</v>
      </c>
      <c r="K122" s="192">
        <v>0</v>
      </c>
      <c r="L122" s="192">
        <v>0</v>
      </c>
      <c r="M122" s="192">
        <v>0</v>
      </c>
      <c r="N122" s="192">
        <v>0</v>
      </c>
      <c r="O122" s="192">
        <v>0</v>
      </c>
      <c r="P122" s="192">
        <v>0</v>
      </c>
      <c r="Q122" s="192">
        <v>0</v>
      </c>
      <c r="R122" s="192">
        <v>0</v>
      </c>
      <c r="S122" s="192">
        <v>0</v>
      </c>
      <c r="T122" s="192">
        <v>0</v>
      </c>
      <c r="U122" s="192">
        <v>0</v>
      </c>
      <c r="V122" s="192">
        <v>0</v>
      </c>
      <c r="W122" s="192">
        <v>0</v>
      </c>
      <c r="X122" s="192">
        <v>0</v>
      </c>
      <c r="Y122" s="192">
        <v>0</v>
      </c>
      <c r="Z122" s="192">
        <v>0</v>
      </c>
      <c r="AA122" s="192">
        <v>0</v>
      </c>
      <c r="AB122" s="192">
        <v>0</v>
      </c>
      <c r="AC122" s="192">
        <v>0</v>
      </c>
      <c r="AD122" s="192">
        <v>0</v>
      </c>
      <c r="AE122" s="192">
        <v>0</v>
      </c>
      <c r="AF122" s="192">
        <v>0</v>
      </c>
      <c r="AG122" s="192">
        <v>0</v>
      </c>
      <c r="AH122" s="192">
        <v>0</v>
      </c>
      <c r="AI122" s="192">
        <v>0</v>
      </c>
      <c r="AJ122" s="192">
        <v>0</v>
      </c>
      <c r="AK122" s="192">
        <v>0</v>
      </c>
      <c r="AL122" s="192">
        <v>0</v>
      </c>
      <c r="AM122" s="381">
        <f t="shared" si="10"/>
        <v>0</v>
      </c>
    </row>
    <row r="123" spans="1:39" x14ac:dyDescent="0.2">
      <c r="A123" s="8"/>
      <c r="B123" s="33"/>
      <c r="C123" s="29"/>
      <c r="D123" s="8"/>
      <c r="E123" s="27"/>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381"/>
    </row>
    <row r="124" spans="1:39" x14ac:dyDescent="0.2">
      <c r="A124" s="8"/>
      <c r="B124" s="40" t="s">
        <v>122</v>
      </c>
      <c r="C124" s="29"/>
      <c r="D124" s="8"/>
      <c r="E124" s="27"/>
      <c r="F124" s="192">
        <f>SUM(F89:F122)</f>
        <v>0</v>
      </c>
      <c r="G124" s="192">
        <f t="shared" ref="G124:AL124" si="11">SUM(G89:G122)</f>
        <v>0</v>
      </c>
      <c r="H124" s="192">
        <f t="shared" si="11"/>
        <v>0</v>
      </c>
      <c r="I124" s="192">
        <f t="shared" si="11"/>
        <v>0</v>
      </c>
      <c r="J124" s="192">
        <f t="shared" si="11"/>
        <v>0</v>
      </c>
      <c r="K124" s="192">
        <f t="shared" si="11"/>
        <v>0</v>
      </c>
      <c r="L124" s="192">
        <f t="shared" si="11"/>
        <v>0</v>
      </c>
      <c r="M124" s="192">
        <f t="shared" si="11"/>
        <v>0</v>
      </c>
      <c r="N124" s="192">
        <f t="shared" si="11"/>
        <v>0</v>
      </c>
      <c r="O124" s="192">
        <f t="shared" si="11"/>
        <v>0</v>
      </c>
      <c r="P124" s="192">
        <f t="shared" si="11"/>
        <v>0</v>
      </c>
      <c r="Q124" s="192">
        <f t="shared" si="11"/>
        <v>0</v>
      </c>
      <c r="R124" s="192">
        <f t="shared" si="11"/>
        <v>0</v>
      </c>
      <c r="S124" s="192">
        <f t="shared" si="11"/>
        <v>0</v>
      </c>
      <c r="T124" s="192">
        <f t="shared" si="11"/>
        <v>0</v>
      </c>
      <c r="U124" s="192">
        <f t="shared" si="11"/>
        <v>0</v>
      </c>
      <c r="V124" s="192">
        <f t="shared" si="11"/>
        <v>0</v>
      </c>
      <c r="W124" s="192">
        <f t="shared" si="11"/>
        <v>0</v>
      </c>
      <c r="X124" s="192">
        <f t="shared" si="11"/>
        <v>0</v>
      </c>
      <c r="Y124" s="192">
        <f t="shared" si="11"/>
        <v>0</v>
      </c>
      <c r="Z124" s="192">
        <f t="shared" si="11"/>
        <v>0</v>
      </c>
      <c r="AA124" s="192">
        <f t="shared" si="11"/>
        <v>0</v>
      </c>
      <c r="AB124" s="192">
        <f t="shared" si="11"/>
        <v>0</v>
      </c>
      <c r="AC124" s="192">
        <f t="shared" si="11"/>
        <v>0</v>
      </c>
      <c r="AD124" s="192">
        <f t="shared" si="11"/>
        <v>0</v>
      </c>
      <c r="AE124" s="192">
        <f t="shared" si="11"/>
        <v>0</v>
      </c>
      <c r="AF124" s="192">
        <f t="shared" si="11"/>
        <v>0</v>
      </c>
      <c r="AG124" s="192">
        <f t="shared" si="11"/>
        <v>0</v>
      </c>
      <c r="AH124" s="192">
        <f t="shared" si="11"/>
        <v>0</v>
      </c>
      <c r="AI124" s="192">
        <f t="shared" si="11"/>
        <v>0</v>
      </c>
      <c r="AJ124" s="192">
        <f t="shared" si="11"/>
        <v>0</v>
      </c>
      <c r="AK124" s="192">
        <f t="shared" si="11"/>
        <v>0</v>
      </c>
      <c r="AL124" s="192">
        <f t="shared" si="11"/>
        <v>0</v>
      </c>
      <c r="AM124" s="381">
        <f t="shared" si="10"/>
        <v>0</v>
      </c>
    </row>
    <row r="125" spans="1:39"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07"/>
    </row>
    <row r="126" spans="1:39" ht="23.25" x14ac:dyDescent="0.35">
      <c r="A126" s="9"/>
      <c r="B126" s="10" t="s">
        <v>123</v>
      </c>
      <c r="C126" s="11"/>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107"/>
    </row>
    <row r="127" spans="1:39" x14ac:dyDescent="0.2">
      <c r="A127" s="8"/>
      <c r="B127" s="23" t="s">
        <v>124</v>
      </c>
      <c r="C127" s="18"/>
      <c r="D127" s="19"/>
      <c r="E127" s="27"/>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07"/>
    </row>
    <row r="128" spans="1:39" s="364" customFormat="1" x14ac:dyDescent="0.2">
      <c r="A128" s="8"/>
      <c r="B128" s="365" t="s">
        <v>86</v>
      </c>
      <c r="C128" s="22" t="s">
        <v>125</v>
      </c>
      <c r="D128" s="8"/>
      <c r="E128" s="17"/>
      <c r="F128" s="366">
        <f>F$289*hypo!BY29/F251*100</f>
        <v>2373.1587674873394</v>
      </c>
      <c r="G128" s="366">
        <f>G$289*hypo!BZ29/G251*100</f>
        <v>1796.0178987014815</v>
      </c>
      <c r="H128" s="366">
        <f>H$289*hypo!CA29/H251*100</f>
        <v>1328.7433220065218</v>
      </c>
      <c r="I128" s="366">
        <f>I$289*hypo!CB29/I251*100</f>
        <v>6150.8669164810453</v>
      </c>
      <c r="J128" s="366">
        <f>J$289*hypo!CC29/J251*100</f>
        <v>2060.6276131560899</v>
      </c>
      <c r="K128" s="366">
        <f>K$289*hypo!CD29/K251*100</f>
        <v>793.58190773458239</v>
      </c>
      <c r="L128" s="366">
        <f>L$289*hypo!CE29/L251*100</f>
        <v>474.94302034838876</v>
      </c>
      <c r="M128" s="366">
        <f>M$289*hypo!CF29/M251*100</f>
        <v>3248.4729661148749</v>
      </c>
      <c r="N128" s="366">
        <f>N$289*hypo!CG29/N251*100</f>
        <v>3485.5488613913535</v>
      </c>
      <c r="O128" s="366">
        <f>O$289*hypo!CH29/O251*100</f>
        <v>1492.1206301232048</v>
      </c>
      <c r="P128" s="366">
        <f>P$289*hypo!CI29/P251*100</f>
        <v>1763.5148238159843</v>
      </c>
      <c r="Q128" s="366">
        <f>Q$289*hypo!CJ29/Q251*100</f>
        <v>435.51485506426502</v>
      </c>
      <c r="R128" s="366">
        <f>R$289*hypo!CK29/R251*100</f>
        <v>1877.8482323560429</v>
      </c>
      <c r="S128" s="366">
        <f>S$289*hypo!CL29/S251*100</f>
        <v>1823.084054643067</v>
      </c>
      <c r="T128" s="366">
        <f>T$289*hypo!CM29/T251*100</f>
        <v>3399.0912454740737</v>
      </c>
      <c r="U128" s="366">
        <f>U$289*hypo!CN29/U251*100</f>
        <v>6382.8904919421548</v>
      </c>
      <c r="V128" s="366">
        <f>V$289*hypo!CO29/V251*100</f>
        <v>1997.3231374999884</v>
      </c>
      <c r="W128" s="366">
        <f>W$289*hypo!CP29/W251*100</f>
        <v>184.52137478936854</v>
      </c>
      <c r="X128" s="366">
        <f>X$289*hypo!CQ29/X251*100</f>
        <v>23.840638341889377</v>
      </c>
      <c r="Y128" s="366">
        <f>Y$289*hypo!CR29/Y251*100</f>
        <v>254.21724146588764</v>
      </c>
      <c r="Z128" s="366">
        <f>Z$289*hypo!CS29/Z251*100</f>
        <v>187.55472056624524</v>
      </c>
      <c r="AA128" s="366">
        <f>AA$289*hypo!CT29/AA251*100</f>
        <v>389.14712191505316</v>
      </c>
      <c r="AB128" s="366">
        <f>AB$289*hypo!CU29/AB251*100</f>
        <v>66.579305913791515</v>
      </c>
      <c r="AC128" s="366">
        <f>AC$289*hypo!CV29/AC251*100</f>
        <v>4417.3782996498157</v>
      </c>
      <c r="AD128" s="366">
        <f>AD$289*hypo!CW29/AD251*100</f>
        <v>48.401565135797689</v>
      </c>
      <c r="AE128" s="366">
        <f>AE$289*hypo!CX29/AE251*100</f>
        <v>103.43216075842825</v>
      </c>
      <c r="AF128" s="366">
        <f>AF$289*hypo!CY29/AF251*100</f>
        <v>13.664247476794037</v>
      </c>
      <c r="AG128" s="366">
        <f>AG$289*hypo!CZ29/AG251*100</f>
        <v>277.97836473311969</v>
      </c>
      <c r="AH128" s="366">
        <f>AH$289*hypo!DA29/AH251*100</f>
        <v>55.833631794207307</v>
      </c>
      <c r="AI128" s="366">
        <f>AI$289*hypo!DB29/AI251*100</f>
        <v>175.09649997087149</v>
      </c>
      <c r="AJ128" s="366">
        <f>AJ$289*hypo!DC29/AJ251*100</f>
        <v>366.08326346821741</v>
      </c>
      <c r="AK128" s="366">
        <f>AK$289*hypo!DD29/AK251*100</f>
        <v>274.15240124761419</v>
      </c>
      <c r="AL128" s="366">
        <f>AL$289*hypo!DE29/AL251*100</f>
        <v>25.465608821627754</v>
      </c>
      <c r="AM128" s="379">
        <f t="shared" ref="AM128:AM163" si="12">SUM(F128:AL128)</f>
        <v>47746.69519038919</v>
      </c>
    </row>
    <row r="129" spans="1:39" s="364" customFormat="1" x14ac:dyDescent="0.2">
      <c r="A129" s="8"/>
      <c r="B129" s="365" t="s">
        <v>88</v>
      </c>
      <c r="C129" s="22" t="s">
        <v>125</v>
      </c>
      <c r="D129" s="8"/>
      <c r="E129" s="17"/>
      <c r="F129" s="366">
        <f>F$289*hypo!BY30/F252*100</f>
        <v>5.7943640222538457</v>
      </c>
      <c r="G129" s="366">
        <f>G$289*hypo!BZ30/G252*100</f>
        <v>0.59291107756078587</v>
      </c>
      <c r="H129" s="366">
        <f>H$289*hypo!CA30/H252*100</f>
        <v>14.043012780988251</v>
      </c>
      <c r="I129" s="366">
        <f>I$289*hypo!CB30/I252*100</f>
        <v>5.3424615952638383</v>
      </c>
      <c r="J129" s="366">
        <f>J$289*hypo!CC30/J252*100</f>
        <v>3.0130287988645992</v>
      </c>
      <c r="K129" s="366">
        <f>K$289*hypo!CD30/K252*100</f>
        <v>0.26668696220175286</v>
      </c>
      <c r="L129" s="366">
        <f>L$289*hypo!CE30/L252*100</f>
        <v>9.321583453499345E-2</v>
      </c>
      <c r="M129" s="366">
        <f>M$289*hypo!CF30/M252*100</f>
        <v>1.281858935874383</v>
      </c>
      <c r="N129" s="366">
        <f>N$289*hypo!CG30/N252*100</f>
        <v>2.9880974559446556</v>
      </c>
      <c r="O129" s="366">
        <f>O$289*hypo!CH30/O252*100</f>
        <v>7.1052109898466904</v>
      </c>
      <c r="P129" s="366">
        <f>P$289*hypo!CI30/P252*100</f>
        <v>6.2072371600945839</v>
      </c>
      <c r="Q129" s="366">
        <f>Q$289*hypo!CJ30/Q252*100</f>
        <v>1.0027875254064262</v>
      </c>
      <c r="R129" s="366">
        <f>R$289*hypo!CK30/R252*100</f>
        <v>1.9785715622870803</v>
      </c>
      <c r="S129" s="366">
        <f>S$289*hypo!CL30/S252*100</f>
        <v>2.85417664823964</v>
      </c>
      <c r="T129" s="366">
        <f>T$289*hypo!CM30/T252*100</f>
        <v>9.635462667532158</v>
      </c>
      <c r="U129" s="366">
        <f>U$289*hypo!CN30/U252*100</f>
        <v>35.972751406385392</v>
      </c>
      <c r="V129" s="366">
        <f>V$289*hypo!CO30/V252*100</f>
        <v>40.082359979241161</v>
      </c>
      <c r="W129" s="366">
        <f>W$289*hypo!CP30/W252*100</f>
        <v>5.0727410012132941</v>
      </c>
      <c r="X129" s="366">
        <f>X$289*hypo!CQ30/X252*100</f>
        <v>0.39356743714445547</v>
      </c>
      <c r="Y129" s="366">
        <f>Y$289*hypo!CR30/Y252*100</f>
        <v>2.6468961244421423</v>
      </c>
      <c r="Z129" s="366">
        <f>Z$289*hypo!CS30/Z252*100</f>
        <v>2.4522159671588675</v>
      </c>
      <c r="AA129" s="366">
        <f>AA$289*hypo!CT30/AA252*100</f>
        <v>5.8916159889347632</v>
      </c>
      <c r="AB129" s="366">
        <f>AB$289*hypo!CU30/AB252*100</f>
        <v>7.5899933175251526</v>
      </c>
      <c r="AC129" s="366">
        <f>AC$289*hypo!CV30/AC252*100</f>
        <v>2.9038906327523271</v>
      </c>
      <c r="AD129" s="366">
        <f>AD$289*hypo!CW30/AD252*100</f>
        <v>0.40024890223447923</v>
      </c>
      <c r="AE129" s="366">
        <f>AE$289*hypo!CX30/AE252*100</f>
        <v>0.29790708748822281</v>
      </c>
      <c r="AF129" s="366">
        <f>AF$289*hypo!CY30/AF252*100</f>
        <v>0.34699986813385125</v>
      </c>
      <c r="AG129" s="366">
        <f>AG$289*hypo!CZ30/AG252*100</f>
        <v>1.1899088056692864</v>
      </c>
      <c r="AH129" s="366">
        <f>AH$289*hypo!DA30/AH252*100</f>
        <v>6.6596281643437338</v>
      </c>
      <c r="AI129" s="366">
        <f>AI$289*hypo!DB30/AI252*100</f>
        <v>0.55214204047960402</v>
      </c>
      <c r="AJ129" s="366">
        <f>AJ$289*hypo!DC30/AJ252*100</f>
        <v>0.58584122108294379</v>
      </c>
      <c r="AK129" s="366">
        <f>AK$289*hypo!DD30/AK252*100</f>
        <v>0.1113399038149845</v>
      </c>
      <c r="AL129" s="366">
        <f>AL$289*hypo!DE30/AL252*100</f>
        <v>3.7344329958491103</v>
      </c>
      <c r="AM129" s="379">
        <f t="shared" si="12"/>
        <v>179.08356486078748</v>
      </c>
    </row>
    <row r="130" spans="1:39" s="364" customFormat="1" x14ac:dyDescent="0.2">
      <c r="A130" s="8"/>
      <c r="B130" s="365" t="s">
        <v>89</v>
      </c>
      <c r="C130" s="22" t="s">
        <v>125</v>
      </c>
      <c r="D130" s="8"/>
      <c r="E130" s="17"/>
      <c r="F130" s="366">
        <f>F$289*hypo!BY31/F253*100</f>
        <v>749.37802045532453</v>
      </c>
      <c r="G130" s="366">
        <f>G$289*hypo!BZ31/G253*100</f>
        <v>357.12930223523932</v>
      </c>
      <c r="H130" s="366">
        <f>H$289*hypo!CA31/H253*100</f>
        <v>392.87487687303536</v>
      </c>
      <c r="I130" s="366">
        <f>I$289*hypo!CB31/I253*100</f>
        <v>1140.315450531775</v>
      </c>
      <c r="J130" s="366">
        <f>J$289*hypo!CC31/J253*100</f>
        <v>382.75035832975732</v>
      </c>
      <c r="K130" s="366">
        <f>K$289*hypo!CD31/K253*100</f>
        <v>189.34199439066293</v>
      </c>
      <c r="L130" s="366">
        <f>L$289*hypo!CE31/L253*100</f>
        <v>66.460156843116764</v>
      </c>
      <c r="M130" s="366">
        <f>M$289*hypo!CF31/M253*100</f>
        <v>688.55220665788647</v>
      </c>
      <c r="N130" s="366">
        <f>N$289*hypo!CG31/N253*100</f>
        <v>2050.3583613818996</v>
      </c>
      <c r="O130" s="366">
        <f>O$289*hypo!CH31/O253*100</f>
        <v>1072.9875456896934</v>
      </c>
      <c r="P130" s="366">
        <f>P$289*hypo!CI31/P253*100</f>
        <v>1139.5626135858415</v>
      </c>
      <c r="Q130" s="366">
        <f>Q$289*hypo!CJ31/Q253*100</f>
        <v>43.136429697616393</v>
      </c>
      <c r="R130" s="366">
        <f>R$289*hypo!CK31/R253*100</f>
        <v>417.02009795587054</v>
      </c>
      <c r="S130" s="366">
        <f>S$289*hypo!CL31/S253*100</f>
        <v>349.51043911239981</v>
      </c>
      <c r="T130" s="366">
        <f>T$289*hypo!CM31/T253*100</f>
        <v>448.83335301118683</v>
      </c>
      <c r="U130" s="366">
        <f>U$289*hypo!CN31/U253*100</f>
        <v>1948.9706770842708</v>
      </c>
      <c r="V130" s="366">
        <f>V$289*hypo!CO31/V253*100</f>
        <v>694.58001561413505</v>
      </c>
      <c r="W130" s="366">
        <f>W$289*hypo!CP31/W253*100</f>
        <v>92.925177968128153</v>
      </c>
      <c r="X130" s="366">
        <f>X$289*hypo!CQ31/X253*100</f>
        <v>13.535058153973512</v>
      </c>
      <c r="Y130" s="366">
        <f>Y$289*hypo!CR31/Y253*100</f>
        <v>69.464914654985932</v>
      </c>
      <c r="Z130" s="366">
        <f>Z$289*hypo!CS31/Z253*100</f>
        <v>70.138852060634065</v>
      </c>
      <c r="AA130" s="366">
        <f>AA$289*hypo!CT31/AA253*100</f>
        <v>122.16358937959824</v>
      </c>
      <c r="AB130" s="366">
        <f>AB$289*hypo!CU31/AB253*100</f>
        <v>138.19896647735553</v>
      </c>
      <c r="AC130" s="366">
        <f>AC$289*hypo!CV31/AC253*100</f>
        <v>600.94379224547129</v>
      </c>
      <c r="AD130" s="366">
        <f>AD$289*hypo!CW31/AD253*100</f>
        <v>8.2449617984229651</v>
      </c>
      <c r="AE130" s="366">
        <f>AE$289*hypo!CX31/AE253*100</f>
        <v>23.453005225865358</v>
      </c>
      <c r="AF130" s="366">
        <f>AF$289*hypo!CY31/AF253*100</f>
        <v>2.5742670115189914</v>
      </c>
      <c r="AG130" s="366">
        <f>AG$289*hypo!CZ31/AG253*100</f>
        <v>119.57198890464582</v>
      </c>
      <c r="AH130" s="366">
        <f>AH$289*hypo!DA31/AH253*100</f>
        <v>16.864660891437126</v>
      </c>
      <c r="AI130" s="366">
        <f>AI$289*hypo!DB31/AI253*100</f>
        <v>9.7576962108929841</v>
      </c>
      <c r="AJ130" s="366">
        <f>AJ$289*hypo!DC31/AJ253*100</f>
        <v>16.807286822518567</v>
      </c>
      <c r="AK130" s="366">
        <f>AK$289*hypo!DD31/AK253*100</f>
        <v>19.384537394150989</v>
      </c>
      <c r="AL130" s="366">
        <f>AL$289*hypo!DE31/AL253*100</f>
        <v>2.0359058388585489</v>
      </c>
      <c r="AM130" s="379">
        <f t="shared" si="12"/>
        <v>13457.826560488171</v>
      </c>
    </row>
    <row r="131" spans="1:39" s="364" customFormat="1" x14ac:dyDescent="0.2">
      <c r="A131" s="8"/>
      <c r="B131" s="365" t="s">
        <v>90</v>
      </c>
      <c r="C131" s="22" t="s">
        <v>125</v>
      </c>
      <c r="D131" s="8"/>
      <c r="E131" s="17"/>
      <c r="F131" s="366">
        <f>F$289*hypo!BY32/F254*100</f>
        <v>23.933222330336243</v>
      </c>
      <c r="G131" s="366">
        <f>G$289*hypo!BZ32/G254*100</f>
        <v>8.6055883964263771</v>
      </c>
      <c r="H131" s="366">
        <f>H$289*hypo!CA32/H254*100</f>
        <v>6.2643400068116222</v>
      </c>
      <c r="I131" s="366">
        <f>I$289*hypo!CB32/I254*100</f>
        <v>30.482519283785077</v>
      </c>
      <c r="J131" s="366">
        <f>J$289*hypo!CC32/J254*100</f>
        <v>61.433659346296402</v>
      </c>
      <c r="K131" s="366">
        <f>K$289*hypo!CD32/K254*100</f>
        <v>4.4976994539066819</v>
      </c>
      <c r="L131" s="366">
        <f>L$289*hypo!CE32/L254*100</f>
        <v>4.6252316120937307</v>
      </c>
      <c r="M131" s="366">
        <f>M$289*hypo!CF32/M254*100</f>
        <v>24.043501387352407</v>
      </c>
      <c r="N131" s="366">
        <f>N$289*hypo!CG32/N254*100</f>
        <v>28.783586126744691</v>
      </c>
      <c r="O131" s="366">
        <f>O$289*hypo!CH32/O254*100</f>
        <v>25.579742452766308</v>
      </c>
      <c r="P131" s="366">
        <f>P$289*hypo!CI32/P254*100</f>
        <v>22.178236231924721</v>
      </c>
      <c r="Q131" s="366">
        <f>Q$289*hypo!CJ32/Q254*100</f>
        <v>3.8325731038446693</v>
      </c>
      <c r="R131" s="366">
        <f>R$289*hypo!CK32/R254*100</f>
        <v>50.432196360135137</v>
      </c>
      <c r="S131" s="366">
        <f>S$289*hypo!CL32/S254*100</f>
        <v>12.090921152969608</v>
      </c>
      <c r="T131" s="366">
        <f>T$289*hypo!CM32/T254*100</f>
        <v>44.58676885884222</v>
      </c>
      <c r="U131" s="366">
        <f>U$289*hypo!CN32/U254*100</f>
        <v>67.315083921053798</v>
      </c>
      <c r="V131" s="366">
        <f>V$289*hypo!CO32/V254*100</f>
        <v>54.286968103065014</v>
      </c>
      <c r="W131" s="366">
        <f>W$289*hypo!CP32/W254*100</f>
        <v>4.2918599554290982</v>
      </c>
      <c r="X131" s="366">
        <f>X$289*hypo!CQ32/X254*100</f>
        <v>0.38991846752854659</v>
      </c>
      <c r="Y131" s="366">
        <f>Y$289*hypo!CR32/Y254*100</f>
        <v>4.504869300144474</v>
      </c>
      <c r="Z131" s="366">
        <f>Z$289*hypo!CS32/Z254*100</f>
        <v>8.4289211085543929</v>
      </c>
      <c r="AA131" s="366">
        <f>AA$289*hypo!CT32/AA254*100</f>
        <v>5.6122817906533475</v>
      </c>
      <c r="AB131" s="366">
        <f>AB$289*hypo!CU32/AB254*100</f>
        <v>8.6940525839484479</v>
      </c>
      <c r="AC131" s="366">
        <f>AC$289*hypo!CV32/AC254*100</f>
        <v>37.334517002140061</v>
      </c>
      <c r="AD131" s="366">
        <f>AD$289*hypo!CW32/AD254*100</f>
        <v>1.7768496478983846</v>
      </c>
      <c r="AE131" s="366">
        <f>AE$289*hypo!CX32/AE254*100</f>
        <v>1.9684837098485719</v>
      </c>
      <c r="AF131" s="366">
        <f>AF$289*hypo!CY32/AF254*100</f>
        <v>0.45204760753911982</v>
      </c>
      <c r="AG131" s="366">
        <f>AG$289*hypo!CZ32/AG254*100</f>
        <v>10.185066007699076</v>
      </c>
      <c r="AH131" s="366">
        <f>AH$289*hypo!DA32/AH254*100</f>
        <v>2.687177054827993</v>
      </c>
      <c r="AI131" s="366">
        <f>AI$289*hypo!DB32/AI254*100</f>
        <v>0.61072392616487781</v>
      </c>
      <c r="AJ131" s="366">
        <f>AJ$289*hypo!DC32/AJ254*100</f>
        <v>1.691570822949287</v>
      </c>
      <c r="AK131" s="366">
        <f>AK$289*hypo!DD32/AK254*100</f>
        <v>1.640624699509259</v>
      </c>
      <c r="AL131" s="366">
        <f>AL$289*hypo!DE32/AL254*100</f>
        <v>2.802071219849398</v>
      </c>
      <c r="AM131" s="379">
        <f t="shared" si="12"/>
        <v>566.04287303303909</v>
      </c>
    </row>
    <row r="132" spans="1:39" s="364" customFormat="1" x14ac:dyDescent="0.2">
      <c r="A132" s="44"/>
      <c r="B132" s="41" t="s">
        <v>91</v>
      </c>
      <c r="C132" s="22" t="s">
        <v>125</v>
      </c>
      <c r="D132" s="8"/>
      <c r="E132" s="17"/>
      <c r="F132" s="366">
        <f>F$289*hypo!BY33/F255*100</f>
        <v>522.07036872530693</v>
      </c>
      <c r="G132" s="366">
        <f>G$289*hypo!BZ33/G255*100</f>
        <v>88.760963591947302</v>
      </c>
      <c r="H132" s="366">
        <f>H$289*hypo!CA33/H255*100</f>
        <v>210.91262984536496</v>
      </c>
      <c r="I132" s="366">
        <f>I$289*hypo!CB33/I255*100</f>
        <v>588.95197786445465</v>
      </c>
      <c r="J132" s="366">
        <f>J$289*hypo!CC33/J255*100</f>
        <v>145.42305874271165</v>
      </c>
      <c r="K132" s="366">
        <f>K$289*hypo!CD33/K255*100</f>
        <v>30.515522446668442</v>
      </c>
      <c r="L132" s="366">
        <f>L$289*hypo!CE33/L255*100</f>
        <v>114.96228316306703</v>
      </c>
      <c r="M132" s="366">
        <f>M$289*hypo!CF33/M255*100</f>
        <v>294.28194183174935</v>
      </c>
      <c r="N132" s="366">
        <f>N$289*hypo!CG33/N255*100</f>
        <v>477.11473574555674</v>
      </c>
      <c r="O132" s="366">
        <f>O$289*hypo!CH33/O255*100</f>
        <v>190.50914540167062</v>
      </c>
      <c r="P132" s="366">
        <f>P$289*hypo!CI33/P255*100</f>
        <v>273.52812052297344</v>
      </c>
      <c r="Q132" s="366">
        <f>Q$289*hypo!CJ33/Q255*100</f>
        <v>2061.8796622205327</v>
      </c>
      <c r="R132" s="366">
        <f>R$289*hypo!CK33/R255*100</f>
        <v>1041.7391448412091</v>
      </c>
      <c r="S132" s="366">
        <f>S$289*hypo!CL33/S255*100</f>
        <v>1394.6541935668765</v>
      </c>
      <c r="T132" s="366">
        <f>T$289*hypo!CM33/T255*100</f>
        <v>1204.5436296041344</v>
      </c>
      <c r="U132" s="366">
        <f>U$289*hypo!CN33/U255*100</f>
        <v>1903.8528737583811</v>
      </c>
      <c r="V132" s="366">
        <f>V$289*hypo!CO33/V255*100</f>
        <v>1034.655394538921</v>
      </c>
      <c r="W132" s="366">
        <f>W$289*hypo!CP33/W255*100</f>
        <v>158.70933975073126</v>
      </c>
      <c r="X132" s="366">
        <f>X$289*hypo!CQ33/X255*100</f>
        <v>61.838668512872488</v>
      </c>
      <c r="Y132" s="366">
        <f>Y$289*hypo!CR33/Y255*100</f>
        <v>519.51527173743784</v>
      </c>
      <c r="Z132" s="366">
        <f>Z$289*hypo!CS33/Z255*100</f>
        <v>54.486751469327331</v>
      </c>
      <c r="AA132" s="366">
        <f>AA$289*hypo!CT33/AA255*100</f>
        <v>562.32894066953531</v>
      </c>
      <c r="AB132" s="366">
        <f>AB$289*hypo!CU33/AB255*100</f>
        <v>10.699627356875862</v>
      </c>
      <c r="AC132" s="366">
        <f>AC$289*hypo!CV33/AC255*100</f>
        <v>3006.5346845720437</v>
      </c>
      <c r="AD132" s="366">
        <f>AD$289*hypo!CW33/AD255*100</f>
        <v>438.83204481647391</v>
      </c>
      <c r="AE132" s="366">
        <f>AE$289*hypo!CX33/AE255*100</f>
        <v>2184.2269372438695</v>
      </c>
      <c r="AF132" s="366">
        <f>AF$289*hypo!CY33/AF255*100</f>
        <v>977.6296260846392</v>
      </c>
      <c r="AG132" s="366">
        <f>AG$289*hypo!CZ33/AG255*100</f>
        <v>406.32544249943442</v>
      </c>
      <c r="AH132" s="366">
        <f>AH$289*hypo!DA33/AH255*100</f>
        <v>28.909676282906482</v>
      </c>
      <c r="AI132" s="366">
        <f>AI$289*hypo!DB33/AI255*100</f>
        <v>27.658298433257166</v>
      </c>
      <c r="AJ132" s="366">
        <f>AJ$289*hypo!DC33/AJ255*100</f>
        <v>80.598308329045821</v>
      </c>
      <c r="AK132" s="366">
        <f>AK$289*hypo!DD33/AK255*100</f>
        <v>13.136547810395069</v>
      </c>
      <c r="AL132" s="366">
        <f>AL$289*hypo!DE33/AL255*100</f>
        <v>4.5886824661946557</v>
      </c>
      <c r="AM132" s="379">
        <f t="shared" si="12"/>
        <v>20114.374494446558</v>
      </c>
    </row>
    <row r="133" spans="1:39" s="364" customFormat="1" x14ac:dyDescent="0.2">
      <c r="A133" s="44"/>
      <c r="B133" s="41" t="s">
        <v>92</v>
      </c>
      <c r="C133" s="22" t="s">
        <v>125</v>
      </c>
      <c r="D133" s="8"/>
      <c r="E133" s="17"/>
      <c r="F133" s="366">
        <f>F$289*hypo!BY34/F256*100</f>
        <v>0</v>
      </c>
      <c r="G133" s="366">
        <f>G$289*hypo!BZ34/G256*100</f>
        <v>0</v>
      </c>
      <c r="H133" s="366">
        <f>H$289*hypo!CA34/H256*100</f>
        <v>0</v>
      </c>
      <c r="I133" s="366">
        <f>I$289*hypo!CB34/I256*100</f>
        <v>0</v>
      </c>
      <c r="J133" s="366">
        <f>J$289*hypo!CC34/J256*100</f>
        <v>0</v>
      </c>
      <c r="K133" s="366">
        <f>K$289*hypo!CD34/K256*100</f>
        <v>0</v>
      </c>
      <c r="L133" s="366">
        <f>L$289*hypo!CE34/L256*100</f>
        <v>0</v>
      </c>
      <c r="M133" s="366">
        <f>M$289*hypo!CF34/M256*100</f>
        <v>0</v>
      </c>
      <c r="N133" s="366">
        <f>N$289*hypo!CG34/N256*100</f>
        <v>0</v>
      </c>
      <c r="O133" s="366">
        <f>O$289*hypo!CH34/O256*100</f>
        <v>0</v>
      </c>
      <c r="P133" s="366">
        <f>P$289*hypo!CI34/P256*100</f>
        <v>0</v>
      </c>
      <c r="Q133" s="366">
        <f>Q$289*hypo!CJ34/Q256*100</f>
        <v>0</v>
      </c>
      <c r="R133" s="366">
        <f>R$289*hypo!CK34/R256*100</f>
        <v>0</v>
      </c>
      <c r="S133" s="366">
        <f>S$289*hypo!CL34/S256*100</f>
        <v>0</v>
      </c>
      <c r="T133" s="366">
        <f>T$289*hypo!CM34/T256*100</f>
        <v>0</v>
      </c>
      <c r="U133" s="366">
        <f>U$289*hypo!CN34/U256*100</f>
        <v>0</v>
      </c>
      <c r="V133" s="366">
        <f>V$289*hypo!CO34/V256*100</f>
        <v>0</v>
      </c>
      <c r="W133" s="366">
        <f>W$289*hypo!CP34/W256*100</f>
        <v>0</v>
      </c>
      <c r="X133" s="366">
        <f>X$289*hypo!CQ34/X256*100</f>
        <v>0</v>
      </c>
      <c r="Y133" s="366">
        <f>Y$289*hypo!CR34/Y256*100</f>
        <v>0</v>
      </c>
      <c r="Z133" s="366">
        <f>Z$289*hypo!CS34/Z256*100</f>
        <v>0</v>
      </c>
      <c r="AA133" s="366">
        <f>AA$289*hypo!CT34/AA256*100</f>
        <v>0</v>
      </c>
      <c r="AB133" s="366">
        <f>AB$289*hypo!CU34/AB256*100</f>
        <v>0</v>
      </c>
      <c r="AC133" s="366">
        <f>AC$289*hypo!CV34/AC256*100</f>
        <v>2.0832555858709441</v>
      </c>
      <c r="AD133" s="366">
        <f>AD$289*hypo!CW34/AD256*100</f>
        <v>0</v>
      </c>
      <c r="AE133" s="366">
        <f>AE$289*hypo!CX34/AE256*100</f>
        <v>0</v>
      </c>
      <c r="AF133" s="366">
        <f>AF$289*hypo!CY34/AF256*100</f>
        <v>0</v>
      </c>
      <c r="AG133" s="366">
        <f>AG$289*hypo!CZ34/AG256*100</f>
        <v>0</v>
      </c>
      <c r="AH133" s="366">
        <f>AH$289*hypo!DA34/AH256*100</f>
        <v>0</v>
      </c>
      <c r="AI133" s="366">
        <f>AI$289*hypo!DB34/AI256*100</f>
        <v>109.50006088176261</v>
      </c>
      <c r="AJ133" s="366">
        <f>AJ$289*hypo!DC34/AJ256*100</f>
        <v>526.12633823083536</v>
      </c>
      <c r="AK133" s="366">
        <f>AK$289*hypo!DD34/AK256*100</f>
        <v>41.433714434954474</v>
      </c>
      <c r="AL133" s="366">
        <f>AL$289*hypo!DE34/AL256*100</f>
        <v>0</v>
      </c>
      <c r="AM133" s="379">
        <f t="shared" si="12"/>
        <v>679.14336913342345</v>
      </c>
    </row>
    <row r="134" spans="1:39" s="364" customFormat="1" x14ac:dyDescent="0.2">
      <c r="A134" s="44"/>
      <c r="B134" s="41" t="s">
        <v>93</v>
      </c>
      <c r="C134" s="22" t="s">
        <v>125</v>
      </c>
      <c r="D134" s="8"/>
      <c r="E134" s="17"/>
      <c r="F134" s="366">
        <f>F$289*hypo!BY35/F257*100</f>
        <v>16.101847715141894</v>
      </c>
      <c r="G134" s="366">
        <f>G$289*hypo!BZ35/G257*100</f>
        <v>6.8631882372127917</v>
      </c>
      <c r="H134" s="366">
        <f>H$289*hypo!CA35/H257*100</f>
        <v>8.8785564272000883</v>
      </c>
      <c r="I134" s="366">
        <f>I$289*hypo!CB35/I257*100</f>
        <v>17.657106247341012</v>
      </c>
      <c r="J134" s="366">
        <f>J$289*hypo!CC35/J257*100</f>
        <v>74.000353655022664</v>
      </c>
      <c r="K134" s="366">
        <f>K$289*hypo!CD35/K257*100</f>
        <v>6.2336184526126761</v>
      </c>
      <c r="L134" s="366">
        <f>L$289*hypo!CE35/L257*100</f>
        <v>28.028936942858394</v>
      </c>
      <c r="M134" s="366">
        <f>M$289*hypo!CF35/M257*100</f>
        <v>21.663788627879804</v>
      </c>
      <c r="N134" s="366">
        <f>N$289*hypo!CG35/N257*100</f>
        <v>32.520694735168405</v>
      </c>
      <c r="O134" s="366">
        <f>O$289*hypo!CH35/O257*100</f>
        <v>65.649167316154461</v>
      </c>
      <c r="P134" s="366">
        <f>P$289*hypo!CI35/P257*100</f>
        <v>88.174764589561534</v>
      </c>
      <c r="Q134" s="366">
        <f>Q$289*hypo!CJ35/Q257*100</f>
        <v>19.022919368315538</v>
      </c>
      <c r="R134" s="366">
        <f>R$289*hypo!CK35/R257*100</f>
        <v>313.92128061807307</v>
      </c>
      <c r="S134" s="366">
        <f>S$289*hypo!CL35/S257*100</f>
        <v>110.13791637168224</v>
      </c>
      <c r="T134" s="366">
        <f>T$289*hypo!CM35/T257*100</f>
        <v>403.76540432221668</v>
      </c>
      <c r="U134" s="366">
        <f>U$289*hypo!CN35/U257*100</f>
        <v>346.44386821812378</v>
      </c>
      <c r="V134" s="366">
        <f>V$289*hypo!CO35/V257*100</f>
        <v>651.78434349889221</v>
      </c>
      <c r="W134" s="366">
        <f>W$289*hypo!CP35/W257*100</f>
        <v>27.698740715398184</v>
      </c>
      <c r="X134" s="366">
        <f>X$289*hypo!CQ35/X257*100</f>
        <v>6.756086315125021</v>
      </c>
      <c r="Y134" s="366">
        <f>Y$289*hypo!CR35/Y257*100</f>
        <v>41.128906209600835</v>
      </c>
      <c r="Z134" s="366">
        <f>Z$289*hypo!CS35/Z257*100</f>
        <v>36.698934322683513</v>
      </c>
      <c r="AA134" s="366">
        <f>AA$289*hypo!CT35/AA257*100</f>
        <v>76.926352227208923</v>
      </c>
      <c r="AB134" s="366">
        <f>AB$289*hypo!CU35/AB257*100</f>
        <v>117.02958474337871</v>
      </c>
      <c r="AC134" s="366">
        <f>AC$289*hypo!CV35/AC257*100</f>
        <v>488.23187224579874</v>
      </c>
      <c r="AD134" s="366">
        <f>AD$289*hypo!CW35/AD257*100</f>
        <v>9.8718600402182535</v>
      </c>
      <c r="AE134" s="366">
        <f>AE$289*hypo!CX35/AE257*100</f>
        <v>52.953947114754151</v>
      </c>
      <c r="AF134" s="366">
        <f>AF$289*hypo!CY35/AF257*100</f>
        <v>8.4694521745240348</v>
      </c>
      <c r="AG134" s="366">
        <f>AG$289*hypo!CZ35/AG257*100</f>
        <v>116.24812785950083</v>
      </c>
      <c r="AH134" s="366">
        <f>AH$289*hypo!DA35/AH257*100</f>
        <v>73.933160536990499</v>
      </c>
      <c r="AI134" s="366">
        <f>AI$289*hypo!DB35/AI257*100</f>
        <v>8.8754066441095514</v>
      </c>
      <c r="AJ134" s="366">
        <f>AJ$289*hypo!DC35/AJ257*100</f>
        <v>27.79708313255987</v>
      </c>
      <c r="AK134" s="366">
        <f>AK$289*hypo!DD35/AK257*100</f>
        <v>15.088924240586286</v>
      </c>
      <c r="AL134" s="366">
        <f>AL$289*hypo!DE35/AL257*100</f>
        <v>8.4153544612736848</v>
      </c>
      <c r="AM134" s="379">
        <f t="shared" si="12"/>
        <v>3326.9715483271689</v>
      </c>
    </row>
    <row r="135" spans="1:39" s="364" customFormat="1" x14ac:dyDescent="0.2">
      <c r="A135" s="44"/>
      <c r="B135" s="41" t="s">
        <v>94</v>
      </c>
      <c r="C135" s="22" t="s">
        <v>125</v>
      </c>
      <c r="D135" s="8"/>
      <c r="E135" s="17"/>
      <c r="F135" s="366">
        <f>F$289*hypo!BY36/F258*100</f>
        <v>157.76635699296014</v>
      </c>
      <c r="G135" s="366">
        <f>G$289*hypo!BZ36/G258*100</f>
        <v>357.73967435296237</v>
      </c>
      <c r="H135" s="366">
        <f>H$289*hypo!CA36/H258*100</f>
        <v>89.716346342977047</v>
      </c>
      <c r="I135" s="366">
        <f>I$289*hypo!CB36/I258*100</f>
        <v>1236.3165090857901</v>
      </c>
      <c r="J135" s="366">
        <f>J$289*hypo!CC36/J258*100</f>
        <v>1433.3448863724368</v>
      </c>
      <c r="K135" s="366">
        <f>K$289*hypo!CD36/K258*100</f>
        <v>352.83694639842838</v>
      </c>
      <c r="L135" s="366">
        <f>L$289*hypo!CE36/L258*100</f>
        <v>357.10295722692774</v>
      </c>
      <c r="M135" s="366">
        <f>M$289*hypo!CF36/M258*100</f>
        <v>1289.4585370683133</v>
      </c>
      <c r="N135" s="366">
        <f>N$289*hypo!CG36/N258*100</f>
        <v>992.37303716006818</v>
      </c>
      <c r="O135" s="366">
        <f>O$289*hypo!CH36/O258*100</f>
        <v>945.56565460975435</v>
      </c>
      <c r="P135" s="366">
        <f>P$289*hypo!CI36/P258*100</f>
        <v>1203.6664837064245</v>
      </c>
      <c r="Q135" s="366">
        <f>Q$289*hypo!CJ36/Q258*100</f>
        <v>169.91680893607744</v>
      </c>
      <c r="R135" s="366">
        <f>R$289*hypo!CK36/R258*100</f>
        <v>1902.4436952914073</v>
      </c>
      <c r="S135" s="366">
        <f>S$289*hypo!CL36/S258*100</f>
        <v>1053.9731284937964</v>
      </c>
      <c r="T135" s="366">
        <f>T$289*hypo!CM36/T258*100</f>
        <v>2406.9897985078183</v>
      </c>
      <c r="U135" s="366">
        <f>U$289*hypo!CN36/U258*100</f>
        <v>1813.9533640594511</v>
      </c>
      <c r="V135" s="366">
        <f>V$289*hypo!CO36/V258*100</f>
        <v>1765.4300598368056</v>
      </c>
      <c r="W135" s="366">
        <f>W$289*hypo!CP36/W258*100</f>
        <v>185.22800797294482</v>
      </c>
      <c r="X135" s="366">
        <f>X$289*hypo!CQ36/X258*100</f>
        <v>36.493243415265724</v>
      </c>
      <c r="Y135" s="366">
        <f>Y$289*hypo!CR36/Y258*100</f>
        <v>185.45885938369369</v>
      </c>
      <c r="Z135" s="366">
        <f>Z$289*hypo!CS36/Z258*100</f>
        <v>131.14168436883429</v>
      </c>
      <c r="AA135" s="366">
        <f>AA$289*hypo!CT36/AA258*100</f>
        <v>261.98841007966649</v>
      </c>
      <c r="AB135" s="366">
        <f>AB$289*hypo!CU36/AB258*100</f>
        <v>269.02267375097296</v>
      </c>
      <c r="AC135" s="366">
        <f>AC$289*hypo!CV36/AC258*100</f>
        <v>1311.458228280969</v>
      </c>
      <c r="AD135" s="366">
        <f>AD$289*hypo!CW36/AD258*100</f>
        <v>30.549730779593276</v>
      </c>
      <c r="AE135" s="366">
        <f>AE$289*hypo!CX36/AE258*100</f>
        <v>109.81084938058521</v>
      </c>
      <c r="AF135" s="366">
        <f>AF$289*hypo!CY36/AF258*100</f>
        <v>14.791486912242165</v>
      </c>
      <c r="AG135" s="366">
        <f>AG$289*hypo!CZ36/AG258*100</f>
        <v>266.95947897166798</v>
      </c>
      <c r="AH135" s="366">
        <f>AH$289*hypo!DA36/AH258*100</f>
        <v>114.98481865117573</v>
      </c>
      <c r="AI135" s="366">
        <f>AI$289*hypo!DB36/AI258*100</f>
        <v>18.034090525731074</v>
      </c>
      <c r="AJ135" s="366">
        <f>AJ$289*hypo!DC36/AJ258*100</f>
        <v>79.259845356826077</v>
      </c>
      <c r="AK135" s="366">
        <f>AK$289*hypo!DD36/AK258*100</f>
        <v>61.20018932158483</v>
      </c>
      <c r="AL135" s="366">
        <f>AL$289*hypo!DE36/AL258*100</f>
        <v>27.774741533880864</v>
      </c>
      <c r="AM135" s="379">
        <f t="shared" si="12"/>
        <v>20632.750583128036</v>
      </c>
    </row>
    <row r="136" spans="1:39" s="364" customFormat="1" x14ac:dyDescent="0.2">
      <c r="A136" s="44"/>
      <c r="B136" s="41" t="s">
        <v>95</v>
      </c>
      <c r="C136" s="22" t="s">
        <v>125</v>
      </c>
      <c r="D136" s="8"/>
      <c r="E136" s="17"/>
      <c r="F136" s="366">
        <f>F$289*hypo!BY37/F259*100</f>
        <v>330.23007288227819</v>
      </c>
      <c r="G136" s="366">
        <f>G$289*hypo!BZ37/G259*100</f>
        <v>365.39839816241255</v>
      </c>
      <c r="H136" s="366">
        <f>H$289*hypo!CA37/H259*100</f>
        <v>270.79748732381489</v>
      </c>
      <c r="I136" s="366">
        <f>I$289*hypo!CB37/I259*100</f>
        <v>470.0064650779571</v>
      </c>
      <c r="J136" s="366">
        <f>J$289*hypo!CC37/J259*100</f>
        <v>199.52022073398899</v>
      </c>
      <c r="K136" s="366">
        <f>K$289*hypo!CD37/K259*100</f>
        <v>65.974722907009649</v>
      </c>
      <c r="L136" s="366">
        <f>L$289*hypo!CE37/L259*100</f>
        <v>48.019532983996569</v>
      </c>
      <c r="M136" s="366">
        <f>M$289*hypo!CF37/M259*100</f>
        <v>290.27786755176868</v>
      </c>
      <c r="N136" s="366">
        <f>N$289*hypo!CG37/N259*100</f>
        <v>619.85000011885904</v>
      </c>
      <c r="O136" s="366">
        <f>O$289*hypo!CH37/O259*100</f>
        <v>489.536151761204</v>
      </c>
      <c r="P136" s="366">
        <f>P$289*hypo!CI37/P259*100</f>
        <v>426.95343455741204</v>
      </c>
      <c r="Q136" s="366">
        <f>Q$289*hypo!CJ37/Q259*100</f>
        <v>45.900208238483856</v>
      </c>
      <c r="R136" s="366">
        <f>R$289*hypo!CK37/R259*100</f>
        <v>100.39893093957252</v>
      </c>
      <c r="S136" s="366">
        <f>S$289*hypo!CL37/S259*100</f>
        <v>148.07503746218759</v>
      </c>
      <c r="T136" s="366">
        <f>T$289*hypo!CM37/T259*100</f>
        <v>424.40437403310642</v>
      </c>
      <c r="U136" s="366">
        <f>U$289*hypo!CN37/U259*100</f>
        <v>962.0633965315667</v>
      </c>
      <c r="V136" s="366">
        <f>V$289*hypo!CO37/V259*100</f>
        <v>214.67489268646216</v>
      </c>
      <c r="W136" s="366">
        <f>W$289*hypo!CP37/W259*100</f>
        <v>22.160548998093173</v>
      </c>
      <c r="X136" s="366">
        <f>X$289*hypo!CQ37/X259*100</f>
        <v>4.391541289836236</v>
      </c>
      <c r="Y136" s="366">
        <f>Y$289*hypo!CR37/Y259*100</f>
        <v>19.89264271824873</v>
      </c>
      <c r="Z136" s="366">
        <f>Z$289*hypo!CS37/Z259*100</f>
        <v>18.234368398652041</v>
      </c>
      <c r="AA136" s="366">
        <f>AA$289*hypo!CT37/AA259*100</f>
        <v>24.144004546344046</v>
      </c>
      <c r="AB136" s="366">
        <f>AB$289*hypo!CU37/AB259*100</f>
        <v>25.373516153687188</v>
      </c>
      <c r="AC136" s="366">
        <f>AC$289*hypo!CV37/AC259*100</f>
        <v>205.48699090147576</v>
      </c>
      <c r="AD136" s="366">
        <f>AD$289*hypo!CW37/AD259*100</f>
        <v>3.6036594424586621</v>
      </c>
      <c r="AE136" s="366">
        <f>AE$289*hypo!CX37/AE259*100</f>
        <v>8.2354492863801028</v>
      </c>
      <c r="AF136" s="366">
        <f>AF$289*hypo!CY37/AF259*100</f>
        <v>2.3018946684143913</v>
      </c>
      <c r="AG136" s="366">
        <f>AG$289*hypo!CZ37/AG259*100</f>
        <v>15.570060123507226</v>
      </c>
      <c r="AH136" s="366">
        <f>AH$289*hypo!DA37/AH259*100</f>
        <v>0.63770938228662732</v>
      </c>
      <c r="AI136" s="366">
        <f>AI$289*hypo!DB37/AI259*100</f>
        <v>3.0563443696934707</v>
      </c>
      <c r="AJ136" s="366">
        <f>AJ$289*hypo!DC37/AJ259*100</f>
        <v>11.892604912862351</v>
      </c>
      <c r="AK136" s="366">
        <f>AK$289*hypo!DD37/AK259*100</f>
        <v>3.5502861479097731</v>
      </c>
      <c r="AL136" s="366">
        <f>AL$289*hypo!DE37/AL259*100</f>
        <v>0</v>
      </c>
      <c r="AM136" s="379">
        <f t="shared" si="12"/>
        <v>5840.61281529193</v>
      </c>
    </row>
    <row r="137" spans="1:39" s="364" customFormat="1" x14ac:dyDescent="0.2">
      <c r="A137" s="44"/>
      <c r="B137" s="41" t="s">
        <v>96</v>
      </c>
      <c r="C137" s="22" t="s">
        <v>125</v>
      </c>
      <c r="D137" s="8"/>
      <c r="E137" s="17"/>
      <c r="F137" s="366">
        <f>F$289*hypo!BY38/F260*100</f>
        <v>12.636996460599276</v>
      </c>
      <c r="G137" s="366">
        <f>G$289*hypo!BZ38/G260*100</f>
        <v>1.2118667369122931</v>
      </c>
      <c r="H137" s="366">
        <f>H$289*hypo!CA38/H260*100</f>
        <v>2.0787280772386287</v>
      </c>
      <c r="I137" s="366">
        <f>I$289*hypo!CB38/I260*100</f>
        <v>3.2832409710533792</v>
      </c>
      <c r="J137" s="366">
        <f>J$289*hypo!CC38/J260*100</f>
        <v>4.0195168127925616</v>
      </c>
      <c r="K137" s="366">
        <f>K$289*hypo!CD38/K260*100</f>
        <v>6.6797933119303404E-2</v>
      </c>
      <c r="L137" s="366">
        <f>L$289*hypo!CE38/L260*100</f>
        <v>0</v>
      </c>
      <c r="M137" s="366">
        <f>M$289*hypo!CF38/M260*100</f>
        <v>18.517121154028626</v>
      </c>
      <c r="N137" s="366">
        <f>N$289*hypo!CG38/N260*100</f>
        <v>52.806810805841373</v>
      </c>
      <c r="O137" s="366">
        <f>O$289*hypo!CH38/O260*100</f>
        <v>43.15440278548072</v>
      </c>
      <c r="P137" s="366">
        <f>P$289*hypo!CI38/P260*100</f>
        <v>14.503174969072537</v>
      </c>
      <c r="Q137" s="366">
        <f>Q$289*hypo!CJ38/Q260*100</f>
        <v>1.6499419547339789</v>
      </c>
      <c r="R137" s="366">
        <f>R$289*hypo!CK38/R260*100</f>
        <v>35.430717473664416</v>
      </c>
      <c r="S137" s="366">
        <f>S$289*hypo!CL38/S260*100</f>
        <v>230.75946570648225</v>
      </c>
      <c r="T137" s="366">
        <f>T$289*hypo!CM38/T260*100</f>
        <v>181.47466509203483</v>
      </c>
      <c r="U137" s="366">
        <f>U$289*hypo!CN38/U260*100</f>
        <v>332.34614441604543</v>
      </c>
      <c r="V137" s="366">
        <f>V$289*hypo!CO38/V260*100</f>
        <v>76.456203399622297</v>
      </c>
      <c r="W137" s="366">
        <f>W$289*hypo!CP38/W260*100</f>
        <v>7.6274233275152978</v>
      </c>
      <c r="X137" s="366">
        <f>X$289*hypo!CQ38/X260*100</f>
        <v>2.6550767489582414</v>
      </c>
      <c r="Y137" s="366">
        <f>Y$289*hypo!CR38/Y260*100</f>
        <v>11.386778533734164</v>
      </c>
      <c r="Z137" s="366">
        <f>Z$289*hypo!CS38/Z260*100</f>
        <v>24.564844717736513</v>
      </c>
      <c r="AA137" s="366">
        <f>AA$289*hypo!CT38/AA260*100</f>
        <v>31.685770635369114</v>
      </c>
      <c r="AB137" s="366">
        <f>AB$289*hypo!CU38/AB260*100</f>
        <v>92.210563242443527</v>
      </c>
      <c r="AC137" s="366">
        <f>AC$289*hypo!CV38/AC260*100</f>
        <v>849.84663677922822</v>
      </c>
      <c r="AD137" s="366">
        <f>AD$289*hypo!CW38/AD260*100</f>
        <v>12.246386329006496</v>
      </c>
      <c r="AE137" s="366">
        <f>AE$289*hypo!CX38/AE260*100</f>
        <v>9.4510881524925541</v>
      </c>
      <c r="AF137" s="366">
        <f>AF$289*hypo!CY38/AF260*100</f>
        <v>8.3463617307404032</v>
      </c>
      <c r="AG137" s="366">
        <f>AG$289*hypo!CZ38/AG260*100</f>
        <v>44.615906760766542</v>
      </c>
      <c r="AH137" s="366">
        <f>AH$289*hypo!DA38/AH260*100</f>
        <v>2.2952009184937281</v>
      </c>
      <c r="AI137" s="366">
        <f>AI$289*hypo!DB38/AI260*100</f>
        <v>14.255642553294448</v>
      </c>
      <c r="AJ137" s="366">
        <f>AJ$289*hypo!DC38/AJ260*100</f>
        <v>47.743668903579547</v>
      </c>
      <c r="AK137" s="366">
        <f>AK$289*hypo!DD38/AK260*100</f>
        <v>8.7531894475855125</v>
      </c>
      <c r="AL137" s="366">
        <f>AL$289*hypo!DE38/AL260*100</f>
        <v>9.9717837005316654E-2</v>
      </c>
      <c r="AM137" s="379">
        <f t="shared" si="12"/>
        <v>2178.1800513666713</v>
      </c>
    </row>
    <row r="138" spans="1:39" s="364" customFormat="1" x14ac:dyDescent="0.2">
      <c r="A138" s="44"/>
      <c r="B138" s="41" t="s">
        <v>97</v>
      </c>
      <c r="C138" s="22" t="s">
        <v>125</v>
      </c>
      <c r="D138" s="8"/>
      <c r="E138" s="17"/>
      <c r="F138" s="366">
        <f>F$289*hypo!BY39/F261*100</f>
        <v>0.14593052354520028</v>
      </c>
      <c r="G138" s="366">
        <f>G$289*hypo!BZ39/G261*100</f>
        <v>2.3516552406972164E-2</v>
      </c>
      <c r="H138" s="366">
        <f>H$289*hypo!CA39/H261*100</f>
        <v>2.1422872355451605E-2</v>
      </c>
      <c r="I138" s="366">
        <f>I$289*hypo!CB39/I261*100</f>
        <v>3.8677388217462583E-2</v>
      </c>
      <c r="J138" s="366">
        <f>J$289*hypo!CC39/J261*100</f>
        <v>0</v>
      </c>
      <c r="K138" s="366">
        <f>K$289*hypo!CD39/K261*100</f>
        <v>0</v>
      </c>
      <c r="L138" s="366">
        <f>L$289*hypo!CE39/L261*100</f>
        <v>0</v>
      </c>
      <c r="M138" s="366">
        <f>M$289*hypo!CF39/M261*100</f>
        <v>8.2274642482817059E-2</v>
      </c>
      <c r="N138" s="366">
        <f>N$289*hypo!CG39/N261*100</f>
        <v>1.8846270176523028</v>
      </c>
      <c r="O138" s="366">
        <f>O$289*hypo!CH39/O261*100</f>
        <v>11.700769929508386</v>
      </c>
      <c r="P138" s="366">
        <f>P$289*hypo!CI39/P261*100</f>
        <v>3.5300230018022787</v>
      </c>
      <c r="Q138" s="366">
        <f>Q$289*hypo!CJ39/Q261*100</f>
        <v>3.9349647367442779</v>
      </c>
      <c r="R138" s="366">
        <f>R$289*hypo!CK39/R261*100</f>
        <v>7.5315543435944543E-2</v>
      </c>
      <c r="S138" s="366">
        <f>S$289*hypo!CL39/S261*100</f>
        <v>0.57201966315385677</v>
      </c>
      <c r="T138" s="366">
        <f>T$289*hypo!CM39/T261*100</f>
        <v>0.67636570358399262</v>
      </c>
      <c r="U138" s="366">
        <f>U$289*hypo!CN39/U261*100</f>
        <v>3.9777434268498091</v>
      </c>
      <c r="V138" s="366">
        <f>V$289*hypo!CO39/V261*100</f>
        <v>14.100402152568861</v>
      </c>
      <c r="W138" s="366">
        <f>W$289*hypo!CP39/W261*100</f>
        <v>6.7249187247709772</v>
      </c>
      <c r="X138" s="366">
        <f>X$289*hypo!CQ39/X261*100</f>
        <v>1.2456209137289433</v>
      </c>
      <c r="Y138" s="366">
        <f>Y$289*hypo!CR39/Y261*100</f>
        <v>4.7098772454626214</v>
      </c>
      <c r="Z138" s="366">
        <f>Z$289*hypo!CS39/Z261*100</f>
        <v>3.9067910012739104</v>
      </c>
      <c r="AA138" s="366">
        <f>AA$289*hypo!CT39/AA261*100</f>
        <v>4.9819100823548395</v>
      </c>
      <c r="AB138" s="366">
        <f>AB$289*hypo!CU39/AB261*100</f>
        <v>7.4829274527294958</v>
      </c>
      <c r="AC138" s="366">
        <f>AC$289*hypo!CV39/AC261*100</f>
        <v>125.26407822753679</v>
      </c>
      <c r="AD138" s="366">
        <f>AD$289*hypo!CW39/AD261*100</f>
        <v>1.4642675560469423</v>
      </c>
      <c r="AE138" s="366">
        <f>AE$289*hypo!CX39/AE261*100</f>
        <v>5.0412934066888075</v>
      </c>
      <c r="AF138" s="366">
        <f>AF$289*hypo!CY39/AF261*100</f>
        <v>1.3013300532893453</v>
      </c>
      <c r="AG138" s="366">
        <f>AG$289*hypo!CZ39/AG261*100</f>
        <v>1.8910953368514418</v>
      </c>
      <c r="AH138" s="366">
        <f>AH$289*hypo!DA39/AH261*100</f>
        <v>3.1536928366379759E-2</v>
      </c>
      <c r="AI138" s="366">
        <f>AI$289*hypo!DB39/AI261*100</f>
        <v>0.15275268519566898</v>
      </c>
      <c r="AJ138" s="366">
        <f>AJ$289*hypo!DC39/AJ261*100</f>
        <v>0.84810571395852963</v>
      </c>
      <c r="AK138" s="366">
        <f>AK$289*hypo!DD39/AK261*100</f>
        <v>4.9972886735650777E-2</v>
      </c>
      <c r="AL138" s="366">
        <f>AL$289*hypo!DE39/AL261*100</f>
        <v>0</v>
      </c>
      <c r="AM138" s="379">
        <f t="shared" si="12"/>
        <v>205.86053136929792</v>
      </c>
    </row>
    <row r="139" spans="1:39" s="364" customFormat="1" x14ac:dyDescent="0.2">
      <c r="A139" s="44"/>
      <c r="B139" s="41" t="s">
        <v>98</v>
      </c>
      <c r="C139" s="22" t="s">
        <v>125</v>
      </c>
      <c r="D139" s="8"/>
      <c r="E139" s="17"/>
      <c r="F139" s="366">
        <f>F$289*hypo!BY40/F262*100</f>
        <v>1.497649602486945</v>
      </c>
      <c r="G139" s="366">
        <f>G$289*hypo!BZ40/G262*100</f>
        <v>2.04270653345062</v>
      </c>
      <c r="H139" s="366">
        <f>H$289*hypo!CA40/H262*100</f>
        <v>1.6154515070739501</v>
      </c>
      <c r="I139" s="366">
        <f>I$289*hypo!CB40/I262*100</f>
        <v>3.7056674428269654</v>
      </c>
      <c r="J139" s="366">
        <f>J$289*hypo!CC40/J262*100</f>
        <v>0.5591718754056576</v>
      </c>
      <c r="K139" s="366">
        <f>K$289*hypo!CD40/K262*100</f>
        <v>8.917608199806247E-2</v>
      </c>
      <c r="L139" s="366">
        <f>L$289*hypo!CE40/L262*100</f>
        <v>3.7487726049103845E-2</v>
      </c>
      <c r="M139" s="366">
        <f>M$289*hypo!CF40/M262*100</f>
        <v>0.69613350236905125</v>
      </c>
      <c r="N139" s="366">
        <f>N$289*hypo!CG40/N262*100</f>
        <v>2.7845854395463365</v>
      </c>
      <c r="O139" s="366">
        <f>O$289*hypo!CH40/O262*100</f>
        <v>5.9729704410656819</v>
      </c>
      <c r="P139" s="366">
        <f>P$289*hypo!CI40/P262*100</f>
        <v>0.79562350878200661</v>
      </c>
      <c r="Q139" s="366">
        <f>Q$289*hypo!CJ40/Q262*100</f>
        <v>0.34578234711846761</v>
      </c>
      <c r="R139" s="366">
        <f>R$289*hypo!CK40/R262*100</f>
        <v>2.5546475525952816</v>
      </c>
      <c r="S139" s="366">
        <f>S$289*hypo!CL40/S262*100</f>
        <v>3.0406672372680998</v>
      </c>
      <c r="T139" s="366">
        <f>T$289*hypo!CM40/T262*100</f>
        <v>5.5696812959689597</v>
      </c>
      <c r="U139" s="366">
        <f>U$289*hypo!CN40/U262*100</f>
        <v>8.3851354284915764</v>
      </c>
      <c r="V139" s="366">
        <f>V$289*hypo!CO40/V262*100</f>
        <v>1.1449386802346317</v>
      </c>
      <c r="W139" s="366">
        <f>W$289*hypo!CP40/W262*100</f>
        <v>2.4855166707050649E-2</v>
      </c>
      <c r="X139" s="366">
        <f>X$289*hypo!CQ40/X262*100</f>
        <v>0</v>
      </c>
      <c r="Y139" s="366">
        <f>Y$289*hypo!CR40/Y262*100</f>
        <v>2.4162917430447683E-2</v>
      </c>
      <c r="Z139" s="366">
        <f>Z$289*hypo!CS40/Z262*100</f>
        <v>0.12885381914068958</v>
      </c>
      <c r="AA139" s="366">
        <f>AA$289*hypo!CT40/AA262*100</f>
        <v>2.0948686668035798E-2</v>
      </c>
      <c r="AB139" s="366">
        <f>AB$289*hypo!CU40/AB262*100</f>
        <v>0.4951281049788962</v>
      </c>
      <c r="AC139" s="366">
        <f>AC$289*hypo!CV40/AC262*100</f>
        <v>1.6200649735667916</v>
      </c>
      <c r="AD139" s="366">
        <f>AD$289*hypo!CW40/AD262*100</f>
        <v>0.10808139682679288</v>
      </c>
      <c r="AE139" s="366">
        <f>AE$289*hypo!CX40/AE262*100</f>
        <v>5.4141978619973552E-2</v>
      </c>
      <c r="AF139" s="366">
        <f>AF$289*hypo!CY40/AF262*100</f>
        <v>5.9914129196896398E-2</v>
      </c>
      <c r="AG139" s="366">
        <f>AG$289*hypo!CZ40/AG262*100</f>
        <v>0.15196322964640302</v>
      </c>
      <c r="AH139" s="366">
        <f>AH$289*hypo!DA40/AH262*100</f>
        <v>2.0335549846004022E-2</v>
      </c>
      <c r="AI139" s="366">
        <f>AI$289*hypo!DB40/AI262*100</f>
        <v>4.2257353688928613E-2</v>
      </c>
      <c r="AJ139" s="366">
        <f>AJ$289*hypo!DC40/AJ262*100</f>
        <v>0.1237494658072469</v>
      </c>
      <c r="AK139" s="366">
        <f>AK$289*hypo!DD40/AK262*100</f>
        <v>8.5325907596530189E-3</v>
      </c>
      <c r="AL139" s="366">
        <f>AL$289*hypo!DE40/AL262*100</f>
        <v>9.9717837005316688E-3</v>
      </c>
      <c r="AM139" s="379">
        <f t="shared" si="12"/>
        <v>43.730437349315721</v>
      </c>
    </row>
    <row r="140" spans="1:39" s="364" customFormat="1" x14ac:dyDescent="0.2">
      <c r="A140" s="44"/>
      <c r="B140" s="41" t="s">
        <v>99</v>
      </c>
      <c r="C140" s="22" t="s">
        <v>125</v>
      </c>
      <c r="D140" s="8"/>
      <c r="E140" s="17"/>
      <c r="F140" s="366">
        <f>F$289*hypo!BY41/F263*100</f>
        <v>98.595277826435691</v>
      </c>
      <c r="G140" s="366">
        <f>G$289*hypo!BZ41/G263*100</f>
        <v>23.51046749903686</v>
      </c>
      <c r="H140" s="366">
        <f>H$289*hypo!CA41/H263*100</f>
        <v>3.0126957571559432</v>
      </c>
      <c r="I140" s="366">
        <f>I$289*hypo!CB41/I263*100</f>
        <v>137.71661233093363</v>
      </c>
      <c r="J140" s="366">
        <f>J$289*hypo!CC41/J263*100</f>
        <v>26.624068580988002</v>
      </c>
      <c r="K140" s="366">
        <f>K$289*hypo!CD41/K263*100</f>
        <v>13.630157512904173</v>
      </c>
      <c r="L140" s="366">
        <f>L$289*hypo!CE41/L263*100</f>
        <v>1.386556768388727</v>
      </c>
      <c r="M140" s="366">
        <f>M$289*hypo!CF41/M263*100</f>
        <v>40.612714113747572</v>
      </c>
      <c r="N140" s="366">
        <f>N$289*hypo!CG41/N263*100</f>
        <v>29.410308420151122</v>
      </c>
      <c r="O140" s="366">
        <f>O$289*hypo!CH41/O263*100</f>
        <v>3.7271642405500414</v>
      </c>
      <c r="P140" s="366">
        <f>P$289*hypo!CI41/P263*100</f>
        <v>4.8754486553682712</v>
      </c>
      <c r="Q140" s="366">
        <f>Q$289*hypo!CJ41/Q263*100</f>
        <v>0.20567240703554807</v>
      </c>
      <c r="R140" s="366">
        <f>R$289*hypo!CK41/R263*100</f>
        <v>4.8356535149831199</v>
      </c>
      <c r="S140" s="366">
        <f>S$289*hypo!CL41/S263*100</f>
        <v>4.2112618035175293</v>
      </c>
      <c r="T140" s="366">
        <f>T$289*hypo!CM41/T263*100</f>
        <v>10.886510416073291</v>
      </c>
      <c r="U140" s="366">
        <f>U$289*hypo!CN41/U263*100</f>
        <v>15.323080035966443</v>
      </c>
      <c r="V140" s="366">
        <f>V$289*hypo!CO41/V263*100</f>
        <v>3.1419825438014701</v>
      </c>
      <c r="W140" s="366">
        <f>W$289*hypo!CP41/W263*100</f>
        <v>0.52281612321367443</v>
      </c>
      <c r="X140" s="366">
        <f>X$289*hypo!CQ41/X263*100</f>
        <v>8.9380684319997471E-3</v>
      </c>
      <c r="Y140" s="366">
        <f>Y$289*hypo!CR41/Y263*100</f>
        <v>0.15037167269407042</v>
      </c>
      <c r="Z140" s="366">
        <f>Z$289*hypo!CS41/Z263*100</f>
        <v>0.60011980161082179</v>
      </c>
      <c r="AA140" s="366">
        <f>AA$289*hypo!CT41/AA263*100</f>
        <v>0.2665077217074765</v>
      </c>
      <c r="AB140" s="366">
        <f>AB$289*hypo!CU41/AB263*100</f>
        <v>3.3828628290483595E-2</v>
      </c>
      <c r="AC140" s="366">
        <f>AC$289*hypo!CV41/AC263*100</f>
        <v>23.772243714867273</v>
      </c>
      <c r="AD140" s="366">
        <f>AD$289*hypo!CW41/AD263*100</f>
        <v>0.40332410065590257</v>
      </c>
      <c r="AE140" s="366">
        <f>AE$289*hypo!CX41/AE263*100</f>
        <v>0.92830145393756525</v>
      </c>
      <c r="AF140" s="366">
        <f>AF$289*hypo!CY41/AF263*100</f>
        <v>0.12216414422849138</v>
      </c>
      <c r="AG140" s="366">
        <f>AG$289*hypo!CZ41/AG263*100</f>
        <v>1.4434019499321322</v>
      </c>
      <c r="AH140" s="366">
        <f>AH$289*hypo!DA41/AH263*100</f>
        <v>2.6561208723208562E-2</v>
      </c>
      <c r="AI140" s="366">
        <f>AI$289*hypo!DB41/AI263*100</f>
        <v>0.29097342975623125</v>
      </c>
      <c r="AJ140" s="366">
        <f>AJ$289*hypo!DC41/AJ263*100</f>
        <v>0.34888911894065849</v>
      </c>
      <c r="AK140" s="366">
        <f>AK$289*hypo!DD41/AK263*100</f>
        <v>0.11721906696035521</v>
      </c>
      <c r="AL140" s="366">
        <f>AL$289*hypo!DE41/AL263*100</f>
        <v>4.0884313172179831E-2</v>
      </c>
      <c r="AM140" s="379">
        <f t="shared" si="12"/>
        <v>450.78217694415986</v>
      </c>
    </row>
    <row r="141" spans="1:39" s="364" customFormat="1" x14ac:dyDescent="0.2">
      <c r="A141" s="44"/>
      <c r="B141" s="41" t="s">
        <v>100</v>
      </c>
      <c r="C141" s="22" t="s">
        <v>125</v>
      </c>
      <c r="D141" s="8"/>
      <c r="E141" s="17"/>
      <c r="F141" s="366">
        <f>F$289*hypo!BY42/F264*100</f>
        <v>122.83619212581502</v>
      </c>
      <c r="G141" s="366">
        <f>G$289*hypo!BZ42/G264*100</f>
        <v>81.609286048081941</v>
      </c>
      <c r="H141" s="366">
        <f>H$289*hypo!CA42/H264*100</f>
        <v>55.39132653615755</v>
      </c>
      <c r="I141" s="366">
        <f>I$289*hypo!CB42/I264*100</f>
        <v>211.54287221271093</v>
      </c>
      <c r="J141" s="366">
        <f>J$289*hypo!CC42/J264*100</f>
        <v>71.772744919344262</v>
      </c>
      <c r="K141" s="366">
        <f>K$289*hypo!CD42/K264*100</f>
        <v>16.018197643315812</v>
      </c>
      <c r="L141" s="366">
        <f>L$289*hypo!CE42/L264*100</f>
        <v>2.1242565255837174</v>
      </c>
      <c r="M141" s="366">
        <f>M$289*hypo!CF42/M264*100</f>
        <v>48.032411423780815</v>
      </c>
      <c r="N141" s="366">
        <f>N$289*hypo!CG42/N264*100</f>
        <v>135.02590871098596</v>
      </c>
      <c r="O141" s="366">
        <f>O$289*hypo!CH42/O264*100</f>
        <v>25.778597742881459</v>
      </c>
      <c r="P141" s="366">
        <f>P$289*hypo!CI42/P264*100</f>
        <v>19.422322960993576</v>
      </c>
      <c r="Q141" s="366">
        <f>Q$289*hypo!CJ42/Q264*100</f>
        <v>0.65529709117605939</v>
      </c>
      <c r="R141" s="366">
        <f>R$289*hypo!CK42/R264*100</f>
        <v>17.327307854183545</v>
      </c>
      <c r="S141" s="366">
        <f>S$289*hypo!CL42/S264*100</f>
        <v>42.605743640561677</v>
      </c>
      <c r="T141" s="366">
        <f>T$289*hypo!CM42/T264*100</f>
        <v>55.854261180762308</v>
      </c>
      <c r="U141" s="366">
        <f>U$289*hypo!CN42/U264*100</f>
        <v>104.62897742525709</v>
      </c>
      <c r="V141" s="366">
        <f>V$289*hypo!CO42/V264*100</f>
        <v>17.840067104318493</v>
      </c>
      <c r="W141" s="366">
        <f>W$289*hypo!CP42/W264*100</f>
        <v>0.49942209090729367</v>
      </c>
      <c r="X141" s="366">
        <f>X$289*hypo!CQ42/X264*100</f>
        <v>0.21933231652976909</v>
      </c>
      <c r="Y141" s="366">
        <f>Y$289*hypo!CR42/Y264*100</f>
        <v>2.1002526058887296</v>
      </c>
      <c r="Z141" s="366">
        <f>Z$289*hypo!CS42/Z264*100</f>
        <v>6.9477677556840893</v>
      </c>
      <c r="AA141" s="366">
        <f>AA$289*hypo!CT42/AA264*100</f>
        <v>7.6829308355021304</v>
      </c>
      <c r="AB141" s="366">
        <f>AB$289*hypo!CU42/AB264*100</f>
        <v>0.34895482406673628</v>
      </c>
      <c r="AC141" s="366">
        <f>AC$289*hypo!CV42/AC264*100</f>
        <v>59.265144150880566</v>
      </c>
      <c r="AD141" s="366">
        <f>AD$289*hypo!CW42/AD264*100</f>
        <v>0.75060862392448346</v>
      </c>
      <c r="AE141" s="366">
        <f>AE$289*hypo!CX42/AE264*100</f>
        <v>0.83872739956570919</v>
      </c>
      <c r="AF141" s="366">
        <f>AF$289*hypo!CY42/AF264*100</f>
        <v>0.40437674202754048</v>
      </c>
      <c r="AG141" s="366">
        <f>AG$289*hypo!CZ42/AG264*100</f>
        <v>1.3191071617864305</v>
      </c>
      <c r="AH141" s="366">
        <f>AH$289*hypo!DA42/AH264*100</f>
        <v>0.11958553248684396</v>
      </c>
      <c r="AI141" s="366">
        <f>AI$289*hypo!DB42/AI264*100</f>
        <v>1.4730559757931896</v>
      </c>
      <c r="AJ141" s="366">
        <f>AJ$289*hypo!DC42/AJ264*100</f>
        <v>4.3230750884618008</v>
      </c>
      <c r="AK141" s="366">
        <f>AK$289*hypo!DD42/AK264*100</f>
        <v>1.9553680397563378</v>
      </c>
      <c r="AL141" s="366">
        <f>AL$289*hypo!DE42/AL264*100</f>
        <v>0.37643483469507039</v>
      </c>
      <c r="AM141" s="379">
        <f t="shared" si="12"/>
        <v>1117.0899151238668</v>
      </c>
    </row>
    <row r="142" spans="1:39" s="364" customFormat="1" x14ac:dyDescent="0.2">
      <c r="A142" s="44"/>
      <c r="B142" s="41" t="s">
        <v>101</v>
      </c>
      <c r="C142" s="22" t="s">
        <v>125</v>
      </c>
      <c r="D142" s="8"/>
      <c r="E142" s="17"/>
      <c r="F142" s="366">
        <f>F$289*hypo!BY43/F265*100</f>
        <v>0.46279555016835405</v>
      </c>
      <c r="G142" s="366">
        <f>G$289*hypo!BZ43/G265*100</f>
        <v>0.18372306567947003</v>
      </c>
      <c r="H142" s="366">
        <f>H$289*hypo!CA43/H265*100</f>
        <v>0.47163705476573431</v>
      </c>
      <c r="I142" s="366">
        <f>I$289*hypo!CB43/I265*100</f>
        <v>0.17930828281149128</v>
      </c>
      <c r="J142" s="366">
        <f>J$289*hypo!CC43/J265*100</f>
        <v>0.35020004517192099</v>
      </c>
      <c r="K142" s="366">
        <f>K$289*hypo!CD43/K265*100</f>
        <v>6.8845057014227468E-2</v>
      </c>
      <c r="L142" s="366">
        <f>L$289*hypo!CE43/L265*100</f>
        <v>0.13709057146890244</v>
      </c>
      <c r="M142" s="366">
        <f>M$289*hypo!CF43/M265*100</f>
        <v>7.5022470349073314E-3</v>
      </c>
      <c r="N142" s="366">
        <f>N$289*hypo!CG43/N265*100</f>
        <v>4.3141692988486559E-2</v>
      </c>
      <c r="O142" s="366">
        <f>O$289*hypo!CH43/O265*100</f>
        <v>3.6558688056130384E-2</v>
      </c>
      <c r="P142" s="366">
        <f>P$289*hypo!CI43/P265*100</f>
        <v>0.12998957145212001</v>
      </c>
      <c r="Q142" s="366">
        <f>Q$289*hypo!CJ43/Q265*100</f>
        <v>6.2684457161346255E-2</v>
      </c>
      <c r="R142" s="366">
        <f>R$289*hypo!CK43/R265*100</f>
        <v>1.585787815722113</v>
      </c>
      <c r="S142" s="366">
        <f>S$289*hypo!CL43/S265*100</f>
        <v>1.296039976409977</v>
      </c>
      <c r="T142" s="366">
        <f>T$289*hypo!CM43/T265*100</f>
        <v>4.4611451858773856</v>
      </c>
      <c r="U142" s="366">
        <f>U$289*hypo!CN43/U265*100</f>
        <v>3.7844137120197359</v>
      </c>
      <c r="V142" s="366">
        <f>V$289*hypo!CO43/V265*100</f>
        <v>0.91071048645291075</v>
      </c>
      <c r="W142" s="366">
        <f>W$289*hypo!CP43/W265*100</f>
        <v>8.2109400559394169E-2</v>
      </c>
      <c r="X142" s="366">
        <f>X$289*hypo!CQ43/X265*100</f>
        <v>6.4842317216498874E-3</v>
      </c>
      <c r="Y142" s="366">
        <f>Y$289*hypo!CR43/Y265*100</f>
        <v>0.17778586953411962</v>
      </c>
      <c r="Z142" s="366">
        <f>Z$289*hypo!CS43/Z265*100</f>
        <v>1.1092787460458813E-2</v>
      </c>
      <c r="AA142" s="366">
        <f>AA$289*hypo!CT43/AA265*100</f>
        <v>0.14649379834875556</v>
      </c>
      <c r="AB142" s="366">
        <f>AB$289*hypo!CU43/AB265*100</f>
        <v>3.1641022524744732E-2</v>
      </c>
      <c r="AC142" s="366">
        <f>AC$289*hypo!CV43/AC265*100</f>
        <v>0.59656864504486118</v>
      </c>
      <c r="AD142" s="366">
        <f>AD$289*hypo!CW43/AD265*100</f>
        <v>6.4531856104944413E-2</v>
      </c>
      <c r="AE142" s="366">
        <f>AE$289*hypo!CX43/AE265*100</f>
        <v>0.57647324671651345</v>
      </c>
      <c r="AF142" s="366">
        <f>AF$289*hypo!CY43/AF265*100</f>
        <v>3.5709519082174408E-2</v>
      </c>
      <c r="AG142" s="366">
        <f>AG$289*hypo!CZ43/AG265*100</f>
        <v>0.35398075457618094</v>
      </c>
      <c r="AH142" s="366">
        <f>AH$289*hypo!DA43/AH265*100</f>
        <v>1.7667410327202083E-2</v>
      </c>
      <c r="AI142" s="366">
        <f>AI$289*hypo!DB43/AI265*100</f>
        <v>0</v>
      </c>
      <c r="AJ142" s="366">
        <f>AJ$289*hypo!DC43/AJ265*100</f>
        <v>0</v>
      </c>
      <c r="AK142" s="366">
        <f>AK$289*hypo!DD43/AK265*100</f>
        <v>2.471329640753161E-3</v>
      </c>
      <c r="AL142" s="366">
        <f>AL$289*hypo!DE43/AL265*100</f>
        <v>0</v>
      </c>
      <c r="AM142" s="379">
        <f t="shared" si="12"/>
        <v>16.274583331896967</v>
      </c>
    </row>
    <row r="143" spans="1:39" s="364" customFormat="1" x14ac:dyDescent="0.2">
      <c r="A143" s="44"/>
      <c r="B143" s="41" t="s">
        <v>102</v>
      </c>
      <c r="C143" s="22" t="s">
        <v>125</v>
      </c>
      <c r="D143" s="8"/>
      <c r="E143" s="17"/>
      <c r="F143" s="366">
        <f>F$289*hypo!BY44/F266*100</f>
        <v>4255.7808832537139</v>
      </c>
      <c r="G143" s="366">
        <f>G$289*hypo!BZ44/G266*100</f>
        <v>1250.4732730850089</v>
      </c>
      <c r="H143" s="366">
        <f>H$289*hypo!CA44/H266*100</f>
        <v>523.76811225946983</v>
      </c>
      <c r="I143" s="366">
        <f>I$289*hypo!CB44/I266*100</f>
        <v>15061.444794277113</v>
      </c>
      <c r="J143" s="366">
        <f>J$289*hypo!CC44/J266*100</f>
        <v>1098.3518542638442</v>
      </c>
      <c r="K143" s="366">
        <f>K$289*hypo!CD44/K266*100</f>
        <v>775.27632956661978</v>
      </c>
      <c r="L143" s="366">
        <f>L$289*hypo!CE44/L266*100</f>
        <v>4.3944648809810198</v>
      </c>
      <c r="M143" s="366">
        <f>M$289*hypo!CF44/M266*100</f>
        <v>6319.5536505950176</v>
      </c>
      <c r="N143" s="366">
        <f>N$289*hypo!CG44/N266*100</f>
        <v>7202.1984301614439</v>
      </c>
      <c r="O143" s="366">
        <f>O$289*hypo!CH44/O266*100</f>
        <v>147.08780426110465</v>
      </c>
      <c r="P143" s="366">
        <f>P$289*hypo!CI44/P266*100</f>
        <v>7.3462413895368037</v>
      </c>
      <c r="Q143" s="366">
        <f>Q$289*hypo!CJ44/Q266*100</f>
        <v>721.60667075174206</v>
      </c>
      <c r="R143" s="366">
        <f>R$289*hypo!CK44/R266*100</f>
        <v>2.5202866675063151</v>
      </c>
      <c r="S143" s="366">
        <f>S$289*hypo!CL44/S266*100</f>
        <v>1.4703517251366769</v>
      </c>
      <c r="T143" s="366">
        <f>T$289*hypo!CM44/T266*100</f>
        <v>48.680739563393146</v>
      </c>
      <c r="U143" s="366">
        <f>U$289*hypo!CN44/U266*100</f>
        <v>2161.6924927916311</v>
      </c>
      <c r="V143" s="366">
        <f>V$289*hypo!CO44/V266*100</f>
        <v>550.24818279016358</v>
      </c>
      <c r="W143" s="366">
        <f>W$289*hypo!CP44/W266*100</f>
        <v>23.414234077659419</v>
      </c>
      <c r="X143" s="366">
        <f>X$289*hypo!CQ44/X266*100</f>
        <v>0</v>
      </c>
      <c r="Y143" s="366">
        <f>Y$289*hypo!CR44/Y266*100</f>
        <v>0</v>
      </c>
      <c r="Z143" s="366">
        <f>Z$289*hypo!CS44/Z266*100</f>
        <v>0</v>
      </c>
      <c r="AA143" s="366">
        <f>AA$289*hypo!CT44/AA266*100</f>
        <v>0</v>
      </c>
      <c r="AB143" s="366">
        <f>AB$289*hypo!CU44/AB266*100</f>
        <v>0</v>
      </c>
      <c r="AC143" s="366">
        <f>AC$289*hypo!CV44/AC266*100</f>
        <v>3.5588587376634071</v>
      </c>
      <c r="AD143" s="366">
        <f>AD$289*hypo!CW44/AD266*100</f>
        <v>0.31064235130869861</v>
      </c>
      <c r="AE143" s="366">
        <f>AE$289*hypo!CX44/AE266*100</f>
        <v>0</v>
      </c>
      <c r="AF143" s="366">
        <f>AF$289*hypo!CY44/AF266*100</f>
        <v>1.6789917791614242</v>
      </c>
      <c r="AG143" s="366">
        <f>AG$289*hypo!CZ44/AG266*100</f>
        <v>2.2392486628238792</v>
      </c>
      <c r="AH143" s="366">
        <f>AH$289*hypo!DA44/AH266*100</f>
        <v>0</v>
      </c>
      <c r="AI143" s="366">
        <f>AI$289*hypo!DB44/AI266*100</f>
        <v>0</v>
      </c>
      <c r="AJ143" s="366">
        <f>AJ$289*hypo!DC44/AJ266*100</f>
        <v>0</v>
      </c>
      <c r="AK143" s="366">
        <f>AK$289*hypo!DD44/AK266*100</f>
        <v>0</v>
      </c>
      <c r="AL143" s="366">
        <f>AL$289*hypo!DE44/AL266*100</f>
        <v>0</v>
      </c>
      <c r="AM143" s="379">
        <f t="shared" si="12"/>
        <v>40163.096537892059</v>
      </c>
    </row>
    <row r="144" spans="1:39" s="364" customFormat="1" x14ac:dyDescent="0.2">
      <c r="A144" s="44"/>
      <c r="B144" s="41" t="s">
        <v>103</v>
      </c>
      <c r="C144" s="22" t="s">
        <v>125</v>
      </c>
      <c r="D144" s="8"/>
      <c r="E144" s="17"/>
      <c r="F144" s="366">
        <f>F$289*hypo!BY45/F267*100</f>
        <v>226.4344111706547</v>
      </c>
      <c r="G144" s="366">
        <f>G$289*hypo!BZ45/G267*100</f>
        <v>186.84065503206233</v>
      </c>
      <c r="H144" s="366">
        <f>H$289*hypo!CA45/H267*100</f>
        <v>272.16422484722449</v>
      </c>
      <c r="I144" s="366">
        <f>I$289*hypo!CB45/I267*100</f>
        <v>2698.833397254562</v>
      </c>
      <c r="J144" s="366">
        <f>J$289*hypo!CC45/J267*100</f>
        <v>58.055103409165824</v>
      </c>
      <c r="K144" s="366">
        <f>K$289*hypo!CD45/K267*100</f>
        <v>327.15319719964231</v>
      </c>
      <c r="L144" s="366">
        <f>L$289*hypo!CE45/L267*100</f>
        <v>24.78948530053227</v>
      </c>
      <c r="M144" s="366">
        <f>M$289*hypo!CF45/M267*100</f>
        <v>2949.9468780980328</v>
      </c>
      <c r="N144" s="366">
        <f>N$289*hypo!CG45/N267*100</f>
        <v>812.63360193579149</v>
      </c>
      <c r="O144" s="366">
        <f>O$289*hypo!CH45/O267*100</f>
        <v>34.522908521883437</v>
      </c>
      <c r="P144" s="366">
        <f>P$289*hypo!CI45/P267*100</f>
        <v>15.804095149208536</v>
      </c>
      <c r="Q144" s="366">
        <f>Q$289*hypo!CJ45/Q267*100</f>
        <v>69.783220401492642</v>
      </c>
      <c r="R144" s="366">
        <f>R$289*hypo!CK45/R267*100</f>
        <v>267.09886740728012</v>
      </c>
      <c r="S144" s="366">
        <f>S$289*hypo!CL45/S267*100</f>
        <v>28.726747297833732</v>
      </c>
      <c r="T144" s="366">
        <f>T$289*hypo!CM45/T267*100</f>
        <v>17.590480550794435</v>
      </c>
      <c r="U144" s="366">
        <f>U$289*hypo!CN45/U267*100</f>
        <v>241.15062349379599</v>
      </c>
      <c r="V144" s="366">
        <f>V$289*hypo!CO45/V267*100</f>
        <v>50.292759739243145</v>
      </c>
      <c r="W144" s="366">
        <f>W$289*hypo!CP45/W267*100</f>
        <v>1.6928353764458928</v>
      </c>
      <c r="X144" s="366">
        <f>X$289*hypo!CQ45/X267*100</f>
        <v>6.9705999574930146</v>
      </c>
      <c r="Y144" s="366">
        <f>Y$289*hypo!CR45/Y267*100</f>
        <v>18.747704674157553</v>
      </c>
      <c r="Z144" s="366">
        <f>Z$289*hypo!CS45/Z267*100</f>
        <v>17.6275485534151</v>
      </c>
      <c r="AA144" s="366">
        <f>AA$289*hypo!CT45/AA267*100</f>
        <v>16.082325131092016</v>
      </c>
      <c r="AB144" s="366">
        <f>AB$289*hypo!CU45/AB267*100</f>
        <v>5.0575225993685402</v>
      </c>
      <c r="AC144" s="366">
        <f>AC$289*hypo!CV45/AC267*100</f>
        <v>56.517451116526374</v>
      </c>
      <c r="AD144" s="366">
        <f>AD$289*hypo!CW45/AD267*100</f>
        <v>23.556682258531733</v>
      </c>
      <c r="AE144" s="366">
        <f>AE$289*hypo!CX45/AE267*100</f>
        <v>2.2525397899858808</v>
      </c>
      <c r="AF144" s="366">
        <f>AF$289*hypo!CY45/AF267*100</f>
        <v>12.205755265649424</v>
      </c>
      <c r="AG144" s="366">
        <f>AG$289*hypo!CZ45/AG267*100</f>
        <v>3.3318915260258026</v>
      </c>
      <c r="AH144" s="366">
        <f>AH$289*hypo!DA45/AH267*100</f>
        <v>2.9319488090618684</v>
      </c>
      <c r="AI144" s="366">
        <f>AI$289*hypo!DB45/AI267*100</f>
        <v>24.197593254904596</v>
      </c>
      <c r="AJ144" s="366">
        <f>AJ$289*hypo!DC45/AJ267*100</f>
        <v>78.709863355948912</v>
      </c>
      <c r="AK144" s="366">
        <f>AK$289*hypo!DD45/AK267*100</f>
        <v>24.1523826210693</v>
      </c>
      <c r="AL144" s="366">
        <f>AL$289*hypo!DE45/AL267*100</f>
        <v>60.715531810217158</v>
      </c>
      <c r="AM144" s="379">
        <f t="shared" si="12"/>
        <v>8636.5708329090921</v>
      </c>
    </row>
    <row r="145" spans="1:39" s="364" customFormat="1" x14ac:dyDescent="0.2">
      <c r="A145" s="44"/>
      <c r="B145" s="41" t="s">
        <v>104</v>
      </c>
      <c r="C145" s="22" t="s">
        <v>125</v>
      </c>
      <c r="D145" s="8"/>
      <c r="E145" s="17"/>
      <c r="F145" s="366">
        <f>F$289*hypo!BY46/F268*100</f>
        <v>2.4658756935653993E-10</v>
      </c>
      <c r="G145" s="366">
        <f>G$289*hypo!BZ46/G268*100</f>
        <v>2.9395690508715206E-10</v>
      </c>
      <c r="H145" s="366">
        <f>H$289*hypo!CA46/H268*100</f>
        <v>1.3910956074968571E-10</v>
      </c>
      <c r="I145" s="366">
        <f>I$289*hypo!CB46/I268*100</f>
        <v>2.2241166312514423E-10</v>
      </c>
      <c r="J145" s="366">
        <f>J$289*hypo!CC46/J268*100</f>
        <v>2.6702252777119407E-10</v>
      </c>
      <c r="K145" s="366">
        <f>K$289*hypo!CD46/K268*100</f>
        <v>1.4021396540575865E-10</v>
      </c>
      <c r="L145" s="366">
        <f>L$289*hypo!CE46/L268*100</f>
        <v>2.8770319300923917E-10</v>
      </c>
      <c r="M145" s="366">
        <f>M$289*hypo!CF46/M268*100</f>
        <v>2.5007490116357776E-10</v>
      </c>
      <c r="N145" s="366">
        <f>N$289*hypo!CG46/N268*100</f>
        <v>1.6218681574619005E-10</v>
      </c>
      <c r="O145" s="366">
        <f>O$289*hypo!CH46/O268*100</f>
        <v>2.3972910200741233E-10</v>
      </c>
      <c r="P145" s="366">
        <f>P$289*hypo!CI46/P268*100</f>
        <v>1.6794518275467694E-10</v>
      </c>
      <c r="Q145" s="366">
        <f>Q$289*hypo!CJ46/Q268*100</f>
        <v>2.3398453587661907E-10</v>
      </c>
      <c r="R145" s="366">
        <f>R$289*hypo!CK46/R268*100</f>
        <v>1.465282946224602E-10</v>
      </c>
      <c r="S145" s="366">
        <f>S$289*hypo!CL46/S268*100</f>
        <v>1.6775262123635789E-10</v>
      </c>
      <c r="T145" s="366">
        <f>T$289*hypo!CM46/T268*100</f>
        <v>1.9809791277391933E-10</v>
      </c>
      <c r="U145" s="366">
        <f>U$289*hypo!CN46/U268*100</f>
        <v>2.2079684197130286E-10</v>
      </c>
      <c r="V145" s="366">
        <f>V$289*hypo!CO46/V268*100</f>
        <v>2.4127337637177738E-10</v>
      </c>
      <c r="W145" s="366">
        <f>W$289*hypo!CP46/W268*100</f>
        <v>1.5881895659457287E-10</v>
      </c>
      <c r="X145" s="366">
        <f>X$289*hypo!CQ46/X268*100</f>
        <v>1.271417984637233E-10</v>
      </c>
      <c r="Y145" s="366">
        <f>Y$289*hypo!CR46/Y268*100</f>
        <v>1.4778542770916015E-10</v>
      </c>
      <c r="Z145" s="366">
        <f>Z$289*hypo!CS46/Z268*100</f>
        <v>4.4371149841835252E-10</v>
      </c>
      <c r="AA145" s="366">
        <f>AA$289*hypo!CT46/AA268*100</f>
        <v>1.8376040936873506E-10</v>
      </c>
      <c r="AB145" s="366">
        <f>AB$289*hypo!CU46/AB268*100</f>
        <v>1.5852215693759882E-10</v>
      </c>
      <c r="AC145" s="366">
        <f>AC$289*hypo!CV46/AC268*100</f>
        <v>3.1047028105379198E-10</v>
      </c>
      <c r="AD145" s="366">
        <f>AD$289*hypo!CW46/AD268*100</f>
        <v>2.3655372472486957E-10</v>
      </c>
      <c r="AE145" s="366">
        <f>AE$289*hypo!CX46/AE268*100</f>
        <v>3.1551269592059189E-10</v>
      </c>
      <c r="AF145" s="366">
        <f>AF$289*hypo!CY46/AF268*100</f>
        <v>1.3424631233900154E-10</v>
      </c>
      <c r="AG145" s="366">
        <f>AG$289*hypo!CZ46/AG268*100</f>
        <v>2.3688734161559327E-10</v>
      </c>
      <c r="AH145" s="366">
        <f>AH$289*hypo!DA46/AH268*100</f>
        <v>2.4037292962179699E-10</v>
      </c>
      <c r="AI145" s="366">
        <f>AI$289*hypo!DB46/AI268*100</f>
        <v>2.3901218149846506E-10</v>
      </c>
      <c r="AJ145" s="366">
        <f>AJ$289*hypo!DC46/AJ268*100</f>
        <v>1.4062439296278056E-9</v>
      </c>
      <c r="AK145" s="366">
        <f>AK$289*hypo!DD46/AK268*100</f>
        <v>2.6013996218454333E-10</v>
      </c>
      <c r="AL145" s="366">
        <f>AL$289*hypo!DE46/AL268*100</f>
        <v>1.6619639500886112E-9</v>
      </c>
      <c r="AM145" s="379">
        <f t="shared" si="12"/>
        <v>9.8865185251962207E-9</v>
      </c>
    </row>
    <row r="146" spans="1:39" s="364" customFormat="1" x14ac:dyDescent="0.2">
      <c r="A146" s="44"/>
      <c r="B146" s="41" t="s">
        <v>105</v>
      </c>
      <c r="C146" s="22" t="s">
        <v>125</v>
      </c>
      <c r="D146" s="8"/>
      <c r="E146" s="17"/>
      <c r="F146" s="366">
        <f>F$289*hypo!BY47/F269*100</f>
        <v>0.71160240764910287</v>
      </c>
      <c r="G146" s="366">
        <f>G$289*hypo!BZ47/G269*100</f>
        <v>8.8010697383093334E-2</v>
      </c>
      <c r="H146" s="366">
        <f>H$289*hypo!CA47/H269*100</f>
        <v>4.9710940643460946</v>
      </c>
      <c r="I146" s="366">
        <f>I$289*hypo!CB47/I269*100</f>
        <v>66.657487155927726</v>
      </c>
      <c r="J146" s="366">
        <f>J$289*hypo!CC47/J269*100</f>
        <v>5.4258977643106637E-2</v>
      </c>
      <c r="K146" s="366">
        <f>K$289*hypo!CD47/K269*100</f>
        <v>1.5087022677659625E-2</v>
      </c>
      <c r="L146" s="366">
        <f>L$289*hypo!CE47/L269*100</f>
        <v>0.10049472531812721</v>
      </c>
      <c r="M146" s="366">
        <f>M$289*hypo!CF47/M269*100</f>
        <v>143.74357834611692</v>
      </c>
      <c r="N146" s="366">
        <f>N$289*hypo!CG47/N269*100</f>
        <v>0.51864099939316644</v>
      </c>
      <c r="O146" s="366">
        <f>O$289*hypo!CH47/O269*100</f>
        <v>1.5524377187796006</v>
      </c>
      <c r="P146" s="366">
        <f>P$289*hypo!CI47/P269*100</f>
        <v>3.0918708145136014E-2</v>
      </c>
      <c r="Q146" s="366">
        <f>Q$289*hypo!CJ47/Q269*100</f>
        <v>6.3246020047450127E-2</v>
      </c>
      <c r="R146" s="366">
        <f>R$289*hypo!CK47/R269*100</f>
        <v>53.903319784276029</v>
      </c>
      <c r="S146" s="366">
        <f>S$289*hypo!CL47/S269*100</f>
        <v>1.7205044339243338</v>
      </c>
      <c r="T146" s="366">
        <f>T$289*hypo!CM47/T269*100</f>
        <v>0.47840645934901516</v>
      </c>
      <c r="U146" s="366">
        <f>U$289*hypo!CN47/U269*100</f>
        <v>2.4223621532671635</v>
      </c>
      <c r="V146" s="366">
        <f>V$289*hypo!CO47/V269*100</f>
        <v>2.4973724641489925</v>
      </c>
      <c r="W146" s="366">
        <f>W$289*hypo!CP47/W269*100</f>
        <v>1.7760882734927677</v>
      </c>
      <c r="X146" s="366">
        <f>X$289*hypo!CQ47/X269*100</f>
        <v>1.2510752968830372E-2</v>
      </c>
      <c r="Y146" s="366">
        <f>Y$289*hypo!CR47/Y269*100</f>
        <v>0.18159873356901599</v>
      </c>
      <c r="Z146" s="366">
        <f>Z$289*hypo!CS47/Z269*100</f>
        <v>2.4492874712693062E-2</v>
      </c>
      <c r="AA146" s="366">
        <f>AA$289*hypo!CT47/AA269*100</f>
        <v>0.21626762578606426</v>
      </c>
      <c r="AB146" s="366">
        <f>AB$289*hypo!CU47/AB269*100</f>
        <v>2.6473200208579008E-3</v>
      </c>
      <c r="AC146" s="366">
        <f>AC$289*hypo!CV47/AC269*100</f>
        <v>4.4629792431201531</v>
      </c>
      <c r="AD146" s="366">
        <f>AD$289*hypo!CW47/AD269*100</f>
        <v>0.89230430503468039</v>
      </c>
      <c r="AE146" s="366">
        <f>AE$289*hypo!CX47/AE269*100</f>
        <v>1.3685994210947512</v>
      </c>
      <c r="AF146" s="366">
        <f>AF$289*hypo!CY47/AF269*100</f>
        <v>3.5291341819238422</v>
      </c>
      <c r="AG146" s="366">
        <f>AG$289*hypo!CZ47/AG269*100</f>
        <v>0.15243700432963422</v>
      </c>
      <c r="AH146" s="366">
        <f>AH$289*hypo!DA47/AH269*100</f>
        <v>1.0311998680775092E-2</v>
      </c>
      <c r="AI146" s="366">
        <f>AI$289*hypo!DB47/AI269*100</f>
        <v>0.20241941651105</v>
      </c>
      <c r="AJ146" s="366">
        <f>AJ$289*hypo!DC47/AJ269*100</f>
        <v>1.0920890357489539</v>
      </c>
      <c r="AK146" s="366">
        <f>AK$289*hypo!DD47/AK269*100</f>
        <v>0.36190671539113661</v>
      </c>
      <c r="AL146" s="366">
        <f>AL$289*hypo!DE47/AL269*100</f>
        <v>0.20841027934111184</v>
      </c>
      <c r="AM146" s="379">
        <f t="shared" si="12"/>
        <v>294.02301932011898</v>
      </c>
    </row>
    <row r="147" spans="1:39" s="364" customFormat="1" x14ac:dyDescent="0.2">
      <c r="A147" s="44"/>
      <c r="B147" s="41" t="s">
        <v>106</v>
      </c>
      <c r="C147" s="22" t="s">
        <v>125</v>
      </c>
      <c r="D147" s="8"/>
      <c r="E147" s="17"/>
      <c r="F147" s="366">
        <f>F$289*hypo!BY48/F270*100</f>
        <v>1.8342169759016858</v>
      </c>
      <c r="G147" s="366">
        <f>G$289*hypo!BZ48/G270*100</f>
        <v>0.15238725959717961</v>
      </c>
      <c r="H147" s="366">
        <f>H$289*hypo!CA48/H270*100</f>
        <v>2.3063669624494141</v>
      </c>
      <c r="I147" s="366">
        <f>I$289*hypo!CB48/I270*100</f>
        <v>11.532956620857538</v>
      </c>
      <c r="J147" s="366">
        <f>J$289*hypo!CC48/J270*100</f>
        <v>1.5246986335735178E-2</v>
      </c>
      <c r="K147" s="366">
        <f>K$289*hypo!CD48/K270*100</f>
        <v>1.4343888661009108E-2</v>
      </c>
      <c r="L147" s="366">
        <f>L$289*hypo!CE48/L270*100</f>
        <v>2.9690969518553465E-2</v>
      </c>
      <c r="M147" s="366">
        <f>M$289*hypo!CF48/M270*100</f>
        <v>6.9106948562048869</v>
      </c>
      <c r="N147" s="366">
        <f>N$289*hypo!CG48/N270*100</f>
        <v>0.43723943657015374</v>
      </c>
      <c r="O147" s="366">
        <f>O$289*hypo!CH48/O270*100</f>
        <v>0.12130292561575065</v>
      </c>
      <c r="P147" s="366">
        <f>P$289*hypo!CI48/P270*100</f>
        <v>3.9635063130103758E-3</v>
      </c>
      <c r="Q147" s="366">
        <f>Q$289*hypo!CJ48/Q270*100</f>
        <v>1.347750926649326E-2</v>
      </c>
      <c r="R147" s="366">
        <f>R$289*hypo!CK48/R270*100</f>
        <v>15.958543095626757</v>
      </c>
      <c r="S147" s="366">
        <f>S$289*hypo!CL48/S270*100</f>
        <v>0.7246074474304478</v>
      </c>
      <c r="T147" s="366">
        <f>T$289*hypo!CM48/T270*100</f>
        <v>0.55239602977007407</v>
      </c>
      <c r="U147" s="366">
        <f>U$289*hypo!CN48/U270*100</f>
        <v>0.68831207516133963</v>
      </c>
      <c r="V147" s="366">
        <f>V$289*hypo!CO48/V270*100</f>
        <v>0.4711586493788068</v>
      </c>
      <c r="W147" s="366">
        <f>W$289*hypo!CP48/W270*100</f>
        <v>0.30941109123754679</v>
      </c>
      <c r="X147" s="366">
        <f>X$289*hypo!CQ48/X270*100</f>
        <v>0</v>
      </c>
      <c r="Y147" s="366">
        <f>Y$289*hypo!CR48/Y270*100</f>
        <v>1.1113464163728843E-2</v>
      </c>
      <c r="Z147" s="366">
        <f>Z$289*hypo!CS48/Z270*100</f>
        <v>8.3861473201068629E-3</v>
      </c>
      <c r="AA147" s="366">
        <f>AA$289*hypo!CT48/AA270*100</f>
        <v>6.8450752489853814E-2</v>
      </c>
      <c r="AB147" s="366">
        <f>AB$289*hypo!CU48/AB270*100</f>
        <v>0</v>
      </c>
      <c r="AC147" s="366">
        <f>AC$289*hypo!CV48/AC270*100</f>
        <v>0.42186701789589248</v>
      </c>
      <c r="AD147" s="366">
        <f>AD$289*hypo!CW48/AD270*100</f>
        <v>0.66033972256947338</v>
      </c>
      <c r="AE147" s="366">
        <f>AE$289*hypo!CX48/AE270*100</f>
        <v>1.2846730439798737</v>
      </c>
      <c r="AF147" s="366">
        <f>AF$289*hypo!CY48/AF270*100</f>
        <v>0.22566805104186158</v>
      </c>
      <c r="AG147" s="366">
        <f>AG$289*hypo!CZ48/AG270*100</f>
        <v>2.7715818969024406E-2</v>
      </c>
      <c r="AH147" s="366">
        <f>AH$289*hypo!DA48/AH270*100</f>
        <v>7.3794489393891683E-3</v>
      </c>
      <c r="AI147" s="366">
        <f>AI$289*hypo!DB48/AI270*100</f>
        <v>0.18669241496845101</v>
      </c>
      <c r="AJ147" s="366">
        <f>AJ$289*hypo!DC48/AJ270*100</f>
        <v>0.74151242409274176</v>
      </c>
      <c r="AK147" s="366">
        <f>AK$289*hypo!DD48/AK270*100</f>
        <v>0.12374858001118726</v>
      </c>
      <c r="AL147" s="366">
        <f>AL$289*hypo!DE48/AL270*100</f>
        <v>8.1768626344359663E-2</v>
      </c>
      <c r="AM147" s="379">
        <f t="shared" si="12"/>
        <v>45.925631798682325</v>
      </c>
    </row>
    <row r="148" spans="1:39" s="364" customFormat="1" x14ac:dyDescent="0.2">
      <c r="A148" s="44"/>
      <c r="B148" s="41" t="s">
        <v>107</v>
      </c>
      <c r="C148" s="22" t="s">
        <v>125</v>
      </c>
      <c r="D148" s="8"/>
      <c r="E148" s="17"/>
      <c r="F148" s="366">
        <f>F$289*hypo!BY49/F271*100</f>
        <v>7.3516631577681375</v>
      </c>
      <c r="G148" s="366">
        <f>G$289*hypo!BZ49/G271*100</f>
        <v>0.37200246338779097</v>
      </c>
      <c r="H148" s="366">
        <f>H$289*hypo!CA49/H271*100</f>
        <v>6.4662436232837157</v>
      </c>
      <c r="I148" s="366">
        <f>I$289*hypo!CB49/I271*100</f>
        <v>69.965326856922758</v>
      </c>
      <c r="J148" s="366">
        <f>J$289*hypo!CC49/J271*100</f>
        <v>0.18827758433146893</v>
      </c>
      <c r="K148" s="366">
        <f>K$289*hypo!CD49/K271*100</f>
        <v>0.12898282677675738</v>
      </c>
      <c r="L148" s="366">
        <f>L$289*hypo!CE49/L271*100</f>
        <v>0.57520499378337164</v>
      </c>
      <c r="M148" s="366">
        <f>M$289*hypo!CF49/M271*100</f>
        <v>83.16483410848906</v>
      </c>
      <c r="N148" s="366">
        <f>N$289*hypo!CG49/N271*100</f>
        <v>0.13476102520350933</v>
      </c>
      <c r="O148" s="366">
        <f>O$289*hypo!CH49/O271*100</f>
        <v>3.2071918182959647</v>
      </c>
      <c r="P148" s="366">
        <f>P$289*hypo!CI49/P271*100</f>
        <v>0.15508058175566866</v>
      </c>
      <c r="Q148" s="366">
        <f>Q$289*hypo!CJ49/Q271*100</f>
        <v>0.401119689853288</v>
      </c>
      <c r="R148" s="366">
        <f>R$289*hypo!CK49/R271*100</f>
        <v>90.372366059294123</v>
      </c>
      <c r="S148" s="366">
        <f>S$289*hypo!CL49/S271*100</f>
        <v>3.5223856644104248</v>
      </c>
      <c r="T148" s="366">
        <f>T$289*hypo!CM49/T271*100</f>
        <v>7.3465205245946281</v>
      </c>
      <c r="U148" s="366">
        <f>U$289*hypo!CN49/U271*100</f>
        <v>5.1876438817999571</v>
      </c>
      <c r="V148" s="366">
        <f>V$289*hypo!CO49/V271*100</f>
        <v>4.6698944543510246</v>
      </c>
      <c r="W148" s="366">
        <f>W$289*hypo!CP49/W271*100</f>
        <v>3.2187043838239107</v>
      </c>
      <c r="X148" s="366">
        <f>X$289*hypo!CQ49/X271*100</f>
        <v>0.24001828713981688</v>
      </c>
      <c r="Y148" s="366">
        <f>Y$289*hypo!CR49/Y271*100</f>
        <v>0.93725518253149365</v>
      </c>
      <c r="Z148" s="366">
        <f>Z$289*hypo!CS49/Z271*100</f>
        <v>0.20113442223303915</v>
      </c>
      <c r="AA148" s="366">
        <f>AA$289*hypo!CT49/AA271*100</f>
        <v>0.44253181784178786</v>
      </c>
      <c r="AB148" s="366">
        <f>AB$289*hypo!CU49/AB271*100</f>
        <v>2.7709673032692277E-2</v>
      </c>
      <c r="AC148" s="366">
        <f>AC$289*hypo!CV49/AC271*100</f>
        <v>15.307333595991841</v>
      </c>
      <c r="AD148" s="366">
        <f>AD$289*hypo!CW49/AD271*100</f>
        <v>33.501921264159648</v>
      </c>
      <c r="AE148" s="366">
        <f>AE$289*hypo!CX49/AE271*100</f>
        <v>19.268013275905034</v>
      </c>
      <c r="AF148" s="366">
        <f>AF$289*hypo!CY49/AF271*100</f>
        <v>33.213262602755606</v>
      </c>
      <c r="AG148" s="366">
        <f>AG$289*hypo!CZ49/AG271*100</f>
        <v>1.0687409304329103</v>
      </c>
      <c r="AH148" s="366">
        <f>AH$289*hypo!DA49/AH271*100</f>
        <v>0.12742168999251455</v>
      </c>
      <c r="AI148" s="366">
        <f>AI$289*hypo!DB49/AI271*100</f>
        <v>1.4804653534196421</v>
      </c>
      <c r="AJ148" s="366">
        <f>AJ$289*hypo!DC49/AJ271*100</f>
        <v>7.251859320697629</v>
      </c>
      <c r="AK148" s="366">
        <f>AK$289*hypo!DD49/AK271*100</f>
        <v>0.82227640646912303</v>
      </c>
      <c r="AL148" s="366">
        <f>AL$289*hypo!DE49/AL271*100</f>
        <v>0.84760161454519189</v>
      </c>
      <c r="AM148" s="379">
        <f t="shared" si="12"/>
        <v>401.16574913527353</v>
      </c>
    </row>
    <row r="149" spans="1:39" s="364" customFormat="1" x14ac:dyDescent="0.2">
      <c r="A149" s="44"/>
      <c r="B149" s="41" t="s">
        <v>108</v>
      </c>
      <c r="C149" s="22" t="s">
        <v>125</v>
      </c>
      <c r="D149" s="8"/>
      <c r="E149" s="17"/>
      <c r="F149" s="366">
        <f>F$289*hypo!BY50/F272*100</f>
        <v>0.26468709694730991</v>
      </c>
      <c r="G149" s="366">
        <f>G$289*hypo!BZ50/G272*100</f>
        <v>2.7808323221244588E-2</v>
      </c>
      <c r="H149" s="366">
        <f>H$289*hypo!CA50/H272*100</f>
        <v>0.38310773030463452</v>
      </c>
      <c r="I149" s="366">
        <f>I$289*hypo!CB50/I272*100</f>
        <v>0.19774620968456574</v>
      </c>
      <c r="J149" s="366">
        <f>J$289*hypo!CC50/J272*100</f>
        <v>0</v>
      </c>
      <c r="K149" s="366">
        <f>K$289*hypo!CD50/K272*100</f>
        <v>0</v>
      </c>
      <c r="L149" s="366">
        <f>L$289*hypo!CE50/L272*100</f>
        <v>1.150812772036956E-3</v>
      </c>
      <c r="M149" s="366">
        <f>M$289*hypo!CF50/M272*100</f>
        <v>1.9867200522940431</v>
      </c>
      <c r="N149" s="366">
        <f>N$289*hypo!CG50/N272*100</f>
        <v>3.8508988783512388</v>
      </c>
      <c r="O149" s="366">
        <f>O$289*hypo!CH50/O272*100</f>
        <v>0.28628449361725167</v>
      </c>
      <c r="P149" s="366">
        <f>P$289*hypo!CI50/P272*100</f>
        <v>5.322182841495713E-2</v>
      </c>
      <c r="Q149" s="366">
        <f>Q$289*hypo!CJ50/Q272*100</f>
        <v>2.1058608228895714E-3</v>
      </c>
      <c r="R149" s="366">
        <f>R$289*hypo!CK50/R272*100</f>
        <v>0</v>
      </c>
      <c r="S149" s="366">
        <f>S$289*hypo!CL50/S272*100</f>
        <v>2.6847129502666713</v>
      </c>
      <c r="T149" s="366">
        <f>T$289*hypo!CM50/T272*100</f>
        <v>0.65015734972400319</v>
      </c>
      <c r="U149" s="366">
        <f>U$289*hypo!CN50/U272*100</f>
        <v>7.8684708182787277</v>
      </c>
      <c r="V149" s="366">
        <f>V$289*hypo!CO50/V272*100</f>
        <v>5.2765522319002205</v>
      </c>
      <c r="W149" s="366">
        <f>W$289*hypo!CP50/W272*100</f>
        <v>0</v>
      </c>
      <c r="X149" s="366">
        <f>X$289*hypo!CQ50/X272*100</f>
        <v>0</v>
      </c>
      <c r="Y149" s="366">
        <f>Y$289*hypo!CR50/Y272*100</f>
        <v>1.152726336131449E-3</v>
      </c>
      <c r="Z149" s="366">
        <f>Z$289*hypo!CS50/Z272*100</f>
        <v>0.16204343922238237</v>
      </c>
      <c r="AA149" s="366">
        <f>AA$289*hypo!CT50/AA272*100</f>
        <v>0.17108094112229236</v>
      </c>
      <c r="AB149" s="366">
        <f>AB$289*hypo!CU50/AB272*100</f>
        <v>3.4621239075171582E-2</v>
      </c>
      <c r="AC149" s="366">
        <f>AC$289*hypo!CV50/AC272*100</f>
        <v>6.3456710274303498</v>
      </c>
      <c r="AD149" s="366">
        <f>AD$289*hypo!CW50/AD272*100</f>
        <v>8.4922787176228177E-3</v>
      </c>
      <c r="AE149" s="366">
        <f>AE$289*hypo!CX50/AE272*100</f>
        <v>0.35558280830250705</v>
      </c>
      <c r="AF149" s="366">
        <f>AF$289*hypo!CY50/AF272*100</f>
        <v>4.4529501802846809E-2</v>
      </c>
      <c r="AG149" s="366">
        <f>AG$289*hypo!CZ50/AG272*100</f>
        <v>3.3377426433637072E-2</v>
      </c>
      <c r="AH149" s="366">
        <f>AH$289*hypo!DA50/AH272*100</f>
        <v>6.3843050107549273E-2</v>
      </c>
      <c r="AI149" s="366">
        <f>AI$289*hypo!DB50/AI272*100</f>
        <v>2.4235835203944352E-2</v>
      </c>
      <c r="AJ149" s="366">
        <f>AJ$289*hypo!DC50/AJ272*100</f>
        <v>0</v>
      </c>
      <c r="AK149" s="366">
        <f>AK$289*hypo!DD50/AK272*100</f>
        <v>3.6553046506436724</v>
      </c>
      <c r="AL149" s="366">
        <f>AL$289*hypo!DE50/AL272*100</f>
        <v>6.3154630103367221E-2</v>
      </c>
      <c r="AM149" s="379">
        <f t="shared" si="12"/>
        <v>34.496714191101276</v>
      </c>
    </row>
    <row r="150" spans="1:39" s="364" customFormat="1" x14ac:dyDescent="0.2">
      <c r="A150" s="44"/>
      <c r="B150" s="41" t="s">
        <v>109</v>
      </c>
      <c r="C150" s="22" t="s">
        <v>125</v>
      </c>
      <c r="D150" s="8"/>
      <c r="E150" s="17"/>
      <c r="F150" s="366">
        <f>F$289*hypo!BY51/F273*100</f>
        <v>0.12497058014989439</v>
      </c>
      <c r="G150" s="366">
        <f>G$289*hypo!BZ51/G273*100</f>
        <v>2.8778381008032185E-2</v>
      </c>
      <c r="H150" s="366">
        <f>H$289*hypo!CA51/H273*100</f>
        <v>0</v>
      </c>
      <c r="I150" s="366">
        <f>I$289*hypo!CB51/I273*100</f>
        <v>1.2010229808757788E-3</v>
      </c>
      <c r="J150" s="366">
        <f>J$289*hypo!CC51/J273*100</f>
        <v>6.9425857220510465E-2</v>
      </c>
      <c r="K150" s="366">
        <f>K$289*hypo!CD51/K273*100</f>
        <v>0</v>
      </c>
      <c r="L150" s="366">
        <f>L$289*hypo!CE51/L273*100</f>
        <v>8.4584738744716281E-3</v>
      </c>
      <c r="M150" s="366">
        <f>M$289*hypo!CF51/M273*100</f>
        <v>1.2753819959342464E-3</v>
      </c>
      <c r="N150" s="366">
        <f>N$289*hypo!CG51/N273*100</f>
        <v>7.4395092382777375E-2</v>
      </c>
      <c r="O150" s="366">
        <f>O$289*hypo!CH51/O273*100</f>
        <v>0</v>
      </c>
      <c r="P150" s="366">
        <f>P$289*hypo!CI51/P273*100</f>
        <v>3.2581365454407332E-2</v>
      </c>
      <c r="Q150" s="366">
        <f>Q$289*hypo!CJ51/Q273*100</f>
        <v>4.1789638107564156E-2</v>
      </c>
      <c r="R150" s="366">
        <f>R$289*hypo!CK51/R273*100</f>
        <v>9.6415617861578783E-3</v>
      </c>
      <c r="S150" s="366">
        <f>S$289*hypo!CL51/S273*100</f>
        <v>2.0116894338664038</v>
      </c>
      <c r="T150" s="366">
        <f>T$289*hypo!CM51/T273*100</f>
        <v>0.62618750227835895</v>
      </c>
      <c r="U150" s="366">
        <f>U$289*hypo!CN51/U273*100</f>
        <v>0.61845195436161915</v>
      </c>
      <c r="V150" s="366">
        <f>V$289*hypo!CO51/V273*100</f>
        <v>0.51135479388234484</v>
      </c>
      <c r="W150" s="366">
        <f>W$289*hypo!CP51/W273*100</f>
        <v>9.8626572045229736E-3</v>
      </c>
      <c r="X150" s="366">
        <f>X$289*hypo!CQ51/X273*100</f>
        <v>9.3983217424384285E-2</v>
      </c>
      <c r="Y150" s="366">
        <f>Y$289*hypo!CR51/Y273*100</f>
        <v>2.4059467631051271E-2</v>
      </c>
      <c r="Z150" s="366">
        <f>Z$289*hypo!CS51/Z273*100</f>
        <v>0.4770342319495709</v>
      </c>
      <c r="AA150" s="366">
        <f>AA$289*hypo!CT51/AA273*100</f>
        <v>23.865681030314164</v>
      </c>
      <c r="AB150" s="366">
        <f>AB$289*hypo!CU51/AB273*100</f>
        <v>0.48633012526885938</v>
      </c>
      <c r="AC150" s="366">
        <f>AC$289*hypo!CV51/AC273*100</f>
        <v>13.191385489525931</v>
      </c>
      <c r="AD150" s="366">
        <f>AD$289*hypo!CW51/AD273*100</f>
        <v>0.63486288641660482</v>
      </c>
      <c r="AE150" s="366">
        <f>AE$289*hypo!CX51/AE273*100</f>
        <v>0.52510777982064105</v>
      </c>
      <c r="AF150" s="366">
        <f>AF$289*hypo!CY51/AF273*100</f>
        <v>6.8841508967439971E-2</v>
      </c>
      <c r="AG150" s="366">
        <f>AG$289*hypo!CZ51/AG273*100</f>
        <v>18.038757865419967</v>
      </c>
      <c r="AH150" s="366">
        <f>AH$289*hypo!DA51/AH273*100</f>
        <v>2.5662935085211909</v>
      </c>
      <c r="AI150" s="366">
        <f>AI$289*hypo!DB51/AI273*100</f>
        <v>0.40813720112677876</v>
      </c>
      <c r="AJ150" s="366">
        <f>AJ$289*hypo!DC51/AJ273*100</f>
        <v>0.86484001672110022</v>
      </c>
      <c r="AK150" s="366">
        <f>AK$289*hypo!DD51/AK273*100</f>
        <v>0.90752427207699771</v>
      </c>
      <c r="AL150" s="366">
        <f>AL$289*hypo!DE51/AL273*100</f>
        <v>0.88532819621220304</v>
      </c>
      <c r="AM150" s="379">
        <f t="shared" si="12"/>
        <v>67.208230493950765</v>
      </c>
    </row>
    <row r="151" spans="1:39" s="364" customFormat="1" x14ac:dyDescent="0.2">
      <c r="A151" s="44"/>
      <c r="B151" s="41" t="s">
        <v>110</v>
      </c>
      <c r="C151" s="22" t="s">
        <v>125</v>
      </c>
      <c r="D151" s="8"/>
      <c r="E151" s="17"/>
      <c r="F151" s="366">
        <f>F$289*hypo!BY52/F274*100</f>
        <v>10.611254919578366</v>
      </c>
      <c r="G151" s="366">
        <f>G$289*hypo!BZ52/G274*100</f>
        <v>1.5529743295754244</v>
      </c>
      <c r="H151" s="366">
        <f>H$289*hypo!CA52/H274*100</f>
        <v>0.52753127627495811</v>
      </c>
      <c r="I151" s="366">
        <f>I$289*hypo!CB52/I274*100</f>
        <v>1.837142578580004</v>
      </c>
      <c r="J151" s="366">
        <f>J$289*hypo!CC52/J274*100</f>
        <v>0.77460565081145683</v>
      </c>
      <c r="K151" s="366">
        <f>K$289*hypo!CD52/K274*100</f>
        <v>1.9601211293898031</v>
      </c>
      <c r="L151" s="366">
        <f>L$289*hypo!CE52/L274*100</f>
        <v>2.1627224424890525</v>
      </c>
      <c r="M151" s="366">
        <f>M$289*hypo!CF52/M274*100</f>
        <v>24.103644401082253</v>
      </c>
      <c r="N151" s="366">
        <f>N$289*hypo!CG52/N274*100</f>
        <v>13.572733425172512</v>
      </c>
      <c r="O151" s="366">
        <f>O$289*hypo!CH52/O274*100</f>
        <v>3.3744268398563357</v>
      </c>
      <c r="P151" s="366">
        <f>P$289*hypo!CI52/P274*100</f>
        <v>12.876810613794524</v>
      </c>
      <c r="Q151" s="366">
        <f>Q$289*hypo!CJ52/Q274*100</f>
        <v>5.0554698821502324</v>
      </c>
      <c r="R151" s="366">
        <f>R$289*hypo!CK52/R274*100</f>
        <v>16.234983376261493</v>
      </c>
      <c r="S151" s="366">
        <f>S$289*hypo!CL52/S274*100</f>
        <v>34.808702457068506</v>
      </c>
      <c r="T151" s="366">
        <f>T$289*hypo!CM52/T274*100</f>
        <v>71.942129443584008</v>
      </c>
      <c r="U151" s="366">
        <f>U$289*hypo!CN52/U274*100</f>
        <v>93.61896498004225</v>
      </c>
      <c r="V151" s="366">
        <f>V$289*hypo!CO52/V274*100</f>
        <v>4.4383202677093916</v>
      </c>
      <c r="W151" s="366">
        <f>W$289*hypo!CP52/W274*100</f>
        <v>0.27243803814233025</v>
      </c>
      <c r="X151" s="366">
        <f>X$289*hypo!CQ52/X274*100</f>
        <v>1.9227527039870413</v>
      </c>
      <c r="Y151" s="366">
        <f>Y$289*hypo!CR52/Y274*100</f>
        <v>8.2116086194028579</v>
      </c>
      <c r="Z151" s="366">
        <f>Z$289*hypo!CS52/Z274*100</f>
        <v>46.554565383252275</v>
      </c>
      <c r="AA151" s="366">
        <f>AA$289*hypo!CT52/AA274*100</f>
        <v>22.219279642574982</v>
      </c>
      <c r="AB151" s="366">
        <f>AB$289*hypo!CU52/AB274*100</f>
        <v>7.1858093739813556E-2</v>
      </c>
      <c r="AC151" s="366">
        <f>AC$289*hypo!CV52/AC274*100</f>
        <v>182.25943624768931</v>
      </c>
      <c r="AD151" s="366">
        <f>AD$289*hypo!CW52/AD274*100</f>
        <v>6.2710865532012354</v>
      </c>
      <c r="AE151" s="366">
        <f>AE$289*hypo!CX52/AE274*100</f>
        <v>5.4912776136107562</v>
      </c>
      <c r="AF151" s="366">
        <f>AF$289*hypo!CY52/AF274*100</f>
        <v>1.2472959125728973</v>
      </c>
      <c r="AG151" s="366">
        <f>AG$289*hypo!CZ52/AG274*100</f>
        <v>16.370431384623828</v>
      </c>
      <c r="AH151" s="366">
        <f>AH$289*hypo!DA52/AH274*100</f>
        <v>0.75751125041013101</v>
      </c>
      <c r="AI151" s="366">
        <f>AI$289*hypo!DB52/AI274*100</f>
        <v>202.62776342966225</v>
      </c>
      <c r="AJ151" s="366">
        <f>AJ$289*hypo!DC52/AJ274*100</f>
        <v>374.11516629668012</v>
      </c>
      <c r="AK151" s="366">
        <f>AK$289*hypo!DD52/AK274*100</f>
        <v>116.66192520334455</v>
      </c>
      <c r="AL151" s="366">
        <f>AL$289*hypo!DE52/AL274*100</f>
        <v>143.65418077543924</v>
      </c>
      <c r="AM151" s="379">
        <f t="shared" si="12"/>
        <v>1428.1611151617544</v>
      </c>
    </row>
    <row r="152" spans="1:39" s="364" customFormat="1" x14ac:dyDescent="0.2">
      <c r="A152" s="44"/>
      <c r="B152" s="41" t="s">
        <v>111</v>
      </c>
      <c r="C152" s="22" t="s">
        <v>125</v>
      </c>
      <c r="D152" s="8"/>
      <c r="E152" s="17"/>
      <c r="F152" s="366">
        <f>F$289*hypo!BY53/F275*100</f>
        <v>10.19607542905276</v>
      </c>
      <c r="G152" s="366">
        <f>G$289*hypo!BZ53/G275*100</f>
        <v>2.1386834629615747</v>
      </c>
      <c r="H152" s="366">
        <f>H$289*hypo!CA53/H275*100</f>
        <v>0.55632695535014309</v>
      </c>
      <c r="I152" s="366">
        <f>I$289*hypo!CB53/I275*100</f>
        <v>1.6169772732524235</v>
      </c>
      <c r="J152" s="366">
        <f>J$289*hypo!CC53/J275*100</f>
        <v>3.8982618829316618</v>
      </c>
      <c r="K152" s="366">
        <f>K$289*hypo!CD53/K275*100</f>
        <v>2.3003362950503354</v>
      </c>
      <c r="L152" s="366">
        <f>L$289*hypo!CE53/L275*100</f>
        <v>53.494611057920281</v>
      </c>
      <c r="M152" s="366">
        <f>M$289*hypo!CF53/M275*100</f>
        <v>113.49904465708163</v>
      </c>
      <c r="N152" s="366">
        <f>N$289*hypo!CG53/N275*100</f>
        <v>13.976319097475331</v>
      </c>
      <c r="O152" s="366">
        <f>O$289*hypo!CH53/O275*100</f>
        <v>3.0205387394729932</v>
      </c>
      <c r="P152" s="366">
        <f>P$289*hypo!CI53/P275*100</f>
        <v>0.64490950177795947</v>
      </c>
      <c r="Q152" s="366">
        <f>Q$289*hypo!CJ53/Q275*100</f>
        <v>75.819764044119935</v>
      </c>
      <c r="R152" s="366">
        <f>R$289*hypo!CK53/R275*100</f>
        <v>280.65902072369698</v>
      </c>
      <c r="S152" s="366">
        <f>S$289*hypo!CL53/S275*100</f>
        <v>4.9268106094012145</v>
      </c>
      <c r="T152" s="366">
        <f>T$289*hypo!CM53/T275*100</f>
        <v>14.36659549872912</v>
      </c>
      <c r="U152" s="366">
        <f>U$289*hypo!CN53/U275*100</f>
        <v>6.5183864483609977</v>
      </c>
      <c r="V152" s="366">
        <f>V$289*hypo!CO53/V275*100</f>
        <v>2.7973959076672976</v>
      </c>
      <c r="W152" s="366">
        <f>W$289*hypo!CP53/W275*100</f>
        <v>0.43071701028448167</v>
      </c>
      <c r="X152" s="366">
        <f>X$289*hypo!CQ53/X275*100</f>
        <v>0.68409916081390965</v>
      </c>
      <c r="Y152" s="366">
        <f>Y$289*hypo!CR53/Y275*100</f>
        <v>6.6038657298976764</v>
      </c>
      <c r="Z152" s="366">
        <f>Z$289*hypo!CS53/Z275*100</f>
        <v>0.70341583844261402</v>
      </c>
      <c r="AA152" s="366">
        <f>AA$289*hypo!CT53/AA275*100</f>
        <v>3.170014069938174</v>
      </c>
      <c r="AB152" s="366">
        <f>AB$289*hypo!CU53/AB275*100</f>
        <v>0.10307110644082675</v>
      </c>
      <c r="AC152" s="366">
        <f>AC$289*hypo!CV53/AC275*100</f>
        <v>15.928833004605321</v>
      </c>
      <c r="AD152" s="366">
        <f>AD$289*hypo!CW53/AD275*100</f>
        <v>0.41775387786411966</v>
      </c>
      <c r="AE152" s="366">
        <f>AE$289*hypo!CX53/AE275*100</f>
        <v>3.6186466607828587</v>
      </c>
      <c r="AF152" s="366">
        <f>AF$289*hypo!CY53/AF275*100</f>
        <v>0.46140457550914837</v>
      </c>
      <c r="AG152" s="366">
        <f>AG$289*hypo!CZ53/AG275*100</f>
        <v>0.32429877067174717</v>
      </c>
      <c r="AH152" s="366">
        <f>AH$289*hypo!DA53/AH275*100</f>
        <v>0.13307045383862681</v>
      </c>
      <c r="AI152" s="366">
        <f>AI$289*hypo!DB53/AI275*100</f>
        <v>13.081064989756538</v>
      </c>
      <c r="AJ152" s="366">
        <f>AJ$289*hypo!DC53/AJ275*100</f>
        <v>67.552302145102743</v>
      </c>
      <c r="AK152" s="366">
        <f>AK$289*hypo!DD53/AK275*100</f>
        <v>1.8059696594737547</v>
      </c>
      <c r="AL152" s="366">
        <f>AL$289*hypo!DE53/AL275*100</f>
        <v>4.1487606086061994</v>
      </c>
      <c r="AM152" s="379">
        <f t="shared" si="12"/>
        <v>709.59734524633109</v>
      </c>
    </row>
    <row r="153" spans="1:39" s="364" customFormat="1" x14ac:dyDescent="0.2">
      <c r="A153" s="44"/>
      <c r="B153" s="41" t="s">
        <v>112</v>
      </c>
      <c r="C153" s="22" t="s">
        <v>125</v>
      </c>
      <c r="D153" s="8"/>
      <c r="E153" s="17"/>
      <c r="F153" s="366">
        <f>F$289*hypo!BY54/F276*100</f>
        <v>60.745738066921497</v>
      </c>
      <c r="G153" s="366">
        <f>G$289*hypo!BZ54/G276*100</f>
        <v>6.00936101069665</v>
      </c>
      <c r="H153" s="366">
        <f>H$289*hypo!CA54/H276*100</f>
        <v>2.8249256720560174</v>
      </c>
      <c r="I153" s="366">
        <f>I$289*hypo!CB54/I276*100</f>
        <v>283.34607560670213</v>
      </c>
      <c r="J153" s="366">
        <f>J$289*hypo!CC54/J276*100</f>
        <v>17.042018576424255</v>
      </c>
      <c r="K153" s="366">
        <f>K$289*hypo!CD54/K276*100</f>
        <v>6.3245752519713898</v>
      </c>
      <c r="L153" s="366">
        <f>L$289*hypo!CE54/L276*100</f>
        <v>84.571705790072954</v>
      </c>
      <c r="M153" s="366">
        <f>M$289*hypo!CF54/M276*100</f>
        <v>613.03913936771016</v>
      </c>
      <c r="N153" s="366">
        <f>N$289*hypo!CG54/N276*100</f>
        <v>24.325248967379252</v>
      </c>
      <c r="O153" s="366">
        <f>O$289*hypo!CH54/O276*100</f>
        <v>8.2264959186659592</v>
      </c>
      <c r="P153" s="366">
        <f>P$289*hypo!CI54/P276*100</f>
        <v>1.9973720585013728</v>
      </c>
      <c r="Q153" s="366">
        <f>Q$289*hypo!CJ54/Q276*100</f>
        <v>12.448117699357656</v>
      </c>
      <c r="R153" s="366">
        <f>R$289*hypo!CK54/R276*100</f>
        <v>130.04210313789793</v>
      </c>
      <c r="S153" s="366">
        <f>S$289*hypo!CL54/S276*100</f>
        <v>14.694844440848847</v>
      </c>
      <c r="T153" s="366">
        <f>T$289*hypo!CM54/T276*100</f>
        <v>107.70072424903034</v>
      </c>
      <c r="U153" s="366">
        <f>U$289*hypo!CN54/U276*100</f>
        <v>51.404242691759741</v>
      </c>
      <c r="V153" s="366">
        <f>V$289*hypo!CO54/V276*100</f>
        <v>18.76513335666553</v>
      </c>
      <c r="W153" s="366">
        <f>W$289*hypo!CP54/W276*100</f>
        <v>0.66321208084327687</v>
      </c>
      <c r="X153" s="366">
        <f>X$289*hypo!CQ54/X276*100</f>
        <v>3.5943749276485351</v>
      </c>
      <c r="Y153" s="366">
        <f>Y$289*hypo!CR54/Y276*100</f>
        <v>41.760925369741827</v>
      </c>
      <c r="Z153" s="366">
        <f>Z$289*hypo!CS54/Z276*100</f>
        <v>16.446077946576558</v>
      </c>
      <c r="AA153" s="366">
        <f>AA$289*hypo!CT54/AA276*100</f>
        <v>14.369145210588238</v>
      </c>
      <c r="AB153" s="366">
        <f>AB$289*hypo!CU54/AB276*100</f>
        <v>0.52269510807034458</v>
      </c>
      <c r="AC153" s="366">
        <f>AC$289*hypo!CV54/AC276*100</f>
        <v>72.60313370712008</v>
      </c>
      <c r="AD153" s="366">
        <f>AD$289*hypo!CW54/AD276*100</f>
        <v>10.976069171861475</v>
      </c>
      <c r="AE153" s="366">
        <f>AE$289*hypo!CX54/AE276*100</f>
        <v>6.9265448673535301</v>
      </c>
      <c r="AF153" s="366">
        <f>AF$289*hypo!CY54/AF276*100</f>
        <v>3.7029294578779126</v>
      </c>
      <c r="AG153" s="366">
        <f>AG$289*hypo!CZ54/AG276*100</f>
        <v>3.770062041812166</v>
      </c>
      <c r="AH153" s="366">
        <f>AH$289*hypo!DA54/AH276*100</f>
        <v>0.93149317687038746</v>
      </c>
      <c r="AI153" s="366">
        <f>AI$289*hypo!DB54/AI276*100</f>
        <v>154.33355956653614</v>
      </c>
      <c r="AJ153" s="366">
        <f>AJ$289*hypo!DC54/AJ276*100</f>
        <v>603.95870537469659</v>
      </c>
      <c r="AK153" s="366">
        <f>AK$289*hypo!DD54/AK276*100</f>
        <v>40.641510208113893</v>
      </c>
      <c r="AL153" s="366">
        <f>AL$289*hypo!DE54/AL276*100</f>
        <v>537.54927633735042</v>
      </c>
      <c r="AM153" s="379">
        <f t="shared" si="12"/>
        <v>2956.2575364157233</v>
      </c>
    </row>
    <row r="154" spans="1:39" s="364" customFormat="1" x14ac:dyDescent="0.2">
      <c r="A154" s="44"/>
      <c r="B154" s="41" t="s">
        <v>113</v>
      </c>
      <c r="C154" s="22" t="s">
        <v>125</v>
      </c>
      <c r="D154" s="8"/>
      <c r="E154" s="17"/>
      <c r="F154" s="366">
        <f>F$289*hypo!BY55/F277*100</f>
        <v>22.805552716911848</v>
      </c>
      <c r="G154" s="366">
        <f>G$289*hypo!BZ55/G277*100</f>
        <v>51.054170714321991</v>
      </c>
      <c r="H154" s="366">
        <f>H$289*hypo!CA55/H277*100</f>
        <v>7.1681626449144806</v>
      </c>
      <c r="I154" s="366">
        <f>I$289*hypo!CB55/I277*100</f>
        <v>73.49386565123686</v>
      </c>
      <c r="J154" s="366">
        <f>J$289*hypo!CC55/J277*100</f>
        <v>151.47026452464033</v>
      </c>
      <c r="K154" s="366">
        <f>K$289*hypo!CD55/K277*100</f>
        <v>18.547040637787912</v>
      </c>
      <c r="L154" s="366">
        <f>L$289*hypo!CE55/L277*100</f>
        <v>40.743461692154305</v>
      </c>
      <c r="M154" s="366">
        <f>M$289*hypo!CF55/M277*100</f>
        <v>32.170685600267532</v>
      </c>
      <c r="N154" s="366">
        <f>N$289*hypo!CG55/N277*100</f>
        <v>14.500150074972373</v>
      </c>
      <c r="O154" s="366">
        <f>O$289*hypo!CH55/O277*100</f>
        <v>2.9046776644728109</v>
      </c>
      <c r="P154" s="366">
        <f>P$289*hypo!CI55/P277*100</f>
        <v>23.440209924179911</v>
      </c>
      <c r="Q154" s="366">
        <f>Q$289*hypo!CJ55/Q277*100</f>
        <v>34.040046880876957</v>
      </c>
      <c r="R154" s="366">
        <f>R$289*hypo!CK55/R277*100</f>
        <v>55.695888329369367</v>
      </c>
      <c r="S154" s="366">
        <f>S$289*hypo!CL55/S277*100</f>
        <v>37.446645976534477</v>
      </c>
      <c r="T154" s="366">
        <f>T$289*hypo!CM55/T277*100</f>
        <v>446.54256855766039</v>
      </c>
      <c r="U154" s="366">
        <f>U$289*hypo!CN55/U277*100</f>
        <v>176.09334183968818</v>
      </c>
      <c r="V154" s="366">
        <f>V$289*hypo!CO55/V277*100</f>
        <v>83.211109990565362</v>
      </c>
      <c r="W154" s="366">
        <f>W$289*hypo!CP55/W277*100</f>
        <v>0.75065779834424851</v>
      </c>
      <c r="X154" s="366">
        <f>X$289*hypo!CQ55/X277*100</f>
        <v>19.46182394607936</v>
      </c>
      <c r="Y154" s="366">
        <f>Y$289*hypo!CR55/Y277*100</f>
        <v>33.896715955254884</v>
      </c>
      <c r="Z154" s="366">
        <f>Z$289*hypo!CS55/Z277*100</f>
        <v>458.98058724422458</v>
      </c>
      <c r="AA154" s="366">
        <f>AA$289*hypo!CT55/AA277*100</f>
        <v>248.8311280167832</v>
      </c>
      <c r="AB154" s="366">
        <f>AB$289*hypo!CU55/AB277*100</f>
        <v>1.7724045322879052</v>
      </c>
      <c r="AC154" s="366">
        <f>AC$289*hypo!CV55/AC277*100</f>
        <v>1090.0655344108263</v>
      </c>
      <c r="AD154" s="366">
        <f>AD$289*hypo!CW55/AD277*100</f>
        <v>36.26330751436295</v>
      </c>
      <c r="AE154" s="366">
        <f>AE$289*hypo!CX55/AE277*100</f>
        <v>27.877092696794296</v>
      </c>
      <c r="AF154" s="366">
        <f>AF$289*hypo!CY55/AF277*100</f>
        <v>13.640096565204249</v>
      </c>
      <c r="AG154" s="366">
        <f>AG$289*hypo!CZ55/AG277*100</f>
        <v>149.04657794149523</v>
      </c>
      <c r="AH154" s="366">
        <f>AH$289*hypo!DA55/AH277*100</f>
        <v>90.27135663796993</v>
      </c>
      <c r="AI154" s="366">
        <f>AI$289*hypo!DB55/AI277*100</f>
        <v>635.30183560298269</v>
      </c>
      <c r="AJ154" s="366">
        <f>AJ$289*hypo!DC55/AJ277*100</f>
        <v>1754.5711134941876</v>
      </c>
      <c r="AK154" s="366">
        <f>AK$289*hypo!DD55/AK277*100</f>
        <v>319.21293500735214</v>
      </c>
      <c r="AL154" s="366">
        <f>AL$289*hypo!DE55/AL277*100</f>
        <v>1110.8731576823332</v>
      </c>
      <c r="AM154" s="379">
        <f t="shared" si="12"/>
        <v>7262.1441684670372</v>
      </c>
    </row>
    <row r="155" spans="1:39" s="364" customFormat="1" x14ac:dyDescent="0.2">
      <c r="A155" s="44"/>
      <c r="B155" s="41" t="s">
        <v>114</v>
      </c>
      <c r="C155" s="22" t="s">
        <v>125</v>
      </c>
      <c r="D155" s="8"/>
      <c r="E155" s="17"/>
      <c r="F155" s="366">
        <f>F$289*hypo!BY56/F278*100</f>
        <v>0</v>
      </c>
      <c r="G155" s="366">
        <f>G$289*hypo!BZ56/G278*100</f>
        <v>0</v>
      </c>
      <c r="H155" s="366">
        <f>H$289*hypo!CA56/H278*100</f>
        <v>0</v>
      </c>
      <c r="I155" s="366">
        <f>I$289*hypo!CB56/I278*100</f>
        <v>0</v>
      </c>
      <c r="J155" s="366">
        <f>J$289*hypo!CC56/J278*100</f>
        <v>0</v>
      </c>
      <c r="K155" s="366">
        <f>K$289*hypo!CD56/K278*100</f>
        <v>0</v>
      </c>
      <c r="L155" s="366">
        <f>L$289*hypo!CE56/L278*100</f>
        <v>0</v>
      </c>
      <c r="M155" s="366">
        <f>M$289*hypo!CF56/M278*100</f>
        <v>0</v>
      </c>
      <c r="N155" s="366">
        <f>N$289*hypo!CG56/N278*100</f>
        <v>0</v>
      </c>
      <c r="O155" s="366">
        <f>O$289*hypo!CH56/O278*100</f>
        <v>0</v>
      </c>
      <c r="P155" s="366">
        <f>P$289*hypo!CI56/P278*100</f>
        <v>0</v>
      </c>
      <c r="Q155" s="366">
        <f>Q$289*hypo!CJ56/Q278*100</f>
        <v>0</v>
      </c>
      <c r="R155" s="366">
        <f>R$289*hypo!CK56/R278*100</f>
        <v>0</v>
      </c>
      <c r="S155" s="366">
        <f>S$289*hypo!CL56/S278*100</f>
        <v>1.6607509502399431E-3</v>
      </c>
      <c r="T155" s="366">
        <f>T$289*hypo!CM56/T278*100</f>
        <v>0</v>
      </c>
      <c r="U155" s="366">
        <f>U$289*hypo!CN56/U278*100</f>
        <v>0</v>
      </c>
      <c r="V155" s="366">
        <f>V$289*hypo!CO56/V278*100</f>
        <v>0</v>
      </c>
      <c r="W155" s="366">
        <f>W$289*hypo!CP56/W278*100</f>
        <v>0</v>
      </c>
      <c r="X155" s="366">
        <f>X$289*hypo!CQ56/X278*100</f>
        <v>0</v>
      </c>
      <c r="Y155" s="366">
        <f>Y$289*hypo!CR56/Y278*100</f>
        <v>0</v>
      </c>
      <c r="Z155" s="366">
        <f>Z$289*hypo!CS56/Z278*100</f>
        <v>4.6973517780058893</v>
      </c>
      <c r="AA155" s="366">
        <f>AA$289*hypo!CT56/AA278*100</f>
        <v>2.3228050785845591</v>
      </c>
      <c r="AB155" s="366">
        <f>AB$289*hypo!CU56/AB278*100</f>
        <v>0</v>
      </c>
      <c r="AC155" s="366">
        <f>AC$289*hypo!CV56/AC278*100</f>
        <v>1.7679109214046071</v>
      </c>
      <c r="AD155" s="366">
        <f>AD$289*hypo!CW56/AD278*100</f>
        <v>0</v>
      </c>
      <c r="AE155" s="366">
        <f>AE$289*hypo!CX56/AE278*100</f>
        <v>0</v>
      </c>
      <c r="AF155" s="366">
        <f>AF$289*hypo!CY56/AF278*100</f>
        <v>0</v>
      </c>
      <c r="AG155" s="366">
        <f>AG$289*hypo!CZ56/AG278*100</f>
        <v>0</v>
      </c>
      <c r="AH155" s="366">
        <f>AH$289*hypo!DA56/AH278*100</f>
        <v>0</v>
      </c>
      <c r="AI155" s="366">
        <f>AI$289*hypo!DB56/AI278*100</f>
        <v>15.7264279133634</v>
      </c>
      <c r="AJ155" s="366">
        <f>AJ$289*hypo!DC56/AJ278*100</f>
        <v>87.792652273021645</v>
      </c>
      <c r="AK155" s="366">
        <f>AK$289*hypo!DD56/AK278*100</f>
        <v>10.803378503558118</v>
      </c>
      <c r="AL155" s="366">
        <f>AL$289*hypo!DE56/AL278*100</f>
        <v>6.6146165213526702</v>
      </c>
      <c r="AM155" s="379">
        <f t="shared" si="12"/>
        <v>129.72680374024114</v>
      </c>
    </row>
    <row r="156" spans="1:39" s="364" customFormat="1" x14ac:dyDescent="0.2">
      <c r="A156" s="44"/>
      <c r="B156" s="41" t="s">
        <v>115</v>
      </c>
      <c r="C156" s="22" t="s">
        <v>125</v>
      </c>
      <c r="D156" s="8"/>
      <c r="E156" s="17"/>
      <c r="F156" s="366">
        <f>F$289*hypo!BY57/F279*100</f>
        <v>0</v>
      </c>
      <c r="G156" s="366">
        <f>G$289*hypo!BZ57/G279*100</f>
        <v>0</v>
      </c>
      <c r="H156" s="366">
        <f>H$289*hypo!CA57/H279*100</f>
        <v>0</v>
      </c>
      <c r="I156" s="366">
        <f>I$289*hypo!CB57/I279*100</f>
        <v>0</v>
      </c>
      <c r="J156" s="366">
        <f>J$289*hypo!CC57/J279*100</f>
        <v>0</v>
      </c>
      <c r="K156" s="366">
        <f>K$289*hypo!CD57/K279*100</f>
        <v>0</v>
      </c>
      <c r="L156" s="366">
        <f>L$289*hypo!CE57/L279*100</f>
        <v>0</v>
      </c>
      <c r="M156" s="366">
        <f>M$289*hypo!CF57/M279*100</f>
        <v>0</v>
      </c>
      <c r="N156" s="366">
        <f>N$289*hypo!CG57/N279*100</f>
        <v>0</v>
      </c>
      <c r="O156" s="366">
        <f>O$289*hypo!CH57/O279*100</f>
        <v>0</v>
      </c>
      <c r="P156" s="366">
        <f>P$289*hypo!CI57/P279*100</f>
        <v>0</v>
      </c>
      <c r="Q156" s="366">
        <f>Q$289*hypo!CJ57/Q279*100</f>
        <v>0</v>
      </c>
      <c r="R156" s="366">
        <f>R$289*hypo!CK57/R279*100</f>
        <v>0</v>
      </c>
      <c r="S156" s="366">
        <f>S$289*hypo!CL57/S279*100</f>
        <v>0</v>
      </c>
      <c r="T156" s="366">
        <f>T$289*hypo!CM57/T279*100</f>
        <v>0</v>
      </c>
      <c r="U156" s="366">
        <f>U$289*hypo!CN57/U279*100</f>
        <v>0</v>
      </c>
      <c r="V156" s="366">
        <f>V$289*hypo!CO57/V279*100</f>
        <v>0</v>
      </c>
      <c r="W156" s="366">
        <f>W$289*hypo!CP57/W279*100</f>
        <v>0</v>
      </c>
      <c r="X156" s="366">
        <f>X$289*hypo!CQ57/X279*100</f>
        <v>0</v>
      </c>
      <c r="Y156" s="366">
        <f>Y$289*hypo!CR57/Y279*100</f>
        <v>0</v>
      </c>
      <c r="Z156" s="366">
        <f>Z$289*hypo!CS57/Z279*100</f>
        <v>0</v>
      </c>
      <c r="AA156" s="366">
        <f>AA$289*hypo!CT57/AA279*100</f>
        <v>0</v>
      </c>
      <c r="AB156" s="366">
        <f>AB$289*hypo!CU57/AB279*100</f>
        <v>0</v>
      </c>
      <c r="AC156" s="366">
        <f>AC$289*hypo!CV57/AC279*100</f>
        <v>0</v>
      </c>
      <c r="AD156" s="366">
        <f>AD$289*hypo!CW57/AD279*100</f>
        <v>0</v>
      </c>
      <c r="AE156" s="366">
        <f>AE$289*hypo!CX57/AE279*100</f>
        <v>0</v>
      </c>
      <c r="AF156" s="366">
        <f>AF$289*hypo!CY57/AF279*100</f>
        <v>0</v>
      </c>
      <c r="AG156" s="366">
        <f>AG$289*hypo!CZ57/AG279*100</f>
        <v>0</v>
      </c>
      <c r="AH156" s="366">
        <f>AH$289*hypo!DA57/AH279*100</f>
        <v>0</v>
      </c>
      <c r="AI156" s="366">
        <f>AI$289*hypo!DB57/AI279*100</f>
        <v>0</v>
      </c>
      <c r="AJ156" s="366">
        <f>AJ$289*hypo!DC57/AJ279*100</f>
        <v>1.9144604857952936</v>
      </c>
      <c r="AK156" s="366">
        <f>AK$289*hypo!DD57/AK279*100</f>
        <v>0</v>
      </c>
      <c r="AL156" s="366">
        <f>AL$289*hypo!DE57/AL279*100</f>
        <v>0</v>
      </c>
      <c r="AM156" s="379">
        <f t="shared" si="12"/>
        <v>1.9144604857952936</v>
      </c>
    </row>
    <row r="157" spans="1:39" s="364" customFormat="1" x14ac:dyDescent="0.2">
      <c r="A157" s="44"/>
      <c r="B157" s="41" t="s">
        <v>116</v>
      </c>
      <c r="C157" s="22" t="s">
        <v>125</v>
      </c>
      <c r="D157" s="8"/>
      <c r="E157" s="17"/>
      <c r="F157" s="366">
        <f>F$289*hypo!BY58/F280*100</f>
        <v>3.3223236394545328</v>
      </c>
      <c r="G157" s="366">
        <f>G$289*hypo!BZ58/G280*100</f>
        <v>1.7190011895686474</v>
      </c>
      <c r="H157" s="366">
        <f>H$289*hypo!CA58/H280*100</f>
        <v>6.8372349108470509E-2</v>
      </c>
      <c r="I157" s="366">
        <f>I$289*hypo!CB58/I280*100</f>
        <v>0</v>
      </c>
      <c r="J157" s="366">
        <f>J$289*hypo!CC58/J280*100</f>
        <v>0.73666174961517028</v>
      </c>
      <c r="K157" s="366">
        <f>K$289*hypo!CD58/K280*100</f>
        <v>7.4874257526675106E-3</v>
      </c>
      <c r="L157" s="366">
        <f>L$289*hypo!CE58/L280*100</f>
        <v>0</v>
      </c>
      <c r="M157" s="366">
        <f>M$289*hypo!CF58/M280*100</f>
        <v>0</v>
      </c>
      <c r="N157" s="366">
        <f>N$289*hypo!CG58/N280*100</f>
        <v>30.390841252107865</v>
      </c>
      <c r="O157" s="366">
        <f>O$289*hypo!CH58/O280*100</f>
        <v>2.6977914494404143</v>
      </c>
      <c r="P157" s="366">
        <f>P$289*hypo!CI58/P280*100</f>
        <v>4.9108850889295077</v>
      </c>
      <c r="Q157" s="366">
        <f>Q$289*hypo!CJ58/Q280*100</f>
        <v>5.6156288610388572E-2</v>
      </c>
      <c r="R157" s="366">
        <f>R$289*hypo!CK58/R280*100</f>
        <v>0.58697769542811329</v>
      </c>
      <c r="S157" s="366">
        <f>S$289*hypo!CL58/S280*100</f>
        <v>1.1080228385282676</v>
      </c>
      <c r="T157" s="366">
        <f>T$289*hypo!CM58/T280*100</f>
        <v>12.059349108651277</v>
      </c>
      <c r="U157" s="366">
        <f>U$289*hypo!CN58/U280*100</f>
        <v>1.1035646958567686</v>
      </c>
      <c r="V157" s="366">
        <f>V$289*hypo!CO58/V280*100</f>
        <v>0.178783571891487</v>
      </c>
      <c r="W157" s="366">
        <f>W$289*hypo!CP58/W280*100</f>
        <v>1.22235009943013</v>
      </c>
      <c r="X157" s="366">
        <f>X$289*hypo!CQ58/X280*100</f>
        <v>0</v>
      </c>
      <c r="Y157" s="366">
        <f>Y$289*hypo!CR58/Y280*100</f>
        <v>0</v>
      </c>
      <c r="Z157" s="366">
        <f>Z$289*hypo!CS58/Z280*100</f>
        <v>0</v>
      </c>
      <c r="AA157" s="366">
        <f>AA$289*hypo!CT58/AA280*100</f>
        <v>8.0781075958495929E-2</v>
      </c>
      <c r="AB157" s="366">
        <f>AB$289*hypo!CU58/AB280*100</f>
        <v>2.6393939130110202E-2</v>
      </c>
      <c r="AC157" s="366">
        <f>AC$289*hypo!CV58/AC280*100</f>
        <v>9.9048091883467002</v>
      </c>
      <c r="AD157" s="366">
        <f>AD$289*hypo!CW58/AD280*100</f>
        <v>0</v>
      </c>
      <c r="AE157" s="366">
        <f>AE$289*hypo!CX58/AE280*100</f>
        <v>1.4609815384603007</v>
      </c>
      <c r="AF157" s="366">
        <f>AF$289*hypo!CY58/AF280*100</f>
        <v>0</v>
      </c>
      <c r="AG157" s="366">
        <f>AG$289*hypo!CZ58/AG280*100</f>
        <v>0.43989979338015656</v>
      </c>
      <c r="AH157" s="366">
        <f>AH$289*hypo!DA58/AH280*100</f>
        <v>1.5143494566173209E-2</v>
      </c>
      <c r="AI157" s="366">
        <f>AI$289*hypo!DB58/AI280*100</f>
        <v>0</v>
      </c>
      <c r="AJ157" s="366">
        <f>AJ$289*hypo!DC58/AJ280*100</f>
        <v>0</v>
      </c>
      <c r="AK157" s="366">
        <f>AK$289*hypo!DD58/AK280*100</f>
        <v>7.6637232859566459E-2</v>
      </c>
      <c r="AL157" s="366">
        <f>AL$289*hypo!DE58/AL280*100</f>
        <v>0</v>
      </c>
      <c r="AM157" s="379">
        <f t="shared" si="12"/>
        <v>72.17321470507521</v>
      </c>
    </row>
    <row r="158" spans="1:39" s="364" customFormat="1" x14ac:dyDescent="0.2">
      <c r="A158" s="44"/>
      <c r="B158" s="41" t="s">
        <v>117</v>
      </c>
      <c r="C158" s="22" t="s">
        <v>125</v>
      </c>
      <c r="D158" s="8"/>
      <c r="E158" s="17"/>
      <c r="F158" s="366">
        <f>F$289*hypo!BY59/F281*100</f>
        <v>16.199866273961113</v>
      </c>
      <c r="G158" s="366">
        <f>G$289*hypo!BZ59/G281*100</f>
        <v>166.0704538022479</v>
      </c>
      <c r="H158" s="366">
        <f>H$289*hypo!CA59/H281*100</f>
        <v>1.8557076294447323</v>
      </c>
      <c r="I158" s="366">
        <f>I$289*hypo!CB59/I281*100</f>
        <v>86.809318305044542</v>
      </c>
      <c r="J158" s="366">
        <f>J$289*hypo!CC59/J281*100</f>
        <v>69.388313853105828</v>
      </c>
      <c r="K158" s="366">
        <f>K$289*hypo!CD59/K281*100</f>
        <v>130.95831535675561</v>
      </c>
      <c r="L158" s="366">
        <f>L$289*hypo!CE59/L281*100</f>
        <v>2.3131336717942822E-2</v>
      </c>
      <c r="M158" s="366">
        <f>M$289*hypo!CF59/M281*100</f>
        <v>120.96095461043126</v>
      </c>
      <c r="N158" s="366">
        <f>N$289*hypo!CG59/N281*100</f>
        <v>2.7498774609766521</v>
      </c>
      <c r="O158" s="366">
        <f>O$289*hypo!CH59/O281*100</f>
        <v>3.5479907097097023E-2</v>
      </c>
      <c r="P158" s="366">
        <f>P$289*hypo!CI59/P281*100</f>
        <v>0.10076710965280618</v>
      </c>
      <c r="Q158" s="366">
        <f>Q$289*hypo!CJ59/Q281*100</f>
        <v>0</v>
      </c>
      <c r="R158" s="366">
        <f>R$289*hypo!CK59/R281*100</f>
        <v>2.6682802450749998E-2</v>
      </c>
      <c r="S158" s="366">
        <f>S$289*hypo!CL59/S281*100</f>
        <v>0</v>
      </c>
      <c r="T158" s="366">
        <f>T$289*hypo!CM59/T281*100</f>
        <v>0</v>
      </c>
      <c r="U158" s="366">
        <f>U$289*hypo!CN59/U281*100</f>
        <v>0.23269779175355601</v>
      </c>
      <c r="V158" s="366">
        <f>V$289*hypo!CO59/V281*100</f>
        <v>0</v>
      </c>
      <c r="W158" s="366">
        <f>W$289*hypo!CP59/W281*100</f>
        <v>0</v>
      </c>
      <c r="X158" s="366">
        <f>X$289*hypo!CQ59/X281*100</f>
        <v>0</v>
      </c>
      <c r="Y158" s="366">
        <f>Y$289*hypo!CR59/Y281*100</f>
        <v>0</v>
      </c>
      <c r="Z158" s="366">
        <f>Z$289*hypo!CS59/Z281*100</f>
        <v>0</v>
      </c>
      <c r="AA158" s="366">
        <f>AA$289*hypo!CT59/AA281*100</f>
        <v>0</v>
      </c>
      <c r="AB158" s="366">
        <f>AB$289*hypo!CU59/AB281*100</f>
        <v>1.9022658832511859E-2</v>
      </c>
      <c r="AC158" s="366">
        <f>AC$289*hypo!CV59/AC281*100</f>
        <v>0.39119255412777781</v>
      </c>
      <c r="AD158" s="366">
        <f>AD$289*hypo!CW59/AD281*100</f>
        <v>0</v>
      </c>
      <c r="AE158" s="366">
        <f>AE$289*hypo!CX59/AE281*100</f>
        <v>0</v>
      </c>
      <c r="AF158" s="366">
        <f>AF$289*hypo!CY59/AF281*100</f>
        <v>0</v>
      </c>
      <c r="AG158" s="366">
        <f>AG$289*hypo!CZ59/AG281*100</f>
        <v>1.0517797967732339E-2</v>
      </c>
      <c r="AH158" s="366">
        <f>AH$289*hypo!DA59/AH281*100</f>
        <v>0</v>
      </c>
      <c r="AI158" s="366">
        <f>AI$289*hypo!DB59/AI281*100</f>
        <v>0</v>
      </c>
      <c r="AJ158" s="366">
        <f>AJ$289*hypo!DC59/AJ281*100</f>
        <v>0</v>
      </c>
      <c r="AK158" s="366">
        <f>AK$289*hypo!DD59/AK281*100</f>
        <v>0</v>
      </c>
      <c r="AL158" s="366">
        <f>AL$289*hypo!DE59/AL281*100</f>
        <v>0</v>
      </c>
      <c r="AM158" s="379">
        <f t="shared" si="12"/>
        <v>595.83229925056787</v>
      </c>
    </row>
    <row r="159" spans="1:39" s="364" customFormat="1" x14ac:dyDescent="0.2">
      <c r="A159" s="44"/>
      <c r="B159" s="41" t="s">
        <v>118</v>
      </c>
      <c r="C159" s="22" t="s">
        <v>125</v>
      </c>
      <c r="D159" s="8"/>
      <c r="E159" s="17"/>
      <c r="F159" s="366">
        <f>F$289*hypo!BY60/F282*100</f>
        <v>40.883479236606242</v>
      </c>
      <c r="G159" s="366">
        <f>G$289*hypo!BZ60/G282*100</f>
        <v>220.10822831182347</v>
      </c>
      <c r="H159" s="366">
        <f>H$289*hypo!CA60/H282*100</f>
        <v>31.93666166926424</v>
      </c>
      <c r="I159" s="366">
        <f>I$289*hypo!CB60/I282*100</f>
        <v>930.72179413469291</v>
      </c>
      <c r="J159" s="366">
        <f>J$289*hypo!CC60/J282*100</f>
        <v>1928.0113286768237</v>
      </c>
      <c r="K159" s="366">
        <f>K$289*hypo!CD60/K282*100</f>
        <v>463.61062015123247</v>
      </c>
      <c r="L159" s="366">
        <f>L$289*hypo!CE60/L282*100</f>
        <v>1992.0569083959713</v>
      </c>
      <c r="M159" s="366">
        <f>M$289*hypo!CF60/M282*100</f>
        <v>1515.2835250211181</v>
      </c>
      <c r="N159" s="366">
        <f>N$289*hypo!CG60/N282*100</f>
        <v>333.61218176564086</v>
      </c>
      <c r="O159" s="366">
        <f>O$289*hypo!CH60/O282*100</f>
        <v>379.33930009161202</v>
      </c>
      <c r="P159" s="366">
        <f>P$289*hypo!CI60/P282*100</f>
        <v>1065.9736865843047</v>
      </c>
      <c r="Q159" s="366">
        <f>Q$289*hypo!CJ60/Q282*100</f>
        <v>262.5472855540674</v>
      </c>
      <c r="R159" s="366">
        <f>R$289*hypo!CK60/R282*100</f>
        <v>3634.6894427489028</v>
      </c>
      <c r="S159" s="366">
        <f>S$289*hypo!CL60/S282*100</f>
        <v>1074.9523551819259</v>
      </c>
      <c r="T159" s="366">
        <f>T$289*hypo!CM60/T282*100</f>
        <v>3546.9627795299721</v>
      </c>
      <c r="U159" s="366">
        <f>U$289*hypo!CN60/U282*100</f>
        <v>537.48853445095142</v>
      </c>
      <c r="V159" s="366">
        <f>V$289*hypo!CO60/V282*100</f>
        <v>1364.0484429795215</v>
      </c>
      <c r="W159" s="366">
        <f>W$289*hypo!CP60/W282*100</f>
        <v>105.49989120304271</v>
      </c>
      <c r="X159" s="366">
        <f>X$289*hypo!CQ60/X282*100</f>
        <v>30.793006165482694</v>
      </c>
      <c r="Y159" s="366">
        <f>Y$289*hypo!CR60/Y282*100</f>
        <v>235.33834766755274</v>
      </c>
      <c r="Z159" s="366">
        <f>Z$289*hypo!CS60/Z282*100</f>
        <v>36.81518673526913</v>
      </c>
      <c r="AA159" s="366">
        <f>AA$289*hypo!CT60/AA282*100</f>
        <v>171.85418654887505</v>
      </c>
      <c r="AB159" s="366">
        <f>AB$289*hypo!CU60/AB282*100</f>
        <v>177.91553568632463</v>
      </c>
      <c r="AC159" s="366">
        <f>AC$289*hypo!CV60/AC282*100</f>
        <v>826.25337918138837</v>
      </c>
      <c r="AD159" s="366">
        <f>AD$289*hypo!CW60/AD282*100</f>
        <v>66.413664640503228</v>
      </c>
      <c r="AE159" s="366">
        <f>AE$289*hypo!CX60/AE282*100</f>
        <v>806.69869616218307</v>
      </c>
      <c r="AF159" s="366">
        <f>AF$289*hypo!CY60/AF282*100</f>
        <v>74.797292915834859</v>
      </c>
      <c r="AG159" s="366">
        <f>AG$289*hypo!CZ60/AG282*100</f>
        <v>345.45302347662692</v>
      </c>
      <c r="AH159" s="366">
        <f>AH$289*hypo!DA60/AH282*100</f>
        <v>156.49123831091254</v>
      </c>
      <c r="AI159" s="366">
        <f>AI$289*hypo!DB60/AI282*100</f>
        <v>14.708427229925142</v>
      </c>
      <c r="AJ159" s="366">
        <f>AJ$289*hypo!DC60/AJ282*100</f>
        <v>77.560962065442723</v>
      </c>
      <c r="AK159" s="366">
        <f>AK$289*hypo!DD60/AK282*100</f>
        <v>5.5838782742950022</v>
      </c>
      <c r="AL159" s="366">
        <f>AL$289*hypo!DE60/AL282*100</f>
        <v>16.013521248288797</v>
      </c>
      <c r="AM159" s="379">
        <f t="shared" si="12"/>
        <v>22470.416791996373</v>
      </c>
    </row>
    <row r="160" spans="1:39" s="364" customFormat="1" x14ac:dyDescent="0.2">
      <c r="A160" s="44"/>
      <c r="B160" s="41" t="s">
        <v>119</v>
      </c>
      <c r="C160" s="22" t="s">
        <v>125</v>
      </c>
      <c r="D160" s="8"/>
      <c r="E160" s="17"/>
      <c r="F160" s="366">
        <f>F$289*hypo!BY61/F283*100</f>
        <v>4.8543038758560693</v>
      </c>
      <c r="G160" s="366">
        <f>G$289*hypo!BZ61/G283*100</f>
        <v>3.8471187008450385</v>
      </c>
      <c r="H160" s="366">
        <f>H$289*hypo!CA61/H283*100</f>
        <v>2.1115718243919863</v>
      </c>
      <c r="I160" s="366">
        <f>I$289*hypo!CB61/I283*100</f>
        <v>10.06413837600463</v>
      </c>
      <c r="J160" s="366">
        <f>J$289*hypo!CC61/J283*100</f>
        <v>7.6407339480398822</v>
      </c>
      <c r="K160" s="366">
        <f>K$289*hypo!CD61/K283*100</f>
        <v>1.9397738122657004</v>
      </c>
      <c r="L160" s="366">
        <f>L$289*hypo!CE61/L283*100</f>
        <v>4.4091740461137983</v>
      </c>
      <c r="M160" s="366">
        <f>M$289*hypo!CF61/M283*100</f>
        <v>6.9974684778087273</v>
      </c>
      <c r="N160" s="366">
        <f>N$289*hypo!CG61/N283*100</f>
        <v>9.1145991125794303</v>
      </c>
      <c r="O160" s="366">
        <f>O$289*hypo!CH61/O283*100</f>
        <v>6.264181145101233</v>
      </c>
      <c r="P160" s="366">
        <f>P$289*hypo!CI61/P283*100</f>
        <v>8.0222886383076819</v>
      </c>
      <c r="Q160" s="366">
        <f>Q$289*hypo!CJ61/Q283*100</f>
        <v>2.6486026982584447</v>
      </c>
      <c r="R160" s="366">
        <f>R$289*hypo!CK61/R283*100</f>
        <v>8.3875404477836053</v>
      </c>
      <c r="S160" s="366">
        <f>S$289*hypo!CL61/S283*100</f>
        <v>7.3249056062661948</v>
      </c>
      <c r="T160" s="366">
        <f>T$289*hypo!CM61/T283*100</f>
        <v>14.761902416258577</v>
      </c>
      <c r="U160" s="366">
        <f>U$289*hypo!CN61/U283*100</f>
        <v>18.048689963271787</v>
      </c>
      <c r="V160" s="366">
        <f>V$289*hypo!CO61/V283*100</f>
        <v>24.125807506948625</v>
      </c>
      <c r="W160" s="366">
        <f>W$289*hypo!CP61/W283*100</f>
        <v>2.4763958755052284</v>
      </c>
      <c r="X160" s="366">
        <f>X$289*hypo!CQ61/X283*100</f>
        <v>1.1254662702898928</v>
      </c>
      <c r="Y160" s="366">
        <f>Y$289*hypo!CR61/Y283*100</f>
        <v>2.0579626390697365</v>
      </c>
      <c r="Z160" s="366">
        <f>Z$289*hypo!CS61/Z283*100</f>
        <v>6.1180101985360285</v>
      </c>
      <c r="AA160" s="366">
        <f>AA$289*hypo!CT61/AA283*100</f>
        <v>4.0859136391103119</v>
      </c>
      <c r="AB160" s="366">
        <f>AB$289*hypo!CU61/AB283*100</f>
        <v>4.10715471461807</v>
      </c>
      <c r="AC160" s="366">
        <f>AC$289*hypo!CV61/AC283*100</f>
        <v>21.699292408942778</v>
      </c>
      <c r="AD160" s="366">
        <f>AD$289*hypo!CW61/AD283*100</f>
        <v>2.1535688384980052</v>
      </c>
      <c r="AE160" s="366">
        <f>AE$289*hypo!CX61/AE283*100</f>
        <v>6.9819799464827987</v>
      </c>
      <c r="AF160" s="366">
        <f>AF$289*hypo!CY61/AF283*100</f>
        <v>0.97858039352920689</v>
      </c>
      <c r="AG160" s="366">
        <f>AG$289*hypo!CZ61/AG283*100</f>
        <v>4.8158038670545693</v>
      </c>
      <c r="AH160" s="366">
        <f>AH$289*hypo!DA61/AH283*100</f>
        <v>4.8041079008138112</v>
      </c>
      <c r="AI160" s="366">
        <f>AI$289*hypo!DB61/AI283*100</f>
        <v>2.2229424001064193</v>
      </c>
      <c r="AJ160" s="366">
        <f>AJ$289*hypo!DC61/AJ283*100</f>
        <v>10.467069987087289</v>
      </c>
      <c r="AK160" s="366">
        <f>AK$289*hypo!DD61/AK283*100</f>
        <v>3.3228818035781122</v>
      </c>
      <c r="AL160" s="366">
        <f>AL$289*hypo!DE61/AL283*100</f>
        <v>7.4273729362941285</v>
      </c>
      <c r="AM160" s="379">
        <f t="shared" si="12"/>
        <v>225.4073044156178</v>
      </c>
    </row>
    <row r="161" spans="1:39" s="364" customFormat="1" x14ac:dyDescent="0.2">
      <c r="A161" s="44"/>
      <c r="B161" s="41" t="s">
        <v>120</v>
      </c>
      <c r="C161" s="22" t="s">
        <v>125</v>
      </c>
      <c r="D161" s="8"/>
      <c r="E161" s="17"/>
      <c r="F161" s="366">
        <f>F$289*hypo!BY62/F284*100</f>
        <v>26.970564715885427</v>
      </c>
      <c r="G161" s="366">
        <f>G$289*hypo!BZ62/G284*100</f>
        <v>52.755857842181008</v>
      </c>
      <c r="H161" s="366">
        <f>H$289*hypo!CA62/H284*100</f>
        <v>5.7351533267637427</v>
      </c>
      <c r="I161" s="366">
        <f>I$289*hypo!CB62/I284*100</f>
        <v>79.825080536089814</v>
      </c>
      <c r="J161" s="366">
        <f>J$289*hypo!CC62/J284*100</f>
        <v>26.253628228211024</v>
      </c>
      <c r="K161" s="366">
        <f>K$289*hypo!CD62/K284*100</f>
        <v>3.8025746990110929</v>
      </c>
      <c r="L161" s="366">
        <f>L$289*hypo!CE62/L284*100</f>
        <v>19.83100707997594</v>
      </c>
      <c r="M161" s="366">
        <f>M$289*hypo!CF62/M284*100</f>
        <v>21.026072622422571</v>
      </c>
      <c r="N161" s="366">
        <f>N$289*hypo!CG62/N284*100</f>
        <v>734.85358961498309</v>
      </c>
      <c r="O161" s="366">
        <f>O$289*hypo!CH62/O284*100</f>
        <v>111.38614774465083</v>
      </c>
      <c r="P161" s="366">
        <f>P$289*hypo!CI62/P284*100</f>
        <v>69.513401251629375</v>
      </c>
      <c r="Q161" s="366">
        <f>Q$289*hypo!CJ62/Q284*100</f>
        <v>18.061079136687525</v>
      </c>
      <c r="R161" s="366">
        <f>R$289*hypo!CK62/R284*100</f>
        <v>36.76072549829356</v>
      </c>
      <c r="S161" s="366">
        <f>S$289*hypo!CL62/S284*100</f>
        <v>124.86923023238789</v>
      </c>
      <c r="T161" s="366">
        <f>T$289*hypo!CM62/T284*100</f>
        <v>167.01403251411188</v>
      </c>
      <c r="U161" s="366">
        <f>U$289*hypo!CN62/U284*100</f>
        <v>174.01261864000318</v>
      </c>
      <c r="V161" s="366">
        <f>V$289*hypo!CO62/V284*100</f>
        <v>223.90777336209388</v>
      </c>
      <c r="W161" s="366">
        <f>W$289*hypo!CP62/W284*100</f>
        <v>15.780346818610713</v>
      </c>
      <c r="X161" s="366">
        <f>X$289*hypo!CQ62/X284*100</f>
        <v>9.8296375795467608</v>
      </c>
      <c r="Y161" s="366">
        <f>Y$289*hypo!CR62/Y284*100</f>
        <v>28.35204316429154</v>
      </c>
      <c r="Z161" s="366">
        <f>Z$289*hypo!CS62/Z284*100</f>
        <v>272.7173777364257</v>
      </c>
      <c r="AA161" s="366">
        <f>AA$289*hypo!CT62/AA284*100</f>
        <v>153.77920029067033</v>
      </c>
      <c r="AB161" s="366">
        <f>AB$289*hypo!CU62/AB284*100</f>
        <v>102.80466239944602</v>
      </c>
      <c r="AC161" s="366">
        <f>AC$289*hypo!CV62/AC284*100</f>
        <v>584.79260042557519</v>
      </c>
      <c r="AD161" s="366">
        <f>AD$289*hypo!CW62/AD284*100</f>
        <v>9.5441148546119479</v>
      </c>
      <c r="AE161" s="366">
        <f>AE$289*hypo!CX62/AE284*100</f>
        <v>34.04776379853088</v>
      </c>
      <c r="AF161" s="366">
        <f>AF$289*hypo!CY62/AF284*100</f>
        <v>1.0574179284006135</v>
      </c>
      <c r="AG161" s="366">
        <f>AG$289*hypo!CZ62/AG284*100</f>
        <v>129.91903847654166</v>
      </c>
      <c r="AH161" s="366">
        <f>AH$289*hypo!DA62/AH284*100</f>
        <v>13.154120126037295</v>
      </c>
      <c r="AI161" s="366">
        <f>AI$289*hypo!DB62/AI284*100</f>
        <v>49.854331976639173</v>
      </c>
      <c r="AJ161" s="366">
        <f>AJ$289*hypo!DC62/AJ284*100</f>
        <v>226.29713251188826</v>
      </c>
      <c r="AK161" s="366">
        <f>AK$289*hypo!DD62/AK284*100</f>
        <v>42.680175063761723</v>
      </c>
      <c r="AL161" s="366">
        <f>AL$289*hypo!DE62/AL284*100</f>
        <v>23.803977264329159</v>
      </c>
      <c r="AM161" s="379">
        <f t="shared" si="12"/>
        <v>3594.9924774606893</v>
      </c>
    </row>
    <row r="162" spans="1:39" s="364" customFormat="1" x14ac:dyDescent="0.2">
      <c r="A162" s="44"/>
      <c r="B162" s="41" t="s">
        <v>127</v>
      </c>
      <c r="C162" s="22" t="s">
        <v>125</v>
      </c>
      <c r="D162" s="8"/>
      <c r="E162" s="17"/>
      <c r="F162" s="366">
        <f>F$289*hypo!BY63/F285*100</f>
        <v>40.115704180657715</v>
      </c>
      <c r="G162" s="366">
        <f>G$289*hypo!BZ63/G285*100</f>
        <v>95.545341982906194</v>
      </c>
      <c r="H162" s="366">
        <f>H$289*hypo!CA63/H285*100</f>
        <v>26.681046820316812</v>
      </c>
      <c r="I162" s="366">
        <f>I$289*hypo!CB63/I285*100</f>
        <v>149.44286692821325</v>
      </c>
      <c r="J162" s="366">
        <f>J$289*hypo!CC63/J285*100</f>
        <v>669.52157853012841</v>
      </c>
      <c r="K162" s="366">
        <f>K$289*hypo!CD63/K285*100</f>
        <v>144.29257933846404</v>
      </c>
      <c r="L162" s="366">
        <f>L$289*hypo!CE63/L285*100</f>
        <v>1031.2504025208643</v>
      </c>
      <c r="M162" s="366">
        <f>M$289*hypo!CF63/M285*100</f>
        <v>181.9454203677069</v>
      </c>
      <c r="N162" s="366">
        <f>N$289*hypo!CG63/N285*100</f>
        <v>141.02871847933926</v>
      </c>
      <c r="O162" s="366">
        <f>O$289*hypo!CH63/O285*100</f>
        <v>234.56763854955193</v>
      </c>
      <c r="P162" s="366">
        <f>P$289*hypo!CI63/P285*100</f>
        <v>426.85819284427185</v>
      </c>
      <c r="Q162" s="366">
        <f>Q$289*hypo!CJ63/Q285*100</f>
        <v>119.76184929566674</v>
      </c>
      <c r="R162" s="366">
        <f>R$289*hypo!CK63/R285*100</f>
        <v>3451.8803760571855</v>
      </c>
      <c r="S162" s="366">
        <f>S$289*hypo!CL63/S285*100</f>
        <v>1671.2436250693454</v>
      </c>
      <c r="T162" s="366">
        <f>T$289*hypo!CM63/T285*100</f>
        <v>4496.2174110346514</v>
      </c>
      <c r="U162" s="366">
        <f>U$289*hypo!CN63/U285*100</f>
        <v>2013.8211604161886</v>
      </c>
      <c r="V162" s="366">
        <f>V$289*hypo!CO63/V285*100</f>
        <v>4775.7252087771594</v>
      </c>
      <c r="W162" s="366">
        <f>W$289*hypo!CP63/W285*100</f>
        <v>407.0520169562551</v>
      </c>
      <c r="X162" s="366">
        <f>X$289*hypo!CQ63/X285*100</f>
        <v>109.92070885958873</v>
      </c>
      <c r="Y162" s="366">
        <f>Y$289*hypo!CR63/Y285*100</f>
        <v>315.78231563976601</v>
      </c>
      <c r="Z162" s="366">
        <f>Z$289*hypo!CS63/Z285*100</f>
        <v>295.12991108878424</v>
      </c>
      <c r="AA162" s="366">
        <f>AA$289*hypo!CT63/AA285*100</f>
        <v>225.52733119019578</v>
      </c>
      <c r="AB162" s="366">
        <f>AB$289*hypo!CU63/AB285*100</f>
        <v>1443.5347984016919</v>
      </c>
      <c r="AC162" s="366">
        <f>AC$289*hypo!CV63/AC285*100</f>
        <v>2398.0253835648809</v>
      </c>
      <c r="AD162" s="366">
        <f>AD$289*hypo!CW63/AD285*100</f>
        <v>60.875847323204134</v>
      </c>
      <c r="AE162" s="366">
        <f>AE$289*hypo!CX63/AE285*100</f>
        <v>1389.2997989075966</v>
      </c>
      <c r="AF162" s="366">
        <f>AF$289*hypo!CY63/AF285*100</f>
        <v>79.60025008164979</v>
      </c>
      <c r="AG162" s="366">
        <f>AG$289*hypo!CZ63/AG285*100</f>
        <v>975.56851967233604</v>
      </c>
      <c r="AH162" s="366">
        <f>AH$289*hypo!DA63/AH285*100</f>
        <v>941.05170256597046</v>
      </c>
      <c r="AI162" s="366">
        <f>AI$289*hypo!DB63/AI285*100</f>
        <v>29.760314964663575</v>
      </c>
      <c r="AJ162" s="366">
        <f>AJ$289*hypo!DC63/AJ285*100</f>
        <v>85.200241588752803</v>
      </c>
      <c r="AK162" s="366">
        <f>AK$289*hypo!DD63/AK285*100</f>
        <v>49.342541593281403</v>
      </c>
      <c r="AL162" s="366">
        <f>AL$289*hypo!DE63/AL285*100</f>
        <v>13.763554452658836</v>
      </c>
      <c r="AM162" s="379">
        <f t="shared" si="12"/>
        <v>28489.334358043896</v>
      </c>
    </row>
    <row r="163" spans="1:39" s="364" customFormat="1" x14ac:dyDescent="0.2">
      <c r="A163" s="44"/>
      <c r="B163" s="41" t="s">
        <v>128</v>
      </c>
      <c r="C163" s="22" t="s">
        <v>125</v>
      </c>
      <c r="D163" s="8"/>
      <c r="E163" s="17"/>
      <c r="F163" s="366">
        <f>F$292/F286*100</f>
        <v>0</v>
      </c>
      <c r="G163" s="366">
        <f t="shared" ref="G163:AL163" si="13">G$292/G286*100</f>
        <v>1.5788797690113107E-8</v>
      </c>
      <c r="H163" s="366">
        <f t="shared" si="13"/>
        <v>0</v>
      </c>
      <c r="I163" s="366">
        <f t="shared" si="13"/>
        <v>0</v>
      </c>
      <c r="J163" s="366">
        <f t="shared" si="13"/>
        <v>1896.7894965173155</v>
      </c>
      <c r="K163" s="366">
        <f t="shared" si="13"/>
        <v>941.54017818628017</v>
      </c>
      <c r="L163" s="366">
        <f t="shared" si="13"/>
        <v>1290.2367567837759</v>
      </c>
      <c r="M163" s="366">
        <f t="shared" si="13"/>
        <v>0</v>
      </c>
      <c r="N163" s="366">
        <f t="shared" si="13"/>
        <v>0</v>
      </c>
      <c r="O163" s="366">
        <f t="shared" si="13"/>
        <v>0</v>
      </c>
      <c r="P163" s="366">
        <f t="shared" si="13"/>
        <v>4044.5266828164931</v>
      </c>
      <c r="Q163" s="366">
        <f t="shared" si="13"/>
        <v>0</v>
      </c>
      <c r="R163" s="366">
        <f t="shared" si="13"/>
        <v>908.60751039596312</v>
      </c>
      <c r="S163" s="366">
        <f t="shared" si="13"/>
        <v>1560.3404493419221</v>
      </c>
      <c r="T163" s="366">
        <f t="shared" si="13"/>
        <v>2481.4504032873897</v>
      </c>
      <c r="U163" s="366">
        <f t="shared" si="13"/>
        <v>0</v>
      </c>
      <c r="V163" s="366">
        <f t="shared" si="13"/>
        <v>10865.688202529376</v>
      </c>
      <c r="W163" s="366">
        <f t="shared" si="13"/>
        <v>1931.0984131966411</v>
      </c>
      <c r="X163" s="366">
        <f t="shared" si="13"/>
        <v>993.37157908524068</v>
      </c>
      <c r="Y163" s="366">
        <f t="shared" si="13"/>
        <v>1288.0646028230708</v>
      </c>
      <c r="Z163" s="366">
        <f t="shared" si="13"/>
        <v>990.91697700711325</v>
      </c>
      <c r="AA163" s="366">
        <f t="shared" si="13"/>
        <v>1226.5087465078609</v>
      </c>
      <c r="AB163" s="366">
        <f t="shared" si="13"/>
        <v>1746.6308012274681</v>
      </c>
      <c r="AC163" s="366">
        <f t="shared" si="13"/>
        <v>2375.1784093037527</v>
      </c>
      <c r="AD163" s="366">
        <f t="shared" si="13"/>
        <v>0</v>
      </c>
      <c r="AE163" s="366">
        <f t="shared" si="13"/>
        <v>1366.6676688935495</v>
      </c>
      <c r="AF163" s="366">
        <f t="shared" si="13"/>
        <v>0</v>
      </c>
      <c r="AG163" s="366">
        <f t="shared" si="13"/>
        <v>1309.20726031561</v>
      </c>
      <c r="AH163" s="366">
        <f t="shared" si="13"/>
        <v>2515.1209213206594</v>
      </c>
      <c r="AI163" s="366">
        <f t="shared" si="13"/>
        <v>0</v>
      </c>
      <c r="AJ163" s="366">
        <f t="shared" si="13"/>
        <v>0</v>
      </c>
      <c r="AK163" s="366">
        <f t="shared" si="13"/>
        <v>0</v>
      </c>
      <c r="AL163" s="366">
        <f t="shared" si="13"/>
        <v>0</v>
      </c>
      <c r="AM163" s="379">
        <f t="shared" si="12"/>
        <v>39731.94505955527</v>
      </c>
    </row>
    <row r="164" spans="1:39" s="364" customFormat="1" x14ac:dyDescent="0.2">
      <c r="A164" s="44"/>
      <c r="B164" s="41"/>
      <c r="C164" s="22"/>
      <c r="D164" s="8"/>
      <c r="E164" s="17"/>
      <c r="F164" s="367"/>
      <c r="G164" s="367"/>
      <c r="H164" s="367"/>
      <c r="I164" s="367"/>
      <c r="J164" s="367"/>
      <c r="K164" s="367"/>
      <c r="L164" s="367"/>
      <c r="M164" s="367"/>
      <c r="N164" s="367"/>
      <c r="O164" s="367"/>
      <c r="P164" s="367"/>
      <c r="Q164" s="367"/>
      <c r="R164" s="366"/>
      <c r="S164" s="366"/>
      <c r="T164" s="366"/>
      <c r="U164" s="366"/>
      <c r="V164" s="366"/>
      <c r="W164" s="366"/>
      <c r="X164" s="366"/>
      <c r="Y164" s="366"/>
      <c r="Z164" s="366"/>
      <c r="AA164" s="366"/>
      <c r="AB164" s="366"/>
      <c r="AC164" s="366"/>
      <c r="AD164" s="366"/>
      <c r="AE164" s="366"/>
      <c r="AF164" s="366"/>
      <c r="AG164" s="366"/>
      <c r="AH164" s="366"/>
      <c r="AI164" s="366"/>
      <c r="AJ164" s="366"/>
      <c r="AK164" s="366"/>
      <c r="AL164" s="366"/>
      <c r="AM164" s="379"/>
    </row>
    <row r="165" spans="1:39" s="364" customFormat="1" x14ac:dyDescent="0.2">
      <c r="A165" s="44"/>
      <c r="B165" s="99" t="s">
        <v>907</v>
      </c>
      <c r="C165" s="98"/>
      <c r="D165" s="8"/>
      <c r="E165" s="17"/>
      <c r="F165" s="367"/>
      <c r="G165" s="367"/>
      <c r="H165" s="367"/>
      <c r="I165" s="367"/>
      <c r="J165" s="367"/>
      <c r="K165" s="367"/>
      <c r="L165" s="367"/>
      <c r="M165" s="367"/>
      <c r="N165" s="367"/>
      <c r="O165" s="367"/>
      <c r="P165" s="367"/>
      <c r="Q165" s="367"/>
      <c r="R165" s="366"/>
      <c r="S165" s="366"/>
      <c r="T165" s="366"/>
      <c r="U165" s="366"/>
      <c r="V165" s="366"/>
      <c r="W165" s="366"/>
      <c r="X165" s="366"/>
      <c r="Y165" s="366"/>
      <c r="Z165" s="366"/>
      <c r="AA165" s="366"/>
      <c r="AB165" s="366"/>
      <c r="AC165" s="366"/>
      <c r="AD165" s="366"/>
      <c r="AE165" s="366"/>
      <c r="AF165" s="366"/>
      <c r="AG165" s="366"/>
      <c r="AH165" s="366"/>
      <c r="AI165" s="366"/>
      <c r="AJ165" s="366"/>
      <c r="AK165" s="366"/>
      <c r="AL165" s="366"/>
      <c r="AM165" s="379"/>
    </row>
    <row r="166" spans="1:39" s="364" customFormat="1" x14ac:dyDescent="0.2">
      <c r="A166" s="44"/>
      <c r="B166" s="283" t="s">
        <v>86</v>
      </c>
      <c r="C166" s="98" t="s">
        <v>919</v>
      </c>
      <c r="D166" s="8"/>
      <c r="E166" s="17"/>
      <c r="F166" s="54">
        <v>2.7848624092911436</v>
      </c>
      <c r="G166" s="54">
        <v>4.3108088847354935</v>
      </c>
      <c r="H166" s="54">
        <v>1.5954321075885329</v>
      </c>
      <c r="I166" s="54">
        <v>4.1608697398691241</v>
      </c>
      <c r="J166" s="54">
        <v>4.6534650727602562</v>
      </c>
      <c r="K166" s="54">
        <v>1.9564719018311125</v>
      </c>
      <c r="L166" s="54">
        <v>8.8133780981835574</v>
      </c>
      <c r="M166" s="54">
        <v>4.6972686130790402</v>
      </c>
      <c r="N166" s="54">
        <v>1.9458193583972301</v>
      </c>
      <c r="O166" s="54">
        <v>1.4847763729736414</v>
      </c>
      <c r="P166" s="54">
        <v>1.7736453054777694</v>
      </c>
      <c r="Q166" s="54">
        <v>2.5200411115540167</v>
      </c>
      <c r="R166" s="54">
        <v>3.3032655384855985</v>
      </c>
      <c r="S166" s="54">
        <v>1.5398615290265096</v>
      </c>
      <c r="T166" s="54">
        <v>1.3117654783382384</v>
      </c>
      <c r="U166" s="54">
        <v>3.0956969640672627</v>
      </c>
      <c r="V166" s="54">
        <v>1.4130919308182206</v>
      </c>
      <c r="W166" s="54">
        <v>1.6489126596822552</v>
      </c>
      <c r="X166" s="54">
        <v>3.6914937687351808</v>
      </c>
      <c r="Y166" s="54">
        <v>1.008858341729804</v>
      </c>
      <c r="Z166" s="54">
        <v>4.6270471936471287</v>
      </c>
      <c r="AA166" s="54">
        <v>1.9415387757305387</v>
      </c>
      <c r="AB166" s="54">
        <v>2.988774494391873</v>
      </c>
      <c r="AC166" s="54">
        <v>1.8557854247997483</v>
      </c>
      <c r="AD166" s="54">
        <v>0.79383021384835173</v>
      </c>
      <c r="AE166" s="54">
        <v>2.5904819109725539</v>
      </c>
      <c r="AF166" s="54">
        <v>0.67439364950970626</v>
      </c>
      <c r="AG166" s="54">
        <v>2.8412832373836876</v>
      </c>
      <c r="AH166" s="54">
        <v>3.9157717233037306</v>
      </c>
      <c r="AI166" s="54">
        <v>1.2763438853271964</v>
      </c>
      <c r="AJ166" s="54">
        <v>1.9506425755241092</v>
      </c>
      <c r="AK166" s="54">
        <v>1.1237209422220817</v>
      </c>
      <c r="AL166" s="54">
        <v>5.3096251052378571</v>
      </c>
      <c r="AM166" s="380">
        <v>2.7151219490461385</v>
      </c>
    </row>
    <row r="167" spans="1:39" s="364" customFormat="1" x14ac:dyDescent="0.2">
      <c r="A167" s="44"/>
      <c r="B167" s="283" t="s">
        <v>88</v>
      </c>
      <c r="C167" s="98" t="s">
        <v>919</v>
      </c>
      <c r="D167" s="8"/>
      <c r="E167" s="17"/>
      <c r="F167" s="54">
        <v>4.5018874301856098</v>
      </c>
      <c r="G167" s="54">
        <v>6.4253298577873874</v>
      </c>
      <c r="H167" s="54">
        <v>1.5462042396841917</v>
      </c>
      <c r="I167" s="54">
        <v>2.9355051717880176</v>
      </c>
      <c r="J167" s="54">
        <v>4.8119652025510566</v>
      </c>
      <c r="K167" s="54">
        <v>2.8317004457316166</v>
      </c>
      <c r="L167" s="54">
        <v>4.9241038106265851</v>
      </c>
      <c r="M167" s="54">
        <v>5.071611556413961</v>
      </c>
      <c r="N167" s="54">
        <v>1.4811245582724273</v>
      </c>
      <c r="O167" s="54">
        <v>1.8228466889318966</v>
      </c>
      <c r="P167" s="54">
        <v>1.5953813513650092</v>
      </c>
      <c r="Q167" s="54">
        <v>1.4092140108342202</v>
      </c>
      <c r="R167" s="54">
        <v>3.0171144126722163</v>
      </c>
      <c r="S167" s="54">
        <v>2.4393699718494157</v>
      </c>
      <c r="T167" s="54">
        <v>1.1285851157295681</v>
      </c>
      <c r="U167" s="54">
        <v>2.6057425881560796</v>
      </c>
      <c r="V167" s="54">
        <v>1.0352068363974292</v>
      </c>
      <c r="W167" s="54">
        <v>1.1779249700644741</v>
      </c>
      <c r="X167" s="54">
        <v>2.3104260240125414</v>
      </c>
      <c r="Y167" s="54">
        <v>0.69022616856441066</v>
      </c>
      <c r="Z167" s="54">
        <v>4.9912842815529945</v>
      </c>
      <c r="AA167" s="54">
        <v>1.2169990631023484</v>
      </c>
      <c r="AB167" s="54">
        <v>2.1053542816864739</v>
      </c>
      <c r="AC167" s="54">
        <v>1.6740869169714858</v>
      </c>
      <c r="AD167" s="54">
        <v>0.56823523423941658</v>
      </c>
      <c r="AE167" s="54">
        <v>13.633014252425529</v>
      </c>
      <c r="AF167" s="54">
        <v>0.78779803724937281</v>
      </c>
      <c r="AG167" s="54">
        <v>2.5695206219053897</v>
      </c>
      <c r="AH167" s="54">
        <v>3.6503131647933369</v>
      </c>
      <c r="AI167" s="54">
        <v>1.4285619947766337</v>
      </c>
      <c r="AJ167" s="54">
        <v>28.06321624610765</v>
      </c>
      <c r="AK167" s="54">
        <v>1.0834228152614167</v>
      </c>
      <c r="AL167" s="54">
        <v>5.3796667458031644</v>
      </c>
      <c r="AM167" s="380">
        <v>3.6640286081058577</v>
      </c>
    </row>
    <row r="168" spans="1:39" s="364" customFormat="1" x14ac:dyDescent="0.2">
      <c r="A168" s="44"/>
      <c r="B168" s="283" t="s">
        <v>89</v>
      </c>
      <c r="C168" s="98" t="s">
        <v>919</v>
      </c>
      <c r="D168" s="8"/>
      <c r="E168" s="17"/>
      <c r="F168" s="54">
        <v>2.8300920845625503</v>
      </c>
      <c r="G168" s="54">
        <v>4.8751613291604485</v>
      </c>
      <c r="H168" s="54">
        <v>1.5287770400093761</v>
      </c>
      <c r="I168" s="54">
        <v>4.1677052942574413</v>
      </c>
      <c r="J168" s="54">
        <v>3.959018264539075</v>
      </c>
      <c r="K168" s="54">
        <v>2.0445216362116323</v>
      </c>
      <c r="L168" s="54">
        <v>6.2691814953387759</v>
      </c>
      <c r="M168" s="54">
        <v>6.1255451993959715</v>
      </c>
      <c r="N168" s="54">
        <v>1.7239225718472855</v>
      </c>
      <c r="O168" s="54">
        <v>1.3070613022486026</v>
      </c>
      <c r="P168" s="54">
        <v>1.5006110280894478</v>
      </c>
      <c r="Q168" s="54">
        <v>2.3457381340995545</v>
      </c>
      <c r="R168" s="54">
        <v>2.6600139230358071</v>
      </c>
      <c r="S168" s="54">
        <v>1.3093270612584362</v>
      </c>
      <c r="T168" s="54">
        <v>0.97526093262250935</v>
      </c>
      <c r="U168" s="54">
        <v>2.4493105606874579</v>
      </c>
      <c r="V168" s="54">
        <v>1.3194539945059081</v>
      </c>
      <c r="W168" s="54">
        <v>1.4173691360527056</v>
      </c>
      <c r="X168" s="54">
        <v>3.3655887046882591</v>
      </c>
      <c r="Y168" s="54">
        <v>0.94694995898463519</v>
      </c>
      <c r="Z168" s="54">
        <v>4.3799248603955334</v>
      </c>
      <c r="AA168" s="54">
        <v>1.8015266186438212</v>
      </c>
      <c r="AB168" s="54">
        <v>3.7552058332352951</v>
      </c>
      <c r="AC168" s="54">
        <v>1.3488984517219991</v>
      </c>
      <c r="AD168" s="54">
        <v>0.93643285918665453</v>
      </c>
      <c r="AE168" s="54">
        <v>2.466156691417754</v>
      </c>
      <c r="AF168" s="54">
        <v>0.43832923696851195</v>
      </c>
      <c r="AG168" s="54">
        <v>2.6424685096340998</v>
      </c>
      <c r="AH168" s="54">
        <v>3.7192469518603182</v>
      </c>
      <c r="AI168" s="54">
        <v>0.66377066426135845</v>
      </c>
      <c r="AJ168" s="54">
        <v>1.3340676516601393</v>
      </c>
      <c r="AK168" s="54">
        <v>0.58458608522333855</v>
      </c>
      <c r="AL168" s="54">
        <v>2.22491319919886</v>
      </c>
      <c r="AM168" s="380">
        <v>2.4065496140910163</v>
      </c>
    </row>
    <row r="169" spans="1:39" s="364" customFormat="1" x14ac:dyDescent="0.2">
      <c r="A169" s="44"/>
      <c r="B169" s="283" t="s">
        <v>90</v>
      </c>
      <c r="C169" s="98" t="s">
        <v>919</v>
      </c>
      <c r="D169" s="8"/>
      <c r="E169" s="17"/>
      <c r="F169" s="54">
        <v>2.931783524799279</v>
      </c>
      <c r="G169" s="54">
        <v>4.5972289102735209</v>
      </c>
      <c r="H169" s="54">
        <v>1.3025027407304053</v>
      </c>
      <c r="I169" s="54">
        <v>2.4867706494559982</v>
      </c>
      <c r="J169" s="54">
        <v>3.6609246189781253</v>
      </c>
      <c r="K169" s="54">
        <v>1.5918960371172692</v>
      </c>
      <c r="L169" s="54">
        <v>7.3298020834404829</v>
      </c>
      <c r="M169" s="54">
        <v>3.9257577202363172</v>
      </c>
      <c r="N169" s="54">
        <v>0.76458463806875021</v>
      </c>
      <c r="O169" s="54">
        <v>0.70230265737817332</v>
      </c>
      <c r="P169" s="54">
        <v>0.89833196744223121</v>
      </c>
      <c r="Q169" s="54">
        <v>1.3594047148733261</v>
      </c>
      <c r="R169" s="54">
        <v>2.3326595018595544</v>
      </c>
      <c r="S169" s="54">
        <v>1.2121396674720484</v>
      </c>
      <c r="T169" s="54">
        <v>1.1936605947344294</v>
      </c>
      <c r="U169" s="54">
        <v>1.9082123258612536</v>
      </c>
      <c r="V169" s="54">
        <v>0.89343207858763729</v>
      </c>
      <c r="W169" s="54">
        <v>1.1006396421280891</v>
      </c>
      <c r="X169" s="54">
        <v>1.6452222399466787</v>
      </c>
      <c r="Y169" s="54">
        <v>0.70031764385411222</v>
      </c>
      <c r="Z169" s="54">
        <v>3.1116958152349921</v>
      </c>
      <c r="AA169" s="54">
        <v>1.2668141057126905</v>
      </c>
      <c r="AB169" s="54">
        <v>2.2175672101293076</v>
      </c>
      <c r="AC169" s="54">
        <v>1.2449735469454095</v>
      </c>
      <c r="AD169" s="54">
        <v>1.0349135329977457</v>
      </c>
      <c r="AE169" s="54">
        <v>2.134668430178432</v>
      </c>
      <c r="AF169" s="54">
        <v>0.47367193965249144</v>
      </c>
      <c r="AG169" s="54">
        <v>1.9657470754508877</v>
      </c>
      <c r="AH169" s="54">
        <v>4.2141612545461857</v>
      </c>
      <c r="AI169" s="54">
        <v>0.50172056252444142</v>
      </c>
      <c r="AJ169" s="54">
        <v>0.90033719588315186</v>
      </c>
      <c r="AK169" s="54">
        <v>0.44345941517453125</v>
      </c>
      <c r="AL169" s="54">
        <v>2.0182728378780892</v>
      </c>
      <c r="AM169" s="380">
        <v>1.9413811175620013</v>
      </c>
    </row>
    <row r="170" spans="1:39" s="364" customFormat="1" x14ac:dyDescent="0.2">
      <c r="A170" s="44"/>
      <c r="B170" s="110" t="s">
        <v>91</v>
      </c>
      <c r="C170" s="98" t="s">
        <v>919</v>
      </c>
      <c r="D170" s="8"/>
      <c r="E170" s="17"/>
      <c r="F170" s="54">
        <v>3.4058155533677805</v>
      </c>
      <c r="G170" s="54">
        <v>5.777645590702396</v>
      </c>
      <c r="H170" s="54">
        <v>2.1562218977328653</v>
      </c>
      <c r="I170" s="54">
        <v>5.0298169598062339</v>
      </c>
      <c r="J170" s="54">
        <v>6.1768154471779226</v>
      </c>
      <c r="K170" s="54">
        <v>2.0288565739374564</v>
      </c>
      <c r="L170" s="54">
        <v>13.595943303721381</v>
      </c>
      <c r="M170" s="54">
        <v>5.9873198870078861</v>
      </c>
      <c r="N170" s="54">
        <v>2.1399328422666577</v>
      </c>
      <c r="O170" s="54">
        <v>1.9087005522821727</v>
      </c>
      <c r="P170" s="54">
        <v>2.0765229702048176</v>
      </c>
      <c r="Q170" s="54">
        <v>3.8785242326155203</v>
      </c>
      <c r="R170" s="54">
        <v>3.3199292502933115</v>
      </c>
      <c r="S170" s="54">
        <v>1.9872629591097857</v>
      </c>
      <c r="T170" s="54">
        <v>1.3493389932712152</v>
      </c>
      <c r="U170" s="54">
        <v>3.0622409838934219</v>
      </c>
      <c r="V170" s="54">
        <v>1.6483164088706255</v>
      </c>
      <c r="W170" s="54">
        <v>1.69198973609331</v>
      </c>
      <c r="X170" s="54">
        <v>4.744038524534961</v>
      </c>
      <c r="Y170" s="54">
        <v>1.3257351790259457</v>
      </c>
      <c r="Z170" s="54">
        <v>11.957520490747054</v>
      </c>
      <c r="AA170" s="54">
        <v>2.6787570078614222</v>
      </c>
      <c r="AB170" s="54">
        <v>3.9726783078349568</v>
      </c>
      <c r="AC170" s="54">
        <v>2.914554732166986</v>
      </c>
      <c r="AD170" s="54">
        <v>1.4869019136252013</v>
      </c>
      <c r="AE170" s="54">
        <v>3.8633617933131053</v>
      </c>
      <c r="AF170" s="54">
        <v>1.0347433455814565</v>
      </c>
      <c r="AG170" s="54">
        <v>4.253940555343525</v>
      </c>
      <c r="AH170" s="54">
        <v>5.6281102830176684</v>
      </c>
      <c r="AI170" s="54">
        <v>2.2863638551668135</v>
      </c>
      <c r="AJ170" s="54">
        <v>5.632172968626092</v>
      </c>
      <c r="AK170" s="54">
        <v>1.1902113969324006</v>
      </c>
      <c r="AL170" s="54">
        <v>7.3447361346795912</v>
      </c>
      <c r="AM170" s="380">
        <v>3.8646975948730886</v>
      </c>
    </row>
    <row r="171" spans="1:39" s="364" customFormat="1" x14ac:dyDescent="0.2">
      <c r="A171" s="44"/>
      <c r="B171" s="110" t="s">
        <v>92</v>
      </c>
      <c r="C171" s="98" t="s">
        <v>919</v>
      </c>
      <c r="D171" s="8"/>
      <c r="E171" s="17"/>
      <c r="F171" s="54">
        <v>0</v>
      </c>
      <c r="G171" s="54">
        <v>0</v>
      </c>
      <c r="H171" s="54">
        <v>0</v>
      </c>
      <c r="I171" s="54">
        <v>0</v>
      </c>
      <c r="J171" s="54">
        <v>0</v>
      </c>
      <c r="K171" s="54">
        <v>0</v>
      </c>
      <c r="L171" s="54">
        <v>0</v>
      </c>
      <c r="M171" s="54">
        <v>0</v>
      </c>
      <c r="N171" s="54">
        <v>0</v>
      </c>
      <c r="O171" s="54">
        <v>0</v>
      </c>
      <c r="P171" s="54">
        <v>0</v>
      </c>
      <c r="Q171" s="54">
        <v>0</v>
      </c>
      <c r="R171" s="54">
        <v>0</v>
      </c>
      <c r="S171" s="54">
        <v>0</v>
      </c>
      <c r="T171" s="54">
        <v>0</v>
      </c>
      <c r="U171" s="54">
        <v>0</v>
      </c>
      <c r="V171" s="54">
        <v>0</v>
      </c>
      <c r="W171" s="54">
        <v>0</v>
      </c>
      <c r="X171" s="54">
        <v>0</v>
      </c>
      <c r="Y171" s="54">
        <v>0</v>
      </c>
      <c r="Z171" s="54">
        <v>0</v>
      </c>
      <c r="AA171" s="54">
        <v>0</v>
      </c>
      <c r="AB171" s="54">
        <v>0</v>
      </c>
      <c r="AC171" s="54">
        <v>2.0840752506214968</v>
      </c>
      <c r="AD171" s="54">
        <v>0</v>
      </c>
      <c r="AE171" s="54">
        <v>0</v>
      </c>
      <c r="AF171" s="54">
        <v>0</v>
      </c>
      <c r="AG171" s="54">
        <v>0</v>
      </c>
      <c r="AH171" s="54">
        <v>0</v>
      </c>
      <c r="AI171" s="54">
        <v>2.151537324048955</v>
      </c>
      <c r="AJ171" s="54">
        <v>4.3999176741737207</v>
      </c>
      <c r="AK171" s="54">
        <v>1.8026015419228962</v>
      </c>
      <c r="AL171" s="54">
        <v>0</v>
      </c>
      <c r="AM171" s="380">
        <v>0.31630702396263849</v>
      </c>
    </row>
    <row r="172" spans="1:39" s="364" customFormat="1" x14ac:dyDescent="0.2">
      <c r="A172" s="44"/>
      <c r="B172" s="110" t="s">
        <v>93</v>
      </c>
      <c r="C172" s="98" t="s">
        <v>919</v>
      </c>
      <c r="D172" s="8"/>
      <c r="E172" s="17"/>
      <c r="F172" s="54">
        <v>2.3844523974576388</v>
      </c>
      <c r="G172" s="54">
        <v>6.6747531858290285</v>
      </c>
      <c r="H172" s="54">
        <v>1.8998756727806423</v>
      </c>
      <c r="I172" s="54">
        <v>3.4541128049111407</v>
      </c>
      <c r="J172" s="54">
        <v>3.6031234897158249</v>
      </c>
      <c r="K172" s="54">
        <v>2.231089484391799</v>
      </c>
      <c r="L172" s="54">
        <v>9.7196178367990669</v>
      </c>
      <c r="M172" s="54">
        <v>5.3384455758142373</v>
      </c>
      <c r="N172" s="54">
        <v>1.0481868028687504</v>
      </c>
      <c r="O172" s="54">
        <v>1.2468235886753474</v>
      </c>
      <c r="P172" s="54">
        <v>1.4715999365355423</v>
      </c>
      <c r="Q172" s="54">
        <v>2.1939534640752436</v>
      </c>
      <c r="R172" s="54">
        <v>2.9807433585048559</v>
      </c>
      <c r="S172" s="54">
        <v>1.0428597125481402</v>
      </c>
      <c r="T172" s="54">
        <v>0.92677059877773937</v>
      </c>
      <c r="U172" s="54">
        <v>1.8150303694546717</v>
      </c>
      <c r="V172" s="54">
        <v>1.0340780173697468</v>
      </c>
      <c r="W172" s="54">
        <v>1.4460839389902962</v>
      </c>
      <c r="X172" s="54">
        <v>4.3646522594246058</v>
      </c>
      <c r="Y172" s="54">
        <v>0.79874679748167554</v>
      </c>
      <c r="Z172" s="54">
        <v>5.169227644299089</v>
      </c>
      <c r="AA172" s="54">
        <v>1.6665092648662656</v>
      </c>
      <c r="AB172" s="54">
        <v>2.4299654030202973</v>
      </c>
      <c r="AC172" s="54">
        <v>1.2948673619124735</v>
      </c>
      <c r="AD172" s="54">
        <v>0.85916479788698952</v>
      </c>
      <c r="AE172" s="54">
        <v>1.9971256975303504</v>
      </c>
      <c r="AF172" s="54">
        <v>0.50712001787853889</v>
      </c>
      <c r="AG172" s="54">
        <v>2.4838926621996378</v>
      </c>
      <c r="AH172" s="54">
        <v>3.9489501630751347</v>
      </c>
      <c r="AI172" s="54">
        <v>0.87739015787730079</v>
      </c>
      <c r="AJ172" s="54">
        <v>2.0903418237914058</v>
      </c>
      <c r="AK172" s="54">
        <v>1.0079644864500332</v>
      </c>
      <c r="AL172" s="54">
        <v>5.4428919873412642</v>
      </c>
      <c r="AM172" s="380">
        <v>2.5894063866828727</v>
      </c>
    </row>
    <row r="173" spans="1:39" s="364" customFormat="1" x14ac:dyDescent="0.2">
      <c r="A173" s="44"/>
      <c r="B173" s="110"/>
      <c r="C173" s="98"/>
      <c r="D173" s="8"/>
      <c r="E173" s="17"/>
      <c r="F173" s="367"/>
      <c r="G173" s="367"/>
      <c r="H173" s="367"/>
      <c r="I173" s="367"/>
      <c r="J173" s="367"/>
      <c r="K173" s="367"/>
      <c r="L173" s="367"/>
      <c r="M173" s="367"/>
      <c r="N173" s="367"/>
      <c r="O173" s="367"/>
      <c r="P173" s="367"/>
      <c r="Q173" s="367"/>
      <c r="R173" s="366"/>
      <c r="S173" s="366"/>
      <c r="T173" s="366"/>
      <c r="U173" s="366"/>
      <c r="V173" s="366"/>
      <c r="W173" s="366"/>
      <c r="X173" s="366"/>
      <c r="Y173" s="366"/>
      <c r="Z173" s="366"/>
      <c r="AA173" s="366"/>
      <c r="AB173" s="366"/>
      <c r="AC173" s="366"/>
      <c r="AD173" s="366"/>
      <c r="AE173" s="366"/>
      <c r="AF173" s="366"/>
      <c r="AG173" s="366"/>
      <c r="AH173" s="366"/>
      <c r="AI173" s="366"/>
      <c r="AJ173" s="366"/>
      <c r="AK173" s="366"/>
      <c r="AL173" s="366"/>
      <c r="AM173" s="380"/>
    </row>
    <row r="174" spans="1:39" s="364" customFormat="1" x14ac:dyDescent="0.2">
      <c r="A174" s="44"/>
      <c r="B174" s="99" t="s">
        <v>925</v>
      </c>
      <c r="C174" s="98"/>
      <c r="D174" s="8"/>
      <c r="E174" s="17"/>
      <c r="F174" s="367"/>
      <c r="G174" s="367"/>
      <c r="H174" s="367"/>
      <c r="I174" s="367"/>
      <c r="J174" s="367"/>
      <c r="K174" s="367"/>
      <c r="L174" s="367"/>
      <c r="M174" s="367"/>
      <c r="N174" s="367"/>
      <c r="O174" s="367"/>
      <c r="P174" s="367"/>
      <c r="Q174" s="367"/>
      <c r="R174" s="366"/>
      <c r="S174" s="366"/>
      <c r="T174" s="366"/>
      <c r="U174" s="366"/>
      <c r="V174" s="366"/>
      <c r="W174" s="366"/>
      <c r="X174" s="366"/>
      <c r="Y174" s="366"/>
      <c r="Z174" s="366"/>
      <c r="AA174" s="366"/>
      <c r="AB174" s="366"/>
      <c r="AC174" s="366"/>
      <c r="AD174" s="366"/>
      <c r="AE174" s="366"/>
      <c r="AF174" s="366"/>
      <c r="AG174" s="366"/>
      <c r="AH174" s="366"/>
      <c r="AI174" s="366"/>
      <c r="AJ174" s="366"/>
      <c r="AK174" s="366"/>
      <c r="AL174" s="366"/>
      <c r="AM174" s="380"/>
    </row>
    <row r="175" spans="1:39" s="364" customFormat="1" x14ac:dyDescent="0.2">
      <c r="A175" s="44"/>
      <c r="B175" s="283" t="s">
        <v>86</v>
      </c>
      <c r="C175" s="98" t="s">
        <v>927</v>
      </c>
      <c r="D175" s="8"/>
      <c r="E175" s="17"/>
      <c r="F175" s="368">
        <f>hypo!BY29*pvar!F$21</f>
        <v>263907.43163531763</v>
      </c>
      <c r="G175" s="368">
        <f>hypo!BZ29*pvar!G$21</f>
        <v>196756.23441899577</v>
      </c>
      <c r="H175" s="368">
        <f>hypo!CA29*pvar!H$21</f>
        <v>228778.07848282933</v>
      </c>
      <c r="I175" s="368">
        <f>hypo!CB29*pvar!I$21</f>
        <v>673752.78899114334</v>
      </c>
      <c r="J175" s="368">
        <f>hypo!CC29*pvar!J$21</f>
        <v>259917.15751009347</v>
      </c>
      <c r="K175" s="368">
        <f>hypo!CD29*pvar!K$21</f>
        <v>154807.44359255754</v>
      </c>
      <c r="L175" s="368">
        <f>hypo!CE29*pvar!L$21</f>
        <v>61753.856574587611</v>
      </c>
      <c r="M175" s="368">
        <f>hypo!CF29*pvar!M$21</f>
        <v>366334.282875098</v>
      </c>
      <c r="N175" s="368">
        <f>hypo!CG29*pvar!N$21</f>
        <v>586426.46393383015</v>
      </c>
      <c r="O175" s="368">
        <f>hypo!CH29*pvar!O$21</f>
        <v>252492.61604816013</v>
      </c>
      <c r="P175" s="368">
        <f>hypo!CI29*pvar!P$21</f>
        <v>346306.84498237172</v>
      </c>
      <c r="Q175" s="368">
        <f>hypo!CJ29*pvar!Q$21</f>
        <v>53204.58147285063</v>
      </c>
      <c r="R175" s="368">
        <f>hypo!CK29*pvar!R$21</f>
        <v>337199.974997207</v>
      </c>
      <c r="S175" s="368">
        <f>hypo!CL29*pvar!S$21</f>
        <v>310422.55242630315</v>
      </c>
      <c r="T175" s="368">
        <f>hypo!CM29*pvar!T$21</f>
        <v>512142.2935623526</v>
      </c>
      <c r="U175" s="368">
        <f>hypo!CN29*pvar!U$21</f>
        <v>1022393.8855975353</v>
      </c>
      <c r="V175" s="368">
        <f>hypo!CO29*pvar!V$21</f>
        <v>311742.28681040497</v>
      </c>
      <c r="W175" s="368">
        <f>hypo!CP29*pvar!W$21</f>
        <v>26787.615970801056</v>
      </c>
      <c r="X175" s="368">
        <f>hypo!CQ29*pvar!X$21</f>
        <v>1981.1177705919704</v>
      </c>
      <c r="Y175" s="368">
        <f>hypo!CR29*pvar!Y$21</f>
        <v>40447.180879493666</v>
      </c>
      <c r="Z175" s="368">
        <f>hypo!CS29*pvar!Z$21</f>
        <v>24168.91878155063</v>
      </c>
      <c r="AA175" s="368">
        <f>hypo!CT29*pvar!AA$21</f>
        <v>69873.346823194093</v>
      </c>
      <c r="AB175" s="368">
        <f>hypo!CU29*pvar!AB$21</f>
        <v>14407.497693098312</v>
      </c>
      <c r="AC175" s="368">
        <f>hypo!CV29*pvar!AC$21</f>
        <v>528672.23759355512</v>
      </c>
      <c r="AD175" s="368">
        <f>hypo!CW29*pvar!AD$21</f>
        <v>11265.476773221668</v>
      </c>
      <c r="AE175" s="368">
        <f>hypo!CX29*pvar!AE$21</f>
        <v>11108.692151952717</v>
      </c>
      <c r="AF175" s="368">
        <f>hypo!CY29*pvar!AF$21</f>
        <v>3073.496764239268</v>
      </c>
      <c r="AG175" s="368">
        <f>hypo!CZ29*pvar!AG$21</f>
        <v>47140.285221102647</v>
      </c>
      <c r="AH175" s="368">
        <f>hypo!DA29*pvar!AH$21</f>
        <v>10452.392530640962</v>
      </c>
      <c r="AI175" s="368">
        <f>hypo!DB29*pvar!AI$21</f>
        <v>67151.99945041757</v>
      </c>
      <c r="AJ175" s="368">
        <f>hypo!DC29*pvar!AJ$21</f>
        <v>42532.487318214473</v>
      </c>
      <c r="AK175" s="368">
        <f>hypo!DD29*pvar!AK$21</f>
        <v>107126.43890696618</v>
      </c>
      <c r="AL175" s="368">
        <f>hypo!DE29*pvar!AL$21</f>
        <v>9462.2042944529749</v>
      </c>
      <c r="AM175" s="380"/>
    </row>
    <row r="176" spans="1:39" s="364" customFormat="1" x14ac:dyDescent="0.2">
      <c r="A176" s="44"/>
      <c r="B176" s="283" t="s">
        <v>88</v>
      </c>
      <c r="C176" s="98" t="s">
        <v>927</v>
      </c>
      <c r="D176" s="8"/>
      <c r="E176" s="17"/>
      <c r="F176" s="368">
        <f>hypo!BY30*pvar!F$21</f>
        <v>581.57892201618381</v>
      </c>
      <c r="G176" s="368">
        <f>hypo!BZ30*pvar!G$21</f>
        <v>58.625351930499349</v>
      </c>
      <c r="H176" s="368">
        <f>hypo!CA30*pvar!H$21</f>
        <v>2182.2859707059806</v>
      </c>
      <c r="I176" s="368">
        <f>hypo!CB30*pvar!I$21</f>
        <v>528.18213872747208</v>
      </c>
      <c r="J176" s="368">
        <f>hypo!CC30*pvar!J$21</f>
        <v>343.01789131763718</v>
      </c>
      <c r="K176" s="368">
        <f>hypo!CD30*pvar!K$21</f>
        <v>46.954792074499849</v>
      </c>
      <c r="L176" s="368">
        <f>hypo!CE30*pvar!L$21</f>
        <v>10.939319921973562</v>
      </c>
      <c r="M176" s="368">
        <f>hypo!CF30*pvar!M$21</f>
        <v>130.47178322723428</v>
      </c>
      <c r="N176" s="368">
        <f>hypo!CG30*pvar!N$21</f>
        <v>453.74849724490986</v>
      </c>
      <c r="O176" s="368">
        <f>hypo!CH30*pvar!O$21</f>
        <v>1085.1750058277851</v>
      </c>
      <c r="P176" s="368">
        <f>hypo!CI30*pvar!P$21</f>
        <v>1100.1663475090641</v>
      </c>
      <c r="Q176" s="368">
        <f>hypo!CJ30*pvar!Q$21</f>
        <v>110.56891231040188</v>
      </c>
      <c r="R176" s="368">
        <f>hypo!CK30*pvar!R$21</f>
        <v>320.66891568229136</v>
      </c>
      <c r="S176" s="368">
        <f>hypo!CL30*pvar!S$21</f>
        <v>438.63721756926913</v>
      </c>
      <c r="T176" s="368">
        <f>hypo!CM30*pvar!T$21</f>
        <v>1310.3232546629324</v>
      </c>
      <c r="U176" s="368">
        <f>hypo!CN30*pvar!U$21</f>
        <v>5200.5893578643208</v>
      </c>
      <c r="V176" s="368">
        <f>hypo!CO30*pvar!V$21</f>
        <v>5646.4920944999421</v>
      </c>
      <c r="W176" s="368">
        <f>hypo!CP30*pvar!W$21</f>
        <v>664.67313876465255</v>
      </c>
      <c r="X176" s="368">
        <f>hypo!CQ30*pvar!X$21</f>
        <v>29.518183565182046</v>
      </c>
      <c r="Y176" s="368">
        <f>hypo!CR30*pvar!Y$21</f>
        <v>380.10029779756155</v>
      </c>
      <c r="Z176" s="368">
        <f>hypo!CS30*pvar!Z$21</f>
        <v>285.21081870557435</v>
      </c>
      <c r="AA176" s="368">
        <f>hypo!CT30*pvar!AA$21</f>
        <v>954.79516591308231</v>
      </c>
      <c r="AB176" s="368">
        <f>hypo!CU30*pvar!AB$21</f>
        <v>1482.4113973643241</v>
      </c>
      <c r="AC176" s="368">
        <f>hypo!CV30*pvar!AC$21</f>
        <v>313.6752288931055</v>
      </c>
      <c r="AD176" s="368">
        <f>hypo!CW30*pvar!AD$21</f>
        <v>84.081098492385365</v>
      </c>
      <c r="AE176" s="368">
        <f>hypo!CX30*pvar!AE$21</f>
        <v>28.877941097467431</v>
      </c>
      <c r="AF176" s="368">
        <f>hypo!CY30*pvar!AF$21</f>
        <v>70.445686771290852</v>
      </c>
      <c r="AG176" s="368">
        <f>hypo!CZ30*pvar!AG$21</f>
        <v>182.12641753476348</v>
      </c>
      <c r="AH176" s="368">
        <f>hypo!DA30*pvar!AH$21</f>
        <v>1125.2470174761818</v>
      </c>
      <c r="AI176" s="368">
        <f>hypo!DB30*pvar!AI$21</f>
        <v>191.12185662546997</v>
      </c>
      <c r="AJ176" s="368">
        <f>hypo!DC30*pvar!AJ$21</f>
        <v>61.432599062563568</v>
      </c>
      <c r="AK176" s="368">
        <f>hypo!DD30*pvar!AK$21</f>
        <v>39.267523512579189</v>
      </c>
      <c r="AL176" s="368">
        <f>hypo!DE30*pvar!AL$21</f>
        <v>1252.3940192033781</v>
      </c>
      <c r="AM176" s="380"/>
    </row>
    <row r="177" spans="1:39" s="364" customFormat="1" x14ac:dyDescent="0.2">
      <c r="A177" s="44"/>
      <c r="B177" s="283" t="s">
        <v>89</v>
      </c>
      <c r="C177" s="98" t="s">
        <v>927</v>
      </c>
      <c r="D177" s="8"/>
      <c r="E177" s="17"/>
      <c r="F177" s="368">
        <f>hypo!BY31*pvar!F$21</f>
        <v>75214.89151271974</v>
      </c>
      <c r="G177" s="368">
        <f>hypo!BZ31*pvar!G$21</f>
        <v>35311.924200114321</v>
      </c>
      <c r="H177" s="368">
        <f>hypo!CA31*pvar!H$21</f>
        <v>61052.805791331695</v>
      </c>
      <c r="I177" s="368">
        <f>hypo!CB31*pvar!I$21</f>
        <v>112737.21724453673</v>
      </c>
      <c r="J177" s="368">
        <f>hypo!CC31*pvar!J$21</f>
        <v>43574.167251510342</v>
      </c>
      <c r="K177" s="368">
        <f>hypo!CD31*pvar!K$21</f>
        <v>33336.890203349649</v>
      </c>
      <c r="L177" s="368">
        <f>hypo!CE31*pvar!L$21</f>
        <v>7799.4143527027718</v>
      </c>
      <c r="M177" s="368">
        <f>hypo!CF31*pvar!M$21</f>
        <v>70083.089280352142</v>
      </c>
      <c r="N177" s="368">
        <f>hypo!CG31*pvar!N$21</f>
        <v>311350.96462121693</v>
      </c>
      <c r="O177" s="368">
        <f>hypo!CH31*pvar!O$21</f>
        <v>163876.8036319887</v>
      </c>
      <c r="P177" s="368">
        <f>hypo!CI31*pvar!P$21</f>
        <v>201975.27595796174</v>
      </c>
      <c r="Q177" s="368">
        <f>hypo!CJ31*pvar!Q$21</f>
        <v>4756.2898338673294</v>
      </c>
      <c r="R177" s="368">
        <f>hypo!CK31*pvar!R$21</f>
        <v>67586.831418245711</v>
      </c>
      <c r="S177" s="368">
        <f>hypo!CL31*pvar!S$21</f>
        <v>53713.664365599769</v>
      </c>
      <c r="T177" s="368">
        <f>hypo!CM31*pvar!T$21</f>
        <v>61036.693328761976</v>
      </c>
      <c r="U177" s="368">
        <f>hypo!CN31*pvar!U$21</f>
        <v>281763.16144210508</v>
      </c>
      <c r="V177" s="368">
        <f>hypo!CO31*pvar!V$21</f>
        <v>97847.047159749345</v>
      </c>
      <c r="W177" s="368">
        <f>hypo!CP31*pvar!W$21</f>
        <v>12175.837421143086</v>
      </c>
      <c r="X177" s="368">
        <f>hypo!CQ31*pvar!X$21</f>
        <v>1015.1508825354372</v>
      </c>
      <c r="Y177" s="368">
        <f>hypo!CR31*pvar!Y$21</f>
        <v>9975.3195839550226</v>
      </c>
      <c r="Z177" s="368">
        <f>hypo!CS31*pvar!Z$21</f>
        <v>8157.6662444048998</v>
      </c>
      <c r="AA177" s="368">
        <f>hypo!CT31*pvar!AA$21</f>
        <v>19797.828780643344</v>
      </c>
      <c r="AB177" s="368">
        <f>hypo!CU31*pvar!AB$21</f>
        <v>26991.818627424378</v>
      </c>
      <c r="AC177" s="368">
        <f>hypo!CV31*pvar!AC$21</f>
        <v>64913.31989518708</v>
      </c>
      <c r="AD177" s="368">
        <f>hypo!CW31*pvar!AD$21</f>
        <v>1732.0358436187032</v>
      </c>
      <c r="AE177" s="368">
        <f>hypo!CX31*pvar!AE$21</f>
        <v>2273.4420626965125</v>
      </c>
      <c r="AF177" s="368">
        <f>hypo!CY31*pvar!AF$21</f>
        <v>522.61117139439864</v>
      </c>
      <c r="AG177" s="368">
        <f>hypo!CZ31*pvar!AG$21</f>
        <v>18301.585695435399</v>
      </c>
      <c r="AH177" s="368">
        <f>hypo!DA31*pvar!AH$21</f>
        <v>2849.5448845689257</v>
      </c>
      <c r="AI177" s="368">
        <f>hypo!DB31*pvar!AI$21</f>
        <v>3377.5892424226117</v>
      </c>
      <c r="AJ177" s="368">
        <f>hypo!DC31*pvar!AJ$21</f>
        <v>1762.4490656165469</v>
      </c>
      <c r="AK177" s="368">
        <f>hypo!DD31*pvar!AK$21</f>
        <v>6836.5675900903007</v>
      </c>
      <c r="AL177" s="368">
        <f>hypo!DE31*pvar!AL$21</f>
        <v>682.7693251108758</v>
      </c>
      <c r="AM177" s="380"/>
    </row>
    <row r="178" spans="1:39" s="364" customFormat="1" x14ac:dyDescent="0.2">
      <c r="A178" s="44"/>
      <c r="B178" s="283" t="s">
        <v>90</v>
      </c>
      <c r="C178" s="98" t="s">
        <v>927</v>
      </c>
      <c r="D178" s="8"/>
      <c r="E178" s="17"/>
      <c r="F178" s="368">
        <f>hypo!BY32*pvar!F$21</f>
        <v>2838.9302662711193</v>
      </c>
      <c r="G178" s="368">
        <f>hypo!BZ32*pvar!G$21</f>
        <v>1005.6043318587365</v>
      </c>
      <c r="H178" s="368">
        <f>hypo!CA32*pvar!H$21</f>
        <v>1150.4754573123937</v>
      </c>
      <c r="I178" s="368">
        <f>hypo!CB32*pvar!I$21</f>
        <v>3561.5892045650066</v>
      </c>
      <c r="J178" s="368">
        <f>hypo!CC32*pvar!J$21</f>
        <v>8265.5268771059109</v>
      </c>
      <c r="K178" s="368">
        <f>hypo!CD32*pvar!K$21</f>
        <v>935.87799516190137</v>
      </c>
      <c r="L178" s="368">
        <f>hypo!CE32*pvar!L$21</f>
        <v>641.4824568790699</v>
      </c>
      <c r="M178" s="368">
        <f>hypo!CF32*pvar!M$21</f>
        <v>2892.1761678323105</v>
      </c>
      <c r="N178" s="368">
        <f>hypo!CG32*pvar!N$21</f>
        <v>5165.5433495288207</v>
      </c>
      <c r="O178" s="368">
        <f>hypo!CH32*pvar!O$21</f>
        <v>4617.1037984268778</v>
      </c>
      <c r="P178" s="368">
        <f>hypo!CI32*pvar!P$21</f>
        <v>4645.5558943403967</v>
      </c>
      <c r="Q178" s="368">
        <f>hypo!CJ32*pvar!Q$21</f>
        <v>499.41919383134524</v>
      </c>
      <c r="R178" s="368">
        <f>hypo!CK32*pvar!R$21</f>
        <v>9659.7002511997052</v>
      </c>
      <c r="S178" s="368">
        <f>hypo!CL32*pvar!S$21</f>
        <v>2196.0118819863387</v>
      </c>
      <c r="T178" s="368">
        <f>hypo!CM32*pvar!T$21</f>
        <v>7165.7647033533203</v>
      </c>
      <c r="U178" s="368">
        <f>hypo!CN32*pvar!U$21</f>
        <v>11501.168472601823</v>
      </c>
      <c r="V178" s="368">
        <f>hypo!CO32*pvar!V$21</f>
        <v>9037.9866333221071</v>
      </c>
      <c r="W178" s="368">
        <f>hypo!CP32*pvar!W$21</f>
        <v>664.60200710575168</v>
      </c>
      <c r="X178" s="368">
        <f>hypo!CQ32*pvar!X$21</f>
        <v>34.561687776981366</v>
      </c>
      <c r="Y178" s="368">
        <f>hypo!CR32*pvar!Y$21</f>
        <v>764.52937074134775</v>
      </c>
      <c r="Z178" s="368">
        <f>hypo!CS32*pvar!Z$21</f>
        <v>1158.5904263670486</v>
      </c>
      <c r="AA178" s="368">
        <f>hypo!CT32*pvar!AA$21</f>
        <v>1074.8946844864026</v>
      </c>
      <c r="AB178" s="368">
        <f>hypo!CU32*pvar!AB$21</f>
        <v>2006.7823910586953</v>
      </c>
      <c r="AC178" s="368">
        <f>hypo!CV32*pvar!AC$21</f>
        <v>4766.0782914754564</v>
      </c>
      <c r="AD178" s="368">
        <f>hypo!CW32*pvar!AD$21</f>
        <v>441.13302825081365</v>
      </c>
      <c r="AE178" s="368">
        <f>hypo!CX32*pvar!AE$21</f>
        <v>225.51107898868599</v>
      </c>
      <c r="AF178" s="368">
        <f>hypo!CY32*pvar!AF$21</f>
        <v>108.45758749910593</v>
      </c>
      <c r="AG178" s="368">
        <f>hypo!CZ32*pvar!AG$21</f>
        <v>1842.3569697482033</v>
      </c>
      <c r="AH178" s="368">
        <f>hypo!DA32*pvar!AH$21</f>
        <v>536.59279730504306</v>
      </c>
      <c r="AI178" s="368">
        <f>hypo!DB32*pvar!AI$21</f>
        <v>249.8360710336118</v>
      </c>
      <c r="AJ178" s="368">
        <f>hypo!DC32*pvar!AJ$21</f>
        <v>209.63308042610097</v>
      </c>
      <c r="AK178" s="368">
        <f>hypo!DD32*pvar!AK$21</f>
        <v>683.82123555186524</v>
      </c>
      <c r="AL178" s="368">
        <f>hypo!DE32*pvar!AL$21</f>
        <v>1110.5705430634637</v>
      </c>
      <c r="AM178" s="380"/>
    </row>
    <row r="179" spans="1:39" s="364" customFormat="1" x14ac:dyDescent="0.2">
      <c r="A179" s="44"/>
      <c r="B179" s="110" t="s">
        <v>91</v>
      </c>
      <c r="C179" s="98" t="s">
        <v>927</v>
      </c>
      <c r="D179" s="8"/>
      <c r="E179" s="17"/>
      <c r="F179" s="368">
        <f>hypo!BY33*pvar!F$21</f>
        <v>45254.612152439659</v>
      </c>
      <c r="G179" s="368">
        <f>hypo!BZ33*pvar!G$21</f>
        <v>7579.6443237199874</v>
      </c>
      <c r="H179" s="368">
        <f>hypo!CA33*pvar!H$21</f>
        <v>28306.41546005266</v>
      </c>
      <c r="I179" s="368">
        <f>hypo!CB33*pvar!I$21</f>
        <v>50286.696538810669</v>
      </c>
      <c r="J179" s="368">
        <f>hypo!CC33*pvar!J$21</f>
        <v>14298.078769472762</v>
      </c>
      <c r="K179" s="368">
        <f>hypo!CD33*pvar!K$21</f>
        <v>4640.1269989953516</v>
      </c>
      <c r="L179" s="368">
        <f>hypo!CE33*pvar!L$21</f>
        <v>11651.636623923156</v>
      </c>
      <c r="M179" s="368">
        <f>hypo!CF33*pvar!M$21</f>
        <v>25868.479124997291</v>
      </c>
      <c r="N179" s="368">
        <f>hypo!CG33*pvar!N$21</f>
        <v>62571.157939520359</v>
      </c>
      <c r="O179" s="368">
        <f>hypo!CH33*pvar!O$21</f>
        <v>25128.672860163952</v>
      </c>
      <c r="P179" s="368">
        <f>hypo!CI33*pvar!P$21</f>
        <v>41869.031885118216</v>
      </c>
      <c r="Q179" s="368">
        <f>hypo!CJ33*pvar!Q$21</f>
        <v>196344.32338137587</v>
      </c>
      <c r="R179" s="368">
        <f>hypo!CK33*pvar!R$21</f>
        <v>145812.58333902308</v>
      </c>
      <c r="S179" s="368">
        <f>hypo!CL33*pvar!S$21</f>
        <v>185106.67788269746</v>
      </c>
      <c r="T179" s="368">
        <f>hypo!CM33*pvar!T$21</f>
        <v>141468.36387879399</v>
      </c>
      <c r="U179" s="368">
        <f>hypo!CN33*pvar!U$21</f>
        <v>237707.67839437586</v>
      </c>
      <c r="V179" s="368">
        <f>hypo!CO33*pvar!V$21</f>
        <v>125878.65297580356</v>
      </c>
      <c r="W179" s="368">
        <f>hypo!CP33*pvar!W$21</f>
        <v>17959.690329376626</v>
      </c>
      <c r="X179" s="368">
        <f>hypo!CQ33*pvar!X$21</f>
        <v>4005.5441271946893</v>
      </c>
      <c r="Y179" s="368">
        <f>hypo!CR33*pvar!Y$21</f>
        <v>64430.358909336232</v>
      </c>
      <c r="Z179" s="368">
        <f>hypo!CS33*pvar!Z$21</f>
        <v>5473.0462136104443</v>
      </c>
      <c r="AA179" s="368">
        <f>hypo!CT33*pvar!AA$21</f>
        <v>78704.059749257402</v>
      </c>
      <c r="AB179" s="368">
        <f>hypo!CU33*pvar!AB$21</f>
        <v>1804.7910325586836</v>
      </c>
      <c r="AC179" s="368">
        <f>hypo!CV33*pvar!AC$21</f>
        <v>280476.9049198993</v>
      </c>
      <c r="AD179" s="368">
        <f>hypo!CW33*pvar!AD$21</f>
        <v>79615.47328776565</v>
      </c>
      <c r="AE179" s="368">
        <f>hypo!CX33*pvar!AE$21</f>
        <v>182858.04385459778</v>
      </c>
      <c r="AF179" s="368">
        <f>hypo!CY33*pvar!AF$21</f>
        <v>171407.71747388309</v>
      </c>
      <c r="AG179" s="368">
        <f>hypo!CZ33*pvar!AG$21</f>
        <v>53711.119404439734</v>
      </c>
      <c r="AH179" s="368">
        <f>hypo!DA33*pvar!AH$21</f>
        <v>4218.6358402967735</v>
      </c>
      <c r="AI179" s="368">
        <f>hypo!DB33*pvar!AI$21</f>
        <v>8268.2941445483993</v>
      </c>
      <c r="AJ179" s="368">
        <f>hypo!DC33*pvar!AJ$21</f>
        <v>7299.2091828212051</v>
      </c>
      <c r="AK179" s="368">
        <f>hypo!DD33*pvar!AK$21</f>
        <v>4001.2422094760263</v>
      </c>
      <c r="AL179" s="368">
        <f>hypo!DE33*pvar!AL$21</f>
        <v>1329.0313924301088</v>
      </c>
      <c r="AM179" s="380"/>
    </row>
    <row r="180" spans="1:39" s="364" customFormat="1" x14ac:dyDescent="0.2">
      <c r="A180" s="44"/>
      <c r="B180" s="110" t="s">
        <v>926</v>
      </c>
      <c r="C180" s="98" t="s">
        <v>927</v>
      </c>
      <c r="D180" s="8"/>
      <c r="E180" s="17"/>
      <c r="F180" s="368">
        <f>hypo!BY34*pvar!F$21</f>
        <v>0</v>
      </c>
      <c r="G180" s="368">
        <f>hypo!BZ34*pvar!G$21</f>
        <v>0</v>
      </c>
      <c r="H180" s="368">
        <f>hypo!CA34*pvar!H$21</f>
        <v>0</v>
      </c>
      <c r="I180" s="368">
        <f>hypo!CB34*pvar!I$21</f>
        <v>0</v>
      </c>
      <c r="J180" s="368">
        <f>hypo!CC34*pvar!J$21</f>
        <v>0</v>
      </c>
      <c r="K180" s="368">
        <f>hypo!CD34*pvar!K$21</f>
        <v>0</v>
      </c>
      <c r="L180" s="368">
        <f>hypo!CE34*pvar!L$21</f>
        <v>0</v>
      </c>
      <c r="M180" s="368">
        <f>hypo!CF34*pvar!M$21</f>
        <v>0</v>
      </c>
      <c r="N180" s="368">
        <f>hypo!CG34*pvar!N$21</f>
        <v>0</v>
      </c>
      <c r="O180" s="368">
        <f>hypo!CH34*pvar!O$21</f>
        <v>0</v>
      </c>
      <c r="P180" s="368">
        <f>hypo!CI34*pvar!P$21</f>
        <v>0</v>
      </c>
      <c r="Q180" s="368">
        <f>hypo!CJ34*pvar!Q$21</f>
        <v>0</v>
      </c>
      <c r="R180" s="368">
        <f>hypo!CK34*pvar!R$21</f>
        <v>0</v>
      </c>
      <c r="S180" s="368">
        <f>hypo!CL34*pvar!S$21</f>
        <v>0</v>
      </c>
      <c r="T180" s="368">
        <f>hypo!CM34*pvar!T$21</f>
        <v>0</v>
      </c>
      <c r="U180" s="368">
        <f>hypo!CN34*pvar!U$21</f>
        <v>0</v>
      </c>
      <c r="V180" s="368">
        <f>hypo!CO34*pvar!V$21</f>
        <v>0</v>
      </c>
      <c r="W180" s="368">
        <f>hypo!CP34*pvar!W$21</f>
        <v>0</v>
      </c>
      <c r="X180" s="368">
        <f>hypo!CQ34*pvar!X$21</f>
        <v>0</v>
      </c>
      <c r="Y180" s="368">
        <f>hypo!CR34*pvar!Y$21</f>
        <v>0</v>
      </c>
      <c r="Z180" s="368">
        <f>hypo!CS34*pvar!Z$21</f>
        <v>0</v>
      </c>
      <c r="AA180" s="368">
        <f>hypo!CT34*pvar!AA$21</f>
        <v>0</v>
      </c>
      <c r="AB180" s="368">
        <f>hypo!CU34*pvar!AB$21</f>
        <v>0</v>
      </c>
      <c r="AC180" s="368">
        <f>hypo!CV34*pvar!AC$21</f>
        <v>136.80867370160075</v>
      </c>
      <c r="AD180" s="368">
        <f>hypo!CW34*pvar!AD$21</f>
        <v>0</v>
      </c>
      <c r="AE180" s="368">
        <f>hypo!CX34*pvar!AE$21</f>
        <v>0</v>
      </c>
      <c r="AF180" s="368">
        <f>hypo!CY34*pvar!AF$21</f>
        <v>0</v>
      </c>
      <c r="AG180" s="368">
        <f>hypo!CZ34*pvar!AG$21</f>
        <v>0</v>
      </c>
      <c r="AH180" s="368">
        <f>hypo!DA34*pvar!AH$21</f>
        <v>0</v>
      </c>
      <c r="AI180" s="368">
        <f>hypo!DB34*pvar!AI$21</f>
        <v>23043.317846437018</v>
      </c>
      <c r="AJ180" s="368">
        <f>hypo!DC34*pvar!AJ$21</f>
        <v>33541.317417219696</v>
      </c>
      <c r="AK180" s="368">
        <f>hypo!DD34*pvar!AK$21</f>
        <v>8883.9815727400546</v>
      </c>
      <c r="AL180" s="368">
        <f>hypo!DE34*pvar!AL$21</f>
        <v>0</v>
      </c>
      <c r="AM180" s="380"/>
    </row>
    <row r="181" spans="1:39" s="364" customFormat="1" x14ac:dyDescent="0.2">
      <c r="A181" s="44"/>
      <c r="B181" s="110" t="s">
        <v>93</v>
      </c>
      <c r="C181" s="98" t="s">
        <v>927</v>
      </c>
      <c r="D181" s="8"/>
      <c r="E181" s="17"/>
      <c r="F181" s="368">
        <f>hypo!BY35*pvar!F$21</f>
        <v>1652.8690011629697</v>
      </c>
      <c r="G181" s="368">
        <f>hypo!BZ35*pvar!G$21</f>
        <v>694.03543745170248</v>
      </c>
      <c r="H181" s="368">
        <f>hypo!CA35*pvar!H$21</f>
        <v>1411.0862697050909</v>
      </c>
      <c r="I181" s="368">
        <f>hypo!CB35*pvar!I$21</f>
        <v>1785.3430180510406</v>
      </c>
      <c r="J181" s="368">
        <f>hypo!CC35*pvar!J$21</f>
        <v>8616.0284165356516</v>
      </c>
      <c r="K181" s="368">
        <f>hypo!CD35*pvar!K$21</f>
        <v>1122.4789130532552</v>
      </c>
      <c r="L181" s="368">
        <f>hypo!CE35*pvar!L$21</f>
        <v>3364.0860438460304</v>
      </c>
      <c r="M181" s="368">
        <f>hypo!CF35*pvar!M$21</f>
        <v>2255.1249499409087</v>
      </c>
      <c r="N181" s="368">
        <f>hypo!CG35*pvar!N$21</f>
        <v>5050.5665031705403</v>
      </c>
      <c r="O181" s="368">
        <f>hypo!CH35*pvar!O$21</f>
        <v>10254.437979013819</v>
      </c>
      <c r="P181" s="368">
        <f>hypo!CI35*pvar!P$21</f>
        <v>15983.215819312163</v>
      </c>
      <c r="Q181" s="368">
        <f>hypo!CJ35*pvar!Q$21</f>
        <v>2145.1670572935986</v>
      </c>
      <c r="R181" s="368">
        <f>hypo!CK35*pvar!R$21</f>
        <v>52033.818192675397</v>
      </c>
      <c r="S181" s="368">
        <f>hypo!CL35*pvar!S$21</f>
        <v>17310.966773088134</v>
      </c>
      <c r="T181" s="368">
        <f>hypo!CM35*pvar!T$21</f>
        <v>56155.825723047659</v>
      </c>
      <c r="U181" s="368">
        <f>hypo!CN35*pvar!U$21</f>
        <v>51223.779911111407</v>
      </c>
      <c r="V181" s="368">
        <f>hypo!CO35*pvar!V$21</f>
        <v>93905.104795822976</v>
      </c>
      <c r="W181" s="368">
        <f>hypo!CP35*pvar!W$21</f>
        <v>3711.8062713790191</v>
      </c>
      <c r="X181" s="368">
        <f>hypo!CQ35*pvar!X$21</f>
        <v>518.23351629602382</v>
      </c>
      <c r="Y181" s="368">
        <f>hypo!CR35*pvar!Y$21</f>
        <v>6040.4363034350072</v>
      </c>
      <c r="Z181" s="368">
        <f>hypo!CS35*pvar!Z$21</f>
        <v>4365.3650781278084</v>
      </c>
      <c r="AA181" s="368">
        <f>hypo!CT35*pvar!AA$21</f>
        <v>12750.01676462244</v>
      </c>
      <c r="AB181" s="368">
        <f>hypo!CU35*pvar!AB$21</f>
        <v>23376.681143782556</v>
      </c>
      <c r="AC181" s="368">
        <f>hypo!CV35*pvar!AC$21</f>
        <v>53936.893825804524</v>
      </c>
      <c r="AD181" s="368">
        <f>hypo!CW35*pvar!AD$21</f>
        <v>2120.9335120189949</v>
      </c>
      <c r="AE181" s="368">
        <f>hypo!CX35*pvar!AE$21</f>
        <v>5249.8097519127614</v>
      </c>
      <c r="AF181" s="368">
        <f>hypo!CY35*pvar!AF$21</f>
        <v>1758.491425101802</v>
      </c>
      <c r="AG181" s="368">
        <f>hypo!CZ35*pvar!AG$21</f>
        <v>18197.221075578524</v>
      </c>
      <c r="AH181" s="368">
        <f>hypo!DA35*pvar!AH$21</f>
        <v>12776.061642094261</v>
      </c>
      <c r="AI181" s="368">
        <f>hypo!DB35*pvar!AI$21</f>
        <v>3142.0105380305727</v>
      </c>
      <c r="AJ181" s="368">
        <f>hypo!DC35*pvar!AJ$21</f>
        <v>2981.1101726334646</v>
      </c>
      <c r="AK181" s="368">
        <f>hypo!DD35*pvar!AK$21</f>
        <v>5442.5294279610098</v>
      </c>
      <c r="AL181" s="368">
        <f>hypo!DE35*pvar!AL$21</f>
        <v>2886.347152067744</v>
      </c>
      <c r="AM181" s="380"/>
    </row>
    <row r="182" spans="1:39" s="364" customFormat="1" x14ac:dyDescent="0.2">
      <c r="A182" s="44"/>
      <c r="B182" s="110" t="s">
        <v>94</v>
      </c>
      <c r="C182" s="98" t="s">
        <v>927</v>
      </c>
      <c r="D182" s="8"/>
      <c r="E182" s="17"/>
      <c r="F182" s="368">
        <f>hypo!BY36*pvar!F$21</f>
        <v>4498.5713840166882</v>
      </c>
      <c r="G182" s="368">
        <f>hypo!BZ36*pvar!G$21</f>
        <v>10048.942059592764</v>
      </c>
      <c r="H182" s="368">
        <f>hypo!CA36*pvar!H$21</f>
        <v>3960.7760291364293</v>
      </c>
      <c r="I182" s="368">
        <f>hypo!CB36*pvar!I$21</f>
        <v>34723.964779681541</v>
      </c>
      <c r="J182" s="368">
        <f>hypo!CC36*pvar!J$21</f>
        <v>46357.662353785709</v>
      </c>
      <c r="K182" s="368">
        <f>hypo!CD36*pvar!K$21</f>
        <v>17648.570279270742</v>
      </c>
      <c r="L182" s="368">
        <f>hypo!CE36*pvar!L$21</f>
        <v>11905.603494626846</v>
      </c>
      <c r="M182" s="368">
        <f>hypo!CF36*pvar!M$21</f>
        <v>37285.595290500401</v>
      </c>
      <c r="N182" s="368">
        <f>hypo!CG36*pvar!N$21</f>
        <v>42810.739958951483</v>
      </c>
      <c r="O182" s="368">
        <f>hypo!CH36*pvar!O$21</f>
        <v>41027.195336969431</v>
      </c>
      <c r="P182" s="368">
        <f>hypo!CI36*pvar!P$21</f>
        <v>60607.102500434223</v>
      </c>
      <c r="Q182" s="368">
        <f>hypo!CJ36*pvar!Q$21</f>
        <v>5322.5260357547786</v>
      </c>
      <c r="R182" s="368">
        <f>hypo!CK36*pvar!R$21</f>
        <v>87593.977884176449</v>
      </c>
      <c r="S182" s="368">
        <f>hypo!CL36*pvar!S$21</f>
        <v>46016.279729961207</v>
      </c>
      <c r="T182" s="368">
        <f>hypo!CM36*pvar!T$21</f>
        <v>92990.259934792746</v>
      </c>
      <c r="U182" s="368">
        <f>hypo!CN36*pvar!U$21</f>
        <v>74501.044287738099</v>
      </c>
      <c r="V182" s="368">
        <f>hypo!CO36*pvar!V$21</f>
        <v>70653.43708315806</v>
      </c>
      <c r="W182" s="368">
        <f>hypo!CP36*pvar!W$21</f>
        <v>6894.923177327878</v>
      </c>
      <c r="X182" s="368">
        <f>hypo!CQ36*pvar!X$21</f>
        <v>777.57138666545961</v>
      </c>
      <c r="Y182" s="368">
        <f>hypo!CR36*pvar!Y$21</f>
        <v>7565.9981848416965</v>
      </c>
      <c r="Z182" s="368">
        <f>hypo!CS36*pvar!Z$21</f>
        <v>4333.1664634916751</v>
      </c>
      <c r="AA182" s="368">
        <f>hypo!CT36*pvar!AA$21</f>
        <v>12061.885325454899</v>
      </c>
      <c r="AB182" s="368">
        <f>hypo!CU36*pvar!AB$21</f>
        <v>14927.035754141614</v>
      </c>
      <c r="AC182" s="368">
        <f>hypo!CV36*pvar!AC$21</f>
        <v>40244.984695940031</v>
      </c>
      <c r="AD182" s="368">
        <f>hypo!CW36*pvar!AD$21</f>
        <v>1823.1942874219437</v>
      </c>
      <c r="AE182" s="368">
        <f>hypo!CX36*pvar!AE$21</f>
        <v>3024.0431091249393</v>
      </c>
      <c r="AF182" s="368">
        <f>hypo!CY36*pvar!AF$21</f>
        <v>853.08885404008925</v>
      </c>
      <c r="AG182" s="368">
        <f>hypo!CZ36*pvar!AG$21</f>
        <v>11608.121606674273</v>
      </c>
      <c r="AH182" s="368">
        <f>hypo!DA36*pvar!AH$21</f>
        <v>5519.4490699528878</v>
      </c>
      <c r="AI182" s="368">
        <f>hypo!DB36*pvar!AI$21</f>
        <v>1773.4180386744047</v>
      </c>
      <c r="AJ182" s="368">
        <f>hypo!DC36*pvar!AJ$21</f>
        <v>2361.1823081080188</v>
      </c>
      <c r="AK182" s="368">
        <f>hypo!DD36*pvar!AK$21</f>
        <v>6131.8676546495444</v>
      </c>
      <c r="AL182" s="368">
        <f>hypo!DE36*pvar!AL$21</f>
        <v>2646.2061598453047</v>
      </c>
      <c r="AM182" s="380"/>
    </row>
    <row r="183" spans="1:39" s="364" customFormat="1" x14ac:dyDescent="0.2">
      <c r="A183" s="44"/>
      <c r="B183" s="110" t="s">
        <v>95</v>
      </c>
      <c r="C183" s="98" t="s">
        <v>927</v>
      </c>
      <c r="D183" s="8"/>
      <c r="E183" s="17"/>
      <c r="F183" s="368">
        <f>hypo!BY37*pvar!F$21</f>
        <v>65913.576825087963</v>
      </c>
      <c r="G183" s="368">
        <f>hypo!BZ37*pvar!G$21</f>
        <v>71848.534466028519</v>
      </c>
      <c r="H183" s="368">
        <f>hypo!CA37*pvar!H$21</f>
        <v>83685.723748663499</v>
      </c>
      <c r="I183" s="368">
        <f>hypo!CB37*pvar!I$21</f>
        <v>92406.284909683818</v>
      </c>
      <c r="J183" s="368">
        <f>hypo!CC37*pvar!J$21</f>
        <v>45170.592084527932</v>
      </c>
      <c r="K183" s="368">
        <f>hypo!CD37*pvar!K$21</f>
        <v>23099.952599506789</v>
      </c>
      <c r="L183" s="368">
        <f>hypo!CE37*pvar!L$21</f>
        <v>11206.601785123954</v>
      </c>
      <c r="M183" s="368">
        <f>hypo!CF37*pvar!M$21</f>
        <v>58755.112678166952</v>
      </c>
      <c r="N183" s="368">
        <f>hypo!CG37*pvar!N$21</f>
        <v>187181.28488465762</v>
      </c>
      <c r="O183" s="368">
        <f>hypo!CH37*pvar!O$21</f>
        <v>148683.55949088454</v>
      </c>
      <c r="P183" s="368">
        <f>hypo!CI37*pvar!P$21</f>
        <v>150485.93314667183</v>
      </c>
      <c r="Q183" s="368">
        <f>hypo!CJ37*pvar!Q$21</f>
        <v>10064.545023409812</v>
      </c>
      <c r="R183" s="368">
        <f>hypo!CK37*pvar!R$21</f>
        <v>32358.588223438375</v>
      </c>
      <c r="S183" s="368">
        <f>hypo!CL37*pvar!S$21</f>
        <v>45254.508985778484</v>
      </c>
      <c r="T183" s="368">
        <f>hypo!CM37*pvar!T$21</f>
        <v>114773.36197389527</v>
      </c>
      <c r="U183" s="368">
        <f>hypo!CN37*pvar!U$21</f>
        <v>276590.95538457646</v>
      </c>
      <c r="V183" s="368">
        <f>hypo!CO37*pvar!V$21</f>
        <v>60139.812718557143</v>
      </c>
      <c r="W183" s="368">
        <f>hypo!CP37*pvar!W$21</f>
        <v>5774.3264210942898</v>
      </c>
      <c r="X183" s="368">
        <f>hypo!CQ37*pvar!X$21</f>
        <v>655.00228851560496</v>
      </c>
      <c r="Y183" s="368">
        <f>hypo!CR37*pvar!Y$21</f>
        <v>5680.7956998491754</v>
      </c>
      <c r="Z183" s="368">
        <f>hypo!CS37*pvar!Z$21</f>
        <v>4217.483388732353</v>
      </c>
      <c r="AA183" s="368">
        <f>hypo!CT37*pvar!AA$21</f>
        <v>7781.090386124155</v>
      </c>
      <c r="AB183" s="368">
        <f>hypo!CU37*pvar!AB$21</f>
        <v>9855.1532585496825</v>
      </c>
      <c r="AC183" s="368">
        <f>hypo!CV37*pvar!AC$21</f>
        <v>44140.746826677008</v>
      </c>
      <c r="AD183" s="368">
        <f>hypo!CW37*pvar!AD$21</f>
        <v>1505.4535012745459</v>
      </c>
      <c r="AE183" s="368">
        <f>hypo!CX37*pvar!AE$21</f>
        <v>1587.5523833804491</v>
      </c>
      <c r="AF183" s="368">
        <f>hypo!CY37*pvar!AF$21</f>
        <v>929.32136404849632</v>
      </c>
      <c r="AG183" s="368">
        <f>hypo!CZ37*pvar!AG$21</f>
        <v>4739.1988635570542</v>
      </c>
      <c r="AH183" s="368">
        <f>hypo!DA37*pvar!AH$21</f>
        <v>214.27725405629585</v>
      </c>
      <c r="AI183" s="368">
        <f>hypo!DB37*pvar!AI$21</f>
        <v>2103.86177274495</v>
      </c>
      <c r="AJ183" s="368">
        <f>hypo!DC37*pvar!AJ$21</f>
        <v>2479.9980032519074</v>
      </c>
      <c r="AK183" s="368">
        <f>hypo!DD37*pvar!AK$21</f>
        <v>2490.011799883132</v>
      </c>
      <c r="AL183" s="368">
        <f>hypo!DE37*pvar!AL$21</f>
        <v>0</v>
      </c>
      <c r="AM183" s="380"/>
    </row>
    <row r="184" spans="1:39" s="364" customFormat="1" x14ac:dyDescent="0.2">
      <c r="A184" s="44"/>
      <c r="B184" s="110" t="s">
        <v>96</v>
      </c>
      <c r="C184" s="98" t="s">
        <v>927</v>
      </c>
      <c r="D184" s="8"/>
      <c r="E184" s="17"/>
      <c r="F184" s="368">
        <f>hypo!BY38*pvar!F$21</f>
        <v>1412.5055076706014</v>
      </c>
      <c r="G184" s="368">
        <f>hypo!BZ38*pvar!G$21</f>
        <v>133.44249918381431</v>
      </c>
      <c r="H184" s="368">
        <f>hypo!CA38*pvar!H$21</f>
        <v>359.74308547008019</v>
      </c>
      <c r="I184" s="368">
        <f>hypo!CB38*pvar!I$21</f>
        <v>361.4834879066417</v>
      </c>
      <c r="J184" s="368">
        <f>hypo!CC38*pvar!J$21</f>
        <v>509.60155341342676</v>
      </c>
      <c r="K184" s="368">
        <f>hypo!CD38*pvar!K$21</f>
        <v>13.097384144325286</v>
      </c>
      <c r="L184" s="368">
        <f>hypo!CE38*pvar!L$21</f>
        <v>0</v>
      </c>
      <c r="M184" s="368">
        <f>hypo!CF38*pvar!M$21</f>
        <v>2098.9071866606091</v>
      </c>
      <c r="N184" s="368">
        <f>hypo!CG38*pvar!N$21</f>
        <v>8930.0478332268976</v>
      </c>
      <c r="O184" s="368">
        <f>hypo!CH38*pvar!O$21</f>
        <v>7339.9198543930379</v>
      </c>
      <c r="P184" s="368">
        <f>hypo!CI38*pvar!P$21</f>
        <v>2862.6384978042306</v>
      </c>
      <c r="Q184" s="368">
        <f>hypo!CJ38*pvar!Q$21</f>
        <v>202.59848063795206</v>
      </c>
      <c r="R184" s="368">
        <f>hypo!CK38*pvar!R$21</f>
        <v>6394.8218613358049</v>
      </c>
      <c r="S184" s="368">
        <f>hypo!CL38*pvar!S$21</f>
        <v>39493.675884020078</v>
      </c>
      <c r="T184" s="368">
        <f>hypo!CM38*pvar!T$21</f>
        <v>27483.072447038136</v>
      </c>
      <c r="U184" s="368">
        <f>hypo!CN38*pvar!U$21</f>
        <v>53507.289896838949</v>
      </c>
      <c r="V184" s="368">
        <f>hypo!CO38*pvar!V$21</f>
        <v>11994.484076863309</v>
      </c>
      <c r="W184" s="368">
        <f>hypo!CP38*pvar!W$21</f>
        <v>1112.9782907133779</v>
      </c>
      <c r="X184" s="368">
        <f>hypo!CQ38*pvar!X$21</f>
        <v>221.7639525410361</v>
      </c>
      <c r="Y184" s="368">
        <f>hypo!CR38*pvar!Y$21</f>
        <v>1820.9817332781872</v>
      </c>
      <c r="Z184" s="368">
        <f>hypo!CS38*pvar!Z$21</f>
        <v>3181.740133584291</v>
      </c>
      <c r="AA184" s="368">
        <f>hypo!CT38*pvar!AA$21</f>
        <v>5718.5175344442941</v>
      </c>
      <c r="AB184" s="368">
        <f>hypo!CU38*pvar!AB$21</f>
        <v>20056.32831066936</v>
      </c>
      <c r="AC184" s="368">
        <f>hypo!CV38*pvar!AC$21</f>
        <v>102231.31128526852</v>
      </c>
      <c r="AD184" s="368">
        <f>hypo!CW38*pvar!AD$21</f>
        <v>2864.9667550315489</v>
      </c>
      <c r="AE184" s="368">
        <f>hypo!CX38*pvar!AE$21</f>
        <v>1020.2594078542459</v>
      </c>
      <c r="AF184" s="368">
        <f>hypo!CY38*pvar!AF$21</f>
        <v>1886.9730791488175</v>
      </c>
      <c r="AG184" s="368">
        <f>hypo!CZ38*pvar!AG$21</f>
        <v>7604.880497979455</v>
      </c>
      <c r="AH184" s="368">
        <f>hypo!DA38*pvar!AH$21</f>
        <v>431.87891511483713</v>
      </c>
      <c r="AI184" s="368">
        <f>hypo!DB38*pvar!AI$21</f>
        <v>5495.278921533376</v>
      </c>
      <c r="AJ184" s="368">
        <f>hypo!DC38*pvar!AJ$21</f>
        <v>5575.4272905857206</v>
      </c>
      <c r="AK184" s="368">
        <f>hypo!DD38*pvar!AK$21</f>
        <v>3437.8933690745525</v>
      </c>
      <c r="AL184" s="368">
        <f>hypo!DE38*pvar!AL$21</f>
        <v>37.241963187865949</v>
      </c>
      <c r="AM184" s="380"/>
    </row>
    <row r="185" spans="1:39" s="364" customFormat="1" x14ac:dyDescent="0.2">
      <c r="A185" s="44"/>
      <c r="B185" s="110" t="s">
        <v>97</v>
      </c>
      <c r="C185" s="98" t="s">
        <v>927</v>
      </c>
      <c r="D185" s="8"/>
      <c r="E185" s="17"/>
      <c r="F185" s="368">
        <f>hypo!BY39*pvar!F$21</f>
        <v>49.932993810915335</v>
      </c>
      <c r="G185" s="368">
        <f>hypo!BZ39*pvar!G$21</f>
        <v>7.9269867846711142</v>
      </c>
      <c r="H185" s="368">
        <f>hypo!CA39*pvar!H$21</f>
        <v>11.349262794498225</v>
      </c>
      <c r="I185" s="368">
        <f>hypo!CB39*pvar!I$21</f>
        <v>13.035810066725029</v>
      </c>
      <c r="J185" s="368">
        <f>hypo!CC39*pvar!J$21</f>
        <v>0</v>
      </c>
      <c r="K185" s="368">
        <f>hypo!CD39*pvar!K$21</f>
        <v>0</v>
      </c>
      <c r="L185" s="368">
        <f>hypo!CE39*pvar!L$21</f>
        <v>0</v>
      </c>
      <c r="M185" s="368">
        <f>hypo!CF39*pvar!M$21</f>
        <v>28.548345843763183</v>
      </c>
      <c r="N185" s="368">
        <f>hypo!CG39*pvar!N$21</f>
        <v>975.62840767887258</v>
      </c>
      <c r="O185" s="368">
        <f>hypo!CH39*pvar!O$21</f>
        <v>6092.2234789375952</v>
      </c>
      <c r="P185" s="368">
        <f>hypo!CI39*pvar!P$21</f>
        <v>2132.9277050931246</v>
      </c>
      <c r="Q185" s="368">
        <f>hypo!CJ39*pvar!Q$21</f>
        <v>1479.1204513953035</v>
      </c>
      <c r="R185" s="368">
        <f>hypo!CK39*pvar!R$21</f>
        <v>41.612930121765295</v>
      </c>
      <c r="S185" s="368">
        <f>hypo!CL39*pvar!S$21</f>
        <v>299.69132364893289</v>
      </c>
      <c r="T185" s="368">
        <f>hypo!CM39*pvar!T$21</f>
        <v>313.56388444809693</v>
      </c>
      <c r="U185" s="368">
        <f>hypo!CN39*pvar!U$21</f>
        <v>1960.4431629651369</v>
      </c>
      <c r="V185" s="368">
        <f>hypo!CO39*pvar!V$21</f>
        <v>6771.6658892225405</v>
      </c>
      <c r="W185" s="368">
        <f>hypo!CP39*pvar!W$21</f>
        <v>3003.9386692217076</v>
      </c>
      <c r="X185" s="368">
        <f>hypo!CQ39*pvar!X$21</f>
        <v>318.48937189591015</v>
      </c>
      <c r="Y185" s="368">
        <f>hypo!CR39*pvar!Y$21</f>
        <v>2305.7354806397934</v>
      </c>
      <c r="Z185" s="368">
        <f>hypo!CS39*pvar!Z$21</f>
        <v>1549.0521563513739</v>
      </c>
      <c r="AA185" s="368">
        <f>hypo!CT39*pvar!AA$21</f>
        <v>2752.3917457334333</v>
      </c>
      <c r="AB185" s="368">
        <f>hypo!CU39*pvar!AB$21</f>
        <v>4982.3871308008838</v>
      </c>
      <c r="AC185" s="368">
        <f>hypo!CV39*pvar!AC$21</f>
        <v>46128.050158268925</v>
      </c>
      <c r="AD185" s="368">
        <f>hypo!CW39*pvar!AD$21</f>
        <v>1048.6420044887682</v>
      </c>
      <c r="AE185" s="368">
        <f>hypo!CX39*pvar!AE$21</f>
        <v>1665.9652856053381</v>
      </c>
      <c r="AF185" s="368">
        <f>hypo!CY39*pvar!AF$21</f>
        <v>900.63981029768195</v>
      </c>
      <c r="AG185" s="368">
        <f>hypo!CZ39*pvar!AG$21</f>
        <v>986.75940144380922</v>
      </c>
      <c r="AH185" s="368">
        <f>hypo!DA39*pvar!AH$21</f>
        <v>18.165855839008788</v>
      </c>
      <c r="AI185" s="368">
        <f>hypo!DB39*pvar!AI$21</f>
        <v>180.25485698573343</v>
      </c>
      <c r="AJ185" s="368">
        <f>hypo!DC39*pvar!AJ$21</f>
        <v>303.18487726371569</v>
      </c>
      <c r="AK185" s="368">
        <f>hypo!DD39*pvar!AK$21</f>
        <v>60.083564677940188</v>
      </c>
      <c r="AL185" s="368">
        <f>hypo!DE39*pvar!AL$21</f>
        <v>0</v>
      </c>
      <c r="AM185" s="380"/>
    </row>
    <row r="186" spans="1:39" s="364" customFormat="1" x14ac:dyDescent="0.2">
      <c r="A186" s="44"/>
      <c r="B186" s="110" t="s">
        <v>98</v>
      </c>
      <c r="C186" s="98" t="s">
        <v>927</v>
      </c>
      <c r="D186" s="8"/>
      <c r="E186" s="17"/>
      <c r="F186" s="368">
        <f>hypo!BY40*pvar!F$21</f>
        <v>298.92929274729079</v>
      </c>
      <c r="G186" s="368">
        <f>hypo!BZ40*pvar!G$21</f>
        <v>401.65876892370528</v>
      </c>
      <c r="H186" s="368">
        <f>hypo!CA40*pvar!H$21</f>
        <v>499.22999613617031</v>
      </c>
      <c r="I186" s="368">
        <f>hypo!CB40*pvar!I$21</f>
        <v>728.55798152821535</v>
      </c>
      <c r="J186" s="368">
        <f>hypo!CC40*pvar!J$21</f>
        <v>126.59431007128302</v>
      </c>
      <c r="K186" s="368">
        <f>hypo!CD40*pvar!K$21</f>
        <v>31.223522834168772</v>
      </c>
      <c r="L186" s="368">
        <f>hypo!CE40*pvar!L$21</f>
        <v>8.7487318504770677</v>
      </c>
      <c r="M186" s="368">
        <f>hypo!CF40*pvar!M$21</f>
        <v>140.90430908738219</v>
      </c>
      <c r="N186" s="368">
        <f>hypo!CG40*pvar!N$21</f>
        <v>840.88453713873628</v>
      </c>
      <c r="O186" s="368">
        <f>hypo!CH40*pvar!O$21</f>
        <v>1814.1305860995762</v>
      </c>
      <c r="P186" s="368">
        <f>hypo!CI40*pvar!P$21</f>
        <v>280.42905024667158</v>
      </c>
      <c r="Q186" s="368">
        <f>hypo!CJ40*pvar!Q$21</f>
        <v>75.819743187053817</v>
      </c>
      <c r="R186" s="368">
        <f>hypo!CK40*pvar!R$21</f>
        <v>823.36323142921822</v>
      </c>
      <c r="S186" s="368">
        <f>hypo!CL40*pvar!S$21</f>
        <v>929.28494343180535</v>
      </c>
      <c r="T186" s="368">
        <f>hypo!CM40*pvar!T$21</f>
        <v>1506.231053621548</v>
      </c>
      <c r="U186" s="368">
        <f>hypo!CN40*pvar!U$21</f>
        <v>2410.7066411183705</v>
      </c>
      <c r="V186" s="368">
        <f>hypo!CO40*pvar!V$21</f>
        <v>320.74732606998049</v>
      </c>
      <c r="W186" s="368">
        <f>hypo!CP40*pvar!W$21</f>
        <v>6.476457141453273</v>
      </c>
      <c r="X186" s="368">
        <f>hypo!CQ40*pvar!X$21</f>
        <v>0</v>
      </c>
      <c r="Y186" s="368">
        <f>hypo!CR40*pvar!Y$21</f>
        <v>6.9002695810133226</v>
      </c>
      <c r="Z186" s="368">
        <f>hypo!CS40*pvar!Z$21</f>
        <v>29.802997829129875</v>
      </c>
      <c r="AA186" s="368">
        <f>hypo!CT40*pvar!AA$21</f>
        <v>6.7513085545398086</v>
      </c>
      <c r="AB186" s="368">
        <f>hypo!CU40*pvar!AB$21</f>
        <v>192.30930895138152</v>
      </c>
      <c r="AC186" s="368">
        <f>hypo!CV40*pvar!AC$21</f>
        <v>348.00683745116504</v>
      </c>
      <c r="AD186" s="368">
        <f>hypo!CW40*pvar!AD$21</f>
        <v>45.151746404906135</v>
      </c>
      <c r="AE186" s="368">
        <f>hypo!CX40*pvar!AE$21</f>
        <v>10.436980935724169</v>
      </c>
      <c r="AF186" s="368">
        <f>hypo!CY40*pvar!AF$21</f>
        <v>24.188543913432476</v>
      </c>
      <c r="AG186" s="368">
        <f>hypo!CZ40*pvar!AG$21</f>
        <v>46.254411320825916</v>
      </c>
      <c r="AH186" s="368">
        <f>hypo!DA40*pvar!AH$21</f>
        <v>6.8329648296881382</v>
      </c>
      <c r="AI186" s="368">
        <f>hypo!DB40*pvar!AI$21</f>
        <v>29.088224456989472</v>
      </c>
      <c r="AJ186" s="368">
        <f>hypo!DC40*pvar!AJ$21</f>
        <v>25.80582053756271</v>
      </c>
      <c r="AK186" s="368">
        <f>hypo!DD40*pvar!AK$21</f>
        <v>5.9843772557934516</v>
      </c>
      <c r="AL186" s="368">
        <f>hypo!DE40*pvar!AL$21</f>
        <v>6.6503505692617777</v>
      </c>
      <c r="AM186" s="380"/>
    </row>
    <row r="187" spans="1:39" s="364" customFormat="1" x14ac:dyDescent="0.2">
      <c r="A187" s="44"/>
      <c r="B187" s="110" t="s">
        <v>99</v>
      </c>
      <c r="C187" s="98" t="s">
        <v>927</v>
      </c>
      <c r="D187" s="8"/>
      <c r="E187" s="17"/>
      <c r="F187" s="368">
        <f>hypo!BY41*pvar!F$21</f>
        <v>19679.514233461014</v>
      </c>
      <c r="G187" s="368">
        <f>hypo!BZ41*pvar!G$21</f>
        <v>4622.8791448236716</v>
      </c>
      <c r="H187" s="368">
        <f>hypo!CA41*pvar!H$21</f>
        <v>931.02645583503033</v>
      </c>
      <c r="I187" s="368">
        <f>hypo!CB41*pvar!I$21</f>
        <v>27075.969079995455</v>
      </c>
      <c r="J187" s="368">
        <f>hypo!CC41*pvar!J$21</f>
        <v>6027.5842572653792</v>
      </c>
      <c r="K187" s="368">
        <f>hypo!CD41*pvar!K$21</f>
        <v>4772.373093793547</v>
      </c>
      <c r="L187" s="368">
        <f>hypo!CE41*pvar!L$21</f>
        <v>323.58893538134447</v>
      </c>
      <c r="M187" s="368">
        <f>hypo!CF41*pvar!M$21</f>
        <v>8220.4151974964479</v>
      </c>
      <c r="N187" s="368">
        <f>hypo!CG41*pvar!N$21</f>
        <v>8881.2766280266696</v>
      </c>
      <c r="O187" s="368">
        <f>hypo!CH41*pvar!O$21</f>
        <v>1132.0268055758281</v>
      </c>
      <c r="P187" s="368">
        <f>hypo!CI41*pvar!P$21</f>
        <v>1718.4226218307247</v>
      </c>
      <c r="Q187" s="368">
        <f>hypo!CJ41*pvar!Q$21</f>
        <v>45.09781720220618</v>
      </c>
      <c r="R187" s="368">
        <f>hypo!CK41*pvar!R$21</f>
        <v>1558.5317434977403</v>
      </c>
      <c r="S187" s="368">
        <f>hypo!CL41*pvar!S$21</f>
        <v>1287.0406004618828</v>
      </c>
      <c r="T187" s="368">
        <f>hypo!CM41*pvar!T$21</f>
        <v>2944.0822881789923</v>
      </c>
      <c r="U187" s="368">
        <f>hypo!CN41*pvar!U$21</f>
        <v>4405.3493375404869</v>
      </c>
      <c r="V187" s="368">
        <f>hypo!CO41*pvar!V$21</f>
        <v>880.20652710968966</v>
      </c>
      <c r="W187" s="368">
        <f>hypo!CP41*pvar!W$21</f>
        <v>136.22906877923344</v>
      </c>
      <c r="X187" s="368">
        <f>hypo!CQ41*pvar!X$21</f>
        <v>1.3331208547255256</v>
      </c>
      <c r="Y187" s="368">
        <f>hypo!CR41*pvar!Y$21</f>
        <v>42.942044640251098</v>
      </c>
      <c r="Z187" s="368">
        <f>hypo!CS41*pvar!Z$21</f>
        <v>138.80356254785866</v>
      </c>
      <c r="AA187" s="368">
        <f>hypo!CT41*pvar!AA$21</f>
        <v>85.889673654816534</v>
      </c>
      <c r="AB187" s="368">
        <f>hypo!CU41*pvar!AB$21</f>
        <v>13.139145332081966</v>
      </c>
      <c r="AC187" s="368">
        <f>hypo!CV41*pvar!AC$21</f>
        <v>5106.5256574959349</v>
      </c>
      <c r="AD187" s="368">
        <f>hypo!CW41*pvar!AD$21</f>
        <v>168.49141523389136</v>
      </c>
      <c r="AE187" s="368">
        <f>hypo!CX41*pvar!AE$21</f>
        <v>178.94921508792336</v>
      </c>
      <c r="AF187" s="368">
        <f>hypo!CY41*pvar!AF$21</f>
        <v>49.320132111188769</v>
      </c>
      <c r="AG187" s="368">
        <f>hypo!CZ41*pvar!AG$21</f>
        <v>439.34119884654172</v>
      </c>
      <c r="AH187" s="368">
        <f>hypo!DA41*pvar!AH$21</f>
        <v>8.9248535896044814</v>
      </c>
      <c r="AI187" s="368">
        <f>hypo!DB41*pvar!AI$21</f>
        <v>200.29414283902139</v>
      </c>
      <c r="AJ187" s="368">
        <f>hypo!DC41*pvar!AJ$21</f>
        <v>72.754819038287579</v>
      </c>
      <c r="AK187" s="368">
        <f>hypo!DD41*pvar!AK$21</f>
        <v>82.212207056723472</v>
      </c>
      <c r="AL187" s="368">
        <f>hypo!DE41*pvar!AL$21</f>
        <v>27.266437333973286</v>
      </c>
      <c r="AM187" s="380"/>
    </row>
    <row r="188" spans="1:39" s="364" customFormat="1" x14ac:dyDescent="0.2">
      <c r="A188" s="44"/>
      <c r="B188" s="110" t="s">
        <v>100</v>
      </c>
      <c r="C188" s="98" t="s">
        <v>927</v>
      </c>
      <c r="D188" s="8"/>
      <c r="E188" s="17"/>
      <c r="F188" s="368">
        <f>hypo!BY42*pvar!F$21</f>
        <v>25218.488930898369</v>
      </c>
      <c r="G188" s="368">
        <f>hypo!BZ42*pvar!G$21</f>
        <v>16505.371726625879</v>
      </c>
      <c r="H188" s="368">
        <f>hypo!CA42*pvar!H$21</f>
        <v>17606.902873640247</v>
      </c>
      <c r="I188" s="368">
        <f>hypo!CB42*pvar!I$21</f>
        <v>42778.990467965436</v>
      </c>
      <c r="J188" s="368">
        <f>hypo!CC42*pvar!J$21</f>
        <v>16713.325794108885</v>
      </c>
      <c r="K188" s="368">
        <f>hypo!CD42*pvar!K$21</f>
        <v>5768.7486702704455</v>
      </c>
      <c r="L188" s="368">
        <f>hypo!CE42*pvar!L$21</f>
        <v>509.91457477204432</v>
      </c>
      <c r="M188" s="368">
        <f>hypo!CF42*pvar!M$21</f>
        <v>10000.013503473314</v>
      </c>
      <c r="N188" s="368">
        <f>hypo!CG42*pvar!N$21</f>
        <v>41939.899325606304</v>
      </c>
      <c r="O188" s="368">
        <f>hypo!CH42*pvar!O$21</f>
        <v>8053.2638126934944</v>
      </c>
      <c r="P188" s="368">
        <f>hypo!CI42*pvar!P$21</f>
        <v>7041.2703916578957</v>
      </c>
      <c r="Q188" s="368">
        <f>hypo!CJ42*pvar!Q$21</f>
        <v>147.79242928112961</v>
      </c>
      <c r="R188" s="368">
        <f>hypo!CK42*pvar!R$21</f>
        <v>5744.1533423790179</v>
      </c>
      <c r="S188" s="368">
        <f>hypo!CL42*pvar!S$21</f>
        <v>13393.146280622866</v>
      </c>
      <c r="T188" s="368">
        <f>hypo!CM42*pvar!T$21</f>
        <v>15536.458166947963</v>
      </c>
      <c r="U188" s="368">
        <f>hypo!CN42*pvar!U$21</f>
        <v>30940.029272399392</v>
      </c>
      <c r="V188" s="368">
        <f>hypo!CO42*pvar!V$21</f>
        <v>5140.5756756978308</v>
      </c>
      <c r="W188" s="368">
        <f>hypo!CP42*pvar!W$21</f>
        <v>133.85143159698814</v>
      </c>
      <c r="X188" s="368">
        <f>hypo!CQ42*pvar!X$21</f>
        <v>33.648284622447541</v>
      </c>
      <c r="Y188" s="368">
        <f>hypo!CR42*pvar!Y$21</f>
        <v>616.91123135352552</v>
      </c>
      <c r="Z188" s="368">
        <f>hypo!CS42*pvar!Z$21</f>
        <v>1652.8841118342302</v>
      </c>
      <c r="AA188" s="368">
        <f>hypo!CT42*pvar!AA$21</f>
        <v>2546.7864813025458</v>
      </c>
      <c r="AB188" s="368">
        <f>hypo!CU42*pvar!AB$21</f>
        <v>139.40758097502118</v>
      </c>
      <c r="AC188" s="368">
        <f>hypo!CV42*pvar!AC$21</f>
        <v>13094.506808550746</v>
      </c>
      <c r="AD188" s="368">
        <f>hypo!CW42*pvar!AD$21</f>
        <v>322.53110931599127</v>
      </c>
      <c r="AE188" s="368">
        <f>hypo!CX42*pvar!AE$21</f>
        <v>166.30145707154179</v>
      </c>
      <c r="AF188" s="368">
        <f>hypo!CY42*pvar!AF$21</f>
        <v>167.91948728513728</v>
      </c>
      <c r="AG188" s="368">
        <f>hypo!CZ42*pvar!AG$21</f>
        <v>412.98015008754879</v>
      </c>
      <c r="AH188" s="368">
        <f>hypo!DA42*pvar!AH$21</f>
        <v>41.330091219086306</v>
      </c>
      <c r="AI188" s="368">
        <f>hypo!DB42*pvar!AI$21</f>
        <v>1042.9623305480584</v>
      </c>
      <c r="AJ188" s="368">
        <f>hypo!DC42*pvar!AJ$21</f>
        <v>927.26010580412674</v>
      </c>
      <c r="AK188" s="368">
        <f>hypo!DD42*pvar!AK$21</f>
        <v>1410.5906994009533</v>
      </c>
      <c r="AL188" s="368">
        <f>hypo!DE42*pvar!AL$21</f>
        <v>258.22361210362152</v>
      </c>
      <c r="AM188" s="380"/>
    </row>
    <row r="189" spans="1:39" s="364" customFormat="1" x14ac:dyDescent="0.2">
      <c r="A189" s="44"/>
      <c r="B189" s="110" t="s">
        <v>101</v>
      </c>
      <c r="C189" s="98" t="s">
        <v>927</v>
      </c>
      <c r="D189" s="8"/>
      <c r="E189" s="17"/>
      <c r="F189" s="368">
        <f>hypo!BY43*pvar!F$21</f>
        <v>95.012750372753544</v>
      </c>
      <c r="G189" s="368">
        <f>hypo!BZ43*pvar!G$21</f>
        <v>37.157750553145846</v>
      </c>
      <c r="H189" s="368">
        <f>hypo!CA43*pvar!H$21</f>
        <v>149.91639186415625</v>
      </c>
      <c r="I189" s="368">
        <f>hypo!CB43*pvar!I$21</f>
        <v>36.260391290835138</v>
      </c>
      <c r="J189" s="368">
        <f>hypo!CC43*pvar!J$21</f>
        <v>81.549165419928855</v>
      </c>
      <c r="K189" s="368">
        <f>hypo!CD43*pvar!K$21</f>
        <v>24.793665301741566</v>
      </c>
      <c r="L189" s="368">
        <f>hypo!CE43*pvar!L$21</f>
        <v>32.907739538007597</v>
      </c>
      <c r="M189" s="368">
        <f>hypo!CF43*pvar!M$21</f>
        <v>1.561915578078229</v>
      </c>
      <c r="N189" s="368">
        <f>hypo!CG43*pvar!N$21</f>
        <v>13.40008208755072</v>
      </c>
      <c r="O189" s="368">
        <f>hypo!CH43*pvar!O$21</f>
        <v>11.420976520853829</v>
      </c>
      <c r="P189" s="368">
        <f>hypo!CI43*pvar!P$21</f>
        <v>47.125759494799794</v>
      </c>
      <c r="Q189" s="368">
        <f>hypo!CJ43*pvar!Q$21</f>
        <v>14.137539028927595</v>
      </c>
      <c r="R189" s="368">
        <f>hypo!CK43*pvar!R$21</f>
        <v>525.70246103088641</v>
      </c>
      <c r="S189" s="368">
        <f>hypo!CL43*pvar!S$21</f>
        <v>407.4111025037609</v>
      </c>
      <c r="T189" s="368">
        <f>hypo!CM43*pvar!T$21</f>
        <v>1240.9150903053683</v>
      </c>
      <c r="U189" s="368">
        <f>hypo!CN43*pvar!U$21</f>
        <v>1119.096008678903</v>
      </c>
      <c r="V189" s="368">
        <f>hypo!CO43*pvar!V$21</f>
        <v>262.41920206283947</v>
      </c>
      <c r="W189" s="368">
        <f>hypo!CP43*pvar!W$21</f>
        <v>22.006356972474361</v>
      </c>
      <c r="X189" s="368">
        <f>hypo!CQ43*pvar!X$21</f>
        <v>0.99476118239222311</v>
      </c>
      <c r="Y189" s="368">
        <f>hypo!CR43*pvar!Y$21</f>
        <v>52.22138488676714</v>
      </c>
      <c r="Z189" s="368">
        <f>hypo!CS43*pvar!Z$21</f>
        <v>2.6389903626738374</v>
      </c>
      <c r="AA189" s="368">
        <f>hypo!CT43*pvar!AA$21</f>
        <v>48.560690342969636</v>
      </c>
      <c r="AB189" s="368">
        <f>hypo!CU43*pvar!AB$21</f>
        <v>12.640600173812851</v>
      </c>
      <c r="AC189" s="368">
        <f>hypo!CV43*pvar!AC$21</f>
        <v>131.81056582635111</v>
      </c>
      <c r="AD189" s="368">
        <f>hypo!CW43*pvar!AD$21</f>
        <v>27.72887290706327</v>
      </c>
      <c r="AE189" s="368">
        <f>hypo!CX43*pvar!AE$21</f>
        <v>114.30214506090888</v>
      </c>
      <c r="AF189" s="368">
        <f>hypo!CY43*pvar!AF$21</f>
        <v>14.82855840178159</v>
      </c>
      <c r="AG189" s="368">
        <f>hypo!CZ43*pvar!AG$21</f>
        <v>110.82270598470402</v>
      </c>
      <c r="AH189" s="368">
        <f>hypo!DA43*pvar!AH$21</f>
        <v>6.1060536775936569</v>
      </c>
      <c r="AI189" s="368">
        <f>hypo!DB43*pvar!AI$21</f>
        <v>0</v>
      </c>
      <c r="AJ189" s="368">
        <f>hypo!DC43*pvar!AJ$21</f>
        <v>0</v>
      </c>
      <c r="AK189" s="368">
        <f>hypo!DD43*pvar!AK$21</f>
        <v>1.782802283520349</v>
      </c>
      <c r="AL189" s="368">
        <f>hypo!DE43*pvar!AL$21</f>
        <v>0</v>
      </c>
      <c r="AM189" s="380"/>
    </row>
    <row r="190" spans="1:39" s="364" customFormat="1" x14ac:dyDescent="0.2">
      <c r="A190" s="44"/>
      <c r="B190" s="110" t="s">
        <v>102</v>
      </c>
      <c r="C190" s="98" t="s">
        <v>927</v>
      </c>
      <c r="D190" s="8"/>
      <c r="E190" s="17"/>
      <c r="F190" s="368">
        <f>hypo!BY44*pvar!F$21</f>
        <v>50481.564869653157</v>
      </c>
      <c r="G190" s="368">
        <f>hypo!BZ44*pvar!G$21</f>
        <v>14612.380727040689</v>
      </c>
      <c r="H190" s="368">
        <f>hypo!CA44*pvar!H$21</f>
        <v>9619.2473240937725</v>
      </c>
      <c r="I190" s="368">
        <f>hypo!CB44*pvar!I$21</f>
        <v>175978.49667558141</v>
      </c>
      <c r="J190" s="368">
        <f>hypo!CC44*pvar!J$21</f>
        <v>14777.659134323118</v>
      </c>
      <c r="K190" s="368">
        <f>hypo!CD44*pvar!K$21</f>
        <v>16131.892858716114</v>
      </c>
      <c r="L190" s="368">
        <f>hypo!CE44*pvar!L$21</f>
        <v>60.947696568311166</v>
      </c>
      <c r="M190" s="368">
        <f>hypo!CF44*pvar!M$21</f>
        <v>76017.474182038088</v>
      </c>
      <c r="N190" s="368">
        <f>hypo!CG44*pvar!N$21</f>
        <v>129251.67850554726</v>
      </c>
      <c r="O190" s="368">
        <f>hypo!CH44*pvar!O$21</f>
        <v>2654.9120305266106</v>
      </c>
      <c r="P190" s="368">
        <f>hypo!CI44*pvar!P$21</f>
        <v>153.87776841913617</v>
      </c>
      <c r="Q190" s="368">
        <f>hypo!CJ44*pvar!Q$21</f>
        <v>9403.1923724725384</v>
      </c>
      <c r="R190" s="368">
        <f>hypo!CK44*pvar!R$21</f>
        <v>48.27315784812825</v>
      </c>
      <c r="S190" s="368">
        <f>hypo!CL44*pvar!S$21</f>
        <v>26.70524286982231</v>
      </c>
      <c r="T190" s="368">
        <f>hypo!CM44*pvar!T$21</f>
        <v>782.37274022003737</v>
      </c>
      <c r="U190" s="368">
        <f>hypo!CN44*pvar!U$21</f>
        <v>36933.757038337724</v>
      </c>
      <c r="V190" s="368">
        <f>hypo!CO44*pvar!V$21</f>
        <v>9160.8279018744779</v>
      </c>
      <c r="W190" s="368">
        <f>hypo!CP44*pvar!W$21</f>
        <v>362.57350250144719</v>
      </c>
      <c r="X190" s="368">
        <f>hypo!CQ44*pvar!X$21</f>
        <v>0</v>
      </c>
      <c r="Y190" s="368">
        <f>hypo!CR44*pvar!Y$21</f>
        <v>0</v>
      </c>
      <c r="Z190" s="368">
        <f>hypo!CS44*pvar!Z$21</f>
        <v>0</v>
      </c>
      <c r="AA190" s="368">
        <f>hypo!CT44*pvar!AA$21</f>
        <v>0</v>
      </c>
      <c r="AB190" s="368">
        <f>hypo!CU44*pvar!AB$21</f>
        <v>0</v>
      </c>
      <c r="AC190" s="368">
        <f>hypo!CV44*pvar!AC$21</f>
        <v>45.431950736186124</v>
      </c>
      <c r="AD190" s="368">
        <f>hypo!CW44*pvar!AD$21</f>
        <v>7.7122226575467758</v>
      </c>
      <c r="AE190" s="368">
        <f>hypo!CX44*pvar!AE$21</f>
        <v>0</v>
      </c>
      <c r="AF190" s="368">
        <f>hypo!CY44*pvar!AF$21</f>
        <v>40.283234500454903</v>
      </c>
      <c r="AG190" s="368">
        <f>hypo!CZ44*pvar!AG$21</f>
        <v>40.505337695743762</v>
      </c>
      <c r="AH190" s="368">
        <f>hypo!DA44*pvar!AH$21</f>
        <v>0</v>
      </c>
      <c r="AI190" s="368">
        <f>hypo!DB44*pvar!AI$21</f>
        <v>0</v>
      </c>
      <c r="AJ190" s="368">
        <f>hypo!DC44*pvar!AJ$21</f>
        <v>0</v>
      </c>
      <c r="AK190" s="368">
        <f>hypo!DD44*pvar!AK$21</f>
        <v>0</v>
      </c>
      <c r="AL190" s="368">
        <f>hypo!DE44*pvar!AL$21</f>
        <v>0</v>
      </c>
      <c r="AM190" s="380"/>
    </row>
    <row r="191" spans="1:39" s="364" customFormat="1" x14ac:dyDescent="0.2">
      <c r="A191" s="44"/>
      <c r="B191" s="110" t="s">
        <v>103</v>
      </c>
      <c r="C191" s="98" t="s">
        <v>927</v>
      </c>
      <c r="D191" s="8"/>
      <c r="E191" s="17"/>
      <c r="F191" s="368">
        <f>hypo!BY45*pvar!F$21</f>
        <v>3305.7697947424103</v>
      </c>
      <c r="G191" s="368">
        <f>hypo!BZ45*pvar!G$21</f>
        <v>2687.1665021135755</v>
      </c>
      <c r="H191" s="368">
        <f>hypo!CA45*pvar!H$21</f>
        <v>6151.9062002914179</v>
      </c>
      <c r="I191" s="368">
        <f>hypo!CB45*pvar!I$21</f>
        <v>38810.181627129168</v>
      </c>
      <c r="J191" s="368">
        <f>hypo!CC45*pvar!J$21</f>
        <v>961.3492471770287</v>
      </c>
      <c r="K191" s="368">
        <f>hypo!CD45*pvar!K$21</f>
        <v>8378.3134417256806</v>
      </c>
      <c r="L191" s="368">
        <f>hypo!CE45*pvar!L$21</f>
        <v>423.151065393929</v>
      </c>
      <c r="M191" s="368">
        <f>hypo!CF45*pvar!M$21</f>
        <v>43673.485729722663</v>
      </c>
      <c r="N191" s="368">
        <f>hypo!CG45*pvar!N$21</f>
        <v>17949.093324760597</v>
      </c>
      <c r="O191" s="368">
        <f>hypo!CH45*pvar!O$21</f>
        <v>766.93309403400781</v>
      </c>
      <c r="P191" s="368">
        <f>hypo!CI45*pvar!P$21</f>
        <v>407.4337027170871</v>
      </c>
      <c r="Q191" s="368">
        <f>hypo!CJ45*pvar!Q$21</f>
        <v>1119.1863889332437</v>
      </c>
      <c r="R191" s="368">
        <f>hypo!CK45*pvar!R$21</f>
        <v>6296.5759246088028</v>
      </c>
      <c r="S191" s="368">
        <f>hypo!CL45*pvar!S$21</f>
        <v>642.15280055042138</v>
      </c>
      <c r="T191" s="368">
        <f>hypo!CM45*pvar!T$21</f>
        <v>347.94522196267661</v>
      </c>
      <c r="U191" s="368">
        <f>hypo!CN45*pvar!U$21</f>
        <v>5071.0114725601743</v>
      </c>
      <c r="V191" s="368">
        <f>hypo!CO45*pvar!V$21</f>
        <v>1030.5242248947407</v>
      </c>
      <c r="W191" s="368">
        <f>hypo!CP45*pvar!W$21</f>
        <v>32.263201662089081</v>
      </c>
      <c r="X191" s="368">
        <f>hypo!CQ45*pvar!X$21</f>
        <v>76.044520755209192</v>
      </c>
      <c r="Y191" s="368">
        <f>hypo!CR45*pvar!Y$21</f>
        <v>391.594616741793</v>
      </c>
      <c r="Z191" s="368">
        <f>hypo!CS45*pvar!Z$21</f>
        <v>298.2129482897775</v>
      </c>
      <c r="AA191" s="368">
        <f>hypo!CT45*pvar!AA$21</f>
        <v>379.0983679649425</v>
      </c>
      <c r="AB191" s="368">
        <f>hypo!CU45*pvar!AB$21</f>
        <v>143.67873028380666</v>
      </c>
      <c r="AC191" s="368">
        <f>hypo!CV45*pvar!AC$21</f>
        <v>887.99359367199793</v>
      </c>
      <c r="AD191" s="368">
        <f>hypo!CW45*pvar!AD$21</f>
        <v>719.79636492134216</v>
      </c>
      <c r="AE191" s="368">
        <f>hypo!CX45*pvar!AE$21</f>
        <v>31.760341203080888</v>
      </c>
      <c r="AF191" s="368">
        <f>hypo!CY45*pvar!AF$21</f>
        <v>360.42678082540306</v>
      </c>
      <c r="AG191" s="368">
        <f>hypo!CZ45*pvar!AG$21</f>
        <v>74.17839256965064</v>
      </c>
      <c r="AH191" s="368">
        <f>hypo!DA45*pvar!AH$21</f>
        <v>72.0578948280682</v>
      </c>
      <c r="AI191" s="368">
        <f>hypo!DB45*pvar!AI$21</f>
        <v>1218.3133679226846</v>
      </c>
      <c r="AJ191" s="368">
        <f>hypo!DC45*pvar!AJ$21</f>
        <v>1200.5366403177588</v>
      </c>
      <c r="AK191" s="368">
        <f>hypo!DD45*pvar!AK$21</f>
        <v>1238.9961255725404</v>
      </c>
      <c r="AL191" s="368">
        <f>hypo!DE45*pvar!AL$21</f>
        <v>2961.7160184258914</v>
      </c>
      <c r="AM191" s="380"/>
    </row>
    <row r="192" spans="1:39" s="364" customFormat="1" x14ac:dyDescent="0.2">
      <c r="A192" s="44"/>
      <c r="B192" s="110" t="s">
        <v>104</v>
      </c>
      <c r="C192" s="98" t="s">
        <v>927</v>
      </c>
      <c r="D192" s="8"/>
      <c r="E192" s="17"/>
      <c r="F192" s="368">
        <f>hypo!BY46*pvar!F$21</f>
        <v>3.2343665023404666E-9</v>
      </c>
      <c r="G192" s="368">
        <f>hypo!BZ46*pvar!G$21</f>
        <v>3.798347834321576E-9</v>
      </c>
      <c r="H192" s="368">
        <f>hypo!CA46*pvar!H$21</f>
        <v>2.8250329466824584E-9</v>
      </c>
      <c r="I192" s="368">
        <f>hypo!CB46*pvar!I$21</f>
        <v>2.8735253166060539E-9</v>
      </c>
      <c r="J192" s="368">
        <f>hypo!CC46*pvar!J$21</f>
        <v>3.972615759432296E-9</v>
      </c>
      <c r="K192" s="368">
        <f>hypo!CD46*pvar!K$21</f>
        <v>3.2261501580677536E-9</v>
      </c>
      <c r="L192" s="368">
        <f>hypo!CE46*pvar!L$21</f>
        <v>4.4122537564076875E-9</v>
      </c>
      <c r="M192" s="368">
        <f>hypo!CF46*pvar!M$21</f>
        <v>3.3263016940554881E-9</v>
      </c>
      <c r="N192" s="368">
        <f>hypo!CG46*pvar!N$21</f>
        <v>3.2184825398252564E-9</v>
      </c>
      <c r="O192" s="368">
        <f>hypo!CH46*pvar!O$21</f>
        <v>4.7847442619241906E-9</v>
      </c>
      <c r="P192" s="368">
        <f>hypo!CI46*pvar!P$21</f>
        <v>3.8899385170126144E-9</v>
      </c>
      <c r="Q192" s="368">
        <f>hypo!CJ46*pvar!Q$21</f>
        <v>3.3715254206102468E-9</v>
      </c>
      <c r="R192" s="368">
        <f>hypo!CK46*pvar!R$21</f>
        <v>3.1034286407282809E-9</v>
      </c>
      <c r="S192" s="368">
        <f>hypo!CL46*pvar!S$21</f>
        <v>3.3690628483364406E-9</v>
      </c>
      <c r="T192" s="368">
        <f>hypo!CM46*pvar!T$21</f>
        <v>3.5204723966387597E-9</v>
      </c>
      <c r="U192" s="368">
        <f>hypo!CN46*pvar!U$21</f>
        <v>4.1714489407394183E-9</v>
      </c>
      <c r="V192" s="368">
        <f>hypo!CO46*pvar!V$21</f>
        <v>4.44170805990135E-9</v>
      </c>
      <c r="W192" s="368">
        <f>hypo!CP46*pvar!W$21</f>
        <v>2.7194616933532689E-9</v>
      </c>
      <c r="X192" s="368">
        <f>hypo!CQ46*pvar!X$21</f>
        <v>1.2461605226046371E-9</v>
      </c>
      <c r="Y192" s="368">
        <f>hypo!CR46*pvar!Y$21</f>
        <v>2.7733717844177619E-9</v>
      </c>
      <c r="Z192" s="368">
        <f>hypo!CS46*pvar!Z$21</f>
        <v>6.7440864823886979E-9</v>
      </c>
      <c r="AA192" s="368">
        <f>hypo!CT46*pvar!AA$21</f>
        <v>3.8917317482309675E-9</v>
      </c>
      <c r="AB192" s="368">
        <f>hypo!CU46*pvar!AB$21</f>
        <v>4.0460616232144228E-9</v>
      </c>
      <c r="AC192" s="368">
        <f>hypo!CV46*pvar!AC$21</f>
        <v>4.3826336687282443E-9</v>
      </c>
      <c r="AD192" s="368">
        <f>hypo!CW46*pvar!AD$21</f>
        <v>6.4940134903720175E-9</v>
      </c>
      <c r="AE192" s="368">
        <f>hypo!CX46*pvar!AE$21</f>
        <v>3.9968458461814173E-9</v>
      </c>
      <c r="AF192" s="368">
        <f>hypo!CY46*pvar!AF$21</f>
        <v>3.5615793989241505E-9</v>
      </c>
      <c r="AG192" s="368">
        <f>hypo!CZ46*pvar!AG$21</f>
        <v>4.7382316462710005E-9</v>
      </c>
      <c r="AH192" s="368">
        <f>hypo!DA46*pvar!AH$21</f>
        <v>5.3076052375152714E-9</v>
      </c>
      <c r="AI192" s="368">
        <f>hypo!DB46*pvar!AI$21</f>
        <v>1.0811718851175791E-8</v>
      </c>
      <c r="AJ192" s="368">
        <f>hypo!DC46*pvar!AJ$21</f>
        <v>1.9270580271556569E-8</v>
      </c>
      <c r="AK192" s="368">
        <f>hypo!DD46*pvar!AK$21</f>
        <v>1.1989606000283052E-8</v>
      </c>
      <c r="AL192" s="368">
        <f>hypo!DE46*pvar!AL$21</f>
        <v>7.2837172901438516E-8</v>
      </c>
      <c r="AM192" s="380"/>
    </row>
    <row r="193" spans="1:39" s="364" customFormat="1" x14ac:dyDescent="0.2">
      <c r="A193" s="44"/>
      <c r="B193" s="110" t="s">
        <v>105</v>
      </c>
      <c r="C193" s="98" t="s">
        <v>927</v>
      </c>
      <c r="D193" s="8"/>
      <c r="E193" s="17"/>
      <c r="F193" s="368">
        <f>hypo!BY47*pvar!F$21</f>
        <v>20.290727940117648</v>
      </c>
      <c r="G193" s="368">
        <f>hypo!BZ47*pvar!G$21</f>
        <v>2.472229003469304</v>
      </c>
      <c r="H193" s="368">
        <f>hypo!CA47*pvar!H$21</f>
        <v>219.46268446302676</v>
      </c>
      <c r="I193" s="368">
        <f>hypo!CB47*pvar!I$21</f>
        <v>1872.1842014518425</v>
      </c>
      <c r="J193" s="368">
        <f>hypo!CC47*pvar!J$21</f>
        <v>1.7548598311231358</v>
      </c>
      <c r="K193" s="368">
        <f>hypo!CD47*pvar!K$21</f>
        <v>0.75463860219150047</v>
      </c>
      <c r="L193" s="368">
        <f>hypo!CE47*pvar!L$21</f>
        <v>3.3504352980721852</v>
      </c>
      <c r="M193" s="368">
        <f>hypo!CF47*pvar!M$21</f>
        <v>4156.4460847318514</v>
      </c>
      <c r="N193" s="368">
        <f>hypo!CG47*pvar!N$21</f>
        <v>22.374051012724351</v>
      </c>
      <c r="O193" s="368">
        <f>hypo!CH47*pvar!O$21</f>
        <v>67.358797589931882</v>
      </c>
      <c r="P193" s="368">
        <f>hypo!CI47*pvar!P$21</f>
        <v>1.5568210456130915</v>
      </c>
      <c r="Q193" s="368">
        <f>hypo!CJ47*pvar!Q$21</f>
        <v>1.981137654762934</v>
      </c>
      <c r="R193" s="368">
        <f>hypo!CK47*pvar!R$21</f>
        <v>2481.8638326872178</v>
      </c>
      <c r="S193" s="368">
        <f>hypo!CL47*pvar!S$21</f>
        <v>75.11691822849609</v>
      </c>
      <c r="T193" s="368">
        <f>hypo!CM47*pvar!T$21</f>
        <v>18.482480082353486</v>
      </c>
      <c r="U193" s="368">
        <f>hypo!CN47*pvar!U$21</f>
        <v>99.489057236635119</v>
      </c>
      <c r="V193" s="368">
        <f>hypo!CO47*pvar!V$21</f>
        <v>99.946156057449741</v>
      </c>
      <c r="W193" s="368">
        <f>hypo!CP47*pvar!W$21</f>
        <v>66.113069702041173</v>
      </c>
      <c r="X193" s="368">
        <f>hypo!CQ47*pvar!X$21</f>
        <v>0.26656999005281795</v>
      </c>
      <c r="Y193" s="368">
        <f>hypo!CR47*pvar!Y$21</f>
        <v>7.4085201058533601</v>
      </c>
      <c r="Z193" s="368">
        <f>hypo!CS47*pvar!Z$21</f>
        <v>0.80929037788664371</v>
      </c>
      <c r="AA193" s="368">
        <f>hypo!CT47*pvar!AA$21</f>
        <v>9.956911074984836</v>
      </c>
      <c r="AB193" s="368">
        <f>hypo!CU47*pvar!AB$21</f>
        <v>0.14688962849495837</v>
      </c>
      <c r="AC193" s="368">
        <f>hypo!CV47*pvar!AC$21</f>
        <v>136.95634940130788</v>
      </c>
      <c r="AD193" s="368">
        <f>hypo!CW47*pvar!AD$21</f>
        <v>53.252322363113656</v>
      </c>
      <c r="AE193" s="368">
        <f>hypo!CX47*pvar!AE$21</f>
        <v>37.689387449958978</v>
      </c>
      <c r="AF193" s="368">
        <f>hypo!CY47*pvar!AF$21</f>
        <v>203.54039136655985</v>
      </c>
      <c r="AG193" s="368">
        <f>hypo!CZ47*pvar!AG$21</f>
        <v>6.6283740529899742</v>
      </c>
      <c r="AH193" s="368">
        <f>hypo!DA47*pvar!AH$21</f>
        <v>0.49499187975957637</v>
      </c>
      <c r="AI193" s="368">
        <f>hypo!DB47*pvar!AI$21</f>
        <v>19.905314554479947</v>
      </c>
      <c r="AJ193" s="368">
        <f>hypo!DC47*pvar!AJ$21</f>
        <v>32.533766606284416</v>
      </c>
      <c r="AK193" s="368">
        <f>hypo!DD47*pvar!AK$21</f>
        <v>36.260738842595174</v>
      </c>
      <c r="AL193" s="368">
        <f>hypo!DE47*pvar!AL$21</f>
        <v>19.856046699653021</v>
      </c>
      <c r="AM193" s="380"/>
    </row>
    <row r="194" spans="1:39" s="364" customFormat="1" x14ac:dyDescent="0.2">
      <c r="A194" s="44"/>
      <c r="B194" s="110" t="s">
        <v>106</v>
      </c>
      <c r="C194" s="98" t="s">
        <v>927</v>
      </c>
      <c r="D194" s="8"/>
      <c r="E194" s="17"/>
      <c r="F194" s="368">
        <f>hypo!BY48*pvar!F$21</f>
        <v>156.90333776745209</v>
      </c>
      <c r="G194" s="368">
        <f>hypo!BZ48*pvar!G$21</f>
        <v>12.841718591167204</v>
      </c>
      <c r="H194" s="368">
        <f>hypo!CA48*pvar!H$21</f>
        <v>305.46282873601183</v>
      </c>
      <c r="I194" s="368">
        <f>hypo!CB48*pvar!I$21</f>
        <v>971.76566817275193</v>
      </c>
      <c r="J194" s="368">
        <f>hypo!CC48*pvar!J$21</f>
        <v>1.4793675643277218</v>
      </c>
      <c r="K194" s="368">
        <f>hypo!CD48*pvar!K$21</f>
        <v>2.1524032250238991</v>
      </c>
      <c r="L194" s="368">
        <f>hypo!CE48*pvar!L$21</f>
        <v>2.9696386151822169</v>
      </c>
      <c r="M194" s="368">
        <f>hypo!CF48*pvar!M$21</f>
        <v>599.4827228111501</v>
      </c>
      <c r="N194" s="368">
        <f>hypo!CG48*pvar!N$21</f>
        <v>56.587220081184185</v>
      </c>
      <c r="O194" s="368">
        <f>hypo!CH48*pvar!O$21</f>
        <v>15.789656064349828</v>
      </c>
      <c r="P194" s="368">
        <f>hypo!CI48*pvar!P$21</f>
        <v>0.59871227609672406</v>
      </c>
      <c r="Q194" s="368">
        <f>hypo!CJ48*pvar!Q$21</f>
        <v>1.2665208536553276</v>
      </c>
      <c r="R194" s="368">
        <f>hypo!CK48*pvar!R$21</f>
        <v>2204.3316305892895</v>
      </c>
      <c r="S194" s="368">
        <f>hypo!CL48*pvar!S$21</f>
        <v>94.908697652538606</v>
      </c>
      <c r="T194" s="368">
        <f>hypo!CM48*pvar!T$21</f>
        <v>64.02285181322074</v>
      </c>
      <c r="U194" s="368">
        <f>hypo!CN48*pvar!U$21</f>
        <v>84.809184312137376</v>
      </c>
      <c r="V194" s="368">
        <f>hypo!CO48*pvar!V$21</f>
        <v>56.568048908969722</v>
      </c>
      <c r="W194" s="368">
        <f>hypo!CP48*pvar!W$21</f>
        <v>34.552534376027197</v>
      </c>
      <c r="X194" s="368">
        <f>hypo!CQ48*pvar!X$21</f>
        <v>0</v>
      </c>
      <c r="Y194" s="368">
        <f>hypo!CR48*pvar!Y$21</f>
        <v>1.3601579881840156</v>
      </c>
      <c r="Z194" s="368">
        <f>hypo!CS48*pvar!Z$21</f>
        <v>0.83128196424225909</v>
      </c>
      <c r="AA194" s="368">
        <f>hypo!CT48*pvar!AA$21</f>
        <v>9.4543700622784925</v>
      </c>
      <c r="AB194" s="368">
        <f>hypo!CU48*pvar!AB$21</f>
        <v>0</v>
      </c>
      <c r="AC194" s="368">
        <f>hypo!CV48*pvar!AC$21</f>
        <v>38.83775627653003</v>
      </c>
      <c r="AD194" s="368">
        <f>hypo!CW48*pvar!AD$21</f>
        <v>118.22633907634882</v>
      </c>
      <c r="AE194" s="368">
        <f>hypo!CX48*pvar!AE$21</f>
        <v>106.13450368628395</v>
      </c>
      <c r="AF194" s="368">
        <f>hypo!CY48*pvar!AF$21</f>
        <v>39.045749801683677</v>
      </c>
      <c r="AG194" s="368">
        <f>hypo!CZ48*pvar!AG$21</f>
        <v>3.6154767561763501</v>
      </c>
      <c r="AH194" s="368">
        <f>hypo!DA48*pvar!AH$21</f>
        <v>1.062674874728601</v>
      </c>
      <c r="AI194" s="368">
        <f>hypo!DB48*pvar!AI$21</f>
        <v>55.07630605208746</v>
      </c>
      <c r="AJ194" s="368">
        <f>hypo!DC48*pvar!AJ$21</f>
        <v>66.269849851250726</v>
      </c>
      <c r="AK194" s="368">
        <f>hypo!DD48*pvar!AK$21</f>
        <v>37.196449397834655</v>
      </c>
      <c r="AL194" s="368">
        <f>hypo!DE48*pvar!AL$21</f>
        <v>23.371232000548527</v>
      </c>
      <c r="AM194" s="380"/>
    </row>
    <row r="195" spans="1:39" s="364" customFormat="1" x14ac:dyDescent="0.2">
      <c r="A195" s="44"/>
      <c r="B195" s="110" t="s">
        <v>107</v>
      </c>
      <c r="C195" s="98" t="s">
        <v>927</v>
      </c>
      <c r="D195" s="8"/>
      <c r="E195" s="17"/>
      <c r="F195" s="368">
        <f>hypo!BY49*pvar!F$21</f>
        <v>209.62632424821246</v>
      </c>
      <c r="G195" s="368">
        <f>hypo!BZ49*pvar!G$21</f>
        <v>10.449585183334683</v>
      </c>
      <c r="H195" s="368">
        <f>hypo!CA49*pvar!H$21</f>
        <v>285.47019339985945</v>
      </c>
      <c r="I195" s="368">
        <f>hypo!CB49*pvar!I$21</f>
        <v>1965.0902723730496</v>
      </c>
      <c r="J195" s="368">
        <f>hypo!CC49*pvar!J$21</f>
        <v>6.0893290695124156</v>
      </c>
      <c r="K195" s="368">
        <f>hypo!CD49*pvar!K$21</f>
        <v>6.4515989791446229</v>
      </c>
      <c r="L195" s="368">
        <f>hypo!CE49*pvar!L$21</f>
        <v>19.176997685186713</v>
      </c>
      <c r="M195" s="368">
        <f>hypo!CF49*pvar!M$21</f>
        <v>2404.769333662141</v>
      </c>
      <c r="N195" s="368">
        <f>hypo!CG49*pvar!N$21</f>
        <v>5.8135590050887069</v>
      </c>
      <c r="O195" s="368">
        <f>hypo!CH49*pvar!O$21</f>
        <v>139.15700572549255</v>
      </c>
      <c r="P195" s="368">
        <f>hypo!CI49*pvar!P$21</f>
        <v>7.8086287534987981</v>
      </c>
      <c r="Q195" s="368">
        <f>hypo!CJ49*pvar!Q$21</f>
        <v>12.564795714243793</v>
      </c>
      <c r="R195" s="368">
        <f>hypo!CK49*pvar!R$21</f>
        <v>4161.0035837228615</v>
      </c>
      <c r="S195" s="368">
        <f>hypo!CL49*pvar!S$21</f>
        <v>153.78673295205306</v>
      </c>
      <c r="T195" s="368">
        <f>hypo!CM49*pvar!T$21</f>
        <v>283.82124993710295</v>
      </c>
      <c r="U195" s="368">
        <f>hypo!CN49*pvar!U$21</f>
        <v>213.06219566862327</v>
      </c>
      <c r="V195" s="368">
        <f>hypo!CO49*pvar!V$21</f>
        <v>186.89162574131001</v>
      </c>
      <c r="W195" s="368">
        <f>hypo!CP49*pvar!W$21</f>
        <v>119.81297914857396</v>
      </c>
      <c r="X195" s="368">
        <f>hypo!CQ49*pvar!X$21</f>
        <v>5.1141344229848569</v>
      </c>
      <c r="Y195" s="368">
        <f>hypo!CR49*pvar!Y$21</f>
        <v>38.23635621038575</v>
      </c>
      <c r="Z195" s="368">
        <f>hypo!CS49*pvar!Z$21</f>
        <v>6.6458573966669476</v>
      </c>
      <c r="AA195" s="368">
        <f>hypo!CT49*pvar!AA$21</f>
        <v>20.374061730630036</v>
      </c>
      <c r="AB195" s="368">
        <f>hypo!CU49*pvar!AB$21</f>
        <v>1.5375034168214805</v>
      </c>
      <c r="AC195" s="368">
        <f>hypo!CV49*pvar!AC$21</f>
        <v>469.73925133234059</v>
      </c>
      <c r="AD195" s="368">
        <f>hypo!CW49*pvar!AD$21</f>
        <v>1999.3796968998629</v>
      </c>
      <c r="AE195" s="368">
        <f>hypo!CX49*pvar!AE$21</f>
        <v>530.61517238232238</v>
      </c>
      <c r="AF195" s="368">
        <f>hypo!CY49*pvar!AF$21</f>
        <v>1915.5521213534539</v>
      </c>
      <c r="AG195" s="368">
        <f>hypo!CZ49*pvar!AG$21</f>
        <v>46.471751946339673</v>
      </c>
      <c r="AH195" s="368">
        <f>hypo!DA49*pvar!AH$21</f>
        <v>6.1164381226235749</v>
      </c>
      <c r="AI195" s="368">
        <f>hypo!DB49*pvar!AI$21</f>
        <v>145.58449507840862</v>
      </c>
      <c r="AJ195" s="368">
        <f>hypo!DC49*pvar!AJ$21</f>
        <v>216.03577261389142</v>
      </c>
      <c r="AK195" s="368">
        <f>hypo!DD49*pvar!AK$21</f>
        <v>82.386838274553682</v>
      </c>
      <c r="AL195" s="368">
        <f>hypo!DE49*pvar!AL$21</f>
        <v>80.754256912464456</v>
      </c>
      <c r="AM195" s="380"/>
    </row>
    <row r="196" spans="1:39" s="364" customFormat="1" x14ac:dyDescent="0.2">
      <c r="A196" s="44"/>
      <c r="B196" s="110" t="s">
        <v>108</v>
      </c>
      <c r="C196" s="98" t="s">
        <v>927</v>
      </c>
      <c r="D196" s="8"/>
      <c r="E196" s="17"/>
      <c r="F196" s="368">
        <f>hypo!BY50*pvar!F$21</f>
        <v>54.340732230452709</v>
      </c>
      <c r="G196" s="368">
        <f>hypo!BZ50*pvar!G$21</f>
        <v>5.6241971237241559</v>
      </c>
      <c r="H196" s="368">
        <f>hypo!CA50*pvar!H$21</f>
        <v>121.77611585473289</v>
      </c>
      <c r="I196" s="368">
        <f>hypo!CB50*pvar!I$21</f>
        <v>39.98897779295649</v>
      </c>
      <c r="J196" s="368">
        <f>hypo!CC50*pvar!J$21</f>
        <v>0</v>
      </c>
      <c r="K196" s="368">
        <f>hypo!CD50*pvar!K$21</f>
        <v>0</v>
      </c>
      <c r="L196" s="368">
        <f>hypo!CE50*pvar!L$21</f>
        <v>0.27624545257508998</v>
      </c>
      <c r="M196" s="368">
        <f>hypo!CF50*pvar!M$21</f>
        <v>413.62127700141639</v>
      </c>
      <c r="N196" s="368">
        <f>hypo!CG50*pvar!N$21</f>
        <v>1196.113492684095</v>
      </c>
      <c r="O196" s="368">
        <f>hypo!CH50*pvar!O$21</f>
        <v>89.435607614450092</v>
      </c>
      <c r="P196" s="368">
        <f>hypo!CI50*pvar!P$21</f>
        <v>19.294771555429005</v>
      </c>
      <c r="Q196" s="368">
        <f>hypo!CJ50*pvar!Q$21</f>
        <v>0.47494532012074775</v>
      </c>
      <c r="R196" s="368">
        <f>hypo!CK50*pvar!R$21</f>
        <v>0</v>
      </c>
      <c r="S196" s="368">
        <f>hypo!CL50*pvar!S$21</f>
        <v>843.94145464867393</v>
      </c>
      <c r="T196" s="368">
        <f>hypo!CM50*pvar!T$21</f>
        <v>180.84819765550552</v>
      </c>
      <c r="U196" s="368">
        <f>hypo!CN50*pvar!U$21</f>
        <v>2326.8001220835408</v>
      </c>
      <c r="V196" s="368">
        <f>hypo!CO50*pvar!V$21</f>
        <v>1520.4267952719424</v>
      </c>
      <c r="W196" s="368">
        <f>hypo!CP50*pvar!W$21</f>
        <v>0</v>
      </c>
      <c r="X196" s="368">
        <f>hypo!CQ50*pvar!X$21</f>
        <v>0</v>
      </c>
      <c r="Y196" s="368">
        <f>hypo!CR50*pvar!Y$21</f>
        <v>0.33859252046282934</v>
      </c>
      <c r="Z196" s="368">
        <f>hypo!CS50*pvar!Z$21</f>
        <v>38.550371217939428</v>
      </c>
      <c r="AA196" s="368">
        <f>hypo!CT50*pvar!AA$21</f>
        <v>56.710991858134399</v>
      </c>
      <c r="AB196" s="368">
        <f>hypo!CU50*pvar!AB$21</f>
        <v>13.831197785374378</v>
      </c>
      <c r="AC196" s="368">
        <f>hypo!CV50*pvar!AC$21</f>
        <v>1402.0624376103085</v>
      </c>
      <c r="AD196" s="368">
        <f>hypo!CW50*pvar!AD$21</f>
        <v>3.6490708847638236</v>
      </c>
      <c r="AE196" s="368">
        <f>hypo!CX50*pvar!AE$21</f>
        <v>70.504360726640201</v>
      </c>
      <c r="AF196" s="368">
        <f>hypo!CY50*pvar!AF$21</f>
        <v>18.491100834101335</v>
      </c>
      <c r="AG196" s="368">
        <f>hypo!CZ50*pvar!AG$21</f>
        <v>10.449654870671747</v>
      </c>
      <c r="AH196" s="368">
        <f>hypo!DA50*pvar!AH$21</f>
        <v>22.064868799576526</v>
      </c>
      <c r="AI196" s="368">
        <f>hypo!DB50*pvar!AI$21</f>
        <v>17.159608041013961</v>
      </c>
      <c r="AJ196" s="368">
        <f>hypo!DC50*pvar!AJ$21</f>
        <v>0</v>
      </c>
      <c r="AK196" s="368">
        <f>hypo!DD50*pvar!AK$21</f>
        <v>2636.9147080452085</v>
      </c>
      <c r="AL196" s="368">
        <f>hypo!DE50*pvar!AL$21</f>
        <v>43.322283708333863</v>
      </c>
      <c r="AM196" s="380"/>
    </row>
    <row r="197" spans="1:39" s="364" customFormat="1" x14ac:dyDescent="0.2">
      <c r="A197" s="44"/>
      <c r="B197" s="110" t="s">
        <v>109</v>
      </c>
      <c r="C197" s="98" t="s">
        <v>927</v>
      </c>
      <c r="D197" s="8"/>
      <c r="E197" s="17"/>
      <c r="F197" s="368">
        <f>hypo!BY51*pvar!F$21</f>
        <v>14.253712551183897</v>
      </c>
      <c r="G197" s="368">
        <f>hypo!BZ51*pvar!G$21</f>
        <v>3.233550025913758</v>
      </c>
      <c r="H197" s="368">
        <f>hypo!CA51*pvar!H$21</f>
        <v>0</v>
      </c>
      <c r="I197" s="368">
        <f>hypo!CB51*pvar!I$21</f>
        <v>0.13493075399715382</v>
      </c>
      <c r="J197" s="368">
        <f>hypo!CC51*pvar!J$21</f>
        <v>8.9815660648034505</v>
      </c>
      <c r="K197" s="368">
        <f>hypo!CD51*pvar!K$21</f>
        <v>0</v>
      </c>
      <c r="L197" s="368">
        <f>hypo!CE51*pvar!L$21</f>
        <v>1.1280022646816172</v>
      </c>
      <c r="M197" s="368">
        <f>hypo!CF51*pvar!M$21</f>
        <v>0.14751424904072163</v>
      </c>
      <c r="N197" s="368">
        <f>hypo!CG51*pvar!N$21</f>
        <v>12.837547313198652</v>
      </c>
      <c r="O197" s="368">
        <f>hypo!CH51*pvar!O$21</f>
        <v>0</v>
      </c>
      <c r="P197" s="368">
        <f>hypo!CI51*pvar!P$21</f>
        <v>6.5621571504386722</v>
      </c>
      <c r="Q197" s="368">
        <f>hypo!CJ51*pvar!Q$21</f>
        <v>5.2361255662694788</v>
      </c>
      <c r="R197" s="368">
        <f>hypo!CK51*pvar!R$21</f>
        <v>1.7757009092167031</v>
      </c>
      <c r="S197" s="368">
        <f>hypo!CL51*pvar!S$21</f>
        <v>351.32001458478777</v>
      </c>
      <c r="T197" s="368">
        <f>hypo!CM51*pvar!T$21</f>
        <v>96.767071702392343</v>
      </c>
      <c r="U197" s="368">
        <f>hypo!CN51*pvar!U$21</f>
        <v>101.60198680879225</v>
      </c>
      <c r="V197" s="368">
        <f>hypo!CO51*pvar!V$21</f>
        <v>81.858748366564527</v>
      </c>
      <c r="W197" s="368">
        <f>hypo!CP51*pvar!W$21</f>
        <v>1.468509314410765</v>
      </c>
      <c r="X197" s="368">
        <f>hypo!CQ51*pvar!X$21</f>
        <v>8.0101031157334592</v>
      </c>
      <c r="Y197" s="368">
        <f>hypo!CR51*pvar!Y$21</f>
        <v>3.9261297956801013</v>
      </c>
      <c r="Z197" s="368">
        <f>hypo!CS51*pvar!Z$21</f>
        <v>63.048411975792078</v>
      </c>
      <c r="AA197" s="368">
        <f>hypo!CT51*pvar!AA$21</f>
        <v>4395.081564318034</v>
      </c>
      <c r="AB197" s="368">
        <f>hypo!CU51*pvar!AB$21</f>
        <v>107.93836916399586</v>
      </c>
      <c r="AC197" s="368">
        <f>hypo!CV51*pvar!AC$21</f>
        <v>1619.2268901773309</v>
      </c>
      <c r="AD197" s="368">
        <f>hypo!CW51*pvar!AD$21</f>
        <v>151.55333396052535</v>
      </c>
      <c r="AE197" s="368">
        <f>hypo!CX51*pvar!AE$21</f>
        <v>57.843048189562893</v>
      </c>
      <c r="AF197" s="368">
        <f>hypo!CY51*pvar!AF$21</f>
        <v>15.881547093637423</v>
      </c>
      <c r="AG197" s="368">
        <f>hypo!CZ51*pvar!AG$21</f>
        <v>3137.4963083048265</v>
      </c>
      <c r="AH197" s="368">
        <f>hypo!DA51*pvar!AH$21</f>
        <v>492.74422432421119</v>
      </c>
      <c r="AI197" s="368">
        <f>hypo!DB51*pvar!AI$21</f>
        <v>160.53992269798067</v>
      </c>
      <c r="AJ197" s="368">
        <f>hypo!DC51*pvar!AJ$21</f>
        <v>103.05571188701988</v>
      </c>
      <c r="AK197" s="368">
        <f>hypo!DD51*pvar!AK$21</f>
        <v>363.71251732684732</v>
      </c>
      <c r="AL197" s="368">
        <f>hypo!DE51*pvar!AL$21</f>
        <v>337.39445221388081</v>
      </c>
      <c r="AM197" s="380"/>
    </row>
    <row r="198" spans="1:39" s="364" customFormat="1" x14ac:dyDescent="0.2">
      <c r="A198" s="44"/>
      <c r="B198" s="110" t="s">
        <v>110</v>
      </c>
      <c r="C198" s="98" t="s">
        <v>927</v>
      </c>
      <c r="D198" s="8"/>
      <c r="E198" s="17"/>
      <c r="F198" s="368">
        <f>hypo!BY52*pvar!F$21</f>
        <v>108.92547631981242</v>
      </c>
      <c r="G198" s="368">
        <f>hypo!BZ52*pvar!G$21</f>
        <v>15.704351693781561</v>
      </c>
      <c r="H198" s="368">
        <f>hypo!CA52*pvar!H$21</f>
        <v>8.3841573446680826</v>
      </c>
      <c r="I198" s="368">
        <f>hypo!CB52*pvar!I$21</f>
        <v>18.575692018198176</v>
      </c>
      <c r="J198" s="368">
        <f>hypo!CC52*pvar!J$21</f>
        <v>9.0189086529421125</v>
      </c>
      <c r="K198" s="368">
        <f>hypo!CD52*pvar!K$21</f>
        <v>35.295625670641172</v>
      </c>
      <c r="L198" s="368">
        <f>hypo!CE52*pvar!L$21</f>
        <v>25.957403951218332</v>
      </c>
      <c r="M198" s="368">
        <f>hypo!CF52*pvar!M$21</f>
        <v>250.91054388995789</v>
      </c>
      <c r="N198" s="368">
        <f>hypo!CG52*pvar!N$21</f>
        <v>210.78883262450222</v>
      </c>
      <c r="O198" s="368">
        <f>hypo!CH52*pvar!O$21</f>
        <v>52.708742789356869</v>
      </c>
      <c r="P198" s="368">
        <f>hypo!CI52*pvar!P$21</f>
        <v>233.4146782956677</v>
      </c>
      <c r="Q198" s="368">
        <f>hypo!CJ52*pvar!Q$21</f>
        <v>57.009269925160432</v>
      </c>
      <c r="R198" s="368">
        <f>hypo!CK52*pvar!R$21</f>
        <v>269.10191360657404</v>
      </c>
      <c r="S198" s="368">
        <f>hypo!CL52*pvar!S$21</f>
        <v>547.1070377027329</v>
      </c>
      <c r="T198" s="368">
        <f>hypo!CM52*pvar!T$21</f>
        <v>1000.5735112349608</v>
      </c>
      <c r="U198" s="368">
        <f>hypo!CN52*pvar!U$21</f>
        <v>1384.2119020055609</v>
      </c>
      <c r="V198" s="368">
        <f>hypo!CO52*pvar!V$21</f>
        <v>63.944605913563777</v>
      </c>
      <c r="W198" s="368">
        <f>hypo!CP52*pvar!W$21</f>
        <v>3.6508418520872836</v>
      </c>
      <c r="X198" s="368">
        <f>hypo!CQ52*pvar!X$21</f>
        <v>14.748699887450346</v>
      </c>
      <c r="Y198" s="368">
        <f>hypo!CR52*pvar!Y$21</f>
        <v>120.60057848721046</v>
      </c>
      <c r="Z198" s="368">
        <f>hypo!CS52*pvar!Z$21</f>
        <v>553.76996008805838</v>
      </c>
      <c r="AA198" s="368">
        <f>hypo!CT52*pvar!AA$21</f>
        <v>368.26936379866839</v>
      </c>
      <c r="AB198" s="368">
        <f>hypo!CU52*pvar!AB$21</f>
        <v>1.4353667481937284</v>
      </c>
      <c r="AC198" s="368">
        <f>hypo!CV52*pvar!AC$21</f>
        <v>2013.4916256949052</v>
      </c>
      <c r="AD198" s="368">
        <f>hypo!CW52*pvar!AD$21</f>
        <v>134.73203199062101</v>
      </c>
      <c r="AE198" s="368">
        <f>hypo!CX52*pvar!AE$21</f>
        <v>54.440064125761481</v>
      </c>
      <c r="AF198" s="368">
        <f>hypo!CY52*pvar!AF$21</f>
        <v>25.897296798269352</v>
      </c>
      <c r="AG198" s="368">
        <f>hypo!CZ52*pvar!AG$21</f>
        <v>256.25905938771825</v>
      </c>
      <c r="AH198" s="368">
        <f>hypo!DA52*pvar!AH$21</f>
        <v>13.090216026917446</v>
      </c>
      <c r="AI198" s="368">
        <f>hypo!DB52*pvar!AI$21</f>
        <v>7173.288994213055</v>
      </c>
      <c r="AJ198" s="368">
        <f>hypo!DC52*pvar!AJ$21</f>
        <v>4012.2142408428513</v>
      </c>
      <c r="AK198" s="368">
        <f>hypo!DD52*pvar!AK$21</f>
        <v>4207.9604279139667</v>
      </c>
      <c r="AL198" s="368">
        <f>hypo!DE52*pvar!AL$21</f>
        <v>4927.1345309566168</v>
      </c>
      <c r="AM198" s="380"/>
    </row>
    <row r="199" spans="1:39" s="364" customFormat="1" x14ac:dyDescent="0.2">
      <c r="A199" s="44"/>
      <c r="B199" s="110" t="s">
        <v>111</v>
      </c>
      <c r="C199" s="98" t="s">
        <v>927</v>
      </c>
      <c r="D199" s="8"/>
      <c r="E199" s="17"/>
      <c r="F199" s="368">
        <f>hypo!BY53*pvar!F$21</f>
        <v>209.32724378398731</v>
      </c>
      <c r="G199" s="368">
        <f>hypo!BZ53*pvar!G$21</f>
        <v>43.254594263906021</v>
      </c>
      <c r="H199" s="368">
        <f>hypo!CA53*pvar!H$21</f>
        <v>17.683625364061285</v>
      </c>
      <c r="I199" s="368">
        <f>hypo!CB53*pvar!I$21</f>
        <v>32.699118923670255</v>
      </c>
      <c r="J199" s="368">
        <f>hypo!CC53*pvar!J$21</f>
        <v>90.776688216968452</v>
      </c>
      <c r="K199" s="368">
        <f>hypo!CD53*pvar!K$21</f>
        <v>82.843664678990223</v>
      </c>
      <c r="L199" s="368">
        <f>hypo!CE53*pvar!L$21</f>
        <v>1284.1048866590997</v>
      </c>
      <c r="M199" s="368">
        <f>hypo!CF53*pvar!M$21</f>
        <v>2362.971055499002</v>
      </c>
      <c r="N199" s="368">
        <f>hypo!CG53*pvar!N$21</f>
        <v>434.11329091316281</v>
      </c>
      <c r="O199" s="368">
        <f>hypo!CH53*pvar!O$21</f>
        <v>94.361980306527229</v>
      </c>
      <c r="P199" s="368">
        <f>hypo!CI53*pvar!P$21</f>
        <v>23.380221764861904</v>
      </c>
      <c r="Q199" s="368">
        <f>hypo!CJ53*pvar!Q$21</f>
        <v>1710.0010463180754</v>
      </c>
      <c r="R199" s="368">
        <f>hypo!CK53*pvar!R$21</f>
        <v>9304.0907769732094</v>
      </c>
      <c r="S199" s="368">
        <f>hypo!CL53*pvar!S$21</f>
        <v>154.87464729007894</v>
      </c>
      <c r="T199" s="368">
        <f>hypo!CM53*pvar!T$21</f>
        <v>399.62216892476937</v>
      </c>
      <c r="U199" s="368">
        <f>hypo!CN53*pvar!U$21</f>
        <v>192.75641651489187</v>
      </c>
      <c r="V199" s="368">
        <f>hypo!CO53*pvar!V$21</f>
        <v>80.606341187865738</v>
      </c>
      <c r="W199" s="368">
        <f>hypo!CP53*pvar!W$21</f>
        <v>11.54376017588984</v>
      </c>
      <c r="X199" s="368">
        <f>hypo!CQ53*pvar!X$21</f>
        <v>10.494925525450189</v>
      </c>
      <c r="Y199" s="368">
        <f>hypo!CR53*pvar!Y$21</f>
        <v>193.97661632233027</v>
      </c>
      <c r="Z199" s="368">
        <f>hypo!CS53*pvar!Z$21</f>
        <v>16.734365687787335</v>
      </c>
      <c r="AA199" s="368">
        <f>hypo!CT53*pvar!AA$21</f>
        <v>105.08163032720779</v>
      </c>
      <c r="AB199" s="368">
        <f>hypo!CU53*pvar!AB$21</f>
        <v>4.1176945055175915</v>
      </c>
      <c r="AC199" s="368">
        <f>hypo!CV53*pvar!AC$21</f>
        <v>351.94415742929255</v>
      </c>
      <c r="AD199" s="368">
        <f>hypo!CW53*pvar!AD$21</f>
        <v>17.950582681038753</v>
      </c>
      <c r="AE199" s="368">
        <f>hypo!CX53*pvar!AE$21</f>
        <v>71.749916913035378</v>
      </c>
      <c r="AF199" s="368">
        <f>hypo!CY53*pvar!AF$21</f>
        <v>19.160058355986216</v>
      </c>
      <c r="AG199" s="368">
        <f>hypo!CZ53*pvar!AG$21</f>
        <v>10.153000367600871</v>
      </c>
      <c r="AH199" s="368">
        <f>hypo!DA53*pvar!AH$21</f>
        <v>4.5990630148514935</v>
      </c>
      <c r="AI199" s="368">
        <f>hypo!DB53*pvar!AI$21</f>
        <v>926.17376745787135</v>
      </c>
      <c r="AJ199" s="368">
        <f>hypo!DC53*pvar!AJ$21</f>
        <v>1448.9351573272772</v>
      </c>
      <c r="AK199" s="368">
        <f>hypo!DD53*pvar!AK$21</f>
        <v>130.28156097771912</v>
      </c>
      <c r="AL199" s="368">
        <f>hypo!DE53*pvar!AL$21</f>
        <v>284.5932021608258</v>
      </c>
      <c r="AM199" s="380"/>
    </row>
    <row r="200" spans="1:39" s="364" customFormat="1" x14ac:dyDescent="0.2">
      <c r="A200" s="44"/>
      <c r="B200" s="110" t="s">
        <v>112</v>
      </c>
      <c r="C200" s="98" t="s">
        <v>927</v>
      </c>
      <c r="D200" s="8"/>
      <c r="E200" s="17"/>
      <c r="F200" s="368">
        <f>hypo!BY54*pvar!F$21</f>
        <v>762.12938828047368</v>
      </c>
      <c r="G200" s="368">
        <f>hypo!BZ54*pvar!G$21</f>
        <v>74.273554134556136</v>
      </c>
      <c r="H200" s="368">
        <f>hypo!CA54*pvar!H$21</f>
        <v>54.874226052484353</v>
      </c>
      <c r="I200" s="368">
        <f>hypo!CB54*pvar!I$21</f>
        <v>3501.6240534760691</v>
      </c>
      <c r="J200" s="368">
        <f>hypo!CC54*pvar!J$21</f>
        <v>242.51831239067036</v>
      </c>
      <c r="K200" s="368">
        <f>hypo!CD54*pvar!K$21</f>
        <v>139.19367929729458</v>
      </c>
      <c r="L200" s="368">
        <f>hypo!CE54*pvar!L$21</f>
        <v>1240.6113062761426</v>
      </c>
      <c r="M200" s="368">
        <f>hypo!CF54*pvar!M$21</f>
        <v>7799.6403760717985</v>
      </c>
      <c r="N200" s="368">
        <f>hypo!CG54*pvar!N$21</f>
        <v>461.72963427355938</v>
      </c>
      <c r="O200" s="368">
        <f>hypo!CH54*pvar!O$21</f>
        <v>157.05353031101907</v>
      </c>
      <c r="P200" s="368">
        <f>hypo!CI54*pvar!P$21</f>
        <v>44.251602314012288</v>
      </c>
      <c r="Q200" s="368">
        <f>hypo!CJ54*pvar!Q$21</f>
        <v>171.56860245294712</v>
      </c>
      <c r="R200" s="368">
        <f>hypo!CK54*pvar!R$21</f>
        <v>2634.5054306547186</v>
      </c>
      <c r="S200" s="368">
        <f>hypo!CL54*pvar!S$21</f>
        <v>282.29269210275913</v>
      </c>
      <c r="T200" s="368">
        <f>hypo!CM54*pvar!T$21</f>
        <v>1830.7730567401095</v>
      </c>
      <c r="U200" s="368">
        <f>hypo!CN54*pvar!U$21</f>
        <v>928.94047244182752</v>
      </c>
      <c r="V200" s="368">
        <f>hypo!CO54*pvar!V$21</f>
        <v>330.43581143152744</v>
      </c>
      <c r="W200" s="368">
        <f>hypo!CP54*pvar!W$21</f>
        <v>10.862452255479397</v>
      </c>
      <c r="X200" s="368">
        <f>hypo!CQ54*pvar!X$21</f>
        <v>33.697979336853308</v>
      </c>
      <c r="Y200" s="368">
        <f>hypo!CR54*pvar!Y$21</f>
        <v>749.62047163288582</v>
      </c>
      <c r="Z200" s="368">
        <f>hypo!CS54*pvar!Z$21</f>
        <v>239.10003331972581</v>
      </c>
      <c r="AA200" s="368">
        <f>hypo!CT54*pvar!AA$21</f>
        <v>291.08292213757613</v>
      </c>
      <c r="AB200" s="368">
        <f>hypo!CU54*pvar!AB$21</f>
        <v>12.761032077606437</v>
      </c>
      <c r="AC200" s="368">
        <f>hypo!CV54*pvar!AC$21</f>
        <v>980.3143206857136</v>
      </c>
      <c r="AD200" s="368">
        <f>hypo!CW54*pvar!AD$21</f>
        <v>288.22063844095982</v>
      </c>
      <c r="AE200" s="368">
        <f>hypo!CX54*pvar!AE$21</f>
        <v>83.929001309975618</v>
      </c>
      <c r="AF200" s="368">
        <f>hypo!CY54*pvar!AF$21</f>
        <v>93.968122426357539</v>
      </c>
      <c r="AG200" s="368">
        <f>hypo!CZ54*pvar!AG$21</f>
        <v>72.130306361255009</v>
      </c>
      <c r="AH200" s="368">
        <f>hypo!DA54*pvar!AH$21</f>
        <v>19.673769563531387</v>
      </c>
      <c r="AI200" s="368">
        <f>hypo!DB54*pvar!AI$21</f>
        <v>6677.7464586722472</v>
      </c>
      <c r="AJ200" s="368">
        <f>hypo!DC54*pvar!AJ$21</f>
        <v>7916.5547895902628</v>
      </c>
      <c r="AK200" s="368">
        <f>hypo!DD54*pvar!AK$21</f>
        <v>1791.6885624579852</v>
      </c>
      <c r="AL200" s="368">
        <f>hypo!DE54*pvar!AL$21</f>
        <v>22534.327816977231</v>
      </c>
      <c r="AM200" s="380"/>
    </row>
    <row r="201" spans="1:39" s="364" customFormat="1" x14ac:dyDescent="0.2">
      <c r="A201" s="44"/>
      <c r="B201" s="110" t="s">
        <v>113</v>
      </c>
      <c r="C201" s="98" t="s">
        <v>927</v>
      </c>
      <c r="D201" s="8"/>
      <c r="E201" s="17"/>
      <c r="F201" s="368">
        <f>hypo!BY55*pvar!F$21</f>
        <v>130.05612705319874</v>
      </c>
      <c r="G201" s="368">
        <f>hypo!BZ55*pvar!G$21</f>
        <v>286.82331884866107</v>
      </c>
      <c r="H201" s="368">
        <f>hypo!CA55*pvar!H$21</f>
        <v>63.29166965491553</v>
      </c>
      <c r="I201" s="368">
        <f>hypo!CB55*pvar!I$21</f>
        <v>412.83900742914182</v>
      </c>
      <c r="J201" s="368">
        <f>hypo!CC55*pvar!J$21</f>
        <v>979.77917893061124</v>
      </c>
      <c r="K201" s="368">
        <f>hypo!CD55*pvar!K$21</f>
        <v>185.54108548420905</v>
      </c>
      <c r="L201" s="368">
        <f>hypo!CE55*pvar!L$21</f>
        <v>271.67263114937305</v>
      </c>
      <c r="M201" s="368">
        <f>hypo!CF55*pvar!M$21</f>
        <v>186.04757408278832</v>
      </c>
      <c r="N201" s="368">
        <f>hypo!CG55*pvar!N$21</f>
        <v>125.10661434371181</v>
      </c>
      <c r="O201" s="368">
        <f>hypo!CH55*pvar!O$21</f>
        <v>25.206240804175845</v>
      </c>
      <c r="P201" s="368">
        <f>hypo!CI55*pvar!P$21</f>
        <v>236.05263164459166</v>
      </c>
      <c r="Q201" s="368">
        <f>hypo!CJ55*pvar!Q$21</f>
        <v>213.25616566862465</v>
      </c>
      <c r="R201" s="368">
        <f>hypo!CK55*pvar!R$21</f>
        <v>512.87976854579733</v>
      </c>
      <c r="S201" s="368">
        <f>hypo!CL55*pvar!S$21</f>
        <v>326.98278345436574</v>
      </c>
      <c r="T201" s="368">
        <f>hypo!CM55*pvar!T$21</f>
        <v>3450.29376924399</v>
      </c>
      <c r="U201" s="368">
        <f>hypo!CN55*pvar!U$21</f>
        <v>1446.4691451399897</v>
      </c>
      <c r="V201" s="368">
        <f>hypo!CO55*pvar!V$21</f>
        <v>666.03045434511466</v>
      </c>
      <c r="W201" s="368">
        <f>hypo!CP55*pvar!W$21</f>
        <v>5.5884937798409657</v>
      </c>
      <c r="X201" s="368">
        <f>hypo!CQ55*pvar!X$21</f>
        <v>82.935667080014113</v>
      </c>
      <c r="Y201" s="368">
        <f>hypo!CR55*pvar!Y$21</f>
        <v>276.5707631782214</v>
      </c>
      <c r="Z201" s="368">
        <f>hypo!CS55*pvar!Z$21</f>
        <v>3033.1153631469365</v>
      </c>
      <c r="AA201" s="368">
        <f>hypo!CT55*pvar!AA$21</f>
        <v>2291.2254252998118</v>
      </c>
      <c r="AB201" s="368">
        <f>hypo!CU55*pvar!AB$21</f>
        <v>19.668785129059049</v>
      </c>
      <c r="AC201" s="368">
        <f>hypo!CV55*pvar!AC$21</f>
        <v>6690.2124374085179</v>
      </c>
      <c r="AD201" s="368">
        <f>hypo!CW55*pvar!AD$21</f>
        <v>432.83559897932423</v>
      </c>
      <c r="AE201" s="368">
        <f>hypo!CX55*pvar!AE$21</f>
        <v>153.53952828468454</v>
      </c>
      <c r="AF201" s="368">
        <f>hypo!CY55*pvar!AF$21</f>
        <v>157.33664122942966</v>
      </c>
      <c r="AG201" s="368">
        <f>hypo!CZ55*pvar!AG$21</f>
        <v>1296.1898251136085</v>
      </c>
      <c r="AH201" s="368">
        <f>hypo!DA55*pvar!AH$21</f>
        <v>866.63293691029173</v>
      </c>
      <c r="AI201" s="368">
        <f>hypo!DB55*pvar!AI$21</f>
        <v>12494.733057414527</v>
      </c>
      <c r="AJ201" s="368">
        <f>hypo!DC55*pvar!AJ$21</f>
        <v>10453.874223066641</v>
      </c>
      <c r="AK201" s="368">
        <f>hypo!DD55*pvar!AK$21</f>
        <v>6396.619006624479</v>
      </c>
      <c r="AL201" s="368">
        <f>hypo!DE55*pvar!AL$21</f>
        <v>21167.429328405746</v>
      </c>
      <c r="AM201" s="380"/>
    </row>
    <row r="202" spans="1:39" s="364" customFormat="1" x14ac:dyDescent="0.2">
      <c r="A202" s="44"/>
      <c r="B202" s="110" t="s">
        <v>114</v>
      </c>
      <c r="C202" s="98" t="s">
        <v>927</v>
      </c>
      <c r="D202" s="8"/>
      <c r="E202" s="17"/>
      <c r="F202" s="368">
        <f>hypo!BY56*pvar!F$21</f>
        <v>0</v>
      </c>
      <c r="G202" s="368">
        <f>hypo!BZ56*pvar!G$21</f>
        <v>0</v>
      </c>
      <c r="H202" s="368">
        <f>hypo!CA56*pvar!H$21</f>
        <v>0</v>
      </c>
      <c r="I202" s="368">
        <f>hypo!CB56*pvar!I$21</f>
        <v>0</v>
      </c>
      <c r="J202" s="368">
        <f>hypo!CC56*pvar!J$21</f>
        <v>0</v>
      </c>
      <c r="K202" s="368">
        <f>hypo!CD56*pvar!K$21</f>
        <v>0</v>
      </c>
      <c r="L202" s="368">
        <f>hypo!CE56*pvar!L$21</f>
        <v>0</v>
      </c>
      <c r="M202" s="368">
        <f>hypo!CF56*pvar!M$21</f>
        <v>0</v>
      </c>
      <c r="N202" s="368">
        <f>hypo!CG56*pvar!N$21</f>
        <v>0</v>
      </c>
      <c r="O202" s="368">
        <f>hypo!CH56*pvar!O$21</f>
        <v>0</v>
      </c>
      <c r="P202" s="368">
        <f>hypo!CI56*pvar!P$21</f>
        <v>0</v>
      </c>
      <c r="Q202" s="368">
        <f>hypo!CJ56*pvar!Q$21</f>
        <v>0</v>
      </c>
      <c r="R202" s="368">
        <f>hypo!CK56*pvar!R$21</f>
        <v>0</v>
      </c>
      <c r="S202" s="368">
        <f>hypo!CL56*pvar!S$21</f>
        <v>9.7160842926154817E-2</v>
      </c>
      <c r="T202" s="368">
        <f>hypo!CM56*pvar!T$21</f>
        <v>0</v>
      </c>
      <c r="U202" s="368">
        <f>hypo!CN56*pvar!U$21</f>
        <v>0</v>
      </c>
      <c r="V202" s="368">
        <f>hypo!CO56*pvar!V$21</f>
        <v>0</v>
      </c>
      <c r="W202" s="368">
        <f>hypo!CP56*pvar!W$21</f>
        <v>0</v>
      </c>
      <c r="X202" s="368">
        <f>hypo!CQ56*pvar!X$21</f>
        <v>0</v>
      </c>
      <c r="Y202" s="368">
        <f>hypo!CR56*pvar!Y$21</f>
        <v>0</v>
      </c>
      <c r="Z202" s="368">
        <f>hypo!CS56*pvar!Z$21</f>
        <v>207.98044319865795</v>
      </c>
      <c r="AA202" s="368">
        <f>hypo!CT56*pvar!AA$21</f>
        <v>143.30148179794324</v>
      </c>
      <c r="AB202" s="368">
        <f>hypo!CU56*pvar!AB$21</f>
        <v>0</v>
      </c>
      <c r="AC202" s="368">
        <f>hypo!CV56*pvar!AC$21</f>
        <v>72.698003056053423</v>
      </c>
      <c r="AD202" s="368">
        <f>hypo!CW56*pvar!AD$21</f>
        <v>0</v>
      </c>
      <c r="AE202" s="368">
        <f>hypo!CX56*pvar!AE$21</f>
        <v>0</v>
      </c>
      <c r="AF202" s="368">
        <f>hypo!CY56*pvar!AF$21</f>
        <v>0</v>
      </c>
      <c r="AG202" s="368">
        <f>hypo!CZ56*pvar!AG$21</f>
        <v>0</v>
      </c>
      <c r="AH202" s="368">
        <f>hypo!DA56*pvar!AH$21</f>
        <v>0</v>
      </c>
      <c r="AI202" s="368">
        <f>hypo!DB56*pvar!AI$21</f>
        <v>2072.2958783870572</v>
      </c>
      <c r="AJ202" s="368">
        <f>hypo!DC56*pvar!AJ$21</f>
        <v>3504.6065453476708</v>
      </c>
      <c r="AK202" s="368">
        <f>hypo!DD56*pvar!AK$21</f>
        <v>1450.4554616785122</v>
      </c>
      <c r="AL202" s="368">
        <f>hypo!DE56*pvar!AL$21</f>
        <v>844.46784895206918</v>
      </c>
      <c r="AM202" s="380"/>
    </row>
    <row r="203" spans="1:39" s="364" customFormat="1" x14ac:dyDescent="0.2">
      <c r="A203" s="44"/>
      <c r="B203" s="110" t="s">
        <v>115</v>
      </c>
      <c r="C203" s="98" t="s">
        <v>927</v>
      </c>
      <c r="D203" s="8"/>
      <c r="E203" s="17"/>
      <c r="F203" s="368">
        <f>hypo!BY57*pvar!F$21</f>
        <v>0</v>
      </c>
      <c r="G203" s="368">
        <f>hypo!BZ57*pvar!G$21</f>
        <v>0</v>
      </c>
      <c r="H203" s="368">
        <f>hypo!CA57*pvar!H$21</f>
        <v>0</v>
      </c>
      <c r="I203" s="368">
        <f>hypo!CB57*pvar!I$21</f>
        <v>0</v>
      </c>
      <c r="J203" s="368">
        <f>hypo!CC57*pvar!J$21</f>
        <v>0</v>
      </c>
      <c r="K203" s="368">
        <f>hypo!CD57*pvar!K$21</f>
        <v>0</v>
      </c>
      <c r="L203" s="368">
        <f>hypo!CE57*pvar!L$21</f>
        <v>0</v>
      </c>
      <c r="M203" s="368">
        <f>hypo!CF57*pvar!M$21</f>
        <v>0</v>
      </c>
      <c r="N203" s="368">
        <f>hypo!CG57*pvar!N$21</f>
        <v>0</v>
      </c>
      <c r="O203" s="368">
        <f>hypo!CH57*pvar!O$21</f>
        <v>0</v>
      </c>
      <c r="P203" s="368">
        <f>hypo!CI57*pvar!P$21</f>
        <v>0</v>
      </c>
      <c r="Q203" s="368">
        <f>hypo!CJ57*pvar!Q$21</f>
        <v>0</v>
      </c>
      <c r="R203" s="368">
        <f>hypo!CK57*pvar!R$21</f>
        <v>0</v>
      </c>
      <c r="S203" s="368">
        <f>hypo!CL57*pvar!S$21</f>
        <v>0</v>
      </c>
      <c r="T203" s="368">
        <f>hypo!CM57*pvar!T$21</f>
        <v>0</v>
      </c>
      <c r="U203" s="368">
        <f>hypo!CN57*pvar!U$21</f>
        <v>0</v>
      </c>
      <c r="V203" s="368">
        <f>hypo!CO57*pvar!V$21</f>
        <v>0</v>
      </c>
      <c r="W203" s="368">
        <f>hypo!CP57*pvar!W$21</f>
        <v>0</v>
      </c>
      <c r="X203" s="368">
        <f>hypo!CQ57*pvar!X$21</f>
        <v>0</v>
      </c>
      <c r="Y203" s="368">
        <f>hypo!CR57*pvar!Y$21</f>
        <v>0</v>
      </c>
      <c r="Z203" s="368">
        <f>hypo!CS57*pvar!Z$21</f>
        <v>0</v>
      </c>
      <c r="AA203" s="368">
        <f>hypo!CT57*pvar!AA$21</f>
        <v>0</v>
      </c>
      <c r="AB203" s="368">
        <f>hypo!CU57*pvar!AB$21</f>
        <v>0</v>
      </c>
      <c r="AC203" s="368">
        <f>hypo!CV57*pvar!AC$21</f>
        <v>0</v>
      </c>
      <c r="AD203" s="368">
        <f>hypo!CW57*pvar!AD$21</f>
        <v>0</v>
      </c>
      <c r="AE203" s="368">
        <f>hypo!CX57*pvar!AE$21</f>
        <v>0</v>
      </c>
      <c r="AF203" s="368">
        <f>hypo!CY57*pvar!AF$21</f>
        <v>0</v>
      </c>
      <c r="AG203" s="368">
        <f>hypo!CZ57*pvar!AG$21</f>
        <v>0</v>
      </c>
      <c r="AH203" s="368">
        <f>hypo!DA57*pvar!AH$21</f>
        <v>0</v>
      </c>
      <c r="AI203" s="368">
        <f>hypo!DB57*pvar!AI$21</f>
        <v>0</v>
      </c>
      <c r="AJ203" s="368">
        <f>hypo!DC57*pvar!AJ$21</f>
        <v>20.531714072632514</v>
      </c>
      <c r="AK203" s="368">
        <f>hypo!DD57*pvar!AK$21</f>
        <v>0</v>
      </c>
      <c r="AL203" s="368">
        <f>hypo!DE57*pvar!AL$21</f>
        <v>0</v>
      </c>
      <c r="AM203" s="380"/>
    </row>
    <row r="204" spans="1:39" s="364" customFormat="1" x14ac:dyDescent="0.2">
      <c r="A204" s="44"/>
      <c r="B204" s="110" t="s">
        <v>116</v>
      </c>
      <c r="C204" s="98" t="s">
        <v>927</v>
      </c>
      <c r="D204" s="8"/>
      <c r="E204" s="17"/>
      <c r="F204" s="368">
        <f>hypo!BY58*pvar!F$21</f>
        <v>66.313232025072821</v>
      </c>
      <c r="G204" s="368">
        <f>hypo!BZ58*pvar!G$21</f>
        <v>33.800836795395639</v>
      </c>
      <c r="H204" s="368">
        <f>hypo!CA58*pvar!H$21</f>
        <v>2.1129404028393468</v>
      </c>
      <c r="I204" s="368">
        <f>hypo!CB58*pvar!I$21</f>
        <v>0</v>
      </c>
      <c r="J204" s="368">
        <f>hypo!CC58*pvar!J$21</f>
        <v>16.677731847794067</v>
      </c>
      <c r="K204" s="368">
        <f>hypo!CD58*pvar!K$21</f>
        <v>0.26215976719254913</v>
      </c>
      <c r="L204" s="368">
        <f>hypo!CE58*pvar!L$21</f>
        <v>0</v>
      </c>
      <c r="M204" s="368">
        <f>hypo!CF58*pvar!M$21</f>
        <v>0</v>
      </c>
      <c r="N204" s="368">
        <f>hypo!CG58*pvar!N$21</f>
        <v>917.73763220204762</v>
      </c>
      <c r="O204" s="368">
        <f>hypo!CH58*pvar!O$21</f>
        <v>81.938225404553705</v>
      </c>
      <c r="P204" s="368">
        <f>hypo!CI58*pvar!P$21</f>
        <v>173.09127070255673</v>
      </c>
      <c r="Q204" s="368">
        <f>hypo!CJ58*pvar!Q$21</f>
        <v>1.2313397188315682</v>
      </c>
      <c r="R204" s="368">
        <f>hypo!CK58*pvar!R$21</f>
        <v>18.918298596359548</v>
      </c>
      <c r="S204" s="368">
        <f>hypo!CL58*pvar!S$21</f>
        <v>33.8632563340933</v>
      </c>
      <c r="T204" s="368">
        <f>hypo!CM58*pvar!T$21</f>
        <v>326.12577181139875</v>
      </c>
      <c r="U204" s="368">
        <f>hypo!CN58*pvar!U$21</f>
        <v>31.727224490210389</v>
      </c>
      <c r="V204" s="368">
        <f>hypo!CO58*pvar!V$21</f>
        <v>5.0085086318931094</v>
      </c>
      <c r="W204" s="368">
        <f>hypo!CP58*pvar!W$21</f>
        <v>31.85051270875087</v>
      </c>
      <c r="X204" s="368">
        <f>hypo!CQ58*pvar!X$21</f>
        <v>0</v>
      </c>
      <c r="Y204" s="368">
        <f>hypo!CR58*pvar!Y$21</f>
        <v>0</v>
      </c>
      <c r="Z204" s="368">
        <f>hypo!CS58*pvar!Z$21</f>
        <v>0</v>
      </c>
      <c r="AA204" s="368">
        <f>hypo!CT58*pvar!AA$21</f>
        <v>2.603399333838333</v>
      </c>
      <c r="AB204" s="368">
        <f>hypo!CU58*pvar!AB$21</f>
        <v>1.0251488743166106</v>
      </c>
      <c r="AC204" s="368">
        <f>hypo!CV58*pvar!AC$21</f>
        <v>212.76562220864943</v>
      </c>
      <c r="AD204" s="368">
        <f>hypo!CW58*pvar!AD$21</f>
        <v>0</v>
      </c>
      <c r="AE204" s="368">
        <f>hypo!CX58*pvar!AE$21</f>
        <v>28.163426703304641</v>
      </c>
      <c r="AF204" s="368">
        <f>hypo!CY58*pvar!AF$21</f>
        <v>0</v>
      </c>
      <c r="AG204" s="368">
        <f>hypo!CZ58*pvar!AG$21</f>
        <v>13.389624602147114</v>
      </c>
      <c r="AH204" s="368">
        <f>hypo!DA58*pvar!AH$21</f>
        <v>0.50883780646613797</v>
      </c>
      <c r="AI204" s="368">
        <f>hypo!DB58*pvar!AI$21</f>
        <v>0</v>
      </c>
      <c r="AJ204" s="368">
        <f>hypo!DC58*pvar!AJ$21</f>
        <v>0</v>
      </c>
      <c r="AK204" s="368">
        <f>hypo!DD58*pvar!AK$21</f>
        <v>5.3749924986486306</v>
      </c>
      <c r="AL204" s="368">
        <f>hypo!DE58*pvar!AL$21</f>
        <v>0</v>
      </c>
      <c r="AM204" s="380"/>
    </row>
    <row r="205" spans="1:39" s="364" customFormat="1" x14ac:dyDescent="0.2">
      <c r="A205" s="44"/>
      <c r="B205" s="110" t="s">
        <v>117</v>
      </c>
      <c r="C205" s="98" t="s">
        <v>927</v>
      </c>
      <c r="D205" s="8"/>
      <c r="E205" s="17"/>
      <c r="F205" s="368">
        <f>hypo!BY59*pvar!F$21</f>
        <v>323.34763484291693</v>
      </c>
      <c r="G205" s="368">
        <f>hypo!BZ59*pvar!G$21</f>
        <v>3265.4545788392584</v>
      </c>
      <c r="H205" s="368">
        <f>hypo!CA59*pvar!H$21</f>
        <v>57.347738921335917</v>
      </c>
      <c r="I205" s="368">
        <f>hypo!CB59*pvar!I$21</f>
        <v>1706.7268635934322</v>
      </c>
      <c r="J205" s="368">
        <f>hypo!CC59*pvar!J$21</f>
        <v>1570.9240942905094</v>
      </c>
      <c r="K205" s="368">
        <f>hypo!CD59*pvar!K$21</f>
        <v>4585.2877343891096</v>
      </c>
      <c r="L205" s="368">
        <f>hypo!CE59*pvar!L$21</f>
        <v>0.53982965524048832</v>
      </c>
      <c r="M205" s="368">
        <f>hypo!CF59*pvar!M$21</f>
        <v>2448.3694116042238</v>
      </c>
      <c r="N205" s="368">
        <f>hypo!CG59*pvar!N$21</f>
        <v>83.04034787807835</v>
      </c>
      <c r="O205" s="368">
        <f>hypo!CH59*pvar!O$21</f>
        <v>1.0776076207290133</v>
      </c>
      <c r="P205" s="368">
        <f>hypo!CI59*pvar!P$21</f>
        <v>3.5516829937941266</v>
      </c>
      <c r="Q205" s="368">
        <f>hypo!CJ59*pvar!Q$21</f>
        <v>0</v>
      </c>
      <c r="R205" s="368">
        <f>hypo!CK59*pvar!R$21</f>
        <v>0.85998706268181269</v>
      </c>
      <c r="S205" s="368">
        <f>hypo!CL59*pvar!S$21</f>
        <v>0</v>
      </c>
      <c r="T205" s="368">
        <f>hypo!CM59*pvar!T$21</f>
        <v>0</v>
      </c>
      <c r="U205" s="368">
        <f>hypo!CN59*pvar!U$21</f>
        <v>6.690006580547152</v>
      </c>
      <c r="V205" s="368">
        <f>hypo!CO59*pvar!V$21</f>
        <v>0</v>
      </c>
      <c r="W205" s="368">
        <f>hypo!CP59*pvar!W$21</f>
        <v>0</v>
      </c>
      <c r="X205" s="368">
        <f>hypo!CQ59*pvar!X$21</f>
        <v>0</v>
      </c>
      <c r="Y205" s="368">
        <f>hypo!CR59*pvar!Y$21</f>
        <v>0</v>
      </c>
      <c r="Z205" s="368">
        <f>hypo!CS59*pvar!Z$21</f>
        <v>0</v>
      </c>
      <c r="AA205" s="368">
        <f>hypo!CT59*pvar!AA$21</f>
        <v>0</v>
      </c>
      <c r="AB205" s="368">
        <f>hypo!CU59*pvar!AB$21</f>
        <v>0.73884603554350314</v>
      </c>
      <c r="AC205" s="368">
        <f>hypo!CV59*pvar!AC$21</f>
        <v>8.4032236865615442</v>
      </c>
      <c r="AD205" s="368">
        <f>hypo!CW59*pvar!AD$21</f>
        <v>0</v>
      </c>
      <c r="AE205" s="368">
        <f>hypo!CX59*pvar!AE$21</f>
        <v>0</v>
      </c>
      <c r="AF205" s="368">
        <f>hypo!CY59*pvar!AF$21</f>
        <v>0</v>
      </c>
      <c r="AG205" s="368">
        <f>hypo!CZ59*pvar!AG$21</f>
        <v>0.32013965123065802</v>
      </c>
      <c r="AH205" s="368">
        <f>hypo!DA59*pvar!AH$21</f>
        <v>0</v>
      </c>
      <c r="AI205" s="368">
        <f>hypo!DB59*pvar!AI$21</f>
        <v>0</v>
      </c>
      <c r="AJ205" s="368">
        <f>hypo!DC59*pvar!AJ$21</f>
        <v>0</v>
      </c>
      <c r="AK205" s="368">
        <f>hypo!DD59*pvar!AK$21</f>
        <v>0</v>
      </c>
      <c r="AL205" s="368">
        <f>hypo!DE59*pvar!AL$21</f>
        <v>0</v>
      </c>
      <c r="AM205" s="380"/>
    </row>
    <row r="206" spans="1:39" s="364" customFormat="1" x14ac:dyDescent="0.2">
      <c r="A206" s="44"/>
      <c r="B206" s="93" t="s">
        <v>118</v>
      </c>
      <c r="C206" s="98" t="s">
        <v>927</v>
      </c>
      <c r="D206" s="8"/>
      <c r="E206" s="17"/>
      <c r="F206" s="368">
        <f>hypo!BY60*pvar!F$21</f>
        <v>2331.5141869067056</v>
      </c>
      <c r="G206" s="368">
        <f>hypo!BZ60*pvar!G$21</f>
        <v>12365.722852214665</v>
      </c>
      <c r="H206" s="368">
        <f>hypo!CA60*pvar!H$21</f>
        <v>2819.8643646652231</v>
      </c>
      <c r="I206" s="368">
        <f>hypo!CB60*pvar!I$21</f>
        <v>52281.677971142366</v>
      </c>
      <c r="J206" s="368">
        <f>hypo!CC60*pvar!J$21</f>
        <v>124712.62016397936</v>
      </c>
      <c r="K206" s="368">
        <f>hypo!CD60*pvar!K$21</f>
        <v>46378.729299601284</v>
      </c>
      <c r="L206" s="368">
        <f>hypo!CE60*pvar!L$21</f>
        <v>132828.02177985574</v>
      </c>
      <c r="M206" s="368">
        <f>hypo!CF60*pvar!M$21</f>
        <v>87630.965463617787</v>
      </c>
      <c r="N206" s="368">
        <f>hypo!CG60*pvar!N$21</f>
        <v>28783.90247598719</v>
      </c>
      <c r="O206" s="368">
        <f>hypo!CH60*pvar!O$21</f>
        <v>32918.343613635065</v>
      </c>
      <c r="P206" s="368">
        <f>hypo!CI60*pvar!P$21</f>
        <v>107347.96949175179</v>
      </c>
      <c r="Q206" s="368">
        <f>hypo!CJ60*pvar!Q$21</f>
        <v>16448.22277122653</v>
      </c>
      <c r="R206" s="368">
        <f>hypo!CK60*pvar!R$21</f>
        <v>334703.10574971262</v>
      </c>
      <c r="S206" s="368">
        <f>hypo!CL60*pvar!S$21</f>
        <v>93864.45808750666</v>
      </c>
      <c r="T206" s="368">
        <f>hypo!CM60*pvar!T$21</f>
        <v>274062.64127251622</v>
      </c>
      <c r="U206" s="368">
        <f>hypo!CN60*pvar!U$21</f>
        <v>44150.48137695052</v>
      </c>
      <c r="V206" s="368">
        <f>hypo!CO60*pvar!V$21</f>
        <v>109179.86844898529</v>
      </c>
      <c r="W206" s="368">
        <f>hypo!CP60*pvar!W$21</f>
        <v>7854.2511256470207</v>
      </c>
      <c r="X206" s="368">
        <f>hypo!CQ60*pvar!X$21</f>
        <v>1312.2297862774433</v>
      </c>
      <c r="Y206" s="368">
        <f>hypo!CR60*pvar!Y$21</f>
        <v>19201.773559844325</v>
      </c>
      <c r="Z206" s="368">
        <f>hypo!CS60*pvar!Z$21</f>
        <v>2432.8852153490111</v>
      </c>
      <c r="AA206" s="368">
        <f>hypo!CT60*pvar!AA$21</f>
        <v>15824.253372288747</v>
      </c>
      <c r="AB206" s="368">
        <f>hypo!CU60*pvar!AB$21</f>
        <v>19743.70059874867</v>
      </c>
      <c r="AC206" s="368">
        <f>hypo!CV60*pvar!AC$21</f>
        <v>50710.810124254487</v>
      </c>
      <c r="AD206" s="368">
        <f>hypo!CW60*pvar!AD$21</f>
        <v>7927.0756821336727</v>
      </c>
      <c r="AE206" s="368">
        <f>hypo!CX60*pvar!AE$21</f>
        <v>44430.794352832505</v>
      </c>
      <c r="AF206" s="368">
        <f>hypo!CY60*pvar!AF$21</f>
        <v>8627.7650485644117</v>
      </c>
      <c r="AG206" s="368">
        <f>hypo!CZ60*pvar!AG$21</f>
        <v>30042.467278980348</v>
      </c>
      <c r="AH206" s="368">
        <f>hypo!DA60*pvar!AH$21</f>
        <v>15023.642770986098</v>
      </c>
      <c r="AI206" s="368">
        <f>hypo!DB60*pvar!AI$21</f>
        <v>2892.7646928312888</v>
      </c>
      <c r="AJ206" s="368">
        <f>hypo!DC60*pvar!AJ$21</f>
        <v>4621.1437987113959</v>
      </c>
      <c r="AK206" s="368">
        <f>hypo!DD60*pvar!AK$21</f>
        <v>1118.9377992846764</v>
      </c>
      <c r="AL206" s="368">
        <f>hypo!DE60*pvar!AL$21</f>
        <v>3051.3391828575241</v>
      </c>
      <c r="AM206" s="380"/>
    </row>
    <row r="207" spans="1:39" s="364" customFormat="1" x14ac:dyDescent="0.2">
      <c r="A207" s="44"/>
      <c r="B207" s="93" t="s">
        <v>126</v>
      </c>
      <c r="C207" s="98" t="s">
        <v>927</v>
      </c>
      <c r="D207" s="8"/>
      <c r="E207" s="17"/>
      <c r="F207" s="368">
        <f>hypo!BY61*pvar!F$21</f>
        <v>99.659722791721208</v>
      </c>
      <c r="G207" s="368">
        <f>hypo!BZ61*pvar!G$21</f>
        <v>77.807474257880457</v>
      </c>
      <c r="H207" s="368">
        <f>hypo!CA61*pvar!H$21</f>
        <v>67.119244740449332</v>
      </c>
      <c r="I207" s="368">
        <f>hypo!CB61*pvar!I$21</f>
        <v>203.52076869906361</v>
      </c>
      <c r="J207" s="368">
        <f>hypo!CC61*pvar!J$21</f>
        <v>177.92558431923644</v>
      </c>
      <c r="K207" s="368">
        <f>hypo!CD61*pvar!K$21</f>
        <v>69.858468782239441</v>
      </c>
      <c r="L207" s="368">
        <f>hypo!CE61*pvar!L$21</f>
        <v>105.83948227261527</v>
      </c>
      <c r="M207" s="368">
        <f>hypo!CF61*pvar!M$21</f>
        <v>145.68241983697627</v>
      </c>
      <c r="N207" s="368">
        <f>hypo!CG61*pvar!N$21</f>
        <v>283.10520019758252</v>
      </c>
      <c r="O207" s="368">
        <f>hypo!CH61*pvar!O$21</f>
        <v>195.69374500182496</v>
      </c>
      <c r="P207" s="368">
        <f>hypo!CI61*pvar!P$21</f>
        <v>290.83598072019572</v>
      </c>
      <c r="Q207" s="368">
        <f>hypo!CJ61*pvar!Q$21</f>
        <v>59.735260883525065</v>
      </c>
      <c r="R207" s="368">
        <f>hypo!CK61*pvar!R$21</f>
        <v>278.05426499560269</v>
      </c>
      <c r="S207" s="368">
        <f>hypo!CL61*pvar!S$21</f>
        <v>230.25893669200221</v>
      </c>
      <c r="T207" s="368">
        <f>hypo!CM61*pvar!T$21</f>
        <v>410.61805224229312</v>
      </c>
      <c r="U207" s="368">
        <f>hypo!CN61*pvar!U$21</f>
        <v>533.72116361455301</v>
      </c>
      <c r="V207" s="368">
        <f>hypo!CO61*pvar!V$21</f>
        <v>695.17977988304142</v>
      </c>
      <c r="W207" s="368">
        <f>hypo!CP61*pvar!W$21</f>
        <v>66.370538903290381</v>
      </c>
      <c r="X207" s="368">
        <f>hypo!CQ61*pvar!X$21</f>
        <v>17.266041773893743</v>
      </c>
      <c r="Y207" s="368">
        <f>hypo!CR61*pvar!Y$21</f>
        <v>60.44893181841023</v>
      </c>
      <c r="Z207" s="368">
        <f>hypo!CS61*pvar!Z$21</f>
        <v>145.54835752716241</v>
      </c>
      <c r="AA207" s="368">
        <f>hypo!CT61*pvar!AA$21</f>
        <v>135.44244823565086</v>
      </c>
      <c r="AB207" s="368">
        <f>hypo!CU61*pvar!AB$21</f>
        <v>164.08098239832813</v>
      </c>
      <c r="AC207" s="368">
        <f>hypo!CV61*pvar!AC$21</f>
        <v>479.44122343860516</v>
      </c>
      <c r="AD207" s="368">
        <f>hypo!CW61*pvar!AD$21</f>
        <v>92.537298977128927</v>
      </c>
      <c r="AE207" s="368">
        <f>hypo!CX61*pvar!AE$21</f>
        <v>138.43752319831165</v>
      </c>
      <c r="AF207" s="368">
        <f>hypo!CY61*pvar!AF$21</f>
        <v>40.636045763858725</v>
      </c>
      <c r="AG207" s="368">
        <f>hypo!CZ61*pvar!AG$21</f>
        <v>150.77102614733545</v>
      </c>
      <c r="AH207" s="368">
        <f>hypo!DA61*pvar!AH$21</f>
        <v>166.03531684638494</v>
      </c>
      <c r="AI207" s="368">
        <f>hypo!DB61*pvar!AI$21</f>
        <v>157.39016197539152</v>
      </c>
      <c r="AJ207" s="368">
        <f>hypo!DC61*pvar!AJ$21</f>
        <v>224.5090872834956</v>
      </c>
      <c r="AK207" s="368">
        <f>hypo!DD61*pvar!AK$21</f>
        <v>239.71068729956505</v>
      </c>
      <c r="AL207" s="368">
        <f>hypo!DE61*pvar!AL$21</f>
        <v>509.49670202656932</v>
      </c>
      <c r="AM207" s="380"/>
    </row>
    <row r="208" spans="1:39" s="364" customFormat="1" x14ac:dyDescent="0.2">
      <c r="A208" s="44"/>
      <c r="B208" s="110" t="s">
        <v>120</v>
      </c>
      <c r="C208" s="98" t="s">
        <v>927</v>
      </c>
      <c r="D208" s="8"/>
      <c r="E208" s="17"/>
      <c r="F208" s="368">
        <f>hypo!BY62*pvar!F$21</f>
        <v>4306.6371851609092</v>
      </c>
      <c r="G208" s="368">
        <f>hypo!BZ62*pvar!G$21</f>
        <v>8298.7360415829062</v>
      </c>
      <c r="H208" s="368">
        <f>hypo!CA62*pvar!H$21</f>
        <v>1417.8874751104695</v>
      </c>
      <c r="I208" s="368">
        <f>hypo!CB62*pvar!I$21</f>
        <v>12555.298163795094</v>
      </c>
      <c r="J208" s="368">
        <f>hypo!CC62*pvar!J$21</f>
        <v>4754.9744164185231</v>
      </c>
      <c r="K208" s="368">
        <f>hypo!CD62*pvar!K$21</f>
        <v>1065.1266598214972</v>
      </c>
      <c r="L208" s="368">
        <f>hypo!CE62*pvar!L$21</f>
        <v>3702.4633191218954</v>
      </c>
      <c r="M208" s="368">
        <f>hypo!CF62*pvar!M$21</f>
        <v>3404.7081206132616</v>
      </c>
      <c r="N208" s="368">
        <f>hypo!CG62*pvar!N$21</f>
        <v>177527.90395077446</v>
      </c>
      <c r="O208" s="368">
        <f>hypo!CH62*pvar!O$21</f>
        <v>27064.459064066592</v>
      </c>
      <c r="P208" s="368">
        <f>hypo!CI62*pvar!P$21</f>
        <v>19600.805534016741</v>
      </c>
      <c r="Q208" s="368">
        <f>hypo!CJ62*pvar!Q$21</f>
        <v>3168.2042608277898</v>
      </c>
      <c r="R208" s="368">
        <f>hypo!CK62*pvar!R$21</f>
        <v>9478.3892064354895</v>
      </c>
      <c r="S208" s="368">
        <f>hypo!CL62*pvar!S$21</f>
        <v>30529.903208253323</v>
      </c>
      <c r="T208" s="368">
        <f>hypo!CM62*pvar!T$21</f>
        <v>36133.014985310743</v>
      </c>
      <c r="U208" s="368">
        <f>hypo!CN62*pvar!U$21</f>
        <v>40022.573657519832</v>
      </c>
      <c r="V208" s="368">
        <f>hypo!CO62*pvar!V$21</f>
        <v>50181.076651166833</v>
      </c>
      <c r="W208" s="368">
        <f>hypo!CP62*pvar!W$21</f>
        <v>3289.4807281742205</v>
      </c>
      <c r="X208" s="368">
        <f>hypo!CQ62*pvar!X$21</f>
        <v>1172.8793487212715</v>
      </c>
      <c r="Y208" s="368">
        <f>hypo!CR62*pvar!Y$21</f>
        <v>6477.2556234328167</v>
      </c>
      <c r="Z208" s="368">
        <f>hypo!CS62*pvar!Z$21</f>
        <v>50462.11572678537</v>
      </c>
      <c r="AA208" s="368">
        <f>hypo!CT62*pvar!AA$21</f>
        <v>39647.767781713199</v>
      </c>
      <c r="AB208" s="368">
        <f>hypo!CU62*pvar!AB$21</f>
        <v>31943.72265958961</v>
      </c>
      <c r="AC208" s="368">
        <f>hypo!CV62*pvar!AC$21</f>
        <v>100495.63530326246</v>
      </c>
      <c r="AD208" s="368">
        <f>hypo!CW62*pvar!AD$21</f>
        <v>3189.6956643914114</v>
      </c>
      <c r="AE208" s="368">
        <f>hypo!CX62*pvar!AE$21</f>
        <v>5250.7258984910704</v>
      </c>
      <c r="AF208" s="368">
        <f>hypo!CY62*pvar!AF$21</f>
        <v>341.52077767050605</v>
      </c>
      <c r="AG208" s="368">
        <f>hypo!CZ62*pvar!AG$21</f>
        <v>31635.698494079264</v>
      </c>
      <c r="AH208" s="368">
        <f>hypo!DA62*pvar!AH$21</f>
        <v>3535.9413782211609</v>
      </c>
      <c r="AI208" s="368">
        <f>hypo!DB62*pvar!AI$21</f>
        <v>27454.137509224904</v>
      </c>
      <c r="AJ208" s="368">
        <f>hypo!DC62*pvar!AJ$21</f>
        <v>37752.296717711426</v>
      </c>
      <c r="AK208" s="368">
        <f>hypo!DD62*pvar!AK$21</f>
        <v>23947.171603035604</v>
      </c>
      <c r="AL208" s="368">
        <f>hypo!DE62*pvar!AL$21</f>
        <v>12700.218817789675</v>
      </c>
      <c r="AM208" s="380"/>
    </row>
    <row r="209" spans="1:39" s="364" customFormat="1" x14ac:dyDescent="0.2">
      <c r="A209" s="44"/>
      <c r="B209" s="110" t="s">
        <v>127</v>
      </c>
      <c r="C209" s="98" t="s">
        <v>927</v>
      </c>
      <c r="D209" s="8"/>
      <c r="E209" s="17"/>
      <c r="F209" s="368">
        <f>hypo!BY63*pvar!F$21</f>
        <v>2859.6616274285598</v>
      </c>
      <c r="G209" s="368">
        <f>hypo!BZ63*pvar!G$21</f>
        <v>6709.6947479111059</v>
      </c>
      <c r="H209" s="368">
        <f>hypo!CA63*pvar!H$21</f>
        <v>2944.7713539899964</v>
      </c>
      <c r="I209" s="368">
        <f>hypo!CB63*pvar!I$21</f>
        <v>10493.366402643869</v>
      </c>
      <c r="J209" s="368">
        <f>hypo!CC63*pvar!J$21</f>
        <v>54134.660072329258</v>
      </c>
      <c r="K209" s="368">
        <f>hypo!CD63*pvar!K$21</f>
        <v>18043.445798590801</v>
      </c>
      <c r="L209" s="368">
        <f>hypo!CE63*pvar!L$21</f>
        <v>85953.211445163688</v>
      </c>
      <c r="M209" s="368">
        <f>hypo!CF63*pvar!M$21</f>
        <v>13152.697651322167</v>
      </c>
      <c r="N209" s="368">
        <f>hypo!CG63*pvar!N$21</f>
        <v>15209.864555674449</v>
      </c>
      <c r="O209" s="368">
        <f>hypo!CH63*pvar!O$21</f>
        <v>25444.167413409006</v>
      </c>
      <c r="P209" s="368">
        <f>hypo!CI63*pvar!P$21</f>
        <v>53732.987079610284</v>
      </c>
      <c r="Q209" s="368">
        <f>hypo!CJ63*pvar!Q$21</f>
        <v>9378.6418918408635</v>
      </c>
      <c r="R209" s="368">
        <f>hypo!CK63*pvar!R$21</f>
        <v>397336.24452005286</v>
      </c>
      <c r="S209" s="368">
        <f>hypo!CL63*pvar!S$21</f>
        <v>182415.50014184747</v>
      </c>
      <c r="T209" s="368">
        <f>hypo!CM63*pvar!T$21</f>
        <v>434260.69569826551</v>
      </c>
      <c r="U209" s="368">
        <f>hypo!CN63*pvar!U$21</f>
        <v>206774.58201570579</v>
      </c>
      <c r="V209" s="368">
        <f>hypo!CO63*pvar!V$21</f>
        <v>477817.57012223371</v>
      </c>
      <c r="W209" s="368">
        <f>hypo!CP63*pvar!W$21</f>
        <v>37880.237670370101</v>
      </c>
      <c r="X209" s="368">
        <f>hypo!CQ63*pvar!X$21</f>
        <v>5855.2755258420439</v>
      </c>
      <c r="Y209" s="368">
        <f>hypo!CR63*pvar!Y$21</f>
        <v>32206.717366795776</v>
      </c>
      <c r="Z209" s="368">
        <f>hypo!CS63*pvar!Z$21</f>
        <v>24379.11025884148</v>
      </c>
      <c r="AA209" s="368">
        <f>hypo!CT63*pvar!AA$21</f>
        <v>25958.064382932385</v>
      </c>
      <c r="AB209" s="368">
        <f>hypo!CU63*pvar!AB$21</f>
        <v>200240.51548937272</v>
      </c>
      <c r="AC209" s="368">
        <f>hypo!CV63*pvar!AC$21</f>
        <v>183971.72853256942</v>
      </c>
      <c r="AD209" s="368">
        <f>hypo!CW63*pvar!AD$21</f>
        <v>9082.6084428029317</v>
      </c>
      <c r="AE209" s="368">
        <f>hypo!CX63*pvar!AE$21</f>
        <v>95648.620038312452</v>
      </c>
      <c r="AF209" s="368">
        <f>hypo!CY63*pvar!AF$21</f>
        <v>11477.224454570674</v>
      </c>
      <c r="AG209" s="368">
        <f>hypo!CZ63*pvar!AG$21</f>
        <v>106050.90757239543</v>
      </c>
      <c r="AH209" s="368">
        <f>hypo!DA63*pvar!AH$21</f>
        <v>112929.84163984278</v>
      </c>
      <c r="AI209" s="368">
        <f>hypo!DB63*pvar!AI$21</f>
        <v>7316.348905932241</v>
      </c>
      <c r="AJ209" s="368">
        <f>hypo!DC63*pvar!AJ$21</f>
        <v>6345.372684624047</v>
      </c>
      <c r="AK209" s="368">
        <f>hypo!DD63*pvar!AK$21</f>
        <v>12359.517925842871</v>
      </c>
      <c r="AL209" s="368">
        <f>hypo!DE63*pvar!AL$21</f>
        <v>3278.2665618655601</v>
      </c>
      <c r="AM209" s="380"/>
    </row>
    <row r="210" spans="1:39" s="364" customFormat="1" x14ac:dyDescent="0.2">
      <c r="A210" s="44"/>
      <c r="B210" s="110" t="s">
        <v>128</v>
      </c>
      <c r="C210" s="98" t="s">
        <v>927</v>
      </c>
      <c r="D210" s="8"/>
      <c r="E210" s="17"/>
      <c r="F210" s="368">
        <f>F$20</f>
        <v>0</v>
      </c>
      <c r="G210" s="368">
        <f t="shared" ref="G210:AL210" si="14">G$20</f>
        <v>6.7559532125543012E-6</v>
      </c>
      <c r="H210" s="368">
        <f t="shared" si="14"/>
        <v>0</v>
      </c>
      <c r="I210" s="368">
        <f t="shared" si="14"/>
        <v>0</v>
      </c>
      <c r="J210" s="368">
        <f t="shared" si="14"/>
        <v>184018.67025542085</v>
      </c>
      <c r="K210" s="368">
        <f t="shared" si="14"/>
        <v>64783.01620452854</v>
      </c>
      <c r="L210" s="368">
        <f t="shared" si="14"/>
        <v>121180.84085854053</v>
      </c>
      <c r="M210" s="368">
        <f t="shared" si="14"/>
        <v>0</v>
      </c>
      <c r="N210" s="368">
        <f t="shared" si="14"/>
        <v>0</v>
      </c>
      <c r="O210" s="368">
        <f t="shared" si="14"/>
        <v>0</v>
      </c>
      <c r="P210" s="368">
        <f t="shared" si="14"/>
        <v>394553.04916564835</v>
      </c>
      <c r="Q210" s="368">
        <f t="shared" si="14"/>
        <v>0</v>
      </c>
      <c r="R210" s="368">
        <f t="shared" si="14"/>
        <v>156188.22655464534</v>
      </c>
      <c r="S210" s="368">
        <f t="shared" si="14"/>
        <v>173970.63293380602</v>
      </c>
      <c r="T210" s="368">
        <f t="shared" si="14"/>
        <v>351311.95080539765</v>
      </c>
      <c r="U210" s="368">
        <f t="shared" si="14"/>
        <v>0</v>
      </c>
      <c r="V210" s="368">
        <f t="shared" si="14"/>
        <v>1485886.7160645798</v>
      </c>
      <c r="W210" s="368">
        <f t="shared" si="14"/>
        <v>329231.82107636885</v>
      </c>
      <c r="X210" s="368">
        <f t="shared" si="14"/>
        <v>225910.52098388507</v>
      </c>
      <c r="Y210" s="368">
        <f t="shared" si="14"/>
        <v>181872.69628349025</v>
      </c>
      <c r="Z210" s="368">
        <f t="shared" si="14"/>
        <v>259385.39612219733</v>
      </c>
      <c r="AA210" s="368">
        <f t="shared" si="14"/>
        <v>263988.24980785197</v>
      </c>
      <c r="AB210" s="368">
        <f t="shared" si="14"/>
        <v>410275.80847420736</v>
      </c>
      <c r="AC210" s="368">
        <f t="shared" si="14"/>
        <v>364214.44870486372</v>
      </c>
      <c r="AD210" s="368">
        <f t="shared" si="14"/>
        <v>0</v>
      </c>
      <c r="AE210" s="368">
        <f t="shared" si="14"/>
        <v>297637.40653395595</v>
      </c>
      <c r="AF210" s="368">
        <f t="shared" si="14"/>
        <v>0</v>
      </c>
      <c r="AG210" s="368">
        <f t="shared" si="14"/>
        <v>223173.91068037419</v>
      </c>
      <c r="AH210" s="368">
        <f t="shared" si="14"/>
        <v>415583.76339707681</v>
      </c>
      <c r="AI210" s="368">
        <f t="shared" si="14"/>
        <v>0</v>
      </c>
      <c r="AJ210" s="368">
        <f t="shared" si="14"/>
        <v>0</v>
      </c>
      <c r="AK210" s="368">
        <f t="shared" si="14"/>
        <v>0</v>
      </c>
      <c r="AL210" s="368">
        <f t="shared" si="14"/>
        <v>0</v>
      </c>
      <c r="AM210" s="380"/>
    </row>
    <row r="211" spans="1:39" x14ac:dyDescent="0.2">
      <c r="A211" s="44"/>
      <c r="B211" s="45"/>
      <c r="C211" s="13"/>
      <c r="D211" s="12"/>
      <c r="E211" s="24"/>
      <c r="F211" s="196"/>
      <c r="G211" s="196"/>
      <c r="H211" s="196"/>
      <c r="I211" s="196"/>
      <c r="J211" s="196"/>
      <c r="K211" s="196"/>
      <c r="L211" s="196"/>
      <c r="M211" s="196"/>
      <c r="N211" s="196"/>
      <c r="O211" s="196"/>
      <c r="P211" s="196"/>
      <c r="Q211" s="196"/>
      <c r="R211" s="195"/>
      <c r="S211" s="195"/>
      <c r="T211" s="195"/>
      <c r="U211" s="195"/>
      <c r="V211" s="195"/>
      <c r="W211" s="195"/>
      <c r="X211" s="195"/>
      <c r="Y211" s="195"/>
      <c r="Z211" s="195"/>
      <c r="AA211" s="195"/>
      <c r="AB211" s="195"/>
      <c r="AC211" s="195"/>
      <c r="AD211" s="195"/>
      <c r="AE211" s="195"/>
      <c r="AF211" s="195"/>
      <c r="AG211" s="195"/>
      <c r="AH211" s="195"/>
      <c r="AI211" s="195"/>
      <c r="AJ211" s="195"/>
      <c r="AK211" s="195"/>
      <c r="AL211" s="195"/>
      <c r="AM211" s="107"/>
    </row>
    <row r="212" spans="1:39" x14ac:dyDescent="0.2">
      <c r="A212" s="44"/>
      <c r="B212" s="23" t="s">
        <v>720</v>
      </c>
      <c r="C212" s="13"/>
      <c r="D212" s="12"/>
      <c r="E212" s="24"/>
      <c r="F212" s="228"/>
      <c r="G212" s="196"/>
      <c r="H212" s="196"/>
      <c r="I212" s="196"/>
      <c r="J212" s="196"/>
      <c r="K212" s="196"/>
      <c r="L212" s="196"/>
      <c r="M212" s="196"/>
      <c r="N212" s="196"/>
      <c r="O212" s="196"/>
      <c r="P212" s="196"/>
      <c r="Q212" s="196"/>
      <c r="R212" s="195"/>
      <c r="S212" s="195"/>
      <c r="T212" s="195"/>
      <c r="U212" s="195"/>
      <c r="V212" s="195"/>
      <c r="W212" s="195"/>
      <c r="X212" s="195"/>
      <c r="Y212" s="195"/>
      <c r="Z212" s="195"/>
      <c r="AA212" s="195"/>
      <c r="AB212" s="195"/>
      <c r="AC212" s="195"/>
      <c r="AD212" s="195"/>
      <c r="AE212" s="195"/>
      <c r="AF212" s="195"/>
      <c r="AG212" s="195"/>
      <c r="AH212" s="195"/>
      <c r="AI212" s="195"/>
      <c r="AJ212" s="195"/>
      <c r="AK212" s="195"/>
      <c r="AL212" s="195"/>
      <c r="AM212" s="107"/>
    </row>
    <row r="213" spans="1:39" x14ac:dyDescent="0.2">
      <c r="A213" s="44"/>
      <c r="B213" s="47" t="s">
        <v>129</v>
      </c>
      <c r="C213" s="13"/>
      <c r="D213" s="19" t="s">
        <v>130</v>
      </c>
      <c r="E213" s="31"/>
      <c r="F213" s="391">
        <v>0.01</v>
      </c>
      <c r="G213" s="391">
        <v>0.01</v>
      </c>
      <c r="H213" s="391">
        <v>0.01</v>
      </c>
      <c r="I213" s="391">
        <v>0.01</v>
      </c>
      <c r="J213" s="391">
        <v>0.01</v>
      </c>
      <c r="K213" s="391">
        <v>0.01</v>
      </c>
      <c r="L213" s="391">
        <v>0.01</v>
      </c>
      <c r="M213" s="391">
        <v>0.01</v>
      </c>
      <c r="N213" s="391">
        <v>0.01</v>
      </c>
      <c r="O213" s="391">
        <v>0.01</v>
      </c>
      <c r="P213" s="391">
        <v>0.01</v>
      </c>
      <c r="Q213" s="391">
        <v>0.01</v>
      </c>
      <c r="R213" s="391">
        <v>0.01</v>
      </c>
      <c r="S213" s="391">
        <v>0.01</v>
      </c>
      <c r="T213" s="391">
        <v>0.01</v>
      </c>
      <c r="U213" s="391">
        <v>0.01</v>
      </c>
      <c r="V213" s="391">
        <v>0.01</v>
      </c>
      <c r="W213" s="391">
        <v>0.01</v>
      </c>
      <c r="X213" s="391">
        <v>0.01</v>
      </c>
      <c r="Y213" s="391">
        <v>0.01</v>
      </c>
      <c r="Z213" s="391">
        <v>0.01</v>
      </c>
      <c r="AA213" s="391">
        <v>0.01</v>
      </c>
      <c r="AB213" s="391">
        <v>0.01</v>
      </c>
      <c r="AC213" s="391">
        <v>0.01</v>
      </c>
      <c r="AD213" s="391">
        <v>0.01</v>
      </c>
      <c r="AE213" s="391">
        <v>0.01</v>
      </c>
      <c r="AF213" s="391">
        <v>0.01</v>
      </c>
      <c r="AG213" s="391">
        <v>0.01</v>
      </c>
      <c r="AH213" s="391">
        <v>0.01</v>
      </c>
      <c r="AI213" s="391">
        <v>0.01</v>
      </c>
      <c r="AJ213" s="391">
        <v>0.01</v>
      </c>
      <c r="AK213" s="391">
        <v>0.01</v>
      </c>
      <c r="AL213" s="391">
        <v>0.01</v>
      </c>
      <c r="AM213" s="383">
        <f t="shared" ref="AM213:AM276" si="15">AVERAGE(F213:AL213)</f>
        <v>1.0000000000000004E-2</v>
      </c>
    </row>
    <row r="214" spans="1:39" x14ac:dyDescent="0.2">
      <c r="A214" s="44"/>
      <c r="B214" s="47" t="s">
        <v>131</v>
      </c>
      <c r="C214" s="13"/>
      <c r="D214" s="19" t="s">
        <v>1121</v>
      </c>
      <c r="E214" s="31"/>
      <c r="F214" s="391">
        <v>0.01</v>
      </c>
      <c r="G214" s="391">
        <v>0.01</v>
      </c>
      <c r="H214" s="391">
        <v>0.01</v>
      </c>
      <c r="I214" s="391">
        <v>0.01</v>
      </c>
      <c r="J214" s="391">
        <v>0.01</v>
      </c>
      <c r="K214" s="391">
        <v>0.01</v>
      </c>
      <c r="L214" s="391">
        <v>0.01</v>
      </c>
      <c r="M214" s="391">
        <v>0.01</v>
      </c>
      <c r="N214" s="391">
        <v>0.01</v>
      </c>
      <c r="O214" s="391">
        <v>0.01</v>
      </c>
      <c r="P214" s="391">
        <v>0.01</v>
      </c>
      <c r="Q214" s="391">
        <v>0.01</v>
      </c>
      <c r="R214" s="391">
        <v>0.01</v>
      </c>
      <c r="S214" s="391">
        <v>0.01</v>
      </c>
      <c r="T214" s="391">
        <v>0.01</v>
      </c>
      <c r="U214" s="391">
        <v>0.01</v>
      </c>
      <c r="V214" s="391">
        <v>0.01</v>
      </c>
      <c r="W214" s="391">
        <v>0.01</v>
      </c>
      <c r="X214" s="391">
        <v>0.01</v>
      </c>
      <c r="Y214" s="391">
        <v>0.01</v>
      </c>
      <c r="Z214" s="391">
        <v>0.01</v>
      </c>
      <c r="AA214" s="391">
        <v>0.01</v>
      </c>
      <c r="AB214" s="391">
        <v>0.01</v>
      </c>
      <c r="AC214" s="391">
        <v>0.01</v>
      </c>
      <c r="AD214" s="391">
        <v>0.01</v>
      </c>
      <c r="AE214" s="391">
        <v>0.01</v>
      </c>
      <c r="AF214" s="391">
        <v>0.01</v>
      </c>
      <c r="AG214" s="391">
        <v>0.01</v>
      </c>
      <c r="AH214" s="391">
        <v>0.01</v>
      </c>
      <c r="AI214" s="391">
        <v>0.01</v>
      </c>
      <c r="AJ214" s="391">
        <v>0.01</v>
      </c>
      <c r="AK214" s="391">
        <v>0.01</v>
      </c>
      <c r="AL214" s="391">
        <v>0.01</v>
      </c>
      <c r="AM214" s="383">
        <f t="shared" si="15"/>
        <v>1.0000000000000004E-2</v>
      </c>
    </row>
    <row r="215" spans="1:39" x14ac:dyDescent="0.2">
      <c r="A215" s="44"/>
      <c r="B215" s="47" t="s">
        <v>132</v>
      </c>
      <c r="C215" s="13"/>
      <c r="D215" s="19" t="s">
        <v>1121</v>
      </c>
      <c r="E215" s="31"/>
      <c r="F215" s="391">
        <v>0.01</v>
      </c>
      <c r="G215" s="391">
        <v>0.01</v>
      </c>
      <c r="H215" s="391">
        <v>0.01</v>
      </c>
      <c r="I215" s="391">
        <v>0.01</v>
      </c>
      <c r="J215" s="391">
        <v>0.01</v>
      </c>
      <c r="K215" s="391">
        <v>0.01</v>
      </c>
      <c r="L215" s="391">
        <v>0.01</v>
      </c>
      <c r="M215" s="391">
        <v>0.01</v>
      </c>
      <c r="N215" s="391">
        <v>0.01</v>
      </c>
      <c r="O215" s="391">
        <v>0.01</v>
      </c>
      <c r="P215" s="391">
        <v>0.01</v>
      </c>
      <c r="Q215" s="391">
        <v>0.01</v>
      </c>
      <c r="R215" s="391">
        <v>0.01</v>
      </c>
      <c r="S215" s="391">
        <v>0.01</v>
      </c>
      <c r="T215" s="391">
        <v>0.01</v>
      </c>
      <c r="U215" s="391">
        <v>0.01</v>
      </c>
      <c r="V215" s="391">
        <v>0.01</v>
      </c>
      <c r="W215" s="391">
        <v>0.01</v>
      </c>
      <c r="X215" s="391">
        <v>0.01</v>
      </c>
      <c r="Y215" s="391">
        <v>0.01</v>
      </c>
      <c r="Z215" s="391">
        <v>0.01</v>
      </c>
      <c r="AA215" s="391">
        <v>0.01</v>
      </c>
      <c r="AB215" s="391">
        <v>0.01</v>
      </c>
      <c r="AC215" s="391">
        <v>0.01</v>
      </c>
      <c r="AD215" s="391">
        <v>0.01</v>
      </c>
      <c r="AE215" s="391">
        <v>0.01</v>
      </c>
      <c r="AF215" s="391">
        <v>0.01</v>
      </c>
      <c r="AG215" s="391">
        <v>0.01</v>
      </c>
      <c r="AH215" s="391">
        <v>0.01</v>
      </c>
      <c r="AI215" s="391">
        <v>0.01</v>
      </c>
      <c r="AJ215" s="391">
        <v>0.01</v>
      </c>
      <c r="AK215" s="391">
        <v>0.01</v>
      </c>
      <c r="AL215" s="391">
        <v>0.01</v>
      </c>
      <c r="AM215" s="383">
        <f t="shared" si="15"/>
        <v>1.0000000000000004E-2</v>
      </c>
    </row>
    <row r="216" spans="1:39" x14ac:dyDescent="0.2">
      <c r="A216" s="44"/>
      <c r="B216" s="47" t="s">
        <v>133</v>
      </c>
      <c r="C216" s="13"/>
      <c r="D216" s="19" t="s">
        <v>1121</v>
      </c>
      <c r="E216" s="31"/>
      <c r="F216" s="391">
        <v>0.01</v>
      </c>
      <c r="G216" s="391">
        <v>0.01</v>
      </c>
      <c r="H216" s="391">
        <v>0.01</v>
      </c>
      <c r="I216" s="391">
        <v>0.01</v>
      </c>
      <c r="J216" s="391">
        <v>0.01</v>
      </c>
      <c r="K216" s="391">
        <v>0.01</v>
      </c>
      <c r="L216" s="391">
        <v>0.01</v>
      </c>
      <c r="M216" s="391">
        <v>0.01</v>
      </c>
      <c r="N216" s="391">
        <v>0.01</v>
      </c>
      <c r="O216" s="391">
        <v>0.01</v>
      </c>
      <c r="P216" s="391">
        <v>0.01</v>
      </c>
      <c r="Q216" s="391">
        <v>0.01</v>
      </c>
      <c r="R216" s="391">
        <v>0.01</v>
      </c>
      <c r="S216" s="391">
        <v>0.01</v>
      </c>
      <c r="T216" s="391">
        <v>0.01</v>
      </c>
      <c r="U216" s="391">
        <v>0.01</v>
      </c>
      <c r="V216" s="391">
        <v>0.01</v>
      </c>
      <c r="W216" s="391">
        <v>0.01</v>
      </c>
      <c r="X216" s="391">
        <v>0.01</v>
      </c>
      <c r="Y216" s="391">
        <v>0.01</v>
      </c>
      <c r="Z216" s="391">
        <v>0.01</v>
      </c>
      <c r="AA216" s="391">
        <v>0.01</v>
      </c>
      <c r="AB216" s="391">
        <v>0.01</v>
      </c>
      <c r="AC216" s="391">
        <v>0.01</v>
      </c>
      <c r="AD216" s="391">
        <v>0.01</v>
      </c>
      <c r="AE216" s="391">
        <v>0.01</v>
      </c>
      <c r="AF216" s="391">
        <v>0.01</v>
      </c>
      <c r="AG216" s="391">
        <v>0.01</v>
      </c>
      <c r="AH216" s="391">
        <v>0.01</v>
      </c>
      <c r="AI216" s="391">
        <v>0.01</v>
      </c>
      <c r="AJ216" s="391">
        <v>0.01</v>
      </c>
      <c r="AK216" s="391">
        <v>0.01</v>
      </c>
      <c r="AL216" s="391">
        <v>0.01</v>
      </c>
      <c r="AM216" s="383">
        <f t="shared" si="15"/>
        <v>1.0000000000000004E-2</v>
      </c>
    </row>
    <row r="217" spans="1:39" x14ac:dyDescent="0.2">
      <c r="A217" s="44"/>
      <c r="B217" s="37" t="s">
        <v>134</v>
      </c>
      <c r="C217" s="13"/>
      <c r="D217" s="19" t="s">
        <v>1121</v>
      </c>
      <c r="E217" s="31"/>
      <c r="F217" s="391">
        <v>0.01</v>
      </c>
      <c r="G217" s="391">
        <v>0.01</v>
      </c>
      <c r="H217" s="391">
        <v>0.01</v>
      </c>
      <c r="I217" s="391">
        <v>0.01</v>
      </c>
      <c r="J217" s="391">
        <v>0.01</v>
      </c>
      <c r="K217" s="391">
        <v>0.01</v>
      </c>
      <c r="L217" s="391">
        <v>0.01</v>
      </c>
      <c r="M217" s="391">
        <v>0.01</v>
      </c>
      <c r="N217" s="391">
        <v>0.01</v>
      </c>
      <c r="O217" s="391">
        <v>0.01</v>
      </c>
      <c r="P217" s="391">
        <v>0.01</v>
      </c>
      <c r="Q217" s="391">
        <v>0.01</v>
      </c>
      <c r="R217" s="391">
        <v>0.01</v>
      </c>
      <c r="S217" s="391">
        <v>0.01</v>
      </c>
      <c r="T217" s="391">
        <v>0.01</v>
      </c>
      <c r="U217" s="391">
        <v>0.01</v>
      </c>
      <c r="V217" s="391">
        <v>0.01</v>
      </c>
      <c r="W217" s="391">
        <v>0.01</v>
      </c>
      <c r="X217" s="391">
        <v>0.01</v>
      </c>
      <c r="Y217" s="391">
        <v>0.01</v>
      </c>
      <c r="Z217" s="391">
        <v>0.01</v>
      </c>
      <c r="AA217" s="391">
        <v>0.01</v>
      </c>
      <c r="AB217" s="391">
        <v>0.01</v>
      </c>
      <c r="AC217" s="391">
        <v>0.01</v>
      </c>
      <c r="AD217" s="391">
        <v>0.01</v>
      </c>
      <c r="AE217" s="391">
        <v>0.01</v>
      </c>
      <c r="AF217" s="391">
        <v>0.01</v>
      </c>
      <c r="AG217" s="391">
        <v>0.01</v>
      </c>
      <c r="AH217" s="391">
        <v>0.01</v>
      </c>
      <c r="AI217" s="391">
        <v>0.01</v>
      </c>
      <c r="AJ217" s="391">
        <v>0.01</v>
      </c>
      <c r="AK217" s="391">
        <v>0.01</v>
      </c>
      <c r="AL217" s="391">
        <v>0.01</v>
      </c>
      <c r="AM217" s="383">
        <f t="shared" si="15"/>
        <v>1.0000000000000004E-2</v>
      </c>
    </row>
    <row r="218" spans="1:39" x14ac:dyDescent="0.2">
      <c r="A218" s="44"/>
      <c r="B218" s="37" t="s">
        <v>135</v>
      </c>
      <c r="C218" s="13"/>
      <c r="D218" s="19" t="s">
        <v>1121</v>
      </c>
      <c r="E218" s="31"/>
      <c r="F218" s="391">
        <v>0.01</v>
      </c>
      <c r="G218" s="391">
        <v>0.01</v>
      </c>
      <c r="H218" s="391">
        <v>0.01</v>
      </c>
      <c r="I218" s="391">
        <v>0.01</v>
      </c>
      <c r="J218" s="391">
        <v>0.01</v>
      </c>
      <c r="K218" s="391">
        <v>0.01</v>
      </c>
      <c r="L218" s="391">
        <v>0.01</v>
      </c>
      <c r="M218" s="391">
        <v>0.01</v>
      </c>
      <c r="N218" s="391">
        <v>0.01</v>
      </c>
      <c r="O218" s="391">
        <v>0.01</v>
      </c>
      <c r="P218" s="391">
        <v>0.01</v>
      </c>
      <c r="Q218" s="391">
        <v>0.01</v>
      </c>
      <c r="R218" s="391">
        <v>0.01</v>
      </c>
      <c r="S218" s="391">
        <v>0.01</v>
      </c>
      <c r="T218" s="391">
        <v>0.01</v>
      </c>
      <c r="U218" s="391">
        <v>0.01</v>
      </c>
      <c r="V218" s="391">
        <v>0.01</v>
      </c>
      <c r="W218" s="391">
        <v>0.01</v>
      </c>
      <c r="X218" s="391">
        <v>0.01</v>
      </c>
      <c r="Y218" s="391">
        <v>0.01</v>
      </c>
      <c r="Z218" s="391">
        <v>0.01</v>
      </c>
      <c r="AA218" s="391">
        <v>0.01</v>
      </c>
      <c r="AB218" s="391">
        <v>0.01</v>
      </c>
      <c r="AC218" s="391">
        <v>0.01</v>
      </c>
      <c r="AD218" s="391">
        <v>0.01</v>
      </c>
      <c r="AE218" s="391">
        <v>0.01</v>
      </c>
      <c r="AF218" s="391">
        <v>0.01</v>
      </c>
      <c r="AG218" s="391">
        <v>0.01</v>
      </c>
      <c r="AH218" s="391">
        <v>0.01</v>
      </c>
      <c r="AI218" s="391">
        <v>0.01</v>
      </c>
      <c r="AJ218" s="391">
        <v>0.01</v>
      </c>
      <c r="AK218" s="391">
        <v>0.01</v>
      </c>
      <c r="AL218" s="391">
        <v>0.01</v>
      </c>
      <c r="AM218" s="383">
        <f t="shared" si="15"/>
        <v>1.0000000000000004E-2</v>
      </c>
    </row>
    <row r="219" spans="1:39" x14ac:dyDescent="0.2">
      <c r="A219" s="44"/>
      <c r="B219" s="37" t="s">
        <v>136</v>
      </c>
      <c r="C219" s="13"/>
      <c r="D219" s="19" t="s">
        <v>1121</v>
      </c>
      <c r="E219" s="31"/>
      <c r="F219" s="391">
        <v>0.01</v>
      </c>
      <c r="G219" s="391">
        <v>0.01</v>
      </c>
      <c r="H219" s="391">
        <v>0.01</v>
      </c>
      <c r="I219" s="391">
        <v>0.01</v>
      </c>
      <c r="J219" s="391">
        <v>0.01</v>
      </c>
      <c r="K219" s="391">
        <v>0.01</v>
      </c>
      <c r="L219" s="391">
        <v>0.01</v>
      </c>
      <c r="M219" s="391">
        <v>0.01</v>
      </c>
      <c r="N219" s="391">
        <v>0.01</v>
      </c>
      <c r="O219" s="391">
        <v>0.01</v>
      </c>
      <c r="P219" s="391">
        <v>0.01</v>
      </c>
      <c r="Q219" s="391">
        <v>0.01</v>
      </c>
      <c r="R219" s="391">
        <v>0.01</v>
      </c>
      <c r="S219" s="391">
        <v>0.01</v>
      </c>
      <c r="T219" s="391">
        <v>0.01</v>
      </c>
      <c r="U219" s="391">
        <v>0.01</v>
      </c>
      <c r="V219" s="391">
        <v>0.01</v>
      </c>
      <c r="W219" s="391">
        <v>0.01</v>
      </c>
      <c r="X219" s="391">
        <v>0.01</v>
      </c>
      <c r="Y219" s="391">
        <v>0.01</v>
      </c>
      <c r="Z219" s="391">
        <v>0.01</v>
      </c>
      <c r="AA219" s="391">
        <v>0.01</v>
      </c>
      <c r="AB219" s="391">
        <v>0.01</v>
      </c>
      <c r="AC219" s="391">
        <v>0.01</v>
      </c>
      <c r="AD219" s="391">
        <v>0.01</v>
      </c>
      <c r="AE219" s="391">
        <v>0.01</v>
      </c>
      <c r="AF219" s="391">
        <v>0.01</v>
      </c>
      <c r="AG219" s="391">
        <v>0.01</v>
      </c>
      <c r="AH219" s="391">
        <v>0.01</v>
      </c>
      <c r="AI219" s="391">
        <v>0.01</v>
      </c>
      <c r="AJ219" s="391">
        <v>0.01</v>
      </c>
      <c r="AK219" s="391">
        <v>0.01</v>
      </c>
      <c r="AL219" s="391">
        <v>0.01</v>
      </c>
      <c r="AM219" s="383">
        <f t="shared" si="15"/>
        <v>1.0000000000000004E-2</v>
      </c>
    </row>
    <row r="220" spans="1:39" x14ac:dyDescent="0.2">
      <c r="A220" s="44"/>
      <c r="B220" s="37" t="s">
        <v>137</v>
      </c>
      <c r="C220" s="13"/>
      <c r="D220" s="19" t="s">
        <v>1121</v>
      </c>
      <c r="E220" s="31"/>
      <c r="F220" s="392">
        <v>0</v>
      </c>
      <c r="G220" s="392">
        <v>0</v>
      </c>
      <c r="H220" s="392">
        <v>0</v>
      </c>
      <c r="I220" s="392">
        <v>0</v>
      </c>
      <c r="J220" s="392">
        <v>0</v>
      </c>
      <c r="K220" s="392">
        <v>0</v>
      </c>
      <c r="L220" s="392">
        <v>0</v>
      </c>
      <c r="M220" s="392">
        <v>0</v>
      </c>
      <c r="N220" s="392">
        <v>0</v>
      </c>
      <c r="O220" s="392">
        <v>0</v>
      </c>
      <c r="P220" s="392">
        <v>0</v>
      </c>
      <c r="Q220" s="392">
        <v>0</v>
      </c>
      <c r="R220" s="392">
        <v>0</v>
      </c>
      <c r="S220" s="392">
        <v>0</v>
      </c>
      <c r="T220" s="392">
        <v>0</v>
      </c>
      <c r="U220" s="392">
        <v>0</v>
      </c>
      <c r="V220" s="392">
        <v>0</v>
      </c>
      <c r="W220" s="392">
        <v>0</v>
      </c>
      <c r="X220" s="392">
        <v>0</v>
      </c>
      <c r="Y220" s="392">
        <v>0</v>
      </c>
      <c r="Z220" s="392">
        <v>0</v>
      </c>
      <c r="AA220" s="392">
        <v>0</v>
      </c>
      <c r="AB220" s="392">
        <v>0</v>
      </c>
      <c r="AC220" s="392">
        <v>0</v>
      </c>
      <c r="AD220" s="392">
        <v>0</v>
      </c>
      <c r="AE220" s="392">
        <v>0</v>
      </c>
      <c r="AF220" s="392">
        <v>0</v>
      </c>
      <c r="AG220" s="392">
        <v>0</v>
      </c>
      <c r="AH220" s="392">
        <v>0</v>
      </c>
      <c r="AI220" s="392">
        <v>0</v>
      </c>
      <c r="AJ220" s="392">
        <v>0</v>
      </c>
      <c r="AK220" s="392">
        <v>0</v>
      </c>
      <c r="AL220" s="392">
        <v>0</v>
      </c>
      <c r="AM220" s="383">
        <f t="shared" si="15"/>
        <v>0</v>
      </c>
    </row>
    <row r="221" spans="1:39" x14ac:dyDescent="0.2">
      <c r="A221" s="44"/>
      <c r="B221" s="37" t="s">
        <v>138</v>
      </c>
      <c r="C221" s="13"/>
      <c r="D221" s="19" t="s">
        <v>1121</v>
      </c>
      <c r="E221" s="31"/>
      <c r="F221" s="391">
        <v>0.01</v>
      </c>
      <c r="G221" s="391">
        <v>0.01</v>
      </c>
      <c r="H221" s="391">
        <v>0.01</v>
      </c>
      <c r="I221" s="391">
        <v>0.01</v>
      </c>
      <c r="J221" s="391">
        <v>0.01</v>
      </c>
      <c r="K221" s="391">
        <v>0.01</v>
      </c>
      <c r="L221" s="391">
        <v>0.01</v>
      </c>
      <c r="M221" s="391">
        <v>0.01</v>
      </c>
      <c r="N221" s="391">
        <v>0.01</v>
      </c>
      <c r="O221" s="391">
        <v>0.01</v>
      </c>
      <c r="P221" s="391">
        <v>0.01</v>
      </c>
      <c r="Q221" s="391">
        <v>0.01</v>
      </c>
      <c r="R221" s="391">
        <v>0.01</v>
      </c>
      <c r="S221" s="391">
        <v>0.01</v>
      </c>
      <c r="T221" s="391">
        <v>0.01</v>
      </c>
      <c r="U221" s="391">
        <v>0.01</v>
      </c>
      <c r="V221" s="391">
        <v>0.01</v>
      </c>
      <c r="W221" s="391">
        <v>0.01</v>
      </c>
      <c r="X221" s="391">
        <v>0.01</v>
      </c>
      <c r="Y221" s="391">
        <v>0.01</v>
      </c>
      <c r="Z221" s="391">
        <v>0.01</v>
      </c>
      <c r="AA221" s="391">
        <v>0.01</v>
      </c>
      <c r="AB221" s="391">
        <v>0.01</v>
      </c>
      <c r="AC221" s="391">
        <v>0.01</v>
      </c>
      <c r="AD221" s="391">
        <v>0.01</v>
      </c>
      <c r="AE221" s="391">
        <v>0.01</v>
      </c>
      <c r="AF221" s="391">
        <v>0.01</v>
      </c>
      <c r="AG221" s="391">
        <v>0.01</v>
      </c>
      <c r="AH221" s="391">
        <v>0.01</v>
      </c>
      <c r="AI221" s="391">
        <v>0.01</v>
      </c>
      <c r="AJ221" s="391">
        <v>0.01</v>
      </c>
      <c r="AK221" s="391">
        <v>0.01</v>
      </c>
      <c r="AL221" s="391">
        <v>0.01</v>
      </c>
      <c r="AM221" s="383">
        <f t="shared" si="15"/>
        <v>1.0000000000000004E-2</v>
      </c>
    </row>
    <row r="222" spans="1:39" x14ac:dyDescent="0.2">
      <c r="A222" s="44"/>
      <c r="B222" s="37" t="s">
        <v>139</v>
      </c>
      <c r="C222" s="13"/>
      <c r="D222" s="19" t="s">
        <v>1121</v>
      </c>
      <c r="E222" s="31"/>
      <c r="F222" s="391">
        <v>0.01</v>
      </c>
      <c r="G222" s="391">
        <v>0.01</v>
      </c>
      <c r="H222" s="391">
        <v>0.01</v>
      </c>
      <c r="I222" s="391">
        <v>0.01</v>
      </c>
      <c r="J222" s="391">
        <v>0.01</v>
      </c>
      <c r="K222" s="391">
        <v>0.01</v>
      </c>
      <c r="L222" s="391">
        <v>0.01</v>
      </c>
      <c r="M222" s="391">
        <v>0.01</v>
      </c>
      <c r="N222" s="391">
        <v>0.01</v>
      </c>
      <c r="O222" s="391">
        <v>0.01</v>
      </c>
      <c r="P222" s="391">
        <v>0.01</v>
      </c>
      <c r="Q222" s="391">
        <v>0.01</v>
      </c>
      <c r="R222" s="391">
        <v>0.01</v>
      </c>
      <c r="S222" s="391">
        <v>0.01</v>
      </c>
      <c r="T222" s="391">
        <v>0.01</v>
      </c>
      <c r="U222" s="391">
        <v>0.01</v>
      </c>
      <c r="V222" s="391">
        <v>0.01</v>
      </c>
      <c r="W222" s="391">
        <v>0.01</v>
      </c>
      <c r="X222" s="391">
        <v>0.01</v>
      </c>
      <c r="Y222" s="391">
        <v>0.01</v>
      </c>
      <c r="Z222" s="391">
        <v>0.01</v>
      </c>
      <c r="AA222" s="391">
        <v>0.01</v>
      </c>
      <c r="AB222" s="391">
        <v>0.01</v>
      </c>
      <c r="AC222" s="391">
        <v>0.01</v>
      </c>
      <c r="AD222" s="391">
        <v>0.01</v>
      </c>
      <c r="AE222" s="391">
        <v>0.01</v>
      </c>
      <c r="AF222" s="391">
        <v>0.01</v>
      </c>
      <c r="AG222" s="391">
        <v>0.01</v>
      </c>
      <c r="AH222" s="391">
        <v>0.01</v>
      </c>
      <c r="AI222" s="391">
        <v>0.01</v>
      </c>
      <c r="AJ222" s="391">
        <v>0.01</v>
      </c>
      <c r="AK222" s="391">
        <v>0.01</v>
      </c>
      <c r="AL222" s="391">
        <v>0.01</v>
      </c>
      <c r="AM222" s="383">
        <f t="shared" si="15"/>
        <v>1.0000000000000004E-2</v>
      </c>
    </row>
    <row r="223" spans="1:39" x14ac:dyDescent="0.2">
      <c r="A223" s="44"/>
      <c r="B223" s="37" t="s">
        <v>140</v>
      </c>
      <c r="C223" s="13"/>
      <c r="D223" s="19" t="s">
        <v>1121</v>
      </c>
      <c r="E223" s="31"/>
      <c r="F223" s="391">
        <v>0.01</v>
      </c>
      <c r="G223" s="391">
        <v>0.01</v>
      </c>
      <c r="H223" s="391">
        <v>0.01</v>
      </c>
      <c r="I223" s="391">
        <v>0.01</v>
      </c>
      <c r="J223" s="391">
        <v>0.01</v>
      </c>
      <c r="K223" s="391">
        <v>0.01</v>
      </c>
      <c r="L223" s="391">
        <v>0.01</v>
      </c>
      <c r="M223" s="391">
        <v>0.01</v>
      </c>
      <c r="N223" s="391">
        <v>0.01</v>
      </c>
      <c r="O223" s="391">
        <v>0.01</v>
      </c>
      <c r="P223" s="391">
        <v>0.01</v>
      </c>
      <c r="Q223" s="391">
        <v>0.01</v>
      </c>
      <c r="R223" s="391">
        <v>0.01</v>
      </c>
      <c r="S223" s="391">
        <v>0.01</v>
      </c>
      <c r="T223" s="391">
        <v>0.01</v>
      </c>
      <c r="U223" s="391">
        <v>0.01</v>
      </c>
      <c r="V223" s="391">
        <v>0.01</v>
      </c>
      <c r="W223" s="391">
        <v>0.01</v>
      </c>
      <c r="X223" s="391">
        <v>0.01</v>
      </c>
      <c r="Y223" s="391">
        <v>0.01</v>
      </c>
      <c r="Z223" s="391">
        <v>0.01</v>
      </c>
      <c r="AA223" s="391">
        <v>0.01</v>
      </c>
      <c r="AB223" s="391">
        <v>0.01</v>
      </c>
      <c r="AC223" s="391">
        <v>0.01</v>
      </c>
      <c r="AD223" s="391">
        <v>0.01</v>
      </c>
      <c r="AE223" s="391">
        <v>0.01</v>
      </c>
      <c r="AF223" s="391">
        <v>0.01</v>
      </c>
      <c r="AG223" s="391">
        <v>0.01</v>
      </c>
      <c r="AH223" s="391">
        <v>0.01</v>
      </c>
      <c r="AI223" s="391">
        <v>0.01</v>
      </c>
      <c r="AJ223" s="391">
        <v>0.01</v>
      </c>
      <c r="AK223" s="391">
        <v>0.01</v>
      </c>
      <c r="AL223" s="391">
        <v>0.01</v>
      </c>
      <c r="AM223" s="383">
        <f t="shared" si="15"/>
        <v>1.0000000000000004E-2</v>
      </c>
    </row>
    <row r="224" spans="1:39" x14ac:dyDescent="0.2">
      <c r="A224" s="44"/>
      <c r="B224" s="37" t="s">
        <v>141</v>
      </c>
      <c r="C224" s="13"/>
      <c r="D224" s="19" t="s">
        <v>1121</v>
      </c>
      <c r="E224" s="31"/>
      <c r="F224" s="391">
        <v>0.01</v>
      </c>
      <c r="G224" s="391">
        <v>0.01</v>
      </c>
      <c r="H224" s="391">
        <v>0.01</v>
      </c>
      <c r="I224" s="391">
        <v>0.01</v>
      </c>
      <c r="J224" s="391">
        <v>0.01</v>
      </c>
      <c r="K224" s="391">
        <v>0.01</v>
      </c>
      <c r="L224" s="391">
        <v>0.01</v>
      </c>
      <c r="M224" s="391">
        <v>0.01</v>
      </c>
      <c r="N224" s="391">
        <v>0.01</v>
      </c>
      <c r="O224" s="391">
        <v>0.01</v>
      </c>
      <c r="P224" s="391">
        <v>0.01</v>
      </c>
      <c r="Q224" s="391">
        <v>0.01</v>
      </c>
      <c r="R224" s="391">
        <v>0.01</v>
      </c>
      <c r="S224" s="391">
        <v>0.01</v>
      </c>
      <c r="T224" s="391">
        <v>0.01</v>
      </c>
      <c r="U224" s="391">
        <v>0.01</v>
      </c>
      <c r="V224" s="391">
        <v>0.01</v>
      </c>
      <c r="W224" s="391">
        <v>0.01</v>
      </c>
      <c r="X224" s="391">
        <v>0.01</v>
      </c>
      <c r="Y224" s="391">
        <v>0.01</v>
      </c>
      <c r="Z224" s="391">
        <v>0.01</v>
      </c>
      <c r="AA224" s="391">
        <v>0.01</v>
      </c>
      <c r="AB224" s="391">
        <v>0.01</v>
      </c>
      <c r="AC224" s="391">
        <v>0.01</v>
      </c>
      <c r="AD224" s="391">
        <v>0.01</v>
      </c>
      <c r="AE224" s="391">
        <v>0.01</v>
      </c>
      <c r="AF224" s="391">
        <v>0.01</v>
      </c>
      <c r="AG224" s="391">
        <v>0.01</v>
      </c>
      <c r="AH224" s="391">
        <v>0.01</v>
      </c>
      <c r="AI224" s="391">
        <v>0.01</v>
      </c>
      <c r="AJ224" s="391">
        <v>0.01</v>
      </c>
      <c r="AK224" s="391">
        <v>0.01</v>
      </c>
      <c r="AL224" s="391">
        <v>0.01</v>
      </c>
      <c r="AM224" s="383">
        <f t="shared" si="15"/>
        <v>1.0000000000000004E-2</v>
      </c>
    </row>
    <row r="225" spans="1:39" x14ac:dyDescent="0.2">
      <c r="A225" s="44"/>
      <c r="B225" s="37" t="s">
        <v>142</v>
      </c>
      <c r="C225" s="13"/>
      <c r="D225" s="19" t="s">
        <v>1121</v>
      </c>
      <c r="E225" s="31"/>
      <c r="F225" s="391">
        <v>0.01</v>
      </c>
      <c r="G225" s="391">
        <v>0.01</v>
      </c>
      <c r="H225" s="391">
        <v>0.01</v>
      </c>
      <c r="I225" s="391">
        <v>0.01</v>
      </c>
      <c r="J225" s="391">
        <v>0.01</v>
      </c>
      <c r="K225" s="391">
        <v>0.01</v>
      </c>
      <c r="L225" s="391">
        <v>0.01</v>
      </c>
      <c r="M225" s="391">
        <v>0.01</v>
      </c>
      <c r="N225" s="391">
        <v>0.01</v>
      </c>
      <c r="O225" s="391">
        <v>0.01</v>
      </c>
      <c r="P225" s="391">
        <v>0.01</v>
      </c>
      <c r="Q225" s="391">
        <v>0.01</v>
      </c>
      <c r="R225" s="391">
        <v>0.01</v>
      </c>
      <c r="S225" s="391">
        <v>0.01</v>
      </c>
      <c r="T225" s="391">
        <v>0.01</v>
      </c>
      <c r="U225" s="391">
        <v>0.01</v>
      </c>
      <c r="V225" s="391">
        <v>0.01</v>
      </c>
      <c r="W225" s="391">
        <v>0.01</v>
      </c>
      <c r="X225" s="391">
        <v>0.01</v>
      </c>
      <c r="Y225" s="391">
        <v>0.01</v>
      </c>
      <c r="Z225" s="391">
        <v>0.01</v>
      </c>
      <c r="AA225" s="391">
        <v>0.01</v>
      </c>
      <c r="AB225" s="391">
        <v>0.01</v>
      </c>
      <c r="AC225" s="391">
        <v>0.01</v>
      </c>
      <c r="AD225" s="391">
        <v>0.01</v>
      </c>
      <c r="AE225" s="391">
        <v>0.01</v>
      </c>
      <c r="AF225" s="391">
        <v>0.01</v>
      </c>
      <c r="AG225" s="391">
        <v>0.01</v>
      </c>
      <c r="AH225" s="391">
        <v>0.01</v>
      </c>
      <c r="AI225" s="391">
        <v>0.01</v>
      </c>
      <c r="AJ225" s="391">
        <v>0.01</v>
      </c>
      <c r="AK225" s="391">
        <v>0.01</v>
      </c>
      <c r="AL225" s="391">
        <v>0.01</v>
      </c>
      <c r="AM225" s="383">
        <f t="shared" si="15"/>
        <v>1.0000000000000004E-2</v>
      </c>
    </row>
    <row r="226" spans="1:39" x14ac:dyDescent="0.2">
      <c r="A226" s="44"/>
      <c r="B226" s="37" t="s">
        <v>143</v>
      </c>
      <c r="C226" s="13"/>
      <c r="D226" s="19" t="s">
        <v>1121</v>
      </c>
      <c r="E226" s="31"/>
      <c r="F226" s="391">
        <v>0.01</v>
      </c>
      <c r="G226" s="391">
        <v>0.01</v>
      </c>
      <c r="H226" s="391">
        <v>0.01</v>
      </c>
      <c r="I226" s="391">
        <v>0.01</v>
      </c>
      <c r="J226" s="391">
        <v>0.01</v>
      </c>
      <c r="K226" s="391">
        <v>0.01</v>
      </c>
      <c r="L226" s="391">
        <v>0.01</v>
      </c>
      <c r="M226" s="391">
        <v>0.01</v>
      </c>
      <c r="N226" s="391">
        <v>0.01</v>
      </c>
      <c r="O226" s="391">
        <v>0.01</v>
      </c>
      <c r="P226" s="391">
        <v>0.01</v>
      </c>
      <c r="Q226" s="391">
        <v>0.01</v>
      </c>
      <c r="R226" s="391">
        <v>0.01</v>
      </c>
      <c r="S226" s="391">
        <v>0.01</v>
      </c>
      <c r="T226" s="391">
        <v>0.01</v>
      </c>
      <c r="U226" s="391">
        <v>0.01</v>
      </c>
      <c r="V226" s="391">
        <v>0.01</v>
      </c>
      <c r="W226" s="391">
        <v>0.01</v>
      </c>
      <c r="X226" s="391">
        <v>0.01</v>
      </c>
      <c r="Y226" s="391">
        <v>0.01</v>
      </c>
      <c r="Z226" s="391">
        <v>0.01</v>
      </c>
      <c r="AA226" s="391">
        <v>0.01</v>
      </c>
      <c r="AB226" s="391">
        <v>0.01</v>
      </c>
      <c r="AC226" s="391">
        <v>0.01</v>
      </c>
      <c r="AD226" s="391">
        <v>0.01</v>
      </c>
      <c r="AE226" s="391">
        <v>0.01</v>
      </c>
      <c r="AF226" s="391">
        <v>0.01</v>
      </c>
      <c r="AG226" s="391">
        <v>0.01</v>
      </c>
      <c r="AH226" s="391">
        <v>0.01</v>
      </c>
      <c r="AI226" s="391">
        <v>0.01</v>
      </c>
      <c r="AJ226" s="391">
        <v>0.01</v>
      </c>
      <c r="AK226" s="391">
        <v>0.01</v>
      </c>
      <c r="AL226" s="391">
        <v>0.01</v>
      </c>
      <c r="AM226" s="383">
        <f t="shared" si="15"/>
        <v>1.0000000000000004E-2</v>
      </c>
    </row>
    <row r="227" spans="1:39" x14ac:dyDescent="0.2">
      <c r="A227" s="44"/>
      <c r="B227" s="37" t="s">
        <v>144</v>
      </c>
      <c r="C227" s="13"/>
      <c r="D227" s="19" t="s">
        <v>1121</v>
      </c>
      <c r="E227" s="31"/>
      <c r="F227" s="391">
        <v>0.01</v>
      </c>
      <c r="G227" s="391">
        <v>0.01</v>
      </c>
      <c r="H227" s="391">
        <v>0.01</v>
      </c>
      <c r="I227" s="391">
        <v>0.01</v>
      </c>
      <c r="J227" s="391">
        <v>0.01</v>
      </c>
      <c r="K227" s="391">
        <v>0.01</v>
      </c>
      <c r="L227" s="391">
        <v>0.01</v>
      </c>
      <c r="M227" s="391">
        <v>0.01</v>
      </c>
      <c r="N227" s="391">
        <v>0.01</v>
      </c>
      <c r="O227" s="391">
        <v>0.01</v>
      </c>
      <c r="P227" s="391">
        <v>0.01</v>
      </c>
      <c r="Q227" s="391">
        <v>0.01</v>
      </c>
      <c r="R227" s="391">
        <v>0.01</v>
      </c>
      <c r="S227" s="391">
        <v>0.01</v>
      </c>
      <c r="T227" s="391">
        <v>0.01</v>
      </c>
      <c r="U227" s="391">
        <v>0.01</v>
      </c>
      <c r="V227" s="391">
        <v>0.01</v>
      </c>
      <c r="W227" s="391">
        <v>0.01</v>
      </c>
      <c r="X227" s="391">
        <v>0.01</v>
      </c>
      <c r="Y227" s="391">
        <v>0.01</v>
      </c>
      <c r="Z227" s="391">
        <v>0.01</v>
      </c>
      <c r="AA227" s="391">
        <v>0.01</v>
      </c>
      <c r="AB227" s="391">
        <v>0.01</v>
      </c>
      <c r="AC227" s="391">
        <v>0.01</v>
      </c>
      <c r="AD227" s="391">
        <v>0.01</v>
      </c>
      <c r="AE227" s="391">
        <v>0.01</v>
      </c>
      <c r="AF227" s="391">
        <v>0.01</v>
      </c>
      <c r="AG227" s="391">
        <v>0.01</v>
      </c>
      <c r="AH227" s="391">
        <v>0.01</v>
      </c>
      <c r="AI227" s="391">
        <v>0.01</v>
      </c>
      <c r="AJ227" s="391">
        <v>0.01</v>
      </c>
      <c r="AK227" s="391">
        <v>0.01</v>
      </c>
      <c r="AL227" s="391">
        <v>0.01</v>
      </c>
      <c r="AM227" s="383">
        <f t="shared" si="15"/>
        <v>1.0000000000000004E-2</v>
      </c>
    </row>
    <row r="228" spans="1:39" x14ac:dyDescent="0.2">
      <c r="A228" s="44"/>
      <c r="B228" s="37" t="s">
        <v>145</v>
      </c>
      <c r="C228" s="13"/>
      <c r="D228" s="19" t="s">
        <v>1121</v>
      </c>
      <c r="E228" s="31"/>
      <c r="F228" s="391">
        <v>0.01</v>
      </c>
      <c r="G228" s="391">
        <v>0.01</v>
      </c>
      <c r="H228" s="391">
        <v>0.01</v>
      </c>
      <c r="I228" s="391">
        <v>0.01</v>
      </c>
      <c r="J228" s="391">
        <v>0.01</v>
      </c>
      <c r="K228" s="391">
        <v>0.01</v>
      </c>
      <c r="L228" s="391">
        <v>0.01</v>
      </c>
      <c r="M228" s="391">
        <v>0.01</v>
      </c>
      <c r="N228" s="391">
        <v>0.01</v>
      </c>
      <c r="O228" s="391">
        <v>0.01</v>
      </c>
      <c r="P228" s="391">
        <v>0.01</v>
      </c>
      <c r="Q228" s="391">
        <v>0.01</v>
      </c>
      <c r="R228" s="391">
        <v>0.01</v>
      </c>
      <c r="S228" s="391">
        <v>0.01</v>
      </c>
      <c r="T228" s="391">
        <v>0.01</v>
      </c>
      <c r="U228" s="391">
        <v>0.01</v>
      </c>
      <c r="V228" s="391">
        <v>0.01</v>
      </c>
      <c r="W228" s="391">
        <v>0.01</v>
      </c>
      <c r="X228" s="391">
        <v>0.01</v>
      </c>
      <c r="Y228" s="391">
        <v>0.01</v>
      </c>
      <c r="Z228" s="391">
        <v>0.01</v>
      </c>
      <c r="AA228" s="391">
        <v>0.01</v>
      </c>
      <c r="AB228" s="391">
        <v>0.01</v>
      </c>
      <c r="AC228" s="391">
        <v>0.01</v>
      </c>
      <c r="AD228" s="391">
        <v>0.01</v>
      </c>
      <c r="AE228" s="391">
        <v>0.01</v>
      </c>
      <c r="AF228" s="391">
        <v>0.01</v>
      </c>
      <c r="AG228" s="391">
        <v>0.01</v>
      </c>
      <c r="AH228" s="391">
        <v>0.01</v>
      </c>
      <c r="AI228" s="391">
        <v>0.01</v>
      </c>
      <c r="AJ228" s="391">
        <v>0.01</v>
      </c>
      <c r="AK228" s="391">
        <v>0.01</v>
      </c>
      <c r="AL228" s="391">
        <v>0.01</v>
      </c>
      <c r="AM228" s="383">
        <f t="shared" si="15"/>
        <v>1.0000000000000004E-2</v>
      </c>
    </row>
    <row r="229" spans="1:39" x14ac:dyDescent="0.2">
      <c r="A229" s="44"/>
      <c r="B229" s="37" t="s">
        <v>146</v>
      </c>
      <c r="C229" s="13"/>
      <c r="D229" s="19" t="s">
        <v>1121</v>
      </c>
      <c r="E229" s="31"/>
      <c r="F229" s="391">
        <v>0.01</v>
      </c>
      <c r="G229" s="391">
        <v>0.01</v>
      </c>
      <c r="H229" s="391">
        <v>0.01</v>
      </c>
      <c r="I229" s="391">
        <v>0.01</v>
      </c>
      <c r="J229" s="391">
        <v>0.01</v>
      </c>
      <c r="K229" s="391">
        <v>0.01</v>
      </c>
      <c r="L229" s="391">
        <v>0.01</v>
      </c>
      <c r="M229" s="391">
        <v>0.01</v>
      </c>
      <c r="N229" s="391">
        <v>0.01</v>
      </c>
      <c r="O229" s="391">
        <v>0.01</v>
      </c>
      <c r="P229" s="391">
        <v>0.01</v>
      </c>
      <c r="Q229" s="391">
        <v>0.01</v>
      </c>
      <c r="R229" s="391">
        <v>0.01</v>
      </c>
      <c r="S229" s="391">
        <v>0.01</v>
      </c>
      <c r="T229" s="391">
        <v>0.01</v>
      </c>
      <c r="U229" s="391">
        <v>0.01</v>
      </c>
      <c r="V229" s="391">
        <v>0.01</v>
      </c>
      <c r="W229" s="391">
        <v>0.01</v>
      </c>
      <c r="X229" s="391">
        <v>0.01</v>
      </c>
      <c r="Y229" s="391">
        <v>0.01</v>
      </c>
      <c r="Z229" s="391">
        <v>0.01</v>
      </c>
      <c r="AA229" s="391">
        <v>0.01</v>
      </c>
      <c r="AB229" s="391">
        <v>0.01</v>
      </c>
      <c r="AC229" s="391">
        <v>0.01</v>
      </c>
      <c r="AD229" s="391">
        <v>0.01</v>
      </c>
      <c r="AE229" s="391">
        <v>0.01</v>
      </c>
      <c r="AF229" s="391">
        <v>0.01</v>
      </c>
      <c r="AG229" s="391">
        <v>0.01</v>
      </c>
      <c r="AH229" s="391">
        <v>0.01</v>
      </c>
      <c r="AI229" s="391">
        <v>0.01</v>
      </c>
      <c r="AJ229" s="391">
        <v>0.01</v>
      </c>
      <c r="AK229" s="391">
        <v>0.01</v>
      </c>
      <c r="AL229" s="391">
        <v>0.01</v>
      </c>
      <c r="AM229" s="383">
        <f t="shared" si="15"/>
        <v>1.0000000000000004E-2</v>
      </c>
    </row>
    <row r="230" spans="1:39" x14ac:dyDescent="0.2">
      <c r="A230" s="44"/>
      <c r="B230" s="37" t="s">
        <v>147</v>
      </c>
      <c r="C230" s="13"/>
      <c r="D230" s="19" t="s">
        <v>1121</v>
      </c>
      <c r="E230" s="31"/>
      <c r="F230" s="391">
        <v>0.01</v>
      </c>
      <c r="G230" s="391">
        <v>0.01</v>
      </c>
      <c r="H230" s="391">
        <v>0.01</v>
      </c>
      <c r="I230" s="391">
        <v>0.01</v>
      </c>
      <c r="J230" s="391">
        <v>0.01</v>
      </c>
      <c r="K230" s="391">
        <v>0.01</v>
      </c>
      <c r="L230" s="391">
        <v>0.01</v>
      </c>
      <c r="M230" s="391">
        <v>0.01</v>
      </c>
      <c r="N230" s="391">
        <v>0.01</v>
      </c>
      <c r="O230" s="391">
        <v>0.01</v>
      </c>
      <c r="P230" s="391">
        <v>0.01</v>
      </c>
      <c r="Q230" s="391">
        <v>0.01</v>
      </c>
      <c r="R230" s="391">
        <v>0.01</v>
      </c>
      <c r="S230" s="391">
        <v>0.01</v>
      </c>
      <c r="T230" s="391">
        <v>0.01</v>
      </c>
      <c r="U230" s="391">
        <v>0.01</v>
      </c>
      <c r="V230" s="391">
        <v>0.01</v>
      </c>
      <c r="W230" s="391">
        <v>0.01</v>
      </c>
      <c r="X230" s="391">
        <v>0.01</v>
      </c>
      <c r="Y230" s="391">
        <v>0.01</v>
      </c>
      <c r="Z230" s="391">
        <v>0.01</v>
      </c>
      <c r="AA230" s="391">
        <v>0.01</v>
      </c>
      <c r="AB230" s="391">
        <v>0.01</v>
      </c>
      <c r="AC230" s="391">
        <v>0.01</v>
      </c>
      <c r="AD230" s="391">
        <v>0.01</v>
      </c>
      <c r="AE230" s="391">
        <v>0.01</v>
      </c>
      <c r="AF230" s="391">
        <v>0.01</v>
      </c>
      <c r="AG230" s="391">
        <v>0.01</v>
      </c>
      <c r="AH230" s="391">
        <v>0.01</v>
      </c>
      <c r="AI230" s="391">
        <v>0.01</v>
      </c>
      <c r="AJ230" s="391">
        <v>0.01</v>
      </c>
      <c r="AK230" s="391">
        <v>0.01</v>
      </c>
      <c r="AL230" s="391">
        <v>0.01</v>
      </c>
      <c r="AM230" s="383">
        <f t="shared" si="15"/>
        <v>1.0000000000000004E-2</v>
      </c>
    </row>
    <row r="231" spans="1:39" x14ac:dyDescent="0.2">
      <c r="A231" s="44"/>
      <c r="B231" s="37" t="s">
        <v>148</v>
      </c>
      <c r="C231" s="13"/>
      <c r="D231" s="19" t="s">
        <v>1121</v>
      </c>
      <c r="E231" s="31"/>
      <c r="F231" s="391">
        <v>0.01</v>
      </c>
      <c r="G231" s="391">
        <v>0.01</v>
      </c>
      <c r="H231" s="391">
        <v>0.01</v>
      </c>
      <c r="I231" s="391">
        <v>0.01</v>
      </c>
      <c r="J231" s="391">
        <v>0.01</v>
      </c>
      <c r="K231" s="391">
        <v>0.01</v>
      </c>
      <c r="L231" s="391">
        <v>0.01</v>
      </c>
      <c r="M231" s="391">
        <v>0.01</v>
      </c>
      <c r="N231" s="391">
        <v>0.01</v>
      </c>
      <c r="O231" s="391">
        <v>0.01</v>
      </c>
      <c r="P231" s="391">
        <v>0.01</v>
      </c>
      <c r="Q231" s="391">
        <v>0.01</v>
      </c>
      <c r="R231" s="391">
        <v>0.01</v>
      </c>
      <c r="S231" s="391">
        <v>0.01</v>
      </c>
      <c r="T231" s="391">
        <v>0.01</v>
      </c>
      <c r="U231" s="391">
        <v>0.01</v>
      </c>
      <c r="V231" s="391">
        <v>0.01</v>
      </c>
      <c r="W231" s="391">
        <v>0.01</v>
      </c>
      <c r="X231" s="391">
        <v>0.01</v>
      </c>
      <c r="Y231" s="391">
        <v>0.01</v>
      </c>
      <c r="Z231" s="391">
        <v>0.01</v>
      </c>
      <c r="AA231" s="391">
        <v>0.01</v>
      </c>
      <c r="AB231" s="391">
        <v>0.01</v>
      </c>
      <c r="AC231" s="391">
        <v>0.01</v>
      </c>
      <c r="AD231" s="391">
        <v>0.01</v>
      </c>
      <c r="AE231" s="391">
        <v>0.01</v>
      </c>
      <c r="AF231" s="391">
        <v>0.01</v>
      </c>
      <c r="AG231" s="391">
        <v>0.01</v>
      </c>
      <c r="AH231" s="391">
        <v>0.01</v>
      </c>
      <c r="AI231" s="391">
        <v>0.01</v>
      </c>
      <c r="AJ231" s="391">
        <v>0.01</v>
      </c>
      <c r="AK231" s="391">
        <v>0.01</v>
      </c>
      <c r="AL231" s="391">
        <v>0.01</v>
      </c>
      <c r="AM231" s="383">
        <f t="shared" si="15"/>
        <v>1.0000000000000004E-2</v>
      </c>
    </row>
    <row r="232" spans="1:39" x14ac:dyDescent="0.2">
      <c r="A232" s="44"/>
      <c r="B232" s="37" t="s">
        <v>149</v>
      </c>
      <c r="C232" s="13"/>
      <c r="D232" s="19" t="s">
        <v>1121</v>
      </c>
      <c r="E232" s="31"/>
      <c r="F232" s="391">
        <v>0.01</v>
      </c>
      <c r="G232" s="391">
        <v>0.01</v>
      </c>
      <c r="H232" s="391">
        <v>0.01</v>
      </c>
      <c r="I232" s="391">
        <v>0.01</v>
      </c>
      <c r="J232" s="391">
        <v>0.01</v>
      </c>
      <c r="K232" s="391">
        <v>0.01</v>
      </c>
      <c r="L232" s="391">
        <v>0.01</v>
      </c>
      <c r="M232" s="391">
        <v>0.01</v>
      </c>
      <c r="N232" s="391">
        <v>0.01</v>
      </c>
      <c r="O232" s="391">
        <v>0.01</v>
      </c>
      <c r="P232" s="391">
        <v>0.01</v>
      </c>
      <c r="Q232" s="391">
        <v>0.01</v>
      </c>
      <c r="R232" s="391">
        <v>0.01</v>
      </c>
      <c r="S232" s="391">
        <v>0.01</v>
      </c>
      <c r="T232" s="391">
        <v>0.01</v>
      </c>
      <c r="U232" s="391">
        <v>0.01</v>
      </c>
      <c r="V232" s="391">
        <v>0.01</v>
      </c>
      <c r="W232" s="391">
        <v>0.01</v>
      </c>
      <c r="X232" s="391">
        <v>0.01</v>
      </c>
      <c r="Y232" s="391">
        <v>0.01</v>
      </c>
      <c r="Z232" s="391">
        <v>0.01</v>
      </c>
      <c r="AA232" s="391">
        <v>0.01</v>
      </c>
      <c r="AB232" s="391">
        <v>0.01</v>
      </c>
      <c r="AC232" s="391">
        <v>0.01</v>
      </c>
      <c r="AD232" s="391">
        <v>0.01</v>
      </c>
      <c r="AE232" s="391">
        <v>0.01</v>
      </c>
      <c r="AF232" s="391">
        <v>0.01</v>
      </c>
      <c r="AG232" s="391">
        <v>0.01</v>
      </c>
      <c r="AH232" s="391">
        <v>0.01</v>
      </c>
      <c r="AI232" s="391">
        <v>0.01</v>
      </c>
      <c r="AJ232" s="391">
        <v>0.01</v>
      </c>
      <c r="AK232" s="391">
        <v>0.01</v>
      </c>
      <c r="AL232" s="391">
        <v>0.01</v>
      </c>
      <c r="AM232" s="383">
        <f t="shared" si="15"/>
        <v>1.0000000000000004E-2</v>
      </c>
    </row>
    <row r="233" spans="1:39" x14ac:dyDescent="0.2">
      <c r="A233" s="44"/>
      <c r="B233" s="37" t="s">
        <v>150</v>
      </c>
      <c r="C233" s="13"/>
      <c r="D233" s="19" t="s">
        <v>1121</v>
      </c>
      <c r="E233" s="31"/>
      <c r="F233" s="391">
        <v>0.01</v>
      </c>
      <c r="G233" s="391">
        <v>0.01</v>
      </c>
      <c r="H233" s="391">
        <v>0.01</v>
      </c>
      <c r="I233" s="391">
        <v>0.01</v>
      </c>
      <c r="J233" s="391">
        <v>0.01</v>
      </c>
      <c r="K233" s="391">
        <v>0.01</v>
      </c>
      <c r="L233" s="391">
        <v>0.01</v>
      </c>
      <c r="M233" s="391">
        <v>0.01</v>
      </c>
      <c r="N233" s="391">
        <v>0.01</v>
      </c>
      <c r="O233" s="391">
        <v>0.01</v>
      </c>
      <c r="P233" s="391">
        <v>0.01</v>
      </c>
      <c r="Q233" s="391">
        <v>0.01</v>
      </c>
      <c r="R233" s="391">
        <v>0.01</v>
      </c>
      <c r="S233" s="391">
        <v>0.01</v>
      </c>
      <c r="T233" s="391">
        <v>0.01</v>
      </c>
      <c r="U233" s="391">
        <v>0.01</v>
      </c>
      <c r="V233" s="391">
        <v>0.01</v>
      </c>
      <c r="W233" s="391">
        <v>0.01</v>
      </c>
      <c r="X233" s="391">
        <v>0.01</v>
      </c>
      <c r="Y233" s="391">
        <v>0.01</v>
      </c>
      <c r="Z233" s="391">
        <v>0.01</v>
      </c>
      <c r="AA233" s="391">
        <v>0.01</v>
      </c>
      <c r="AB233" s="391">
        <v>0.01</v>
      </c>
      <c r="AC233" s="391">
        <v>0.01</v>
      </c>
      <c r="AD233" s="391">
        <v>0.01</v>
      </c>
      <c r="AE233" s="391">
        <v>0.01</v>
      </c>
      <c r="AF233" s="391">
        <v>0.01</v>
      </c>
      <c r="AG233" s="391">
        <v>0.01</v>
      </c>
      <c r="AH233" s="391">
        <v>0.01</v>
      </c>
      <c r="AI233" s="391">
        <v>0.01</v>
      </c>
      <c r="AJ233" s="391">
        <v>0.01</v>
      </c>
      <c r="AK233" s="391">
        <v>0.01</v>
      </c>
      <c r="AL233" s="391">
        <v>0.01</v>
      </c>
      <c r="AM233" s="383">
        <f t="shared" si="15"/>
        <v>1.0000000000000004E-2</v>
      </c>
    </row>
    <row r="234" spans="1:39" x14ac:dyDescent="0.2">
      <c r="A234" s="44"/>
      <c r="B234" s="37" t="s">
        <v>151</v>
      </c>
      <c r="C234" s="13"/>
      <c r="D234" s="19" t="s">
        <v>1121</v>
      </c>
      <c r="E234" s="31"/>
      <c r="F234" s="391">
        <v>0.01</v>
      </c>
      <c r="G234" s="391">
        <v>0.01</v>
      </c>
      <c r="H234" s="391">
        <v>0.01</v>
      </c>
      <c r="I234" s="391">
        <v>0.01</v>
      </c>
      <c r="J234" s="391">
        <v>0.01</v>
      </c>
      <c r="K234" s="391">
        <v>0.01</v>
      </c>
      <c r="L234" s="391">
        <v>0.01</v>
      </c>
      <c r="M234" s="391">
        <v>0.01</v>
      </c>
      <c r="N234" s="391">
        <v>0.01</v>
      </c>
      <c r="O234" s="391">
        <v>0.01</v>
      </c>
      <c r="P234" s="391">
        <v>0.01</v>
      </c>
      <c r="Q234" s="391">
        <v>0.01</v>
      </c>
      <c r="R234" s="391">
        <v>0.01</v>
      </c>
      <c r="S234" s="391">
        <v>0.01</v>
      </c>
      <c r="T234" s="391">
        <v>0.01</v>
      </c>
      <c r="U234" s="391">
        <v>0.01</v>
      </c>
      <c r="V234" s="391">
        <v>0.01</v>
      </c>
      <c r="W234" s="391">
        <v>0.01</v>
      </c>
      <c r="X234" s="391">
        <v>0.01</v>
      </c>
      <c r="Y234" s="391">
        <v>0.01</v>
      </c>
      <c r="Z234" s="391">
        <v>0.01</v>
      </c>
      <c r="AA234" s="391">
        <v>0.01</v>
      </c>
      <c r="AB234" s="391">
        <v>0.01</v>
      </c>
      <c r="AC234" s="391">
        <v>0.01</v>
      </c>
      <c r="AD234" s="391">
        <v>0.01</v>
      </c>
      <c r="AE234" s="391">
        <v>0.01</v>
      </c>
      <c r="AF234" s="391">
        <v>0.01</v>
      </c>
      <c r="AG234" s="391">
        <v>0.01</v>
      </c>
      <c r="AH234" s="391">
        <v>0.01</v>
      </c>
      <c r="AI234" s="391">
        <v>0.01</v>
      </c>
      <c r="AJ234" s="391">
        <v>0.01</v>
      </c>
      <c r="AK234" s="391">
        <v>0.01</v>
      </c>
      <c r="AL234" s="391">
        <v>0.01</v>
      </c>
      <c r="AM234" s="383">
        <f t="shared" si="15"/>
        <v>1.0000000000000004E-2</v>
      </c>
    </row>
    <row r="235" spans="1:39" x14ac:dyDescent="0.2">
      <c r="A235" s="44"/>
      <c r="B235" s="37" t="s">
        <v>152</v>
      </c>
      <c r="C235" s="13"/>
      <c r="D235" s="19" t="s">
        <v>1121</v>
      </c>
      <c r="E235" s="31"/>
      <c r="F235" s="391">
        <v>0.01</v>
      </c>
      <c r="G235" s="391">
        <v>0.01</v>
      </c>
      <c r="H235" s="391">
        <v>0.01</v>
      </c>
      <c r="I235" s="391">
        <v>0.01</v>
      </c>
      <c r="J235" s="391">
        <v>0.01</v>
      </c>
      <c r="K235" s="391">
        <v>0.01</v>
      </c>
      <c r="L235" s="391">
        <v>0.01</v>
      </c>
      <c r="M235" s="391">
        <v>0.01</v>
      </c>
      <c r="N235" s="391">
        <v>0.01</v>
      </c>
      <c r="O235" s="391">
        <v>0.01</v>
      </c>
      <c r="P235" s="391">
        <v>0.01</v>
      </c>
      <c r="Q235" s="391">
        <v>0.01</v>
      </c>
      <c r="R235" s="391">
        <v>0.01</v>
      </c>
      <c r="S235" s="391">
        <v>0.01</v>
      </c>
      <c r="T235" s="391">
        <v>0.01</v>
      </c>
      <c r="U235" s="391">
        <v>0.01</v>
      </c>
      <c r="V235" s="391">
        <v>0.01</v>
      </c>
      <c r="W235" s="391">
        <v>0.01</v>
      </c>
      <c r="X235" s="391">
        <v>0.01</v>
      </c>
      <c r="Y235" s="391">
        <v>0.01</v>
      </c>
      <c r="Z235" s="391">
        <v>0.01</v>
      </c>
      <c r="AA235" s="391">
        <v>0.01</v>
      </c>
      <c r="AB235" s="391">
        <v>0.01</v>
      </c>
      <c r="AC235" s="391">
        <v>0.01</v>
      </c>
      <c r="AD235" s="391">
        <v>0.01</v>
      </c>
      <c r="AE235" s="391">
        <v>0.01</v>
      </c>
      <c r="AF235" s="391">
        <v>0.01</v>
      </c>
      <c r="AG235" s="391">
        <v>0.01</v>
      </c>
      <c r="AH235" s="391">
        <v>0.01</v>
      </c>
      <c r="AI235" s="391">
        <v>0.01</v>
      </c>
      <c r="AJ235" s="391">
        <v>0.01</v>
      </c>
      <c r="AK235" s="391">
        <v>0.01</v>
      </c>
      <c r="AL235" s="391">
        <v>0.01</v>
      </c>
      <c r="AM235" s="383">
        <f t="shared" si="15"/>
        <v>1.0000000000000004E-2</v>
      </c>
    </row>
    <row r="236" spans="1:39" x14ac:dyDescent="0.2">
      <c r="A236" s="44"/>
      <c r="B236" s="37" t="s">
        <v>153</v>
      </c>
      <c r="C236" s="13"/>
      <c r="D236" s="19" t="s">
        <v>1121</v>
      </c>
      <c r="E236" s="31"/>
      <c r="F236" s="391">
        <v>0.01</v>
      </c>
      <c r="G236" s="391">
        <v>0.01</v>
      </c>
      <c r="H236" s="391">
        <v>0.01</v>
      </c>
      <c r="I236" s="391">
        <v>0.01</v>
      </c>
      <c r="J236" s="391">
        <v>0.01</v>
      </c>
      <c r="K236" s="391">
        <v>0.01</v>
      </c>
      <c r="L236" s="391">
        <v>0.01</v>
      </c>
      <c r="M236" s="391">
        <v>0.01</v>
      </c>
      <c r="N236" s="391">
        <v>0.01</v>
      </c>
      <c r="O236" s="391">
        <v>0.01</v>
      </c>
      <c r="P236" s="391">
        <v>0.01</v>
      </c>
      <c r="Q236" s="391">
        <v>0.01</v>
      </c>
      <c r="R236" s="391">
        <v>0.01</v>
      </c>
      <c r="S236" s="391">
        <v>0.01</v>
      </c>
      <c r="T236" s="391">
        <v>0.01</v>
      </c>
      <c r="U236" s="391">
        <v>0.01</v>
      </c>
      <c r="V236" s="391">
        <v>0.01</v>
      </c>
      <c r="W236" s="391">
        <v>0.01</v>
      </c>
      <c r="X236" s="391">
        <v>0.01</v>
      </c>
      <c r="Y236" s="391">
        <v>0.01</v>
      </c>
      <c r="Z236" s="391">
        <v>0.01</v>
      </c>
      <c r="AA236" s="391">
        <v>0.01</v>
      </c>
      <c r="AB236" s="391">
        <v>0.01</v>
      </c>
      <c r="AC236" s="391">
        <v>0.01</v>
      </c>
      <c r="AD236" s="391">
        <v>0.01</v>
      </c>
      <c r="AE236" s="391">
        <v>0.01</v>
      </c>
      <c r="AF236" s="391">
        <v>0.01</v>
      </c>
      <c r="AG236" s="391">
        <v>0.01</v>
      </c>
      <c r="AH236" s="391">
        <v>0.01</v>
      </c>
      <c r="AI236" s="391">
        <v>0.01</v>
      </c>
      <c r="AJ236" s="391">
        <v>0.01</v>
      </c>
      <c r="AK236" s="391">
        <v>0.01</v>
      </c>
      <c r="AL236" s="391">
        <v>0.01</v>
      </c>
      <c r="AM236" s="383">
        <f t="shared" si="15"/>
        <v>1.0000000000000004E-2</v>
      </c>
    </row>
    <row r="237" spans="1:39" x14ac:dyDescent="0.2">
      <c r="A237" s="44"/>
      <c r="B237" s="37" t="s">
        <v>154</v>
      </c>
      <c r="C237" s="13"/>
      <c r="D237" s="19" t="s">
        <v>1121</v>
      </c>
      <c r="E237" s="31"/>
      <c r="F237" s="391">
        <v>0.01</v>
      </c>
      <c r="G237" s="391">
        <v>0.01</v>
      </c>
      <c r="H237" s="391">
        <v>0.01</v>
      </c>
      <c r="I237" s="391">
        <v>0.01</v>
      </c>
      <c r="J237" s="391">
        <v>0.01</v>
      </c>
      <c r="K237" s="391">
        <v>0.01</v>
      </c>
      <c r="L237" s="391">
        <v>0.01</v>
      </c>
      <c r="M237" s="391">
        <v>0.01</v>
      </c>
      <c r="N237" s="391">
        <v>0.01</v>
      </c>
      <c r="O237" s="391">
        <v>0.01</v>
      </c>
      <c r="P237" s="391">
        <v>0.01</v>
      </c>
      <c r="Q237" s="391">
        <v>0.01</v>
      </c>
      <c r="R237" s="391">
        <v>0.01</v>
      </c>
      <c r="S237" s="391">
        <v>0.01</v>
      </c>
      <c r="T237" s="391">
        <v>0.01</v>
      </c>
      <c r="U237" s="391">
        <v>0.01</v>
      </c>
      <c r="V237" s="391">
        <v>0.01</v>
      </c>
      <c r="W237" s="391">
        <v>0.01</v>
      </c>
      <c r="X237" s="391">
        <v>0.01</v>
      </c>
      <c r="Y237" s="391">
        <v>0.01</v>
      </c>
      <c r="Z237" s="391">
        <v>0.01</v>
      </c>
      <c r="AA237" s="391">
        <v>0.01</v>
      </c>
      <c r="AB237" s="391">
        <v>0.01</v>
      </c>
      <c r="AC237" s="391">
        <v>0.01</v>
      </c>
      <c r="AD237" s="391">
        <v>0.01</v>
      </c>
      <c r="AE237" s="391">
        <v>0.01</v>
      </c>
      <c r="AF237" s="391">
        <v>0.01</v>
      </c>
      <c r="AG237" s="391">
        <v>0.01</v>
      </c>
      <c r="AH237" s="391">
        <v>0.01</v>
      </c>
      <c r="AI237" s="391">
        <v>0.01</v>
      </c>
      <c r="AJ237" s="391">
        <v>0.01</v>
      </c>
      <c r="AK237" s="391">
        <v>0.01</v>
      </c>
      <c r="AL237" s="391">
        <v>0.01</v>
      </c>
      <c r="AM237" s="383">
        <f t="shared" si="15"/>
        <v>1.0000000000000004E-2</v>
      </c>
    </row>
    <row r="238" spans="1:39" x14ac:dyDescent="0.2">
      <c r="A238" s="44"/>
      <c r="B238" s="37" t="s">
        <v>155</v>
      </c>
      <c r="C238" s="13"/>
      <c r="D238" s="19" t="s">
        <v>1121</v>
      </c>
      <c r="E238" s="31"/>
      <c r="F238" s="391">
        <v>0.01</v>
      </c>
      <c r="G238" s="391">
        <v>0.01</v>
      </c>
      <c r="H238" s="391">
        <v>0.01</v>
      </c>
      <c r="I238" s="391">
        <v>0.01</v>
      </c>
      <c r="J238" s="391">
        <v>0.01</v>
      </c>
      <c r="K238" s="391">
        <v>0.01</v>
      </c>
      <c r="L238" s="391">
        <v>0.01</v>
      </c>
      <c r="M238" s="391">
        <v>0.01</v>
      </c>
      <c r="N238" s="391">
        <v>0.01</v>
      </c>
      <c r="O238" s="391">
        <v>0.01</v>
      </c>
      <c r="P238" s="391">
        <v>0.01</v>
      </c>
      <c r="Q238" s="391">
        <v>0.01</v>
      </c>
      <c r="R238" s="391">
        <v>0.01</v>
      </c>
      <c r="S238" s="391">
        <v>0.01</v>
      </c>
      <c r="T238" s="391">
        <v>0.01</v>
      </c>
      <c r="U238" s="391">
        <v>0.01</v>
      </c>
      <c r="V238" s="391">
        <v>0.01</v>
      </c>
      <c r="W238" s="391">
        <v>0.01</v>
      </c>
      <c r="X238" s="391">
        <v>0.01</v>
      </c>
      <c r="Y238" s="391">
        <v>0.01</v>
      </c>
      <c r="Z238" s="391">
        <v>0.01</v>
      </c>
      <c r="AA238" s="391">
        <v>0.01</v>
      </c>
      <c r="AB238" s="391">
        <v>0.01</v>
      </c>
      <c r="AC238" s="391">
        <v>0.01</v>
      </c>
      <c r="AD238" s="391">
        <v>0.01</v>
      </c>
      <c r="AE238" s="391">
        <v>0.01</v>
      </c>
      <c r="AF238" s="391">
        <v>0.01</v>
      </c>
      <c r="AG238" s="391">
        <v>0.01</v>
      </c>
      <c r="AH238" s="391">
        <v>0.01</v>
      </c>
      <c r="AI238" s="391">
        <v>0.01</v>
      </c>
      <c r="AJ238" s="391">
        <v>0.01</v>
      </c>
      <c r="AK238" s="391">
        <v>0.01</v>
      </c>
      <c r="AL238" s="391">
        <v>0.01</v>
      </c>
      <c r="AM238" s="383">
        <f t="shared" si="15"/>
        <v>1.0000000000000004E-2</v>
      </c>
    </row>
    <row r="239" spans="1:39" x14ac:dyDescent="0.2">
      <c r="A239" s="44"/>
      <c r="B239" s="37" t="s">
        <v>156</v>
      </c>
      <c r="C239" s="13"/>
      <c r="D239" s="19" t="s">
        <v>1121</v>
      </c>
      <c r="E239" s="31"/>
      <c r="F239" s="391">
        <v>0.01</v>
      </c>
      <c r="G239" s="391">
        <v>0.01</v>
      </c>
      <c r="H239" s="391">
        <v>0.01</v>
      </c>
      <c r="I239" s="391">
        <v>0.01</v>
      </c>
      <c r="J239" s="391">
        <v>0.01</v>
      </c>
      <c r="K239" s="391">
        <v>0.01</v>
      </c>
      <c r="L239" s="391">
        <v>0.01</v>
      </c>
      <c r="M239" s="391">
        <v>0.01</v>
      </c>
      <c r="N239" s="391">
        <v>0.01</v>
      </c>
      <c r="O239" s="391">
        <v>0.01</v>
      </c>
      <c r="P239" s="391">
        <v>0.01</v>
      </c>
      <c r="Q239" s="391">
        <v>0.01</v>
      </c>
      <c r="R239" s="391">
        <v>0.01</v>
      </c>
      <c r="S239" s="391">
        <v>0.01</v>
      </c>
      <c r="T239" s="391">
        <v>0.01</v>
      </c>
      <c r="U239" s="391">
        <v>0.01</v>
      </c>
      <c r="V239" s="391">
        <v>0.01</v>
      </c>
      <c r="W239" s="391">
        <v>0.01</v>
      </c>
      <c r="X239" s="391">
        <v>0.01</v>
      </c>
      <c r="Y239" s="391">
        <v>0.01</v>
      </c>
      <c r="Z239" s="391">
        <v>0.01</v>
      </c>
      <c r="AA239" s="391">
        <v>0.01</v>
      </c>
      <c r="AB239" s="391">
        <v>0.01</v>
      </c>
      <c r="AC239" s="391">
        <v>0.01</v>
      </c>
      <c r="AD239" s="391">
        <v>0.01</v>
      </c>
      <c r="AE239" s="391">
        <v>0.01</v>
      </c>
      <c r="AF239" s="391">
        <v>0.01</v>
      </c>
      <c r="AG239" s="391">
        <v>0.01</v>
      </c>
      <c r="AH239" s="391">
        <v>0.01</v>
      </c>
      <c r="AI239" s="391">
        <v>0.01</v>
      </c>
      <c r="AJ239" s="391">
        <v>0.01</v>
      </c>
      <c r="AK239" s="391">
        <v>0.01</v>
      </c>
      <c r="AL239" s="391">
        <v>0.01</v>
      </c>
      <c r="AM239" s="383">
        <f t="shared" si="15"/>
        <v>1.0000000000000004E-2</v>
      </c>
    </row>
    <row r="240" spans="1:39" x14ac:dyDescent="0.2">
      <c r="A240" s="44"/>
      <c r="B240" s="37" t="s">
        <v>157</v>
      </c>
      <c r="C240" s="13"/>
      <c r="D240" s="19" t="s">
        <v>1121</v>
      </c>
      <c r="E240" s="31"/>
      <c r="F240" s="392">
        <v>0</v>
      </c>
      <c r="G240" s="392">
        <v>0</v>
      </c>
      <c r="H240" s="392">
        <v>0</v>
      </c>
      <c r="I240" s="392">
        <v>0</v>
      </c>
      <c r="J240" s="392">
        <v>0</v>
      </c>
      <c r="K240" s="392">
        <v>0</v>
      </c>
      <c r="L240" s="392">
        <v>0</v>
      </c>
      <c r="M240" s="392">
        <v>0</v>
      </c>
      <c r="N240" s="392">
        <v>0</v>
      </c>
      <c r="O240" s="392">
        <v>0</v>
      </c>
      <c r="P240" s="392">
        <v>0</v>
      </c>
      <c r="Q240" s="392">
        <v>0</v>
      </c>
      <c r="R240" s="392">
        <v>0</v>
      </c>
      <c r="S240" s="392">
        <v>0</v>
      </c>
      <c r="T240" s="392">
        <v>0</v>
      </c>
      <c r="U240" s="392">
        <v>0</v>
      </c>
      <c r="V240" s="392">
        <v>0</v>
      </c>
      <c r="W240" s="392">
        <v>0</v>
      </c>
      <c r="X240" s="392">
        <v>0</v>
      </c>
      <c r="Y240" s="392">
        <v>0</v>
      </c>
      <c r="Z240" s="392">
        <v>0</v>
      </c>
      <c r="AA240" s="392">
        <v>0</v>
      </c>
      <c r="AB240" s="392">
        <v>0</v>
      </c>
      <c r="AC240" s="392">
        <v>0</v>
      </c>
      <c r="AD240" s="392">
        <v>0</v>
      </c>
      <c r="AE240" s="392">
        <v>0</v>
      </c>
      <c r="AF240" s="392">
        <v>0</v>
      </c>
      <c r="AG240" s="392">
        <v>0</v>
      </c>
      <c r="AH240" s="392">
        <v>0</v>
      </c>
      <c r="AI240" s="392">
        <v>0</v>
      </c>
      <c r="AJ240" s="392">
        <v>0</v>
      </c>
      <c r="AK240" s="392">
        <v>0</v>
      </c>
      <c r="AL240" s="392">
        <v>0</v>
      </c>
      <c r="AM240" s="383">
        <f t="shared" si="15"/>
        <v>0</v>
      </c>
    </row>
    <row r="241" spans="1:39" x14ac:dyDescent="0.2">
      <c r="A241" s="44"/>
      <c r="B241" s="37" t="s">
        <v>158</v>
      </c>
      <c r="C241" s="13"/>
      <c r="D241" s="19" t="s">
        <v>1121</v>
      </c>
      <c r="E241" s="31"/>
      <c r="F241" s="392">
        <v>0</v>
      </c>
      <c r="G241" s="392">
        <v>0</v>
      </c>
      <c r="H241" s="392">
        <v>0</v>
      </c>
      <c r="I241" s="392">
        <v>0</v>
      </c>
      <c r="J241" s="392">
        <v>0</v>
      </c>
      <c r="K241" s="392">
        <v>0</v>
      </c>
      <c r="L241" s="392">
        <v>0</v>
      </c>
      <c r="M241" s="392">
        <v>0</v>
      </c>
      <c r="N241" s="392">
        <v>0</v>
      </c>
      <c r="O241" s="392">
        <v>0</v>
      </c>
      <c r="P241" s="392">
        <v>0</v>
      </c>
      <c r="Q241" s="392">
        <v>0</v>
      </c>
      <c r="R241" s="392">
        <v>0</v>
      </c>
      <c r="S241" s="392">
        <v>0</v>
      </c>
      <c r="T241" s="392">
        <v>0</v>
      </c>
      <c r="U241" s="392">
        <v>0</v>
      </c>
      <c r="V241" s="392">
        <v>0</v>
      </c>
      <c r="W241" s="392">
        <v>0</v>
      </c>
      <c r="X241" s="392">
        <v>0</v>
      </c>
      <c r="Y241" s="392">
        <v>0</v>
      </c>
      <c r="Z241" s="392">
        <v>0</v>
      </c>
      <c r="AA241" s="392">
        <v>0</v>
      </c>
      <c r="AB241" s="392">
        <v>0</v>
      </c>
      <c r="AC241" s="392">
        <v>0</v>
      </c>
      <c r="AD241" s="392">
        <v>0</v>
      </c>
      <c r="AE241" s="392">
        <v>0</v>
      </c>
      <c r="AF241" s="392">
        <v>0</v>
      </c>
      <c r="AG241" s="392">
        <v>0</v>
      </c>
      <c r="AH241" s="392">
        <v>0</v>
      </c>
      <c r="AI241" s="392">
        <v>0</v>
      </c>
      <c r="AJ241" s="392">
        <v>0</v>
      </c>
      <c r="AK241" s="392">
        <v>0</v>
      </c>
      <c r="AL241" s="392">
        <v>0</v>
      </c>
      <c r="AM241" s="383">
        <f t="shared" si="15"/>
        <v>0</v>
      </c>
    </row>
    <row r="242" spans="1:39" x14ac:dyDescent="0.2">
      <c r="A242" s="44"/>
      <c r="B242" s="37" t="s">
        <v>159</v>
      </c>
      <c r="C242" s="13"/>
      <c r="D242" s="19" t="s">
        <v>1121</v>
      </c>
      <c r="E242" s="31"/>
      <c r="F242" s="391">
        <v>0.01</v>
      </c>
      <c r="G242" s="391">
        <v>0.01</v>
      </c>
      <c r="H242" s="391">
        <v>0.01</v>
      </c>
      <c r="I242" s="391">
        <v>0.01</v>
      </c>
      <c r="J242" s="391">
        <v>0.01</v>
      </c>
      <c r="K242" s="391">
        <v>0.01</v>
      </c>
      <c r="L242" s="391">
        <v>0.01</v>
      </c>
      <c r="M242" s="391">
        <v>0.01</v>
      </c>
      <c r="N242" s="391">
        <v>0.01</v>
      </c>
      <c r="O242" s="391">
        <v>0.01</v>
      </c>
      <c r="P242" s="391">
        <v>0.01</v>
      </c>
      <c r="Q242" s="391">
        <v>0.01</v>
      </c>
      <c r="R242" s="391">
        <v>0.01</v>
      </c>
      <c r="S242" s="391">
        <v>0.01</v>
      </c>
      <c r="T242" s="391">
        <v>0.01</v>
      </c>
      <c r="U242" s="391">
        <v>0.01</v>
      </c>
      <c r="V242" s="391">
        <v>0.01</v>
      </c>
      <c r="W242" s="391">
        <v>0.01</v>
      </c>
      <c r="X242" s="391">
        <v>0.01</v>
      </c>
      <c r="Y242" s="391">
        <v>0.01</v>
      </c>
      <c r="Z242" s="391">
        <v>0.01</v>
      </c>
      <c r="AA242" s="391">
        <v>0.01</v>
      </c>
      <c r="AB242" s="391">
        <v>0.01</v>
      </c>
      <c r="AC242" s="391">
        <v>0.01</v>
      </c>
      <c r="AD242" s="391">
        <v>0.01</v>
      </c>
      <c r="AE242" s="391">
        <v>0.01</v>
      </c>
      <c r="AF242" s="391">
        <v>0.01</v>
      </c>
      <c r="AG242" s="391">
        <v>0.01</v>
      </c>
      <c r="AH242" s="391">
        <v>0.01</v>
      </c>
      <c r="AI242" s="391">
        <v>0.01</v>
      </c>
      <c r="AJ242" s="391">
        <v>0.01</v>
      </c>
      <c r="AK242" s="391">
        <v>0.01</v>
      </c>
      <c r="AL242" s="391">
        <v>0.01</v>
      </c>
      <c r="AM242" s="383">
        <f t="shared" si="15"/>
        <v>1.0000000000000004E-2</v>
      </c>
    </row>
    <row r="243" spans="1:39" x14ac:dyDescent="0.2">
      <c r="A243" s="44"/>
      <c r="B243" s="37" t="s">
        <v>160</v>
      </c>
      <c r="C243" s="13"/>
      <c r="D243" s="19" t="s">
        <v>1121</v>
      </c>
      <c r="E243" s="31"/>
      <c r="F243" s="391">
        <v>0.01</v>
      </c>
      <c r="G243" s="391">
        <v>0.01</v>
      </c>
      <c r="H243" s="391">
        <v>0.01</v>
      </c>
      <c r="I243" s="391">
        <v>0.01</v>
      </c>
      <c r="J243" s="391">
        <v>0.01</v>
      </c>
      <c r="K243" s="391">
        <v>0.01</v>
      </c>
      <c r="L243" s="391">
        <v>0.01</v>
      </c>
      <c r="M243" s="391">
        <v>0.01</v>
      </c>
      <c r="N243" s="391">
        <v>0.01</v>
      </c>
      <c r="O243" s="391">
        <v>0.01</v>
      </c>
      <c r="P243" s="391">
        <v>0.01</v>
      </c>
      <c r="Q243" s="391">
        <v>0.01</v>
      </c>
      <c r="R243" s="391">
        <v>0.01</v>
      </c>
      <c r="S243" s="391">
        <v>0.01</v>
      </c>
      <c r="T243" s="391">
        <v>0.01</v>
      </c>
      <c r="U243" s="391">
        <v>0.01</v>
      </c>
      <c r="V243" s="391">
        <v>0.01</v>
      </c>
      <c r="W243" s="391">
        <v>0.01</v>
      </c>
      <c r="X243" s="391">
        <v>0.01</v>
      </c>
      <c r="Y243" s="391">
        <v>0.01</v>
      </c>
      <c r="Z243" s="391">
        <v>0.01</v>
      </c>
      <c r="AA243" s="391">
        <v>0.01</v>
      </c>
      <c r="AB243" s="391">
        <v>0.01</v>
      </c>
      <c r="AC243" s="391">
        <v>0.01</v>
      </c>
      <c r="AD243" s="391">
        <v>0.01</v>
      </c>
      <c r="AE243" s="391">
        <v>0.01</v>
      </c>
      <c r="AF243" s="391">
        <v>0.01</v>
      </c>
      <c r="AG243" s="391">
        <v>0.01</v>
      </c>
      <c r="AH243" s="391">
        <v>0.01</v>
      </c>
      <c r="AI243" s="391">
        <v>0.01</v>
      </c>
      <c r="AJ243" s="391">
        <v>0.01</v>
      </c>
      <c r="AK243" s="391">
        <v>0.01</v>
      </c>
      <c r="AL243" s="391">
        <v>0.01</v>
      </c>
      <c r="AM243" s="383">
        <f t="shared" si="15"/>
        <v>1.0000000000000004E-2</v>
      </c>
    </row>
    <row r="244" spans="1:39" x14ac:dyDescent="0.2">
      <c r="A244" s="44"/>
      <c r="B244" s="37" t="s">
        <v>161</v>
      </c>
      <c r="C244" s="13"/>
      <c r="D244" s="19" t="s">
        <v>1121</v>
      </c>
      <c r="E244" s="31"/>
      <c r="F244" s="391">
        <v>0.01</v>
      </c>
      <c r="G244" s="391">
        <v>0.01</v>
      </c>
      <c r="H244" s="391">
        <v>0.01</v>
      </c>
      <c r="I244" s="391">
        <v>0.01</v>
      </c>
      <c r="J244" s="391">
        <v>0.01</v>
      </c>
      <c r="K244" s="391">
        <v>0.01</v>
      </c>
      <c r="L244" s="391">
        <v>0.01</v>
      </c>
      <c r="M244" s="391">
        <v>0.01</v>
      </c>
      <c r="N244" s="391">
        <v>0.01</v>
      </c>
      <c r="O244" s="391">
        <v>0.01</v>
      </c>
      <c r="P244" s="391">
        <v>0.01</v>
      </c>
      <c r="Q244" s="391">
        <v>0.01</v>
      </c>
      <c r="R244" s="391">
        <v>0.01</v>
      </c>
      <c r="S244" s="391">
        <v>0.01</v>
      </c>
      <c r="T244" s="391">
        <v>0.01</v>
      </c>
      <c r="U244" s="391">
        <v>0.01</v>
      </c>
      <c r="V244" s="391">
        <v>0.01</v>
      </c>
      <c r="W244" s="391">
        <v>0.01</v>
      </c>
      <c r="X244" s="391">
        <v>0.01</v>
      </c>
      <c r="Y244" s="391">
        <v>0.01</v>
      </c>
      <c r="Z244" s="391">
        <v>0.01</v>
      </c>
      <c r="AA244" s="391">
        <v>0.01</v>
      </c>
      <c r="AB244" s="391">
        <v>0.01</v>
      </c>
      <c r="AC244" s="391">
        <v>0.01</v>
      </c>
      <c r="AD244" s="391">
        <v>0.01</v>
      </c>
      <c r="AE244" s="391">
        <v>0.01</v>
      </c>
      <c r="AF244" s="391">
        <v>0.01</v>
      </c>
      <c r="AG244" s="391">
        <v>0.01</v>
      </c>
      <c r="AH244" s="391">
        <v>0.01</v>
      </c>
      <c r="AI244" s="391">
        <v>0.01</v>
      </c>
      <c r="AJ244" s="391">
        <v>0.01</v>
      </c>
      <c r="AK244" s="391">
        <v>0.01</v>
      </c>
      <c r="AL244" s="391">
        <v>0.01</v>
      </c>
      <c r="AM244" s="383">
        <f t="shared" si="15"/>
        <v>1.0000000000000004E-2</v>
      </c>
    </row>
    <row r="245" spans="1:39" x14ac:dyDescent="0.2">
      <c r="A245" s="44"/>
      <c r="B245" s="37" t="s">
        <v>162</v>
      </c>
      <c r="C245" s="13"/>
      <c r="D245" s="19" t="s">
        <v>1121</v>
      </c>
      <c r="E245" s="31"/>
      <c r="F245" s="391">
        <v>0.01</v>
      </c>
      <c r="G245" s="391">
        <v>0.01</v>
      </c>
      <c r="H245" s="391">
        <v>0.01</v>
      </c>
      <c r="I245" s="391">
        <v>0.01</v>
      </c>
      <c r="J245" s="391">
        <v>0.01</v>
      </c>
      <c r="K245" s="391">
        <v>0.01</v>
      </c>
      <c r="L245" s="391">
        <v>0.01</v>
      </c>
      <c r="M245" s="391">
        <v>0.01</v>
      </c>
      <c r="N245" s="391">
        <v>0.01</v>
      </c>
      <c r="O245" s="391">
        <v>0.01</v>
      </c>
      <c r="P245" s="391">
        <v>0.01</v>
      </c>
      <c r="Q245" s="391">
        <v>0.01</v>
      </c>
      <c r="R245" s="391">
        <v>0.01</v>
      </c>
      <c r="S245" s="391">
        <v>0.01</v>
      </c>
      <c r="T245" s="391">
        <v>0.01</v>
      </c>
      <c r="U245" s="391">
        <v>0.01</v>
      </c>
      <c r="V245" s="391">
        <v>0.01</v>
      </c>
      <c r="W245" s="391">
        <v>0.01</v>
      </c>
      <c r="X245" s="391">
        <v>0.01</v>
      </c>
      <c r="Y245" s="391">
        <v>0.01</v>
      </c>
      <c r="Z245" s="391">
        <v>0.01</v>
      </c>
      <c r="AA245" s="391">
        <v>0.01</v>
      </c>
      <c r="AB245" s="391">
        <v>0.01</v>
      </c>
      <c r="AC245" s="391">
        <v>0.01</v>
      </c>
      <c r="AD245" s="391">
        <v>0.01</v>
      </c>
      <c r="AE245" s="391">
        <v>0.01</v>
      </c>
      <c r="AF245" s="391">
        <v>0.01</v>
      </c>
      <c r="AG245" s="391">
        <v>0.01</v>
      </c>
      <c r="AH245" s="391">
        <v>0.01</v>
      </c>
      <c r="AI245" s="391">
        <v>0.01</v>
      </c>
      <c r="AJ245" s="391">
        <v>0.01</v>
      </c>
      <c r="AK245" s="391">
        <v>0.01</v>
      </c>
      <c r="AL245" s="391">
        <v>0.01</v>
      </c>
      <c r="AM245" s="383">
        <f t="shared" si="15"/>
        <v>1.0000000000000004E-2</v>
      </c>
    </row>
    <row r="246" spans="1:39" x14ac:dyDescent="0.2">
      <c r="A246" s="44"/>
      <c r="B246" s="48" t="s">
        <v>163</v>
      </c>
      <c r="C246" s="13"/>
      <c r="D246" s="19" t="s">
        <v>1121</v>
      </c>
      <c r="E246" s="31"/>
      <c r="F246" s="392">
        <v>0</v>
      </c>
      <c r="G246" s="392">
        <v>0</v>
      </c>
      <c r="H246" s="392">
        <v>0</v>
      </c>
      <c r="I246" s="392">
        <v>0</v>
      </c>
      <c r="J246" s="392">
        <v>0</v>
      </c>
      <c r="K246" s="392">
        <v>0</v>
      </c>
      <c r="L246" s="392">
        <v>0</v>
      </c>
      <c r="M246" s="392">
        <v>0</v>
      </c>
      <c r="N246" s="392">
        <v>0</v>
      </c>
      <c r="O246" s="392">
        <v>0</v>
      </c>
      <c r="P246" s="392">
        <v>0</v>
      </c>
      <c r="Q246" s="392">
        <v>0</v>
      </c>
      <c r="R246" s="392">
        <v>0</v>
      </c>
      <c r="S246" s="392">
        <v>0</v>
      </c>
      <c r="T246" s="392">
        <v>0</v>
      </c>
      <c r="U246" s="392">
        <v>0</v>
      </c>
      <c r="V246" s="392">
        <v>0</v>
      </c>
      <c r="W246" s="392">
        <v>0</v>
      </c>
      <c r="X246" s="392">
        <v>0</v>
      </c>
      <c r="Y246" s="392">
        <v>0</v>
      </c>
      <c r="Z246" s="392">
        <v>0</v>
      </c>
      <c r="AA246" s="392">
        <v>0</v>
      </c>
      <c r="AB246" s="392">
        <v>0</v>
      </c>
      <c r="AC246" s="392">
        <v>0</v>
      </c>
      <c r="AD246" s="392">
        <v>0</v>
      </c>
      <c r="AE246" s="392">
        <v>0</v>
      </c>
      <c r="AF246" s="392">
        <v>0</v>
      </c>
      <c r="AG246" s="392">
        <v>0</v>
      </c>
      <c r="AH246" s="392">
        <v>0</v>
      </c>
      <c r="AI246" s="392">
        <v>0</v>
      </c>
      <c r="AJ246" s="392">
        <v>0</v>
      </c>
      <c r="AK246" s="392">
        <v>0</v>
      </c>
      <c r="AL246" s="392">
        <v>0</v>
      </c>
      <c r="AM246" s="383">
        <f t="shared" si="15"/>
        <v>0</v>
      </c>
    </row>
    <row r="247" spans="1:39" x14ac:dyDescent="0.2">
      <c r="A247" s="44"/>
      <c r="B247" s="49" t="s">
        <v>164</v>
      </c>
      <c r="C247" s="13"/>
      <c r="D247" s="19" t="s">
        <v>1121</v>
      </c>
      <c r="E247" s="31"/>
      <c r="F247" s="391">
        <v>0.01</v>
      </c>
      <c r="G247" s="391">
        <v>0.01</v>
      </c>
      <c r="H247" s="391">
        <v>0.01</v>
      </c>
      <c r="I247" s="391">
        <v>0.01</v>
      </c>
      <c r="J247" s="391">
        <v>0.01</v>
      </c>
      <c r="K247" s="391">
        <v>0.01</v>
      </c>
      <c r="L247" s="391">
        <v>0.01</v>
      </c>
      <c r="M247" s="391">
        <v>0.01</v>
      </c>
      <c r="N247" s="391">
        <v>0.01</v>
      </c>
      <c r="O247" s="391">
        <v>0.01</v>
      </c>
      <c r="P247" s="391">
        <v>0.01</v>
      </c>
      <c r="Q247" s="391">
        <v>0.01</v>
      </c>
      <c r="R247" s="391">
        <v>0.01</v>
      </c>
      <c r="S247" s="391">
        <v>0.01</v>
      </c>
      <c r="T247" s="391">
        <v>0.01</v>
      </c>
      <c r="U247" s="391">
        <v>0.01</v>
      </c>
      <c r="V247" s="391">
        <v>0.01</v>
      </c>
      <c r="W247" s="391">
        <v>0.01</v>
      </c>
      <c r="X247" s="391">
        <v>0.01</v>
      </c>
      <c r="Y247" s="391">
        <v>0.01</v>
      </c>
      <c r="Z247" s="391">
        <v>0.01</v>
      </c>
      <c r="AA247" s="391">
        <v>0.01</v>
      </c>
      <c r="AB247" s="391">
        <v>0.01</v>
      </c>
      <c r="AC247" s="391">
        <v>0.01</v>
      </c>
      <c r="AD247" s="391">
        <v>0.01</v>
      </c>
      <c r="AE247" s="391">
        <v>0.01</v>
      </c>
      <c r="AF247" s="391">
        <v>0.01</v>
      </c>
      <c r="AG247" s="391">
        <v>0.01</v>
      </c>
      <c r="AH247" s="391">
        <v>0.01</v>
      </c>
      <c r="AI247" s="391">
        <v>0.01</v>
      </c>
      <c r="AJ247" s="391">
        <v>0.01</v>
      </c>
      <c r="AK247" s="391">
        <v>0.01</v>
      </c>
      <c r="AL247" s="391">
        <v>0.01</v>
      </c>
      <c r="AM247" s="383">
        <f t="shared" si="15"/>
        <v>1.0000000000000004E-2</v>
      </c>
    </row>
    <row r="248" spans="1:39" x14ac:dyDescent="0.2">
      <c r="A248" s="44"/>
      <c r="B248" s="37" t="s">
        <v>165</v>
      </c>
      <c r="C248" s="13"/>
      <c r="D248" s="19" t="s">
        <v>1121</v>
      </c>
      <c r="E248" s="24"/>
      <c r="F248" s="196"/>
      <c r="G248" s="196"/>
      <c r="H248" s="196"/>
      <c r="I248" s="196"/>
      <c r="J248" s="196"/>
      <c r="K248" s="196"/>
      <c r="L248" s="196"/>
      <c r="M248" s="196"/>
      <c r="N248" s="196"/>
      <c r="O248" s="196"/>
      <c r="P248" s="196"/>
      <c r="Q248" s="196"/>
      <c r="R248" s="195"/>
      <c r="S248" s="195"/>
      <c r="T248" s="195"/>
      <c r="U248" s="195"/>
      <c r="V248" s="195"/>
      <c r="W248" s="195"/>
      <c r="X248" s="195"/>
      <c r="Y248" s="195"/>
      <c r="Z248" s="195"/>
      <c r="AA248" s="195"/>
      <c r="AB248" s="195"/>
      <c r="AC248" s="195"/>
      <c r="AD248" s="195"/>
      <c r="AE248" s="195"/>
      <c r="AF248" s="195"/>
      <c r="AG248" s="195"/>
      <c r="AH248" s="195"/>
      <c r="AI248" s="195"/>
      <c r="AJ248" s="195"/>
      <c r="AK248" s="195"/>
      <c r="AL248" s="195"/>
      <c r="AM248" s="383" t="e">
        <f t="shared" si="15"/>
        <v>#DIV/0!</v>
      </c>
    </row>
    <row r="249" spans="1:39" x14ac:dyDescent="0.2">
      <c r="A249" s="44"/>
      <c r="B249" s="45"/>
      <c r="C249" s="13"/>
      <c r="D249" s="12"/>
      <c r="E249" s="24"/>
      <c r="F249" s="172"/>
      <c r="G249" s="172"/>
      <c r="H249" s="172"/>
      <c r="I249" s="172"/>
      <c r="J249" s="172"/>
      <c r="K249" s="172"/>
      <c r="L249" s="172"/>
      <c r="M249" s="172"/>
      <c r="N249" s="172"/>
      <c r="O249" s="172"/>
      <c r="P249" s="172"/>
      <c r="Q249" s="172"/>
      <c r="R249" s="172"/>
      <c r="S249" s="172"/>
      <c r="T249" s="172"/>
      <c r="U249" s="172"/>
      <c r="V249" s="172"/>
      <c r="W249" s="172"/>
      <c r="X249" s="172"/>
      <c r="Y249" s="172"/>
      <c r="Z249" s="172"/>
      <c r="AA249" s="172"/>
      <c r="AB249" s="172"/>
      <c r="AC249" s="172"/>
      <c r="AD249" s="172"/>
      <c r="AE249" s="172"/>
      <c r="AF249" s="172"/>
      <c r="AG249" s="172"/>
      <c r="AH249" s="172"/>
      <c r="AI249" s="172"/>
      <c r="AJ249" s="172"/>
      <c r="AK249" s="172"/>
      <c r="AL249" s="172"/>
      <c r="AM249" s="383" t="e">
        <f t="shared" si="15"/>
        <v>#DIV/0!</v>
      </c>
    </row>
    <row r="250" spans="1:39" x14ac:dyDescent="0.2">
      <c r="A250" s="8"/>
      <c r="B250" s="23" t="s">
        <v>166</v>
      </c>
      <c r="C250" s="22"/>
      <c r="D250" s="8"/>
      <c r="E250" s="27"/>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383" t="e">
        <f t="shared" si="15"/>
        <v>#DIV/0!</v>
      </c>
    </row>
    <row r="251" spans="1:39" x14ac:dyDescent="0.2">
      <c r="A251" s="8"/>
      <c r="B251" s="37" t="s">
        <v>86</v>
      </c>
      <c r="C251" s="38" t="s">
        <v>167</v>
      </c>
      <c r="D251" s="268" t="s">
        <v>168</v>
      </c>
      <c r="E251" s="27"/>
      <c r="F251" s="50">
        <v>1.95</v>
      </c>
      <c r="G251" s="50">
        <v>1.95</v>
      </c>
      <c r="H251" s="50">
        <v>1.95</v>
      </c>
      <c r="I251" s="50">
        <v>1.95</v>
      </c>
      <c r="J251" s="50">
        <v>1.95</v>
      </c>
      <c r="K251" s="50">
        <v>1.95</v>
      </c>
      <c r="L251" s="50">
        <v>1.95</v>
      </c>
      <c r="M251" s="50">
        <v>1.95</v>
      </c>
      <c r="N251" s="50">
        <v>1.95</v>
      </c>
      <c r="O251" s="50">
        <v>1.95</v>
      </c>
      <c r="P251" s="50">
        <v>1.95</v>
      </c>
      <c r="Q251" s="50">
        <v>1.95</v>
      </c>
      <c r="R251" s="50">
        <v>1.95</v>
      </c>
      <c r="S251" s="50">
        <v>1.95</v>
      </c>
      <c r="T251" s="50">
        <v>1.95</v>
      </c>
      <c r="U251" s="50">
        <v>1.95</v>
      </c>
      <c r="V251" s="50">
        <v>1.95</v>
      </c>
      <c r="W251" s="50">
        <v>1.95</v>
      </c>
      <c r="X251" s="50">
        <v>1.95</v>
      </c>
      <c r="Y251" s="50">
        <v>1.95</v>
      </c>
      <c r="Z251" s="50">
        <v>1.95</v>
      </c>
      <c r="AA251" s="50">
        <v>1.95</v>
      </c>
      <c r="AB251" s="50">
        <v>1.95</v>
      </c>
      <c r="AC251" s="50">
        <v>1.95</v>
      </c>
      <c r="AD251" s="50">
        <v>1.95</v>
      </c>
      <c r="AE251" s="50">
        <v>1.95</v>
      </c>
      <c r="AF251" s="50">
        <v>1.95</v>
      </c>
      <c r="AG251" s="50">
        <v>1.95</v>
      </c>
      <c r="AH251" s="50">
        <v>1.95</v>
      </c>
      <c r="AI251" s="50">
        <v>1.95</v>
      </c>
      <c r="AJ251" s="50">
        <v>1.95</v>
      </c>
      <c r="AK251" s="50">
        <v>1.95</v>
      </c>
      <c r="AL251" s="50">
        <v>1.95</v>
      </c>
      <c r="AM251" s="383">
        <f t="shared" si="15"/>
        <v>1.9500000000000011</v>
      </c>
    </row>
    <row r="252" spans="1:39" x14ac:dyDescent="0.2">
      <c r="A252" s="8"/>
      <c r="B252" s="37" t="s">
        <v>88</v>
      </c>
      <c r="C252" s="38" t="s">
        <v>167</v>
      </c>
      <c r="D252" s="268" t="s">
        <v>168</v>
      </c>
      <c r="E252" s="27"/>
      <c r="F252" s="50">
        <v>1.76</v>
      </c>
      <c r="G252" s="50">
        <v>1.76</v>
      </c>
      <c r="H252" s="50">
        <v>1.76</v>
      </c>
      <c r="I252" s="50">
        <v>1.76</v>
      </c>
      <c r="J252" s="50">
        <v>1.76</v>
      </c>
      <c r="K252" s="50">
        <v>1.76</v>
      </c>
      <c r="L252" s="50">
        <v>1.76</v>
      </c>
      <c r="M252" s="50">
        <v>1.76</v>
      </c>
      <c r="N252" s="50">
        <v>1.76</v>
      </c>
      <c r="O252" s="50">
        <v>1.76</v>
      </c>
      <c r="P252" s="50">
        <v>1.76</v>
      </c>
      <c r="Q252" s="50">
        <v>1.76</v>
      </c>
      <c r="R252" s="50">
        <v>1.76</v>
      </c>
      <c r="S252" s="50">
        <v>1.76</v>
      </c>
      <c r="T252" s="50">
        <v>1.76</v>
      </c>
      <c r="U252" s="50">
        <v>1.76</v>
      </c>
      <c r="V252" s="50">
        <v>1.76</v>
      </c>
      <c r="W252" s="50">
        <v>1.76</v>
      </c>
      <c r="X252" s="50">
        <v>1.76</v>
      </c>
      <c r="Y252" s="50">
        <v>1.76</v>
      </c>
      <c r="Z252" s="50">
        <v>1.76</v>
      </c>
      <c r="AA252" s="50">
        <v>1.76</v>
      </c>
      <c r="AB252" s="50">
        <v>1.76</v>
      </c>
      <c r="AC252" s="50">
        <v>1.76</v>
      </c>
      <c r="AD252" s="50">
        <v>1.76</v>
      </c>
      <c r="AE252" s="50">
        <v>1.76</v>
      </c>
      <c r="AF252" s="50">
        <v>1.76</v>
      </c>
      <c r="AG252" s="50">
        <v>1.76</v>
      </c>
      <c r="AH252" s="50">
        <v>1.76</v>
      </c>
      <c r="AI252" s="50">
        <v>1.76</v>
      </c>
      <c r="AJ252" s="50">
        <v>1.76</v>
      </c>
      <c r="AK252" s="50">
        <v>1.76</v>
      </c>
      <c r="AL252" s="50">
        <v>1.76</v>
      </c>
      <c r="AM252" s="383">
        <f t="shared" si="15"/>
        <v>1.7599999999999996</v>
      </c>
    </row>
    <row r="253" spans="1:39" x14ac:dyDescent="0.2">
      <c r="A253" s="8"/>
      <c r="B253" s="39" t="s">
        <v>89</v>
      </c>
      <c r="C253" s="38" t="s">
        <v>167</v>
      </c>
      <c r="D253" s="268" t="s">
        <v>168</v>
      </c>
      <c r="E253" s="27"/>
      <c r="F253" s="50">
        <v>1.76</v>
      </c>
      <c r="G253" s="50">
        <v>1.76</v>
      </c>
      <c r="H253" s="50">
        <v>1.76</v>
      </c>
      <c r="I253" s="50">
        <v>1.76</v>
      </c>
      <c r="J253" s="50">
        <v>1.76</v>
      </c>
      <c r="K253" s="50">
        <v>1.76</v>
      </c>
      <c r="L253" s="50">
        <v>1.76</v>
      </c>
      <c r="M253" s="50">
        <v>1.76</v>
      </c>
      <c r="N253" s="50">
        <v>1.76</v>
      </c>
      <c r="O253" s="50">
        <v>1.76</v>
      </c>
      <c r="P253" s="50">
        <v>1.76</v>
      </c>
      <c r="Q253" s="50">
        <v>1.76</v>
      </c>
      <c r="R253" s="50">
        <v>1.76</v>
      </c>
      <c r="S253" s="50">
        <v>1.76</v>
      </c>
      <c r="T253" s="50">
        <v>1.76</v>
      </c>
      <c r="U253" s="50">
        <v>1.76</v>
      </c>
      <c r="V253" s="50">
        <v>1.76</v>
      </c>
      <c r="W253" s="50">
        <v>1.76</v>
      </c>
      <c r="X253" s="50">
        <v>1.76</v>
      </c>
      <c r="Y253" s="50">
        <v>1.76</v>
      </c>
      <c r="Z253" s="50">
        <v>1.76</v>
      </c>
      <c r="AA253" s="50">
        <v>1.76</v>
      </c>
      <c r="AB253" s="50">
        <v>1.76</v>
      </c>
      <c r="AC253" s="50">
        <v>1.76</v>
      </c>
      <c r="AD253" s="50">
        <v>1.76</v>
      </c>
      <c r="AE253" s="50">
        <v>1.76</v>
      </c>
      <c r="AF253" s="50">
        <v>1.76</v>
      </c>
      <c r="AG253" s="50">
        <v>1.76</v>
      </c>
      <c r="AH253" s="50">
        <v>1.76</v>
      </c>
      <c r="AI253" s="50">
        <v>1.76</v>
      </c>
      <c r="AJ253" s="50">
        <v>1.76</v>
      </c>
      <c r="AK253" s="50">
        <v>1.76</v>
      </c>
      <c r="AL253" s="50">
        <v>1.76</v>
      </c>
      <c r="AM253" s="383">
        <f t="shared" si="15"/>
        <v>1.7599999999999996</v>
      </c>
    </row>
    <row r="254" spans="1:39" x14ac:dyDescent="0.2">
      <c r="A254" s="8"/>
      <c r="B254" s="39" t="s">
        <v>90</v>
      </c>
      <c r="C254" s="38" t="s">
        <v>167</v>
      </c>
      <c r="D254" s="268" t="s">
        <v>168</v>
      </c>
      <c r="E254" s="27"/>
      <c r="F254" s="50">
        <v>2.08</v>
      </c>
      <c r="G254" s="50">
        <v>2.08</v>
      </c>
      <c r="H254" s="50">
        <v>2.08</v>
      </c>
      <c r="I254" s="50">
        <v>2.08</v>
      </c>
      <c r="J254" s="50">
        <v>2.08</v>
      </c>
      <c r="K254" s="50">
        <v>2.08</v>
      </c>
      <c r="L254" s="50">
        <v>2.08</v>
      </c>
      <c r="M254" s="50">
        <v>2.08</v>
      </c>
      <c r="N254" s="50">
        <v>2.08</v>
      </c>
      <c r="O254" s="50">
        <v>2.08</v>
      </c>
      <c r="P254" s="50">
        <v>2.08</v>
      </c>
      <c r="Q254" s="50">
        <v>2.08</v>
      </c>
      <c r="R254" s="50">
        <v>2.08</v>
      </c>
      <c r="S254" s="50">
        <v>2.08</v>
      </c>
      <c r="T254" s="50">
        <v>2.08</v>
      </c>
      <c r="U254" s="50">
        <v>2.08</v>
      </c>
      <c r="V254" s="50">
        <v>2.08</v>
      </c>
      <c r="W254" s="50">
        <v>2.08</v>
      </c>
      <c r="X254" s="50">
        <v>2.08</v>
      </c>
      <c r="Y254" s="50">
        <v>2.08</v>
      </c>
      <c r="Z254" s="50">
        <v>2.08</v>
      </c>
      <c r="AA254" s="50">
        <v>2.08</v>
      </c>
      <c r="AB254" s="50">
        <v>2.08</v>
      </c>
      <c r="AC254" s="50">
        <v>2.08</v>
      </c>
      <c r="AD254" s="50">
        <v>2.08</v>
      </c>
      <c r="AE254" s="50">
        <v>2.08</v>
      </c>
      <c r="AF254" s="50">
        <v>2.08</v>
      </c>
      <c r="AG254" s="50">
        <v>2.08</v>
      </c>
      <c r="AH254" s="50">
        <v>2.08</v>
      </c>
      <c r="AI254" s="50">
        <v>2.08</v>
      </c>
      <c r="AJ254" s="50">
        <v>2.08</v>
      </c>
      <c r="AK254" s="50">
        <v>2.08</v>
      </c>
      <c r="AL254" s="50">
        <v>2.08</v>
      </c>
      <c r="AM254" s="383">
        <f t="shared" si="15"/>
        <v>2.0799999999999987</v>
      </c>
    </row>
    <row r="255" spans="1:39" x14ac:dyDescent="0.2">
      <c r="A255" s="8"/>
      <c r="B255" s="39" t="s">
        <v>91</v>
      </c>
      <c r="C255" s="38" t="s">
        <v>167</v>
      </c>
      <c r="D255" s="268" t="s">
        <v>168</v>
      </c>
      <c r="E255" s="27"/>
      <c r="F255" s="50">
        <v>1.52</v>
      </c>
      <c r="G255" s="50">
        <v>1.52</v>
      </c>
      <c r="H255" s="50">
        <v>1.52</v>
      </c>
      <c r="I255" s="50">
        <v>1.52</v>
      </c>
      <c r="J255" s="50">
        <v>1.52</v>
      </c>
      <c r="K255" s="50">
        <v>1.52</v>
      </c>
      <c r="L255" s="50">
        <v>1.52</v>
      </c>
      <c r="M255" s="50">
        <v>1.52</v>
      </c>
      <c r="N255" s="50">
        <v>1.52</v>
      </c>
      <c r="O255" s="50">
        <v>1.52</v>
      </c>
      <c r="P255" s="50">
        <v>1.52</v>
      </c>
      <c r="Q255" s="50">
        <v>1.52</v>
      </c>
      <c r="R255" s="50">
        <v>1.52</v>
      </c>
      <c r="S255" s="50">
        <v>1.52</v>
      </c>
      <c r="T255" s="50">
        <v>1.52</v>
      </c>
      <c r="U255" s="50">
        <v>1.52</v>
      </c>
      <c r="V255" s="50">
        <v>1.52</v>
      </c>
      <c r="W255" s="50">
        <v>1.52</v>
      </c>
      <c r="X255" s="50">
        <v>1.52</v>
      </c>
      <c r="Y255" s="50">
        <v>1.52</v>
      </c>
      <c r="Z255" s="50">
        <v>1.52</v>
      </c>
      <c r="AA255" s="50">
        <v>1.52</v>
      </c>
      <c r="AB255" s="50">
        <v>1.52</v>
      </c>
      <c r="AC255" s="50">
        <v>1.52</v>
      </c>
      <c r="AD255" s="50">
        <v>1.52</v>
      </c>
      <c r="AE255" s="50">
        <v>1.52</v>
      </c>
      <c r="AF255" s="50">
        <v>1.52</v>
      </c>
      <c r="AG255" s="50">
        <v>1.52</v>
      </c>
      <c r="AH255" s="50">
        <v>1.52</v>
      </c>
      <c r="AI255" s="50">
        <v>1.52</v>
      </c>
      <c r="AJ255" s="50">
        <v>1.52</v>
      </c>
      <c r="AK255" s="50">
        <v>1.52</v>
      </c>
      <c r="AL255" s="50">
        <v>1.52</v>
      </c>
      <c r="AM255" s="383">
        <f t="shared" si="15"/>
        <v>1.5200000000000009</v>
      </c>
    </row>
    <row r="256" spans="1:39" x14ac:dyDescent="0.2">
      <c r="A256" s="8"/>
      <c r="B256" s="39" t="s">
        <v>92</v>
      </c>
      <c r="C256" s="38" t="s">
        <v>167</v>
      </c>
      <c r="D256" s="268" t="s">
        <v>168</v>
      </c>
      <c r="E256" s="27"/>
      <c r="F256" s="50">
        <v>1.07</v>
      </c>
      <c r="G256" s="50">
        <v>1.07</v>
      </c>
      <c r="H256" s="50">
        <v>1.07</v>
      </c>
      <c r="I256" s="50">
        <v>1.07</v>
      </c>
      <c r="J256" s="50">
        <v>1.07</v>
      </c>
      <c r="K256" s="50">
        <v>1.07</v>
      </c>
      <c r="L256" s="50">
        <v>1.07</v>
      </c>
      <c r="M256" s="50">
        <v>1.07</v>
      </c>
      <c r="N256" s="50">
        <v>1.07</v>
      </c>
      <c r="O256" s="50">
        <v>1.07</v>
      </c>
      <c r="P256" s="50">
        <v>1.07</v>
      </c>
      <c r="Q256" s="50">
        <v>1.07</v>
      </c>
      <c r="R256" s="50">
        <v>1.07</v>
      </c>
      <c r="S256" s="50">
        <v>1.07</v>
      </c>
      <c r="T256" s="50">
        <v>1.07</v>
      </c>
      <c r="U256" s="50">
        <v>1.07</v>
      </c>
      <c r="V256" s="50">
        <v>1.07</v>
      </c>
      <c r="W256" s="50">
        <v>1.07</v>
      </c>
      <c r="X256" s="50">
        <v>1.07</v>
      </c>
      <c r="Y256" s="50">
        <v>1.07</v>
      </c>
      <c r="Z256" s="50">
        <v>1.07</v>
      </c>
      <c r="AA256" s="50">
        <v>1.07</v>
      </c>
      <c r="AB256" s="50">
        <v>1.07</v>
      </c>
      <c r="AC256" s="50">
        <v>1.07</v>
      </c>
      <c r="AD256" s="50">
        <v>1.07</v>
      </c>
      <c r="AE256" s="50">
        <v>1.07</v>
      </c>
      <c r="AF256" s="50">
        <v>1.07</v>
      </c>
      <c r="AG256" s="50">
        <v>1.07</v>
      </c>
      <c r="AH256" s="50">
        <v>1.07</v>
      </c>
      <c r="AI256" s="50">
        <v>1.07</v>
      </c>
      <c r="AJ256" s="50">
        <v>1.07</v>
      </c>
      <c r="AK256" s="50">
        <v>1.07</v>
      </c>
      <c r="AL256" s="50">
        <v>1.07</v>
      </c>
      <c r="AM256" s="383">
        <f t="shared" si="15"/>
        <v>1.07</v>
      </c>
    </row>
    <row r="257" spans="1:39" x14ac:dyDescent="0.2">
      <c r="A257" s="8"/>
      <c r="B257" s="39" t="s">
        <v>93</v>
      </c>
      <c r="C257" s="38" t="s">
        <v>167</v>
      </c>
      <c r="D257" s="268" t="s">
        <v>168</v>
      </c>
      <c r="E257" s="27"/>
      <c r="F257" s="50">
        <v>1.8</v>
      </c>
      <c r="G257" s="50">
        <v>1.8</v>
      </c>
      <c r="H257" s="50">
        <v>1.8</v>
      </c>
      <c r="I257" s="50">
        <v>1.8</v>
      </c>
      <c r="J257" s="50">
        <v>1.8</v>
      </c>
      <c r="K257" s="50">
        <v>1.8</v>
      </c>
      <c r="L257" s="50">
        <v>1.8</v>
      </c>
      <c r="M257" s="50">
        <v>1.8</v>
      </c>
      <c r="N257" s="50">
        <v>1.8</v>
      </c>
      <c r="O257" s="50">
        <v>1.8</v>
      </c>
      <c r="P257" s="50">
        <v>1.8</v>
      </c>
      <c r="Q257" s="50">
        <v>1.8</v>
      </c>
      <c r="R257" s="50">
        <v>1.8</v>
      </c>
      <c r="S257" s="50">
        <v>1.8</v>
      </c>
      <c r="T257" s="50">
        <v>1.8</v>
      </c>
      <c r="U257" s="50">
        <v>1.8</v>
      </c>
      <c r="V257" s="50">
        <v>1.8</v>
      </c>
      <c r="W257" s="50">
        <v>1.8</v>
      </c>
      <c r="X257" s="50">
        <v>1.8</v>
      </c>
      <c r="Y257" s="50">
        <v>1.8</v>
      </c>
      <c r="Z257" s="50">
        <v>1.8</v>
      </c>
      <c r="AA257" s="50">
        <v>1.8</v>
      </c>
      <c r="AB257" s="50">
        <v>1.8</v>
      </c>
      <c r="AC257" s="50">
        <v>1.8</v>
      </c>
      <c r="AD257" s="50">
        <v>1.8</v>
      </c>
      <c r="AE257" s="50">
        <v>1.8</v>
      </c>
      <c r="AF257" s="50">
        <v>1.8</v>
      </c>
      <c r="AG257" s="50">
        <v>1.8</v>
      </c>
      <c r="AH257" s="50">
        <v>1.8</v>
      </c>
      <c r="AI257" s="50">
        <v>1.8</v>
      </c>
      <c r="AJ257" s="50">
        <v>1.8</v>
      </c>
      <c r="AK257" s="50">
        <v>1.8</v>
      </c>
      <c r="AL257" s="50">
        <v>1.8</v>
      </c>
      <c r="AM257" s="383">
        <f t="shared" si="15"/>
        <v>1.7999999999999989</v>
      </c>
    </row>
    <row r="258" spans="1:39" x14ac:dyDescent="0.2">
      <c r="A258" s="8"/>
      <c r="B258" s="39" t="s">
        <v>94</v>
      </c>
      <c r="C258" s="38" t="s">
        <v>167</v>
      </c>
      <c r="D258" s="268" t="s">
        <v>168</v>
      </c>
      <c r="E258" s="27"/>
      <c r="F258" s="50">
        <v>0.5</v>
      </c>
      <c r="G258" s="50">
        <v>0.5</v>
      </c>
      <c r="H258" s="50">
        <v>0.5</v>
      </c>
      <c r="I258" s="50">
        <v>0.5</v>
      </c>
      <c r="J258" s="50">
        <v>0.5</v>
      </c>
      <c r="K258" s="50">
        <v>0.5</v>
      </c>
      <c r="L258" s="50">
        <v>0.5</v>
      </c>
      <c r="M258" s="50">
        <v>0.5</v>
      </c>
      <c r="N258" s="50">
        <v>0.5</v>
      </c>
      <c r="O258" s="50">
        <v>0.5</v>
      </c>
      <c r="P258" s="50">
        <v>0.5</v>
      </c>
      <c r="Q258" s="50">
        <v>0.5</v>
      </c>
      <c r="R258" s="50">
        <v>0.5</v>
      </c>
      <c r="S258" s="50">
        <v>0.5</v>
      </c>
      <c r="T258" s="50">
        <v>0.5</v>
      </c>
      <c r="U258" s="50">
        <v>0.5</v>
      </c>
      <c r="V258" s="50">
        <v>0.5</v>
      </c>
      <c r="W258" s="50">
        <v>0.5</v>
      </c>
      <c r="X258" s="50">
        <v>0.5</v>
      </c>
      <c r="Y258" s="50">
        <v>0.5</v>
      </c>
      <c r="Z258" s="50">
        <v>0.5</v>
      </c>
      <c r="AA258" s="50">
        <v>0.5</v>
      </c>
      <c r="AB258" s="50">
        <v>0.5</v>
      </c>
      <c r="AC258" s="50">
        <v>0.5</v>
      </c>
      <c r="AD258" s="50">
        <v>0.5</v>
      </c>
      <c r="AE258" s="50">
        <v>0.5</v>
      </c>
      <c r="AF258" s="50">
        <v>0.5</v>
      </c>
      <c r="AG258" s="50">
        <v>0.5</v>
      </c>
      <c r="AH258" s="50">
        <v>0.5</v>
      </c>
      <c r="AI258" s="50">
        <v>0.5</v>
      </c>
      <c r="AJ258" s="50">
        <v>0.5</v>
      </c>
      <c r="AK258" s="50">
        <v>0.5</v>
      </c>
      <c r="AL258" s="50">
        <v>0.5</v>
      </c>
      <c r="AM258" s="383">
        <f t="shared" si="15"/>
        <v>0.5</v>
      </c>
    </row>
    <row r="259" spans="1:39" x14ac:dyDescent="0.2">
      <c r="A259" s="8"/>
      <c r="B259" s="39" t="s">
        <v>95</v>
      </c>
      <c r="C259" s="38" t="s">
        <v>167</v>
      </c>
      <c r="D259" s="268" t="s">
        <v>168</v>
      </c>
      <c r="E259" s="27"/>
      <c r="F259" s="50">
        <v>3.5</v>
      </c>
      <c r="G259" s="50">
        <v>3.5</v>
      </c>
      <c r="H259" s="50">
        <v>3.5</v>
      </c>
      <c r="I259" s="50">
        <v>3.5</v>
      </c>
      <c r="J259" s="50">
        <v>3.5</v>
      </c>
      <c r="K259" s="50">
        <v>3.5</v>
      </c>
      <c r="L259" s="50">
        <v>3.5</v>
      </c>
      <c r="M259" s="50">
        <v>3.5</v>
      </c>
      <c r="N259" s="50">
        <v>3.5</v>
      </c>
      <c r="O259" s="50">
        <v>3.5</v>
      </c>
      <c r="P259" s="50">
        <v>3.5</v>
      </c>
      <c r="Q259" s="50">
        <v>3.5</v>
      </c>
      <c r="R259" s="50">
        <v>3.5</v>
      </c>
      <c r="S259" s="50">
        <v>3.5</v>
      </c>
      <c r="T259" s="50">
        <v>3.5</v>
      </c>
      <c r="U259" s="50">
        <v>3.5</v>
      </c>
      <c r="V259" s="50">
        <v>3.5</v>
      </c>
      <c r="W259" s="50">
        <v>3.5</v>
      </c>
      <c r="X259" s="50">
        <v>3.5</v>
      </c>
      <c r="Y259" s="50">
        <v>3.5</v>
      </c>
      <c r="Z259" s="50">
        <v>3.5</v>
      </c>
      <c r="AA259" s="50">
        <v>3.5</v>
      </c>
      <c r="AB259" s="50">
        <v>3.5</v>
      </c>
      <c r="AC259" s="50">
        <v>3.5</v>
      </c>
      <c r="AD259" s="50">
        <v>3.5</v>
      </c>
      <c r="AE259" s="50">
        <v>3.5</v>
      </c>
      <c r="AF259" s="50">
        <v>3.5</v>
      </c>
      <c r="AG259" s="50">
        <v>3.5</v>
      </c>
      <c r="AH259" s="50">
        <v>3.5</v>
      </c>
      <c r="AI259" s="50">
        <v>3.5</v>
      </c>
      <c r="AJ259" s="50">
        <v>3.5</v>
      </c>
      <c r="AK259" s="50">
        <v>3.5</v>
      </c>
      <c r="AL259" s="50">
        <v>3.5</v>
      </c>
      <c r="AM259" s="383">
        <f t="shared" si="15"/>
        <v>3.5</v>
      </c>
    </row>
    <row r="260" spans="1:39" x14ac:dyDescent="0.2">
      <c r="A260" s="8"/>
      <c r="B260" s="39" t="s">
        <v>96</v>
      </c>
      <c r="C260" s="38" t="s">
        <v>167</v>
      </c>
      <c r="D260" s="268" t="s">
        <v>168</v>
      </c>
      <c r="E260" s="27"/>
      <c r="F260" s="50">
        <v>1.96</v>
      </c>
      <c r="G260" s="50">
        <v>1.96</v>
      </c>
      <c r="H260" s="50">
        <v>1.96</v>
      </c>
      <c r="I260" s="50">
        <v>1.96</v>
      </c>
      <c r="J260" s="50">
        <v>1.96</v>
      </c>
      <c r="K260" s="50">
        <v>1.96</v>
      </c>
      <c r="L260" s="50">
        <v>1.96</v>
      </c>
      <c r="M260" s="50">
        <v>1.96</v>
      </c>
      <c r="N260" s="50">
        <v>1.96</v>
      </c>
      <c r="O260" s="50">
        <v>1.96</v>
      </c>
      <c r="P260" s="50">
        <v>1.96</v>
      </c>
      <c r="Q260" s="50">
        <v>1.96</v>
      </c>
      <c r="R260" s="50">
        <v>1.96</v>
      </c>
      <c r="S260" s="50">
        <v>1.96</v>
      </c>
      <c r="T260" s="50">
        <v>1.96</v>
      </c>
      <c r="U260" s="50">
        <v>1.96</v>
      </c>
      <c r="V260" s="50">
        <v>1.96</v>
      </c>
      <c r="W260" s="50">
        <v>1.96</v>
      </c>
      <c r="X260" s="50">
        <v>1.96</v>
      </c>
      <c r="Y260" s="50">
        <v>1.96</v>
      </c>
      <c r="Z260" s="50">
        <v>1.96</v>
      </c>
      <c r="AA260" s="50">
        <v>1.96</v>
      </c>
      <c r="AB260" s="50">
        <v>1.96</v>
      </c>
      <c r="AC260" s="50">
        <v>1.96</v>
      </c>
      <c r="AD260" s="50">
        <v>1.96</v>
      </c>
      <c r="AE260" s="50">
        <v>1.96</v>
      </c>
      <c r="AF260" s="50">
        <v>1.96</v>
      </c>
      <c r="AG260" s="50">
        <v>1.96</v>
      </c>
      <c r="AH260" s="50">
        <v>1.96</v>
      </c>
      <c r="AI260" s="50">
        <v>1.96</v>
      </c>
      <c r="AJ260" s="50">
        <v>1.96</v>
      </c>
      <c r="AK260" s="50">
        <v>1.96</v>
      </c>
      <c r="AL260" s="50">
        <v>1.96</v>
      </c>
      <c r="AM260" s="383">
        <f t="shared" si="15"/>
        <v>1.9600000000000006</v>
      </c>
    </row>
    <row r="261" spans="1:39" x14ac:dyDescent="0.2">
      <c r="A261" s="8"/>
      <c r="B261" s="39" t="s">
        <v>97</v>
      </c>
      <c r="C261" s="38" t="s">
        <v>167</v>
      </c>
      <c r="D261" s="268" t="s">
        <v>168</v>
      </c>
      <c r="E261" s="27"/>
      <c r="F261" s="50">
        <v>6</v>
      </c>
      <c r="G261" s="50">
        <v>6</v>
      </c>
      <c r="H261" s="50">
        <v>6</v>
      </c>
      <c r="I261" s="50">
        <v>6</v>
      </c>
      <c r="J261" s="50">
        <v>6</v>
      </c>
      <c r="K261" s="50">
        <v>6</v>
      </c>
      <c r="L261" s="50">
        <v>6</v>
      </c>
      <c r="M261" s="50">
        <v>6</v>
      </c>
      <c r="N261" s="50">
        <v>6</v>
      </c>
      <c r="O261" s="50">
        <v>6</v>
      </c>
      <c r="P261" s="50">
        <v>6</v>
      </c>
      <c r="Q261" s="50">
        <v>6</v>
      </c>
      <c r="R261" s="50">
        <v>6</v>
      </c>
      <c r="S261" s="50">
        <v>6</v>
      </c>
      <c r="T261" s="50">
        <v>6</v>
      </c>
      <c r="U261" s="50">
        <v>6</v>
      </c>
      <c r="V261" s="50">
        <v>6</v>
      </c>
      <c r="W261" s="50">
        <v>6</v>
      </c>
      <c r="X261" s="50">
        <v>6</v>
      </c>
      <c r="Y261" s="50">
        <v>6</v>
      </c>
      <c r="Z261" s="50">
        <v>6</v>
      </c>
      <c r="AA261" s="50">
        <v>6</v>
      </c>
      <c r="AB261" s="50">
        <v>6</v>
      </c>
      <c r="AC261" s="50">
        <v>6</v>
      </c>
      <c r="AD261" s="50">
        <v>6</v>
      </c>
      <c r="AE261" s="50">
        <v>6</v>
      </c>
      <c r="AF261" s="50">
        <v>6</v>
      </c>
      <c r="AG261" s="50">
        <v>6</v>
      </c>
      <c r="AH261" s="50">
        <v>6</v>
      </c>
      <c r="AI261" s="50">
        <v>6</v>
      </c>
      <c r="AJ261" s="50">
        <v>6</v>
      </c>
      <c r="AK261" s="50">
        <v>6</v>
      </c>
      <c r="AL261" s="50">
        <v>6</v>
      </c>
      <c r="AM261" s="383">
        <f t="shared" si="15"/>
        <v>6</v>
      </c>
    </row>
    <row r="262" spans="1:39" x14ac:dyDescent="0.2">
      <c r="A262" s="8"/>
      <c r="B262" s="39" t="s">
        <v>98</v>
      </c>
      <c r="C262" s="38" t="s">
        <v>167</v>
      </c>
      <c r="D262" s="268" t="s">
        <v>168</v>
      </c>
      <c r="E262" s="27"/>
      <c r="F262" s="51">
        <v>3.5</v>
      </c>
      <c r="G262" s="51">
        <v>3.5</v>
      </c>
      <c r="H262" s="51">
        <v>3.5</v>
      </c>
      <c r="I262" s="51">
        <v>3.5</v>
      </c>
      <c r="J262" s="51">
        <v>3.5</v>
      </c>
      <c r="K262" s="51">
        <v>3.5</v>
      </c>
      <c r="L262" s="51">
        <v>3.5</v>
      </c>
      <c r="M262" s="51">
        <v>3.5</v>
      </c>
      <c r="N262" s="51">
        <v>3.5</v>
      </c>
      <c r="O262" s="51">
        <v>3.5</v>
      </c>
      <c r="P262" s="51">
        <v>3.5</v>
      </c>
      <c r="Q262" s="51">
        <v>3.5</v>
      </c>
      <c r="R262" s="51">
        <v>3.5</v>
      </c>
      <c r="S262" s="51">
        <v>3.5</v>
      </c>
      <c r="T262" s="51">
        <v>3.5</v>
      </c>
      <c r="U262" s="51">
        <v>3.5</v>
      </c>
      <c r="V262" s="51">
        <v>3.5</v>
      </c>
      <c r="W262" s="51">
        <v>3.5</v>
      </c>
      <c r="X262" s="51">
        <v>3.5</v>
      </c>
      <c r="Y262" s="51">
        <v>3.5</v>
      </c>
      <c r="Z262" s="51">
        <v>3.5</v>
      </c>
      <c r="AA262" s="51">
        <v>3.5</v>
      </c>
      <c r="AB262" s="51">
        <v>3.5</v>
      </c>
      <c r="AC262" s="51">
        <v>3.5</v>
      </c>
      <c r="AD262" s="51">
        <v>3.5</v>
      </c>
      <c r="AE262" s="51">
        <v>3.5</v>
      </c>
      <c r="AF262" s="51">
        <v>3.5</v>
      </c>
      <c r="AG262" s="51">
        <v>3.5</v>
      </c>
      <c r="AH262" s="51">
        <v>3.5</v>
      </c>
      <c r="AI262" s="51">
        <v>3.5</v>
      </c>
      <c r="AJ262" s="51">
        <v>3.5</v>
      </c>
      <c r="AK262" s="51">
        <v>3.5</v>
      </c>
      <c r="AL262" s="51">
        <v>3.5</v>
      </c>
      <c r="AM262" s="383">
        <f t="shared" si="15"/>
        <v>3.5</v>
      </c>
    </row>
    <row r="263" spans="1:39" x14ac:dyDescent="0.2">
      <c r="A263" s="8"/>
      <c r="B263" s="39" t="s">
        <v>99</v>
      </c>
      <c r="C263" s="38" t="s">
        <v>167</v>
      </c>
      <c r="D263" s="268" t="s">
        <v>168</v>
      </c>
      <c r="E263" s="27"/>
      <c r="F263" s="50">
        <v>3.5</v>
      </c>
      <c r="G263" s="50">
        <v>3.5</v>
      </c>
      <c r="H263" s="50">
        <v>3.5</v>
      </c>
      <c r="I263" s="50">
        <v>3.5</v>
      </c>
      <c r="J263" s="50">
        <v>3.5</v>
      </c>
      <c r="K263" s="50">
        <v>3.5</v>
      </c>
      <c r="L263" s="50">
        <v>3.5</v>
      </c>
      <c r="M263" s="50">
        <v>3.5</v>
      </c>
      <c r="N263" s="50">
        <v>3.5</v>
      </c>
      <c r="O263" s="50">
        <v>3.5</v>
      </c>
      <c r="P263" s="50">
        <v>3.5</v>
      </c>
      <c r="Q263" s="50">
        <v>3.5</v>
      </c>
      <c r="R263" s="50">
        <v>3.5</v>
      </c>
      <c r="S263" s="50">
        <v>3.5</v>
      </c>
      <c r="T263" s="50">
        <v>3.5</v>
      </c>
      <c r="U263" s="50">
        <v>3.5</v>
      </c>
      <c r="V263" s="50">
        <v>3.5</v>
      </c>
      <c r="W263" s="50">
        <v>3.5</v>
      </c>
      <c r="X263" s="50">
        <v>3.5</v>
      </c>
      <c r="Y263" s="50">
        <v>3.5</v>
      </c>
      <c r="Z263" s="50">
        <v>3.5</v>
      </c>
      <c r="AA263" s="50">
        <v>3.5</v>
      </c>
      <c r="AB263" s="50">
        <v>3.5</v>
      </c>
      <c r="AC263" s="50">
        <v>3.5</v>
      </c>
      <c r="AD263" s="50">
        <v>3.5</v>
      </c>
      <c r="AE263" s="50">
        <v>3.5</v>
      </c>
      <c r="AF263" s="50">
        <v>3.5</v>
      </c>
      <c r="AG263" s="50">
        <v>3.5</v>
      </c>
      <c r="AH263" s="50">
        <v>3.5</v>
      </c>
      <c r="AI263" s="50">
        <v>3.5</v>
      </c>
      <c r="AJ263" s="50">
        <v>3.5</v>
      </c>
      <c r="AK263" s="50">
        <v>3.5</v>
      </c>
      <c r="AL263" s="50">
        <v>3.5</v>
      </c>
      <c r="AM263" s="383">
        <f t="shared" si="15"/>
        <v>3.5</v>
      </c>
    </row>
    <row r="264" spans="1:39" x14ac:dyDescent="0.2">
      <c r="A264" s="8"/>
      <c r="B264" s="39" t="s">
        <v>100</v>
      </c>
      <c r="C264" s="38" t="s">
        <v>167</v>
      </c>
      <c r="D264" s="268" t="s">
        <v>168</v>
      </c>
      <c r="E264" s="27"/>
      <c r="F264" s="50">
        <v>3.6</v>
      </c>
      <c r="G264" s="50">
        <v>3.6</v>
      </c>
      <c r="H264" s="50">
        <v>3.6</v>
      </c>
      <c r="I264" s="50">
        <v>3.6</v>
      </c>
      <c r="J264" s="50">
        <v>3.6</v>
      </c>
      <c r="K264" s="50">
        <v>3.6</v>
      </c>
      <c r="L264" s="50">
        <v>3.6</v>
      </c>
      <c r="M264" s="50">
        <v>3.6</v>
      </c>
      <c r="N264" s="50">
        <v>3.6</v>
      </c>
      <c r="O264" s="50">
        <v>3.6</v>
      </c>
      <c r="P264" s="50">
        <v>3.6</v>
      </c>
      <c r="Q264" s="50">
        <v>3.6</v>
      </c>
      <c r="R264" s="50">
        <v>3.6</v>
      </c>
      <c r="S264" s="50">
        <v>3.6</v>
      </c>
      <c r="T264" s="50">
        <v>3.6</v>
      </c>
      <c r="U264" s="50">
        <v>3.6</v>
      </c>
      <c r="V264" s="50">
        <v>3.6</v>
      </c>
      <c r="W264" s="50">
        <v>3.6</v>
      </c>
      <c r="X264" s="50">
        <v>3.6</v>
      </c>
      <c r="Y264" s="50">
        <v>3.6</v>
      </c>
      <c r="Z264" s="50">
        <v>3.6</v>
      </c>
      <c r="AA264" s="50">
        <v>3.6</v>
      </c>
      <c r="AB264" s="50">
        <v>3.6</v>
      </c>
      <c r="AC264" s="50">
        <v>3.6</v>
      </c>
      <c r="AD264" s="50">
        <v>3.6</v>
      </c>
      <c r="AE264" s="50">
        <v>3.6</v>
      </c>
      <c r="AF264" s="50">
        <v>3.6</v>
      </c>
      <c r="AG264" s="50">
        <v>3.6</v>
      </c>
      <c r="AH264" s="50">
        <v>3.6</v>
      </c>
      <c r="AI264" s="50">
        <v>3.6</v>
      </c>
      <c r="AJ264" s="50">
        <v>3.6</v>
      </c>
      <c r="AK264" s="50">
        <v>3.6</v>
      </c>
      <c r="AL264" s="50">
        <v>3.6</v>
      </c>
      <c r="AM264" s="383">
        <f t="shared" si="15"/>
        <v>3.5999999999999979</v>
      </c>
    </row>
    <row r="265" spans="1:39" x14ac:dyDescent="0.2">
      <c r="A265" s="8"/>
      <c r="B265" s="39" t="s">
        <v>101</v>
      </c>
      <c r="C265" s="38" t="s">
        <v>167</v>
      </c>
      <c r="D265" s="268" t="s">
        <v>168</v>
      </c>
      <c r="E265" s="27"/>
      <c r="F265" s="50">
        <v>3.6</v>
      </c>
      <c r="G265" s="50">
        <v>3.6</v>
      </c>
      <c r="H265" s="50">
        <v>3.6</v>
      </c>
      <c r="I265" s="50">
        <v>3.6</v>
      </c>
      <c r="J265" s="50">
        <v>3.6</v>
      </c>
      <c r="K265" s="50">
        <v>3.6</v>
      </c>
      <c r="L265" s="50">
        <v>3.6</v>
      </c>
      <c r="M265" s="50">
        <v>3.6</v>
      </c>
      <c r="N265" s="50">
        <v>3.6</v>
      </c>
      <c r="O265" s="50">
        <v>3.6</v>
      </c>
      <c r="P265" s="50">
        <v>3.6</v>
      </c>
      <c r="Q265" s="50">
        <v>3.6</v>
      </c>
      <c r="R265" s="50">
        <v>3.6</v>
      </c>
      <c r="S265" s="50">
        <v>3.6</v>
      </c>
      <c r="T265" s="50">
        <v>3.6</v>
      </c>
      <c r="U265" s="50">
        <v>3.6</v>
      </c>
      <c r="V265" s="50">
        <v>3.6</v>
      </c>
      <c r="W265" s="50">
        <v>3.6</v>
      </c>
      <c r="X265" s="50">
        <v>3.6</v>
      </c>
      <c r="Y265" s="50">
        <v>3.6</v>
      </c>
      <c r="Z265" s="50">
        <v>3.6</v>
      </c>
      <c r="AA265" s="50">
        <v>3.6</v>
      </c>
      <c r="AB265" s="50">
        <v>3.6</v>
      </c>
      <c r="AC265" s="50">
        <v>3.6</v>
      </c>
      <c r="AD265" s="50">
        <v>3.6</v>
      </c>
      <c r="AE265" s="50">
        <v>3.6</v>
      </c>
      <c r="AF265" s="50">
        <v>3.6</v>
      </c>
      <c r="AG265" s="50">
        <v>3.6</v>
      </c>
      <c r="AH265" s="50">
        <v>3.6</v>
      </c>
      <c r="AI265" s="50">
        <v>3.6</v>
      </c>
      <c r="AJ265" s="50">
        <v>3.6</v>
      </c>
      <c r="AK265" s="50">
        <v>3.6</v>
      </c>
      <c r="AL265" s="50">
        <v>3.6</v>
      </c>
      <c r="AM265" s="383">
        <f t="shared" si="15"/>
        <v>3.5999999999999979</v>
      </c>
    </row>
    <row r="266" spans="1:39" x14ac:dyDescent="0.2">
      <c r="A266" s="8"/>
      <c r="B266" s="39" t="s">
        <v>102</v>
      </c>
      <c r="C266" s="38" t="s">
        <v>167</v>
      </c>
      <c r="D266" s="268" t="s">
        <v>168</v>
      </c>
      <c r="E266" s="27"/>
      <c r="F266" s="50">
        <v>0.20799999999999999</v>
      </c>
      <c r="G266" s="50">
        <v>0.20799999999999999</v>
      </c>
      <c r="H266" s="50">
        <v>0.20799999999999999</v>
      </c>
      <c r="I266" s="50">
        <v>0.20799999999999999</v>
      </c>
      <c r="J266" s="50">
        <v>0.20799999999999999</v>
      </c>
      <c r="K266" s="50">
        <v>0.20799999999999999</v>
      </c>
      <c r="L266" s="50">
        <v>0.20799999999999999</v>
      </c>
      <c r="M266" s="50">
        <v>0.20799999999999999</v>
      </c>
      <c r="N266" s="50">
        <v>0.20799999999999999</v>
      </c>
      <c r="O266" s="50">
        <v>0.20799999999999999</v>
      </c>
      <c r="P266" s="50">
        <v>0.20799999999999999</v>
      </c>
      <c r="Q266" s="50">
        <v>0.20799999999999999</v>
      </c>
      <c r="R266" s="50">
        <v>0.20799999999999999</v>
      </c>
      <c r="S266" s="50">
        <v>0.20799999999999999</v>
      </c>
      <c r="T266" s="50">
        <v>0.20799999999999999</v>
      </c>
      <c r="U266" s="50">
        <v>0.20799999999999999</v>
      </c>
      <c r="V266" s="50">
        <v>0.20799999999999999</v>
      </c>
      <c r="W266" s="50">
        <v>0.20799999999999999</v>
      </c>
      <c r="X266" s="50">
        <v>0.20799999999999999</v>
      </c>
      <c r="Y266" s="50">
        <v>0.20799999999999999</v>
      </c>
      <c r="Z266" s="50">
        <v>0.20799999999999999</v>
      </c>
      <c r="AA266" s="50">
        <v>0.20799999999999999</v>
      </c>
      <c r="AB266" s="50">
        <v>0.20799999999999999</v>
      </c>
      <c r="AC266" s="50">
        <v>0.20799999999999999</v>
      </c>
      <c r="AD266" s="50">
        <v>0.20799999999999999</v>
      </c>
      <c r="AE266" s="50">
        <v>0.20799999999999999</v>
      </c>
      <c r="AF266" s="50">
        <v>0.20799999999999999</v>
      </c>
      <c r="AG266" s="50">
        <v>0.20799999999999999</v>
      </c>
      <c r="AH266" s="50">
        <v>0.20799999999999999</v>
      </c>
      <c r="AI266" s="50">
        <v>0.20799999999999999</v>
      </c>
      <c r="AJ266" s="50">
        <v>0.20799999999999999</v>
      </c>
      <c r="AK266" s="50">
        <v>0.20799999999999999</v>
      </c>
      <c r="AL266" s="50">
        <v>0.20799999999999999</v>
      </c>
      <c r="AM266" s="383">
        <f t="shared" si="15"/>
        <v>0.20800000000000013</v>
      </c>
    </row>
    <row r="267" spans="1:39" x14ac:dyDescent="0.2">
      <c r="A267" s="8"/>
      <c r="B267" s="39" t="s">
        <v>103</v>
      </c>
      <c r="C267" s="38" t="s">
        <v>167</v>
      </c>
      <c r="D267" s="268" t="s">
        <v>168</v>
      </c>
      <c r="E267" s="27"/>
      <c r="F267" s="50">
        <v>0.25600000000000001</v>
      </c>
      <c r="G267" s="50">
        <v>0.25600000000000001</v>
      </c>
      <c r="H267" s="50">
        <v>0.25600000000000001</v>
      </c>
      <c r="I267" s="50">
        <v>0.25600000000000001</v>
      </c>
      <c r="J267" s="50">
        <v>0.25600000000000001</v>
      </c>
      <c r="K267" s="50">
        <v>0.25600000000000001</v>
      </c>
      <c r="L267" s="50">
        <v>0.25600000000000001</v>
      </c>
      <c r="M267" s="50">
        <v>0.25600000000000001</v>
      </c>
      <c r="N267" s="50">
        <v>0.25600000000000001</v>
      </c>
      <c r="O267" s="50">
        <v>0.25600000000000001</v>
      </c>
      <c r="P267" s="50">
        <v>0.25600000000000001</v>
      </c>
      <c r="Q267" s="50">
        <v>0.25600000000000001</v>
      </c>
      <c r="R267" s="50">
        <v>0.25600000000000001</v>
      </c>
      <c r="S267" s="50">
        <v>0.25600000000000001</v>
      </c>
      <c r="T267" s="50">
        <v>0.25600000000000001</v>
      </c>
      <c r="U267" s="50">
        <v>0.25600000000000001</v>
      </c>
      <c r="V267" s="50">
        <v>0.25600000000000001</v>
      </c>
      <c r="W267" s="50">
        <v>0.25600000000000001</v>
      </c>
      <c r="X267" s="50">
        <v>0.25600000000000001</v>
      </c>
      <c r="Y267" s="50">
        <v>0.25600000000000001</v>
      </c>
      <c r="Z267" s="50">
        <v>0.25600000000000001</v>
      </c>
      <c r="AA267" s="50">
        <v>0.25600000000000001</v>
      </c>
      <c r="AB267" s="50">
        <v>0.25600000000000001</v>
      </c>
      <c r="AC267" s="50">
        <v>0.25600000000000001</v>
      </c>
      <c r="AD267" s="50">
        <v>0.25600000000000001</v>
      </c>
      <c r="AE267" s="50">
        <v>0.25600000000000001</v>
      </c>
      <c r="AF267" s="50">
        <v>0.25600000000000001</v>
      </c>
      <c r="AG267" s="50">
        <v>0.25600000000000001</v>
      </c>
      <c r="AH267" s="50">
        <v>0.25600000000000001</v>
      </c>
      <c r="AI267" s="50">
        <v>0.25600000000000001</v>
      </c>
      <c r="AJ267" s="50">
        <v>0.25600000000000001</v>
      </c>
      <c r="AK267" s="50">
        <v>0.25600000000000001</v>
      </c>
      <c r="AL267" s="50">
        <v>0.25600000000000001</v>
      </c>
      <c r="AM267" s="383">
        <f t="shared" si="15"/>
        <v>0.25600000000000017</v>
      </c>
    </row>
    <row r="268" spans="1:39" x14ac:dyDescent="0.2">
      <c r="A268" s="8"/>
      <c r="B268" s="39" t="s">
        <v>104</v>
      </c>
      <c r="C268" s="38" t="s">
        <v>167</v>
      </c>
      <c r="D268" s="268" t="s">
        <v>168</v>
      </c>
      <c r="E268" s="27"/>
      <c r="F268" s="50">
        <v>0.23</v>
      </c>
      <c r="G268" s="50">
        <v>0.23</v>
      </c>
      <c r="H268" s="50">
        <v>0.23</v>
      </c>
      <c r="I268" s="50">
        <v>0.23</v>
      </c>
      <c r="J268" s="50">
        <v>0.23</v>
      </c>
      <c r="K268" s="50">
        <v>0.23</v>
      </c>
      <c r="L268" s="50">
        <v>0.23</v>
      </c>
      <c r="M268" s="50">
        <v>0.23</v>
      </c>
      <c r="N268" s="50">
        <v>0.23</v>
      </c>
      <c r="O268" s="50">
        <v>0.23</v>
      </c>
      <c r="P268" s="50">
        <v>0.23</v>
      </c>
      <c r="Q268" s="50">
        <v>0.23</v>
      </c>
      <c r="R268" s="50">
        <v>0.23</v>
      </c>
      <c r="S268" s="50">
        <v>0.23</v>
      </c>
      <c r="T268" s="50">
        <v>0.23</v>
      </c>
      <c r="U268" s="50">
        <v>0.23</v>
      </c>
      <c r="V268" s="50">
        <v>0.23</v>
      </c>
      <c r="W268" s="50">
        <v>0.23</v>
      </c>
      <c r="X268" s="50">
        <v>0.23</v>
      </c>
      <c r="Y268" s="50">
        <v>0.23</v>
      </c>
      <c r="Z268" s="50">
        <v>0.23</v>
      </c>
      <c r="AA268" s="50">
        <v>0.23</v>
      </c>
      <c r="AB268" s="50">
        <v>0.23</v>
      </c>
      <c r="AC268" s="50">
        <v>0.23</v>
      </c>
      <c r="AD268" s="50">
        <v>0.23</v>
      </c>
      <c r="AE268" s="50">
        <v>0.23</v>
      </c>
      <c r="AF268" s="50">
        <v>0.23</v>
      </c>
      <c r="AG268" s="50">
        <v>0.23</v>
      </c>
      <c r="AH268" s="50">
        <v>0.23</v>
      </c>
      <c r="AI268" s="50">
        <v>0.23</v>
      </c>
      <c r="AJ268" s="50">
        <v>0.23</v>
      </c>
      <c r="AK268" s="50">
        <v>0.23</v>
      </c>
      <c r="AL268" s="50">
        <v>0.23</v>
      </c>
      <c r="AM268" s="383">
        <f t="shared" si="15"/>
        <v>0.2300000000000002</v>
      </c>
    </row>
    <row r="269" spans="1:39" x14ac:dyDescent="0.2">
      <c r="A269" s="8"/>
      <c r="B269" s="39" t="s">
        <v>105</v>
      </c>
      <c r="C269" s="38" t="s">
        <v>167</v>
      </c>
      <c r="D269" s="268" t="s">
        <v>168</v>
      </c>
      <c r="E269" s="27"/>
      <c r="F269" s="50">
        <v>0.5</v>
      </c>
      <c r="G269" s="50">
        <v>0.5</v>
      </c>
      <c r="H269" s="50">
        <v>0.5</v>
      </c>
      <c r="I269" s="50">
        <v>0.5</v>
      </c>
      <c r="J269" s="50">
        <v>0.5</v>
      </c>
      <c r="K269" s="50">
        <v>0.5</v>
      </c>
      <c r="L269" s="50">
        <v>0.5</v>
      </c>
      <c r="M269" s="50">
        <v>0.5</v>
      </c>
      <c r="N269" s="50">
        <v>0.5</v>
      </c>
      <c r="O269" s="50">
        <v>0.5</v>
      </c>
      <c r="P269" s="50">
        <v>0.5</v>
      </c>
      <c r="Q269" s="50">
        <v>0.5</v>
      </c>
      <c r="R269" s="50">
        <v>0.5</v>
      </c>
      <c r="S269" s="50">
        <v>0.5</v>
      </c>
      <c r="T269" s="50">
        <v>0.5</v>
      </c>
      <c r="U269" s="50">
        <v>0.5</v>
      </c>
      <c r="V269" s="50">
        <v>0.5</v>
      </c>
      <c r="W269" s="50">
        <v>0.5</v>
      </c>
      <c r="X269" s="50">
        <v>0.5</v>
      </c>
      <c r="Y269" s="50">
        <v>0.5</v>
      </c>
      <c r="Z269" s="50">
        <v>0.5</v>
      </c>
      <c r="AA269" s="50">
        <v>0.5</v>
      </c>
      <c r="AB269" s="50">
        <v>0.5</v>
      </c>
      <c r="AC269" s="50">
        <v>0.5</v>
      </c>
      <c r="AD269" s="50">
        <v>0.5</v>
      </c>
      <c r="AE269" s="50">
        <v>0.5</v>
      </c>
      <c r="AF269" s="50">
        <v>0.5</v>
      </c>
      <c r="AG269" s="50">
        <v>0.5</v>
      </c>
      <c r="AH269" s="50">
        <v>0.5</v>
      </c>
      <c r="AI269" s="50">
        <v>0.5</v>
      </c>
      <c r="AJ269" s="50">
        <v>0.5</v>
      </c>
      <c r="AK269" s="50">
        <v>0.5</v>
      </c>
      <c r="AL269" s="50">
        <v>0.5</v>
      </c>
      <c r="AM269" s="383">
        <f t="shared" si="15"/>
        <v>0.5</v>
      </c>
    </row>
    <row r="270" spans="1:39" x14ac:dyDescent="0.2">
      <c r="A270" s="8"/>
      <c r="B270" s="39" t="s">
        <v>106</v>
      </c>
      <c r="C270" s="38" t="s">
        <v>167</v>
      </c>
      <c r="D270" s="268" t="s">
        <v>168</v>
      </c>
      <c r="E270" s="27"/>
      <c r="F270" s="50">
        <v>1.5</v>
      </c>
      <c r="G270" s="50">
        <v>1.5</v>
      </c>
      <c r="H270" s="50">
        <v>1.5</v>
      </c>
      <c r="I270" s="50">
        <v>1.5</v>
      </c>
      <c r="J270" s="50">
        <v>1.5</v>
      </c>
      <c r="K270" s="50">
        <v>1.5</v>
      </c>
      <c r="L270" s="50">
        <v>1.5</v>
      </c>
      <c r="M270" s="50">
        <v>1.5</v>
      </c>
      <c r="N270" s="50">
        <v>1.5</v>
      </c>
      <c r="O270" s="50">
        <v>1.5</v>
      </c>
      <c r="P270" s="50">
        <v>1.5</v>
      </c>
      <c r="Q270" s="50">
        <v>1.5</v>
      </c>
      <c r="R270" s="50">
        <v>1.5</v>
      </c>
      <c r="S270" s="50">
        <v>1.5</v>
      </c>
      <c r="T270" s="50">
        <v>1.5</v>
      </c>
      <c r="U270" s="50">
        <v>1.5</v>
      </c>
      <c r="V270" s="50">
        <v>1.5</v>
      </c>
      <c r="W270" s="50">
        <v>1.5</v>
      </c>
      <c r="X270" s="50">
        <v>1.5</v>
      </c>
      <c r="Y270" s="50">
        <v>1.5</v>
      </c>
      <c r="Z270" s="50">
        <v>1.5</v>
      </c>
      <c r="AA270" s="50">
        <v>1.5</v>
      </c>
      <c r="AB270" s="50">
        <v>1.5</v>
      </c>
      <c r="AC270" s="50">
        <v>1.5</v>
      </c>
      <c r="AD270" s="50">
        <v>1.5</v>
      </c>
      <c r="AE270" s="50">
        <v>1.5</v>
      </c>
      <c r="AF270" s="50">
        <v>1.5</v>
      </c>
      <c r="AG270" s="50">
        <v>1.5</v>
      </c>
      <c r="AH270" s="50">
        <v>1.5</v>
      </c>
      <c r="AI270" s="50">
        <v>1.5</v>
      </c>
      <c r="AJ270" s="50">
        <v>1.5</v>
      </c>
      <c r="AK270" s="50">
        <v>1.5</v>
      </c>
      <c r="AL270" s="50">
        <v>1.5</v>
      </c>
      <c r="AM270" s="383">
        <f t="shared" si="15"/>
        <v>1.5</v>
      </c>
    </row>
    <row r="271" spans="1:39" x14ac:dyDescent="0.2">
      <c r="A271" s="8"/>
      <c r="B271" s="39" t="s">
        <v>107</v>
      </c>
      <c r="C271" s="38" t="s">
        <v>167</v>
      </c>
      <c r="D271" s="268" t="s">
        <v>168</v>
      </c>
      <c r="E271" s="27"/>
      <c r="F271" s="50">
        <v>0.5</v>
      </c>
      <c r="G271" s="50">
        <v>0.5</v>
      </c>
      <c r="H271" s="50">
        <v>0.5</v>
      </c>
      <c r="I271" s="50">
        <v>0.5</v>
      </c>
      <c r="J271" s="50">
        <v>0.5</v>
      </c>
      <c r="K271" s="50">
        <v>0.5</v>
      </c>
      <c r="L271" s="50">
        <v>0.5</v>
      </c>
      <c r="M271" s="50">
        <v>0.5</v>
      </c>
      <c r="N271" s="50">
        <v>0.5</v>
      </c>
      <c r="O271" s="50">
        <v>0.5</v>
      </c>
      <c r="P271" s="50">
        <v>0.5</v>
      </c>
      <c r="Q271" s="50">
        <v>0.5</v>
      </c>
      <c r="R271" s="50">
        <v>0.5</v>
      </c>
      <c r="S271" s="50">
        <v>0.5</v>
      </c>
      <c r="T271" s="50">
        <v>0.5</v>
      </c>
      <c r="U271" s="50">
        <v>0.5</v>
      </c>
      <c r="V271" s="50">
        <v>0.5</v>
      </c>
      <c r="W271" s="50">
        <v>0.5</v>
      </c>
      <c r="X271" s="50">
        <v>0.5</v>
      </c>
      <c r="Y271" s="50">
        <v>0.5</v>
      </c>
      <c r="Z271" s="50">
        <v>0.5</v>
      </c>
      <c r="AA271" s="50">
        <v>0.5</v>
      </c>
      <c r="AB271" s="50">
        <v>0.5</v>
      </c>
      <c r="AC271" s="50">
        <v>0.5</v>
      </c>
      <c r="AD271" s="50">
        <v>0.5</v>
      </c>
      <c r="AE271" s="50">
        <v>0.5</v>
      </c>
      <c r="AF271" s="50">
        <v>0.5</v>
      </c>
      <c r="AG271" s="50">
        <v>0.5</v>
      </c>
      <c r="AH271" s="50">
        <v>0.5</v>
      </c>
      <c r="AI271" s="50">
        <v>0.5</v>
      </c>
      <c r="AJ271" s="50">
        <v>0.5</v>
      </c>
      <c r="AK271" s="50">
        <v>0.5</v>
      </c>
      <c r="AL271" s="50">
        <v>0.5</v>
      </c>
      <c r="AM271" s="383">
        <f t="shared" si="15"/>
        <v>0.5</v>
      </c>
    </row>
    <row r="272" spans="1:39" x14ac:dyDescent="0.2">
      <c r="A272" s="8"/>
      <c r="B272" s="39" t="s">
        <v>108</v>
      </c>
      <c r="C272" s="38" t="s">
        <v>167</v>
      </c>
      <c r="D272" s="268" t="s">
        <v>168</v>
      </c>
      <c r="E272" s="27"/>
      <c r="F272" s="50">
        <v>3.6</v>
      </c>
      <c r="G272" s="50">
        <v>3.6</v>
      </c>
      <c r="H272" s="50">
        <v>3.6</v>
      </c>
      <c r="I272" s="50">
        <v>3.6</v>
      </c>
      <c r="J272" s="50">
        <v>3.6</v>
      </c>
      <c r="K272" s="50">
        <v>3.6</v>
      </c>
      <c r="L272" s="50">
        <v>3.6</v>
      </c>
      <c r="M272" s="50">
        <v>3.6</v>
      </c>
      <c r="N272" s="50">
        <v>3.6</v>
      </c>
      <c r="O272" s="50">
        <v>3.6</v>
      </c>
      <c r="P272" s="50">
        <v>3.6</v>
      </c>
      <c r="Q272" s="50">
        <v>3.6</v>
      </c>
      <c r="R272" s="50">
        <v>3.6</v>
      </c>
      <c r="S272" s="50">
        <v>3.6</v>
      </c>
      <c r="T272" s="50">
        <v>3.6</v>
      </c>
      <c r="U272" s="50">
        <v>3.6</v>
      </c>
      <c r="V272" s="50">
        <v>3.6</v>
      </c>
      <c r="W272" s="50">
        <v>3.6</v>
      </c>
      <c r="X272" s="50">
        <v>3.6</v>
      </c>
      <c r="Y272" s="50">
        <v>3.6</v>
      </c>
      <c r="Z272" s="50">
        <v>3.6</v>
      </c>
      <c r="AA272" s="50">
        <v>3.6</v>
      </c>
      <c r="AB272" s="50">
        <v>3.6</v>
      </c>
      <c r="AC272" s="50">
        <v>3.6</v>
      </c>
      <c r="AD272" s="50">
        <v>3.6</v>
      </c>
      <c r="AE272" s="50">
        <v>3.6</v>
      </c>
      <c r="AF272" s="50">
        <v>3.6</v>
      </c>
      <c r="AG272" s="50">
        <v>3.6</v>
      </c>
      <c r="AH272" s="50">
        <v>3.6</v>
      </c>
      <c r="AI272" s="50">
        <v>3.6</v>
      </c>
      <c r="AJ272" s="50">
        <v>3.6</v>
      </c>
      <c r="AK272" s="50">
        <v>3.6</v>
      </c>
      <c r="AL272" s="50">
        <v>3.6</v>
      </c>
      <c r="AM272" s="383">
        <f t="shared" si="15"/>
        <v>3.5999999999999979</v>
      </c>
    </row>
    <row r="273" spans="1:39" x14ac:dyDescent="0.2">
      <c r="A273" s="8"/>
      <c r="B273" s="39" t="s">
        <v>109</v>
      </c>
      <c r="C273" s="38" t="s">
        <v>167</v>
      </c>
      <c r="D273" s="268" t="s">
        <v>168</v>
      </c>
      <c r="E273" s="27"/>
      <c r="F273" s="50">
        <v>2</v>
      </c>
      <c r="G273" s="50">
        <v>2</v>
      </c>
      <c r="H273" s="50">
        <v>2</v>
      </c>
      <c r="I273" s="50">
        <v>2</v>
      </c>
      <c r="J273" s="50">
        <v>2</v>
      </c>
      <c r="K273" s="50">
        <v>2</v>
      </c>
      <c r="L273" s="50">
        <v>2</v>
      </c>
      <c r="M273" s="50">
        <v>2</v>
      </c>
      <c r="N273" s="50">
        <v>2</v>
      </c>
      <c r="O273" s="50">
        <v>2</v>
      </c>
      <c r="P273" s="50">
        <v>2</v>
      </c>
      <c r="Q273" s="50">
        <v>2</v>
      </c>
      <c r="R273" s="50">
        <v>2</v>
      </c>
      <c r="S273" s="50">
        <v>2</v>
      </c>
      <c r="T273" s="50">
        <v>2</v>
      </c>
      <c r="U273" s="50">
        <v>2</v>
      </c>
      <c r="V273" s="50">
        <v>2</v>
      </c>
      <c r="W273" s="50">
        <v>2</v>
      </c>
      <c r="X273" s="50">
        <v>2</v>
      </c>
      <c r="Y273" s="50">
        <v>2</v>
      </c>
      <c r="Z273" s="50">
        <v>2</v>
      </c>
      <c r="AA273" s="50">
        <v>2</v>
      </c>
      <c r="AB273" s="50">
        <v>2</v>
      </c>
      <c r="AC273" s="50">
        <v>2</v>
      </c>
      <c r="AD273" s="50">
        <v>2</v>
      </c>
      <c r="AE273" s="50">
        <v>2</v>
      </c>
      <c r="AF273" s="50">
        <v>2</v>
      </c>
      <c r="AG273" s="50">
        <v>2</v>
      </c>
      <c r="AH273" s="50">
        <v>2</v>
      </c>
      <c r="AI273" s="50">
        <v>2</v>
      </c>
      <c r="AJ273" s="50">
        <v>2</v>
      </c>
      <c r="AK273" s="50">
        <v>2</v>
      </c>
      <c r="AL273" s="50">
        <v>2</v>
      </c>
      <c r="AM273" s="383">
        <f t="shared" si="15"/>
        <v>2</v>
      </c>
    </row>
    <row r="274" spans="1:39" x14ac:dyDescent="0.2">
      <c r="A274" s="8"/>
      <c r="B274" s="39" t="s">
        <v>110</v>
      </c>
      <c r="C274" s="38" t="s">
        <v>167</v>
      </c>
      <c r="D274" s="268" t="s">
        <v>168</v>
      </c>
      <c r="E274" s="27"/>
      <c r="F274" s="50">
        <v>0.18</v>
      </c>
      <c r="G274" s="50">
        <v>0.18</v>
      </c>
      <c r="H274" s="50">
        <v>0.18</v>
      </c>
      <c r="I274" s="50">
        <v>0.18</v>
      </c>
      <c r="J274" s="50">
        <v>0.18</v>
      </c>
      <c r="K274" s="50">
        <v>0.18</v>
      </c>
      <c r="L274" s="50">
        <v>0.18</v>
      </c>
      <c r="M274" s="50">
        <v>0.18</v>
      </c>
      <c r="N274" s="50">
        <v>0.18</v>
      </c>
      <c r="O274" s="50">
        <v>0.18</v>
      </c>
      <c r="P274" s="50">
        <v>0.18</v>
      </c>
      <c r="Q274" s="50">
        <v>0.18</v>
      </c>
      <c r="R274" s="50">
        <v>0.18</v>
      </c>
      <c r="S274" s="50">
        <v>0.18</v>
      </c>
      <c r="T274" s="50">
        <v>0.18</v>
      </c>
      <c r="U274" s="50">
        <v>0.18</v>
      </c>
      <c r="V274" s="50">
        <v>0.18</v>
      </c>
      <c r="W274" s="50">
        <v>0.18</v>
      </c>
      <c r="X274" s="50">
        <v>0.18</v>
      </c>
      <c r="Y274" s="50">
        <v>0.18</v>
      </c>
      <c r="Z274" s="50">
        <v>0.18</v>
      </c>
      <c r="AA274" s="50">
        <v>0.18</v>
      </c>
      <c r="AB274" s="50">
        <v>0.18</v>
      </c>
      <c r="AC274" s="50">
        <v>0.18</v>
      </c>
      <c r="AD274" s="50">
        <v>0.18</v>
      </c>
      <c r="AE274" s="50">
        <v>0.18</v>
      </c>
      <c r="AF274" s="50">
        <v>0.18</v>
      </c>
      <c r="AG274" s="50">
        <v>0.18</v>
      </c>
      <c r="AH274" s="50">
        <v>0.18</v>
      </c>
      <c r="AI274" s="50">
        <v>0.18</v>
      </c>
      <c r="AJ274" s="50">
        <v>0.18</v>
      </c>
      <c r="AK274" s="50">
        <v>0.18</v>
      </c>
      <c r="AL274" s="50">
        <v>0.18</v>
      </c>
      <c r="AM274" s="383">
        <f t="shared" si="15"/>
        <v>0.17999999999999997</v>
      </c>
    </row>
    <row r="275" spans="1:39" x14ac:dyDescent="0.2">
      <c r="A275" s="8"/>
      <c r="B275" s="39" t="s">
        <v>111</v>
      </c>
      <c r="C275" s="38" t="s">
        <v>167</v>
      </c>
      <c r="D275" s="268" t="s">
        <v>168</v>
      </c>
      <c r="E275" s="27"/>
      <c r="F275" s="50">
        <v>0.36</v>
      </c>
      <c r="G275" s="50">
        <v>0.36</v>
      </c>
      <c r="H275" s="50">
        <v>0.36</v>
      </c>
      <c r="I275" s="50">
        <v>0.36</v>
      </c>
      <c r="J275" s="50">
        <v>0.36</v>
      </c>
      <c r="K275" s="50">
        <v>0.36</v>
      </c>
      <c r="L275" s="50">
        <v>0.36</v>
      </c>
      <c r="M275" s="50">
        <v>0.36</v>
      </c>
      <c r="N275" s="50">
        <v>0.36</v>
      </c>
      <c r="O275" s="50">
        <v>0.36</v>
      </c>
      <c r="P275" s="50">
        <v>0.36</v>
      </c>
      <c r="Q275" s="50">
        <v>0.36</v>
      </c>
      <c r="R275" s="50">
        <v>0.36</v>
      </c>
      <c r="S275" s="50">
        <v>0.36</v>
      </c>
      <c r="T275" s="50">
        <v>0.36</v>
      </c>
      <c r="U275" s="50">
        <v>0.36</v>
      </c>
      <c r="V275" s="50">
        <v>0.36</v>
      </c>
      <c r="W275" s="50">
        <v>0.36</v>
      </c>
      <c r="X275" s="50">
        <v>0.36</v>
      </c>
      <c r="Y275" s="50">
        <v>0.36</v>
      </c>
      <c r="Z275" s="50">
        <v>0.36</v>
      </c>
      <c r="AA275" s="50">
        <v>0.36</v>
      </c>
      <c r="AB275" s="50">
        <v>0.36</v>
      </c>
      <c r="AC275" s="50">
        <v>0.36</v>
      </c>
      <c r="AD275" s="50">
        <v>0.36</v>
      </c>
      <c r="AE275" s="50">
        <v>0.36</v>
      </c>
      <c r="AF275" s="50">
        <v>0.36</v>
      </c>
      <c r="AG275" s="50">
        <v>0.36</v>
      </c>
      <c r="AH275" s="50">
        <v>0.36</v>
      </c>
      <c r="AI275" s="50">
        <v>0.36</v>
      </c>
      <c r="AJ275" s="50">
        <v>0.36</v>
      </c>
      <c r="AK275" s="50">
        <v>0.36</v>
      </c>
      <c r="AL275" s="50">
        <v>0.36</v>
      </c>
      <c r="AM275" s="383">
        <f t="shared" si="15"/>
        <v>0.35999999999999993</v>
      </c>
    </row>
    <row r="276" spans="1:39" x14ac:dyDescent="0.2">
      <c r="A276" s="8"/>
      <c r="B276" s="39" t="s">
        <v>112</v>
      </c>
      <c r="C276" s="38" t="s">
        <v>167</v>
      </c>
      <c r="D276" s="268" t="s">
        <v>168</v>
      </c>
      <c r="E276" s="27"/>
      <c r="F276" s="50">
        <v>0.22</v>
      </c>
      <c r="G276" s="50">
        <v>0.22</v>
      </c>
      <c r="H276" s="50">
        <v>0.22</v>
      </c>
      <c r="I276" s="50">
        <v>0.22</v>
      </c>
      <c r="J276" s="50">
        <v>0.22</v>
      </c>
      <c r="K276" s="50">
        <v>0.22</v>
      </c>
      <c r="L276" s="50">
        <v>0.22</v>
      </c>
      <c r="M276" s="50">
        <v>0.22</v>
      </c>
      <c r="N276" s="50">
        <v>0.22</v>
      </c>
      <c r="O276" s="50">
        <v>0.22</v>
      </c>
      <c r="P276" s="50">
        <v>0.22</v>
      </c>
      <c r="Q276" s="50">
        <v>0.22</v>
      </c>
      <c r="R276" s="50">
        <v>0.22</v>
      </c>
      <c r="S276" s="50">
        <v>0.22</v>
      </c>
      <c r="T276" s="50">
        <v>0.22</v>
      </c>
      <c r="U276" s="50">
        <v>0.22</v>
      </c>
      <c r="V276" s="50">
        <v>0.22</v>
      </c>
      <c r="W276" s="50">
        <v>0.22</v>
      </c>
      <c r="X276" s="50">
        <v>0.22</v>
      </c>
      <c r="Y276" s="50">
        <v>0.22</v>
      </c>
      <c r="Z276" s="50">
        <v>0.22</v>
      </c>
      <c r="AA276" s="50">
        <v>0.22</v>
      </c>
      <c r="AB276" s="50">
        <v>0.22</v>
      </c>
      <c r="AC276" s="50">
        <v>0.22</v>
      </c>
      <c r="AD276" s="50">
        <v>0.22</v>
      </c>
      <c r="AE276" s="50">
        <v>0.22</v>
      </c>
      <c r="AF276" s="50">
        <v>0.22</v>
      </c>
      <c r="AG276" s="50">
        <v>0.22</v>
      </c>
      <c r="AH276" s="50">
        <v>0.22</v>
      </c>
      <c r="AI276" s="50">
        <v>0.22</v>
      </c>
      <c r="AJ276" s="50">
        <v>0.22</v>
      </c>
      <c r="AK276" s="50">
        <v>0.22</v>
      </c>
      <c r="AL276" s="50">
        <v>0.22</v>
      </c>
      <c r="AM276" s="383">
        <f t="shared" si="15"/>
        <v>0.21999999999999995</v>
      </c>
    </row>
    <row r="277" spans="1:39" x14ac:dyDescent="0.2">
      <c r="A277" s="8"/>
      <c r="B277" s="39" t="s">
        <v>113</v>
      </c>
      <c r="C277" s="38" t="s">
        <v>167</v>
      </c>
      <c r="D277" s="268" t="s">
        <v>168</v>
      </c>
      <c r="E277" s="27"/>
      <c r="F277" s="50">
        <v>0.1</v>
      </c>
      <c r="G277" s="50">
        <v>0.1</v>
      </c>
      <c r="H277" s="50">
        <v>0.1</v>
      </c>
      <c r="I277" s="50">
        <v>0.1</v>
      </c>
      <c r="J277" s="50">
        <v>0.1</v>
      </c>
      <c r="K277" s="50">
        <v>0.1</v>
      </c>
      <c r="L277" s="50">
        <v>0.1</v>
      </c>
      <c r="M277" s="50">
        <v>0.1</v>
      </c>
      <c r="N277" s="50">
        <v>0.1</v>
      </c>
      <c r="O277" s="50">
        <v>0.1</v>
      </c>
      <c r="P277" s="50">
        <v>0.1</v>
      </c>
      <c r="Q277" s="50">
        <v>0.1</v>
      </c>
      <c r="R277" s="50">
        <v>0.1</v>
      </c>
      <c r="S277" s="50">
        <v>0.1</v>
      </c>
      <c r="T277" s="50">
        <v>0.1</v>
      </c>
      <c r="U277" s="50">
        <v>0.1</v>
      </c>
      <c r="V277" s="50">
        <v>0.1</v>
      </c>
      <c r="W277" s="50">
        <v>0.1</v>
      </c>
      <c r="X277" s="50">
        <v>0.1</v>
      </c>
      <c r="Y277" s="50">
        <v>0.1</v>
      </c>
      <c r="Z277" s="50">
        <v>0.1</v>
      </c>
      <c r="AA277" s="50">
        <v>0.1</v>
      </c>
      <c r="AB277" s="50">
        <v>0.1</v>
      </c>
      <c r="AC277" s="50">
        <v>0.1</v>
      </c>
      <c r="AD277" s="50">
        <v>0.1</v>
      </c>
      <c r="AE277" s="50">
        <v>0.1</v>
      </c>
      <c r="AF277" s="50">
        <v>0.1</v>
      </c>
      <c r="AG277" s="50">
        <v>0.1</v>
      </c>
      <c r="AH277" s="50">
        <v>0.1</v>
      </c>
      <c r="AI277" s="50">
        <v>0.1</v>
      </c>
      <c r="AJ277" s="50">
        <v>0.1</v>
      </c>
      <c r="AK277" s="50">
        <v>0.1</v>
      </c>
      <c r="AL277" s="50">
        <v>0.1</v>
      </c>
      <c r="AM277" s="383">
        <f t="shared" ref="AM277:AM286" si="16">AVERAGE(F277:AL277)</f>
        <v>0.10000000000000005</v>
      </c>
    </row>
    <row r="278" spans="1:39" x14ac:dyDescent="0.2">
      <c r="A278" s="8"/>
      <c r="B278" s="39" t="s">
        <v>114</v>
      </c>
      <c r="C278" s="38" t="s">
        <v>167</v>
      </c>
      <c r="D278" s="268" t="s">
        <v>168</v>
      </c>
      <c r="E278" s="27"/>
      <c r="F278" s="50">
        <v>0.67</v>
      </c>
      <c r="G278" s="50">
        <v>0.67</v>
      </c>
      <c r="H278" s="50">
        <v>0.67</v>
      </c>
      <c r="I278" s="50">
        <v>0.67</v>
      </c>
      <c r="J278" s="50">
        <v>0.67</v>
      </c>
      <c r="K278" s="50">
        <v>0.67</v>
      </c>
      <c r="L278" s="50">
        <v>0.67</v>
      </c>
      <c r="M278" s="50">
        <v>0.67</v>
      </c>
      <c r="N278" s="50">
        <v>0.67</v>
      </c>
      <c r="O278" s="50">
        <v>0.67</v>
      </c>
      <c r="P278" s="50">
        <v>0.67</v>
      </c>
      <c r="Q278" s="50">
        <v>0.67</v>
      </c>
      <c r="R278" s="50">
        <v>0.67</v>
      </c>
      <c r="S278" s="50">
        <v>0.67</v>
      </c>
      <c r="T278" s="50">
        <v>0.67</v>
      </c>
      <c r="U278" s="50">
        <v>0.67</v>
      </c>
      <c r="V278" s="50">
        <v>0.67</v>
      </c>
      <c r="W278" s="50">
        <v>0.67</v>
      </c>
      <c r="X278" s="50">
        <v>0.67</v>
      </c>
      <c r="Y278" s="50">
        <v>0.67</v>
      </c>
      <c r="Z278" s="50">
        <v>0.67</v>
      </c>
      <c r="AA278" s="50">
        <v>0.67</v>
      </c>
      <c r="AB278" s="50">
        <v>0.67</v>
      </c>
      <c r="AC278" s="50">
        <v>0.67</v>
      </c>
      <c r="AD278" s="50">
        <v>0.67</v>
      </c>
      <c r="AE278" s="50">
        <v>0.67</v>
      </c>
      <c r="AF278" s="50">
        <v>0.67</v>
      </c>
      <c r="AG278" s="50">
        <v>0.67</v>
      </c>
      <c r="AH278" s="50">
        <v>0.67</v>
      </c>
      <c r="AI278" s="50">
        <v>0.67</v>
      </c>
      <c r="AJ278" s="50">
        <v>0.67</v>
      </c>
      <c r="AK278" s="50">
        <v>0.67</v>
      </c>
      <c r="AL278" s="50">
        <v>0.67</v>
      </c>
      <c r="AM278" s="383">
        <f t="shared" si="16"/>
        <v>0.67000000000000048</v>
      </c>
    </row>
    <row r="279" spans="1:39" x14ac:dyDescent="0.2">
      <c r="A279" s="8"/>
      <c r="B279" s="39" t="s">
        <v>115</v>
      </c>
      <c r="C279" s="38" t="s">
        <v>167</v>
      </c>
      <c r="D279" s="268" t="s">
        <v>168</v>
      </c>
      <c r="E279" s="27"/>
      <c r="F279" s="50">
        <v>0.18</v>
      </c>
      <c r="G279" s="50">
        <v>0.18</v>
      </c>
      <c r="H279" s="50">
        <v>0.18</v>
      </c>
      <c r="I279" s="50">
        <v>0.18</v>
      </c>
      <c r="J279" s="50">
        <v>0.18</v>
      </c>
      <c r="K279" s="50">
        <v>0.18</v>
      </c>
      <c r="L279" s="50">
        <v>0.18</v>
      </c>
      <c r="M279" s="50">
        <v>0.18</v>
      </c>
      <c r="N279" s="50">
        <v>0.18</v>
      </c>
      <c r="O279" s="50">
        <v>0.18</v>
      </c>
      <c r="P279" s="50">
        <v>0.18</v>
      </c>
      <c r="Q279" s="50">
        <v>0.18</v>
      </c>
      <c r="R279" s="50">
        <v>0.18</v>
      </c>
      <c r="S279" s="50">
        <v>0.18</v>
      </c>
      <c r="T279" s="50">
        <v>0.18</v>
      </c>
      <c r="U279" s="50">
        <v>0.18</v>
      </c>
      <c r="V279" s="50">
        <v>0.18</v>
      </c>
      <c r="W279" s="50">
        <v>0.18</v>
      </c>
      <c r="X279" s="50">
        <v>0.18</v>
      </c>
      <c r="Y279" s="50">
        <v>0.18</v>
      </c>
      <c r="Z279" s="50">
        <v>0.18</v>
      </c>
      <c r="AA279" s="50">
        <v>0.18</v>
      </c>
      <c r="AB279" s="50">
        <v>0.18</v>
      </c>
      <c r="AC279" s="50">
        <v>0.18</v>
      </c>
      <c r="AD279" s="50">
        <v>0.18</v>
      </c>
      <c r="AE279" s="50">
        <v>0.18</v>
      </c>
      <c r="AF279" s="50">
        <v>0.18</v>
      </c>
      <c r="AG279" s="50">
        <v>0.18</v>
      </c>
      <c r="AH279" s="50">
        <v>0.18</v>
      </c>
      <c r="AI279" s="50">
        <v>0.18</v>
      </c>
      <c r="AJ279" s="50">
        <v>0.18</v>
      </c>
      <c r="AK279" s="50">
        <v>0.18</v>
      </c>
      <c r="AL279" s="50">
        <v>0.18</v>
      </c>
      <c r="AM279" s="383">
        <f t="shared" si="16"/>
        <v>0.17999999999999997</v>
      </c>
    </row>
    <row r="280" spans="1:39" x14ac:dyDescent="0.2">
      <c r="A280" s="8"/>
      <c r="B280" s="39" t="s">
        <v>116</v>
      </c>
      <c r="C280" s="38" t="s">
        <v>167</v>
      </c>
      <c r="D280" s="268" t="s">
        <v>168</v>
      </c>
      <c r="E280" s="27"/>
      <c r="F280" s="50">
        <v>0.35</v>
      </c>
      <c r="G280" s="50">
        <v>0.35</v>
      </c>
      <c r="H280" s="50">
        <v>0.35</v>
      </c>
      <c r="I280" s="50">
        <v>0.35</v>
      </c>
      <c r="J280" s="50">
        <v>0.35</v>
      </c>
      <c r="K280" s="50">
        <v>0.35</v>
      </c>
      <c r="L280" s="50">
        <v>0.35</v>
      </c>
      <c r="M280" s="50">
        <v>0.35</v>
      </c>
      <c r="N280" s="50">
        <v>0.35</v>
      </c>
      <c r="O280" s="50">
        <v>0.35</v>
      </c>
      <c r="P280" s="50">
        <v>0.35</v>
      </c>
      <c r="Q280" s="50">
        <v>0.35</v>
      </c>
      <c r="R280" s="50">
        <v>0.35</v>
      </c>
      <c r="S280" s="50">
        <v>0.35</v>
      </c>
      <c r="T280" s="50">
        <v>0.35</v>
      </c>
      <c r="U280" s="50">
        <v>0.35</v>
      </c>
      <c r="V280" s="50">
        <v>0.35</v>
      </c>
      <c r="W280" s="50">
        <v>0.35</v>
      </c>
      <c r="X280" s="50">
        <v>0.35</v>
      </c>
      <c r="Y280" s="50">
        <v>0.35</v>
      </c>
      <c r="Z280" s="50">
        <v>0.35</v>
      </c>
      <c r="AA280" s="50">
        <v>0.35</v>
      </c>
      <c r="AB280" s="50">
        <v>0.35</v>
      </c>
      <c r="AC280" s="50">
        <v>0.35</v>
      </c>
      <c r="AD280" s="50">
        <v>0.35</v>
      </c>
      <c r="AE280" s="50">
        <v>0.35</v>
      </c>
      <c r="AF280" s="50">
        <v>0.35</v>
      </c>
      <c r="AG280" s="50">
        <v>0.35</v>
      </c>
      <c r="AH280" s="50">
        <v>0.35</v>
      </c>
      <c r="AI280" s="50">
        <v>0.35</v>
      </c>
      <c r="AJ280" s="50">
        <v>0.35</v>
      </c>
      <c r="AK280" s="50">
        <v>0.35</v>
      </c>
      <c r="AL280" s="50">
        <v>0.35</v>
      </c>
      <c r="AM280" s="383">
        <f t="shared" si="16"/>
        <v>0.34999999999999981</v>
      </c>
    </row>
    <row r="281" spans="1:39" x14ac:dyDescent="0.2">
      <c r="A281" s="8"/>
      <c r="B281" s="39" t="s">
        <v>117</v>
      </c>
      <c r="C281" s="38" t="s">
        <v>167</v>
      </c>
      <c r="D281" s="268" t="s">
        <v>168</v>
      </c>
      <c r="E281" s="27"/>
      <c r="F281" s="50">
        <v>0.35</v>
      </c>
      <c r="G281" s="50">
        <v>0.35</v>
      </c>
      <c r="H281" s="50">
        <v>0.35</v>
      </c>
      <c r="I281" s="50">
        <v>0.35</v>
      </c>
      <c r="J281" s="50">
        <v>0.35</v>
      </c>
      <c r="K281" s="50">
        <v>0.35</v>
      </c>
      <c r="L281" s="50">
        <v>0.35</v>
      </c>
      <c r="M281" s="50">
        <v>0.35</v>
      </c>
      <c r="N281" s="50">
        <v>0.35</v>
      </c>
      <c r="O281" s="50">
        <v>0.35</v>
      </c>
      <c r="P281" s="50">
        <v>0.35</v>
      </c>
      <c r="Q281" s="50">
        <v>0.35</v>
      </c>
      <c r="R281" s="50">
        <v>0.35</v>
      </c>
      <c r="S281" s="50">
        <v>0.35</v>
      </c>
      <c r="T281" s="50">
        <v>0.35</v>
      </c>
      <c r="U281" s="50">
        <v>0.35</v>
      </c>
      <c r="V281" s="50">
        <v>0.35</v>
      </c>
      <c r="W281" s="50">
        <v>0.35</v>
      </c>
      <c r="X281" s="50">
        <v>0.35</v>
      </c>
      <c r="Y281" s="50">
        <v>0.35</v>
      </c>
      <c r="Z281" s="50">
        <v>0.35</v>
      </c>
      <c r="AA281" s="50">
        <v>0.35</v>
      </c>
      <c r="AB281" s="50">
        <v>0.35</v>
      </c>
      <c r="AC281" s="50">
        <v>0.35</v>
      </c>
      <c r="AD281" s="50">
        <v>0.35</v>
      </c>
      <c r="AE281" s="50">
        <v>0.35</v>
      </c>
      <c r="AF281" s="50">
        <v>0.35</v>
      </c>
      <c r="AG281" s="50">
        <v>0.35</v>
      </c>
      <c r="AH281" s="50">
        <v>0.35</v>
      </c>
      <c r="AI281" s="50">
        <v>0.35</v>
      </c>
      <c r="AJ281" s="50">
        <v>0.35</v>
      </c>
      <c r="AK281" s="50">
        <v>0.35</v>
      </c>
      <c r="AL281" s="50">
        <v>0.35</v>
      </c>
      <c r="AM281" s="383">
        <f t="shared" si="16"/>
        <v>0.34999999999999981</v>
      </c>
    </row>
    <row r="282" spans="1:39" x14ac:dyDescent="0.2">
      <c r="A282" s="8"/>
      <c r="B282" s="39" t="s">
        <v>118</v>
      </c>
      <c r="C282" s="38" t="s">
        <v>167</v>
      </c>
      <c r="D282" s="268" t="s">
        <v>168</v>
      </c>
      <c r="E282" s="27"/>
      <c r="F282" s="50">
        <v>1</v>
      </c>
      <c r="G282" s="50">
        <v>1</v>
      </c>
      <c r="H282" s="50">
        <v>1</v>
      </c>
      <c r="I282" s="50">
        <v>1</v>
      </c>
      <c r="J282" s="50">
        <v>1</v>
      </c>
      <c r="K282" s="50">
        <v>1</v>
      </c>
      <c r="L282" s="50">
        <v>1</v>
      </c>
      <c r="M282" s="50">
        <v>1</v>
      </c>
      <c r="N282" s="50">
        <v>1</v>
      </c>
      <c r="O282" s="50">
        <v>1</v>
      </c>
      <c r="P282" s="50">
        <v>1</v>
      </c>
      <c r="Q282" s="50">
        <v>1</v>
      </c>
      <c r="R282" s="50">
        <v>1</v>
      </c>
      <c r="S282" s="50">
        <v>1</v>
      </c>
      <c r="T282" s="50">
        <v>1</v>
      </c>
      <c r="U282" s="50">
        <v>1</v>
      </c>
      <c r="V282" s="50">
        <v>1</v>
      </c>
      <c r="W282" s="50">
        <v>1</v>
      </c>
      <c r="X282" s="50">
        <v>1</v>
      </c>
      <c r="Y282" s="50">
        <v>1</v>
      </c>
      <c r="Z282" s="50">
        <v>1</v>
      </c>
      <c r="AA282" s="50">
        <v>1</v>
      </c>
      <c r="AB282" s="50">
        <v>1</v>
      </c>
      <c r="AC282" s="50">
        <v>1</v>
      </c>
      <c r="AD282" s="50">
        <v>1</v>
      </c>
      <c r="AE282" s="50">
        <v>1</v>
      </c>
      <c r="AF282" s="50">
        <v>1</v>
      </c>
      <c r="AG282" s="50">
        <v>1</v>
      </c>
      <c r="AH282" s="50">
        <v>1</v>
      </c>
      <c r="AI282" s="50">
        <v>1</v>
      </c>
      <c r="AJ282" s="50">
        <v>1</v>
      </c>
      <c r="AK282" s="50">
        <v>1</v>
      </c>
      <c r="AL282" s="50">
        <v>1</v>
      </c>
      <c r="AM282" s="383">
        <f t="shared" si="16"/>
        <v>1</v>
      </c>
    </row>
    <row r="283" spans="1:39" x14ac:dyDescent="0.2">
      <c r="A283" s="8"/>
      <c r="B283" s="39" t="s">
        <v>119</v>
      </c>
      <c r="C283" s="38" t="s">
        <v>167</v>
      </c>
      <c r="D283" s="268" t="s">
        <v>168</v>
      </c>
      <c r="E283" s="27"/>
      <c r="F283" s="50">
        <v>0.36</v>
      </c>
      <c r="G283" s="50">
        <v>0.36</v>
      </c>
      <c r="H283" s="50">
        <v>0.36</v>
      </c>
      <c r="I283" s="50">
        <v>0.36</v>
      </c>
      <c r="J283" s="50">
        <v>0.36</v>
      </c>
      <c r="K283" s="50">
        <v>0.36</v>
      </c>
      <c r="L283" s="50">
        <v>0.36</v>
      </c>
      <c r="M283" s="50">
        <v>0.36</v>
      </c>
      <c r="N283" s="50">
        <v>0.36</v>
      </c>
      <c r="O283" s="50">
        <v>0.36</v>
      </c>
      <c r="P283" s="50">
        <v>0.36</v>
      </c>
      <c r="Q283" s="50">
        <v>0.36</v>
      </c>
      <c r="R283" s="50">
        <v>0.36</v>
      </c>
      <c r="S283" s="50">
        <v>0.36</v>
      </c>
      <c r="T283" s="50">
        <v>0.36</v>
      </c>
      <c r="U283" s="50">
        <v>0.36</v>
      </c>
      <c r="V283" s="50">
        <v>0.36</v>
      </c>
      <c r="W283" s="50">
        <v>0.36</v>
      </c>
      <c r="X283" s="50">
        <v>0.36</v>
      </c>
      <c r="Y283" s="50">
        <v>0.36</v>
      </c>
      <c r="Z283" s="50">
        <v>0.36</v>
      </c>
      <c r="AA283" s="50">
        <v>0.36</v>
      </c>
      <c r="AB283" s="50">
        <v>0.36</v>
      </c>
      <c r="AC283" s="50">
        <v>0.36</v>
      </c>
      <c r="AD283" s="50">
        <v>0.36</v>
      </c>
      <c r="AE283" s="50">
        <v>0.36</v>
      </c>
      <c r="AF283" s="50">
        <v>0.36</v>
      </c>
      <c r="AG283" s="50">
        <v>0.36</v>
      </c>
      <c r="AH283" s="50">
        <v>0.36</v>
      </c>
      <c r="AI283" s="50">
        <v>0.36</v>
      </c>
      <c r="AJ283" s="50">
        <v>0.36</v>
      </c>
      <c r="AK283" s="50">
        <v>0.36</v>
      </c>
      <c r="AL283" s="50">
        <v>0.36</v>
      </c>
      <c r="AM283" s="383">
        <f t="shared" si="16"/>
        <v>0.35999999999999993</v>
      </c>
    </row>
    <row r="284" spans="1:39" x14ac:dyDescent="0.2">
      <c r="A284" s="8"/>
      <c r="B284" s="39" t="s">
        <v>120</v>
      </c>
      <c r="C284" s="38" t="s">
        <v>167</v>
      </c>
      <c r="D284" s="268" t="s">
        <v>168</v>
      </c>
      <c r="E284" s="27"/>
      <c r="F284" s="50">
        <v>2.8</v>
      </c>
      <c r="G284" s="50">
        <v>2.8</v>
      </c>
      <c r="H284" s="50">
        <v>2.8</v>
      </c>
      <c r="I284" s="50">
        <v>2.8</v>
      </c>
      <c r="J284" s="50">
        <v>2.8</v>
      </c>
      <c r="K284" s="50">
        <v>2.8</v>
      </c>
      <c r="L284" s="50">
        <v>2.8</v>
      </c>
      <c r="M284" s="50">
        <v>2.8</v>
      </c>
      <c r="N284" s="50">
        <v>2.8</v>
      </c>
      <c r="O284" s="50">
        <v>2.8</v>
      </c>
      <c r="P284" s="50">
        <v>2.8</v>
      </c>
      <c r="Q284" s="50">
        <v>2.8</v>
      </c>
      <c r="R284" s="50">
        <v>2.8</v>
      </c>
      <c r="S284" s="50">
        <v>2.8</v>
      </c>
      <c r="T284" s="50">
        <v>2.8</v>
      </c>
      <c r="U284" s="50">
        <v>2.8</v>
      </c>
      <c r="V284" s="50">
        <v>2.8</v>
      </c>
      <c r="W284" s="50">
        <v>2.8</v>
      </c>
      <c r="X284" s="50">
        <v>2.8</v>
      </c>
      <c r="Y284" s="50">
        <v>2.8</v>
      </c>
      <c r="Z284" s="50">
        <v>2.8</v>
      </c>
      <c r="AA284" s="50">
        <v>2.8</v>
      </c>
      <c r="AB284" s="50">
        <v>2.8</v>
      </c>
      <c r="AC284" s="50">
        <v>2.8</v>
      </c>
      <c r="AD284" s="50">
        <v>2.8</v>
      </c>
      <c r="AE284" s="50">
        <v>2.8</v>
      </c>
      <c r="AF284" s="50">
        <v>2.8</v>
      </c>
      <c r="AG284" s="50">
        <v>2.8</v>
      </c>
      <c r="AH284" s="50">
        <v>2.8</v>
      </c>
      <c r="AI284" s="50">
        <v>2.8</v>
      </c>
      <c r="AJ284" s="50">
        <v>2.8</v>
      </c>
      <c r="AK284" s="50">
        <v>2.8</v>
      </c>
      <c r="AL284" s="50">
        <v>2.8</v>
      </c>
      <c r="AM284" s="383">
        <f t="shared" si="16"/>
        <v>2.7999999999999985</v>
      </c>
    </row>
    <row r="285" spans="1:39" x14ac:dyDescent="0.2">
      <c r="A285" s="8"/>
      <c r="B285" s="39" t="s">
        <v>127</v>
      </c>
      <c r="C285" s="38" t="s">
        <v>167</v>
      </c>
      <c r="D285" s="268" t="s">
        <v>168</v>
      </c>
      <c r="E285" s="27"/>
      <c r="F285" s="50">
        <v>1.25</v>
      </c>
      <c r="G285" s="50">
        <v>1.25</v>
      </c>
      <c r="H285" s="50">
        <v>1.25</v>
      </c>
      <c r="I285" s="50">
        <v>1.25</v>
      </c>
      <c r="J285" s="50">
        <v>1.25</v>
      </c>
      <c r="K285" s="50">
        <v>1.25</v>
      </c>
      <c r="L285" s="50">
        <v>1.25</v>
      </c>
      <c r="M285" s="50">
        <v>1.25</v>
      </c>
      <c r="N285" s="50">
        <v>1.25</v>
      </c>
      <c r="O285" s="50">
        <v>1.25</v>
      </c>
      <c r="P285" s="50">
        <v>1.25</v>
      </c>
      <c r="Q285" s="50">
        <v>1.25</v>
      </c>
      <c r="R285" s="50">
        <v>1.25</v>
      </c>
      <c r="S285" s="50">
        <v>1.25</v>
      </c>
      <c r="T285" s="50">
        <v>1.25</v>
      </c>
      <c r="U285" s="50">
        <v>1.25</v>
      </c>
      <c r="V285" s="50">
        <v>1.25</v>
      </c>
      <c r="W285" s="50">
        <v>1.25</v>
      </c>
      <c r="X285" s="50">
        <v>1.25</v>
      </c>
      <c r="Y285" s="50">
        <v>1.25</v>
      </c>
      <c r="Z285" s="50">
        <v>1.25</v>
      </c>
      <c r="AA285" s="50">
        <v>1.25</v>
      </c>
      <c r="AB285" s="50">
        <v>1.25</v>
      </c>
      <c r="AC285" s="50">
        <v>1.25</v>
      </c>
      <c r="AD285" s="50">
        <v>1.25</v>
      </c>
      <c r="AE285" s="50">
        <v>1.25</v>
      </c>
      <c r="AF285" s="50">
        <v>1.25</v>
      </c>
      <c r="AG285" s="50">
        <v>1.25</v>
      </c>
      <c r="AH285" s="50">
        <v>1.25</v>
      </c>
      <c r="AI285" s="50">
        <v>1.25</v>
      </c>
      <c r="AJ285" s="50">
        <v>1.25</v>
      </c>
      <c r="AK285" s="50">
        <v>1.25</v>
      </c>
      <c r="AL285" s="50">
        <v>1.25</v>
      </c>
      <c r="AM285" s="383">
        <f t="shared" si="16"/>
        <v>1.25</v>
      </c>
    </row>
    <row r="286" spans="1:39" x14ac:dyDescent="0.2">
      <c r="A286" s="8"/>
      <c r="B286" s="39" t="s">
        <v>128</v>
      </c>
      <c r="C286" s="38" t="s">
        <v>167</v>
      </c>
      <c r="D286" s="268" t="s">
        <v>168</v>
      </c>
      <c r="E286" s="27"/>
      <c r="F286" s="50">
        <v>2.0499999999999998</v>
      </c>
      <c r="G286" s="50">
        <v>2.0499999999999998</v>
      </c>
      <c r="H286" s="50">
        <v>2.0499999999999998</v>
      </c>
      <c r="I286" s="50">
        <v>2.0499999999999998</v>
      </c>
      <c r="J286" s="50">
        <v>2.0499999999999998</v>
      </c>
      <c r="K286" s="50">
        <v>2.0499999999999998</v>
      </c>
      <c r="L286" s="50">
        <v>2.0499999999999998</v>
      </c>
      <c r="M286" s="50">
        <v>2.0499999999999998</v>
      </c>
      <c r="N286" s="50">
        <v>2.0499999999999998</v>
      </c>
      <c r="O286" s="50">
        <v>2.0499999999999998</v>
      </c>
      <c r="P286" s="50">
        <v>2.0499999999999998</v>
      </c>
      <c r="Q286" s="50">
        <v>2.0499999999999998</v>
      </c>
      <c r="R286" s="50">
        <v>2.0499999999999998</v>
      </c>
      <c r="S286" s="50">
        <v>2.0499999999999998</v>
      </c>
      <c r="T286" s="50">
        <v>2.0499999999999998</v>
      </c>
      <c r="U286" s="50">
        <v>2.0499999999999998</v>
      </c>
      <c r="V286" s="50">
        <v>2.0499999999999998</v>
      </c>
      <c r="W286" s="50">
        <v>2.0499999999999998</v>
      </c>
      <c r="X286" s="50">
        <v>2.0499999999999998</v>
      </c>
      <c r="Y286" s="50">
        <v>2.0499999999999998</v>
      </c>
      <c r="Z286" s="50">
        <v>2.0499999999999998</v>
      </c>
      <c r="AA286" s="50">
        <v>2.0499999999999998</v>
      </c>
      <c r="AB286" s="50">
        <v>2.0499999999999998</v>
      </c>
      <c r="AC286" s="50">
        <v>2.0499999999999998</v>
      </c>
      <c r="AD286" s="50">
        <v>2.0499999999999998</v>
      </c>
      <c r="AE286" s="50">
        <v>2.0499999999999998</v>
      </c>
      <c r="AF286" s="50">
        <v>2.0499999999999998</v>
      </c>
      <c r="AG286" s="50">
        <v>2.0499999999999998</v>
      </c>
      <c r="AH286" s="50">
        <v>2.0499999999999998</v>
      </c>
      <c r="AI286" s="50">
        <v>2.0499999999999998</v>
      </c>
      <c r="AJ286" s="50">
        <v>2.0499999999999998</v>
      </c>
      <c r="AK286" s="50">
        <v>2.0499999999999998</v>
      </c>
      <c r="AL286" s="50">
        <v>2.0499999999999998</v>
      </c>
      <c r="AM286" s="383">
        <f t="shared" si="16"/>
        <v>2.0499999999999989</v>
      </c>
    </row>
    <row r="287" spans="1:39" x14ac:dyDescent="0.2">
      <c r="A287" s="8"/>
      <c r="B287" s="39"/>
      <c r="C287" s="38"/>
      <c r="D287" s="1"/>
      <c r="E287" s="27"/>
      <c r="F287" s="50"/>
      <c r="G287" s="50"/>
      <c r="H287" s="50"/>
      <c r="I287" s="50"/>
      <c r="J287" s="50"/>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383"/>
    </row>
    <row r="288" spans="1:39" x14ac:dyDescent="0.2">
      <c r="A288" s="8"/>
      <c r="B288" s="23" t="s">
        <v>169</v>
      </c>
      <c r="C288" s="18"/>
      <c r="D288" s="18"/>
      <c r="E288" s="27"/>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83"/>
    </row>
    <row r="289" spans="1:39" x14ac:dyDescent="0.2">
      <c r="A289" s="8"/>
      <c r="B289" s="52" t="s">
        <v>170</v>
      </c>
      <c r="C289" s="53" t="s">
        <v>66</v>
      </c>
      <c r="D289" s="8"/>
      <c r="E289" s="54"/>
      <c r="F289" s="54">
        <f>F21/1000000*hypo!F26*GRAFS!C42/(GRAFS!C42+hypo!F26)</f>
        <v>100.31115156651636</v>
      </c>
      <c r="G289" s="54">
        <f>G21/1000000*hypo!G26*GRAFS!D42/(GRAFS!D42+hypo!G26)</f>
        <v>70.045579763698186</v>
      </c>
      <c r="H289" s="54">
        <f>H21/1000000*hypo!H26*GRAFS!E42/(GRAFS!E42+hypo!H26)</f>
        <v>51.445695399067191</v>
      </c>
      <c r="I289" s="54">
        <f>I21/1000000*hypo!I26*GRAFS!F42/(GRAFS!F42+hypo!I26)</f>
        <v>238.83615050576091</v>
      </c>
      <c r="J289" s="54">
        <f>J21/1000000*hypo!J26*GRAFS!G42/(GRAFS!G42+hypo!J26)</f>
        <v>100.86607739516521</v>
      </c>
      <c r="K289" s="54">
        <f>K21/1000000*hypo!K26*GRAFS!H42/(GRAFS!H42+hypo!K26)</f>
        <v>34.122364723945232</v>
      </c>
      <c r="L289" s="54">
        <f>L21/1000000*hypo!L26*GRAFS!I42/(GRAFS!I42+hypo!L26)</f>
        <v>50.260661181663323</v>
      </c>
      <c r="M289" s="54">
        <f>M21/1000000*hypo!M26*GRAFS!J42/(GRAFS!J42+hypo!M26)</f>
        <v>143.30314028982292</v>
      </c>
      <c r="N289" s="54">
        <f>N21/1000000*hypo!N26*GRAFS!K42/(GRAFS!K42+hypo!N26)</f>
        <v>189.51463732084565</v>
      </c>
      <c r="O289" s="54">
        <f>O21/1000000*hypo!O26*GRAFS!L42/(GRAFS!L42+hypo!O26)</f>
        <v>87.738398100188149</v>
      </c>
      <c r="P289" s="54">
        <f>P21/1000000*hypo!P26*GRAFS!M42/(GRAFS!M42+hypo!P26)</f>
        <v>101.22119658303023</v>
      </c>
      <c r="Q289" s="54">
        <f>Q21/1000000*hypo!Q26*GRAFS!N42/(GRAFS!N42+hypo!Q26)</f>
        <v>50.466204284286484</v>
      </c>
      <c r="R289" s="54">
        <f>R21/1000000*hypo!R26*GRAFS!O42/(GRAFS!O42+hypo!R26)</f>
        <v>164.77948995052412</v>
      </c>
      <c r="S289" s="54">
        <f>S21/1000000*hypo!S26*GRAFS!P42/(GRAFS!P42+hypo!S26)</f>
        <v>117.59585357470181</v>
      </c>
      <c r="T289" s="54">
        <f>T21/1000000*hypo!T26*GRAFS!Q42/(GRAFS!Q42+hypo!T26)</f>
        <v>231.62790069498422</v>
      </c>
      <c r="U289" s="54">
        <f>U21/1000000*hypo!U26*GRAFS!R42/(GRAFS!R42+hypo!U26)</f>
        <v>291.63187340532994</v>
      </c>
      <c r="V289" s="54">
        <f>V21/1000000*hypo!V26*GRAFS!S42/(GRAFS!S42+hypo!V26)</f>
        <v>181.32916782731004</v>
      </c>
      <c r="W289" s="54">
        <f>W21/1000000*hypo!W26*GRAFS!T42/(GRAFS!T42+hypo!W26)</f>
        <v>17.303306098489127</v>
      </c>
      <c r="X289" s="54">
        <f>X21/1000000*hypo!X26*GRAFS!U42/(GRAFS!U42+hypo!X26)</f>
        <v>4.2665936859926674</v>
      </c>
      <c r="Y289" s="54">
        <f>Y21/1000000*hypo!Y26*GRAFS!V42/(GRAFS!V42+hypo!Y26)</f>
        <v>24.495017826937847</v>
      </c>
      <c r="Z289" s="54">
        <f>Z21/1000000*hypo!Z26*GRAFS!W42/(GRAFS!W42+hypo!Z26)</f>
        <v>21.27495023723953</v>
      </c>
      <c r="AA289" s="54">
        <f>AA21/1000000*hypo!AA26*GRAFS!X42/(GRAFS!X42+hypo!AA26)</f>
        <v>32.992628348583494</v>
      </c>
      <c r="AB289" s="54">
        <f>AB21/1000000*hypo!AB26*GRAFS!Y42/(GRAFS!Y42+hypo!AB26)</f>
        <v>33.580199713040031</v>
      </c>
      <c r="AC289" s="54">
        <f>AC21/1000000*hypo!AC26*GRAFS!Z42/(GRAFS!Z42+hypo!AC26)</f>
        <v>250.14165692853052</v>
      </c>
      <c r="AD289" s="54">
        <f>AD21/1000000*hypo!AD26*GRAFS!AA42/(GRAFS!AA42+hypo!AD26)</f>
        <v>10.663997249839694</v>
      </c>
      <c r="AE289" s="54">
        <f>AE21/1000000*hypo!AE26*GRAFS!AB42/(GRAFS!AB42+hypo!AE26)</f>
        <v>64.674024908672678</v>
      </c>
      <c r="AF289" s="54">
        <f>AF21/1000000*hypo!AF26*GRAFS!AC42/(GRAFS!AC42+hypo!AF26)</f>
        <v>17.784713565181757</v>
      </c>
      <c r="AG289" s="54">
        <f>AG21/1000000*hypo!AG26*GRAFS!AD42/(GRAFS!AD42+hypo!AG26)</f>
        <v>38.885649631746624</v>
      </c>
      <c r="AH289" s="54">
        <f>AH21/1000000*hypo!AH26*GRAFS!AE42/(GRAFS!AE42+hypo!AH26)</f>
        <v>17.849419531108669</v>
      </c>
      <c r="AI289" s="54">
        <f>AI21/1000000*hypo!AI26*GRAFS!AF42/(GRAFS!AF42+hypo!AI26)</f>
        <v>9.4079959428544981</v>
      </c>
      <c r="AJ289" s="54">
        <f>AJ21/1000000*hypo!AJ26*GRAFS!AG42/(GRAFS!AG42+hypo!AJ26)</f>
        <v>29.884079605056595</v>
      </c>
      <c r="AK289" s="54">
        <f>AK21/1000000*hypo!AK26*GRAFS!AH42/(GRAFS!AH42+hypo!AK26)</f>
        <v>10.114291145021189</v>
      </c>
      <c r="AL289" s="54">
        <f>AL21/1000000*hypo!AL26*GRAFS!AI42/(GRAFS!AI42+hypo!AL26)</f>
        <v>4.852465155316704</v>
      </c>
      <c r="AM289" s="384">
        <f>SUM(F289:AL289)</f>
        <v>2793.2665321404515</v>
      </c>
    </row>
    <row r="290" spans="1:39" x14ac:dyDescent="0.2">
      <c r="A290" s="8"/>
      <c r="B290" s="52" t="s">
        <v>171</v>
      </c>
      <c r="C290" s="53" t="s">
        <v>66</v>
      </c>
      <c r="D290" s="8"/>
      <c r="E290" s="54"/>
      <c r="F290" s="54"/>
      <c r="G290" s="54"/>
      <c r="H290" s="54"/>
      <c r="I290" s="54"/>
      <c r="J290" s="54"/>
      <c r="K290" s="54"/>
      <c r="L290" s="54"/>
      <c r="M290" s="54"/>
      <c r="N290" s="54"/>
      <c r="O290" s="54"/>
      <c r="P290" s="54"/>
      <c r="Q290" s="54"/>
      <c r="R290" s="54"/>
      <c r="S290" s="54"/>
      <c r="T290" s="54"/>
      <c r="U290" s="54"/>
      <c r="V290" s="54"/>
      <c r="W290" s="54"/>
      <c r="X290" s="54"/>
      <c r="Y290" s="54"/>
      <c r="Z290" s="54"/>
      <c r="AA290" s="54"/>
      <c r="AB290" s="54"/>
      <c r="AC290" s="54"/>
      <c r="AD290" s="54"/>
      <c r="AE290" s="54"/>
      <c r="AF290" s="54"/>
      <c r="AG290" s="54"/>
      <c r="AH290" s="54"/>
      <c r="AI290" s="54"/>
      <c r="AJ290" s="54"/>
      <c r="AK290" s="54"/>
      <c r="AL290" s="54"/>
      <c r="AM290" s="384">
        <f>SUM(F290:AL290)</f>
        <v>0</v>
      </c>
    </row>
    <row r="291" spans="1:39" x14ac:dyDescent="0.2">
      <c r="A291" s="8"/>
      <c r="B291" s="52" t="s">
        <v>172</v>
      </c>
      <c r="C291" s="53" t="s">
        <v>66</v>
      </c>
      <c r="D291" s="8"/>
      <c r="E291" s="54"/>
      <c r="F291" s="54"/>
      <c r="G291" s="54"/>
      <c r="H291" s="54"/>
      <c r="I291" s="54"/>
      <c r="J291" s="54"/>
      <c r="K291" s="54"/>
      <c r="L291" s="54"/>
      <c r="M291" s="54"/>
      <c r="N291" s="54"/>
      <c r="O291" s="54"/>
      <c r="P291" s="54"/>
      <c r="Q291" s="54"/>
      <c r="R291" s="54"/>
      <c r="S291" s="54"/>
      <c r="T291" s="54"/>
      <c r="U291" s="54"/>
      <c r="V291" s="54"/>
      <c r="W291" s="54"/>
      <c r="X291" s="54"/>
      <c r="Y291" s="54"/>
      <c r="Z291" s="54"/>
      <c r="AA291" s="54"/>
      <c r="AB291" s="54"/>
      <c r="AC291" s="54"/>
      <c r="AD291" s="54"/>
      <c r="AE291" s="54"/>
      <c r="AF291" s="54"/>
      <c r="AG291" s="54"/>
      <c r="AH291" s="54"/>
      <c r="AI291" s="54"/>
      <c r="AJ291" s="54"/>
      <c r="AK291" s="54"/>
      <c r="AL291" s="54"/>
      <c r="AM291" s="384">
        <f>SUM(F291:AL291)</f>
        <v>0</v>
      </c>
    </row>
    <row r="292" spans="1:39" x14ac:dyDescent="0.2">
      <c r="A292" s="8"/>
      <c r="B292" s="187" t="s">
        <v>173</v>
      </c>
      <c r="C292" s="53" t="s">
        <v>66</v>
      </c>
      <c r="D292" s="21"/>
      <c r="E292" s="54"/>
      <c r="F292" s="54">
        <f>F20/1000000*hypo!F70*GRAFS!C56/(GRAFS!C56+hypo!F70)</f>
        <v>0</v>
      </c>
      <c r="G292" s="54">
        <f>G20/1000000*hypo!G70*GRAFS!D56/(GRAFS!D56+hypo!G70)</f>
        <v>3.2367035264731864E-10</v>
      </c>
      <c r="H292" s="54">
        <f>H20/1000000*hypo!H70*GRAFS!E56/(GRAFS!E56+hypo!H70)</f>
        <v>0</v>
      </c>
      <c r="I292" s="54">
        <f>I20/1000000*hypo!I70*GRAFS!F56/(GRAFS!F56+hypo!I70)</f>
        <v>0</v>
      </c>
      <c r="J292" s="54">
        <f>J20/1000000*hypo!J70*GRAFS!G56/(GRAFS!G56+hypo!J70)</f>
        <v>38.884184678604967</v>
      </c>
      <c r="K292" s="54">
        <f>K20/1000000*hypo!K70*GRAFS!H56/(GRAFS!H56+hypo!K70)</f>
        <v>19.301573652818742</v>
      </c>
      <c r="L292" s="54">
        <f>L20/1000000*hypo!L70*GRAFS!I56/(GRAFS!I56+hypo!L70)</f>
        <v>26.449853514067403</v>
      </c>
      <c r="M292" s="54">
        <f>M20/1000000*hypo!M70*GRAFS!J56/(GRAFS!J56+hypo!M70)</f>
        <v>0</v>
      </c>
      <c r="N292" s="54">
        <f>N20/1000000*hypo!N70*GRAFS!K56/(GRAFS!K56+hypo!N70)</f>
        <v>0</v>
      </c>
      <c r="O292" s="54">
        <f>O20/1000000*hypo!O70*GRAFS!L56/(GRAFS!L56+hypo!O70)</f>
        <v>0</v>
      </c>
      <c r="P292" s="54">
        <f>P20/1000000*hypo!P70*GRAFS!M56/(GRAFS!M56+hypo!P70)</f>
        <v>82.912796997738099</v>
      </c>
      <c r="Q292" s="54">
        <f>Q20/1000000*hypo!Q70*GRAFS!N56/(GRAFS!N56+hypo!Q70)</f>
        <v>0</v>
      </c>
      <c r="R292" s="54">
        <f>R20/1000000*hypo!R70*GRAFS!O56/(GRAFS!O56+hypo!R70)</f>
        <v>18.626453963117243</v>
      </c>
      <c r="S292" s="54">
        <f>S20/1000000*hypo!S70*GRAFS!P56/(GRAFS!P56+hypo!S70)</f>
        <v>31.9869792115094</v>
      </c>
      <c r="T292" s="54">
        <f>T20/1000000*hypo!T70*GRAFS!Q56/(GRAFS!Q56+hypo!T70)</f>
        <v>50.869733267391481</v>
      </c>
      <c r="U292" s="54">
        <f>U20/1000000*hypo!U70*GRAFS!R56/(GRAFS!R56+hypo!U70)</f>
        <v>0</v>
      </c>
      <c r="V292" s="54">
        <f>V20/1000000*hypo!V70*GRAFS!S56/(GRAFS!S56+hypo!V70)</f>
        <v>222.74660815185217</v>
      </c>
      <c r="W292" s="54">
        <f>W20/1000000*hypo!W70*GRAFS!T56/(GRAFS!T56+hypo!W70)</f>
        <v>39.587517470531139</v>
      </c>
      <c r="X292" s="54">
        <f>X20/1000000*hypo!X70*GRAFS!U56/(GRAFS!U56+hypo!X70)</f>
        <v>20.364117371247431</v>
      </c>
      <c r="Y292" s="54">
        <f>Y20/1000000*hypo!Y70*GRAFS!V56/(GRAFS!V56+hypo!Y70)</f>
        <v>26.405324357872949</v>
      </c>
      <c r="Z292" s="54">
        <f>Z20/1000000*hypo!Z70*GRAFS!W56/(GRAFS!W56+hypo!Z70)</f>
        <v>20.31379802864582</v>
      </c>
      <c r="AA292" s="54">
        <f>AA20/1000000*hypo!AA70*GRAFS!X56/(GRAFS!X56+hypo!AA70)</f>
        <v>25.143429303411143</v>
      </c>
      <c r="AB292" s="54">
        <f>AB20/1000000*hypo!AB70*GRAFS!Y56/(GRAFS!Y56+hypo!AB70)</f>
        <v>35.805931425163095</v>
      </c>
      <c r="AC292" s="54">
        <f>AC20/1000000*hypo!AC70*GRAFS!Z56/(GRAFS!Z56+hypo!AC70)</f>
        <v>48.691157390726929</v>
      </c>
      <c r="AD292" s="54">
        <f>AD20/1000000*hypo!AD70*GRAFS!AA56/(GRAFS!AA56+hypo!AD70)</f>
        <v>0</v>
      </c>
      <c r="AE292" s="54">
        <f>AE20/1000000*hypo!AE70*GRAFS!AB56/(GRAFS!AB56+hypo!AE70)</f>
        <v>28.016687212317759</v>
      </c>
      <c r="AF292" s="54">
        <f>AF20/1000000*hypo!AF70*GRAFS!AC56/(GRAFS!AC56+hypo!AF70)</f>
        <v>0</v>
      </c>
      <c r="AG292" s="54">
        <f>AG20/1000000*hypo!AG70*GRAFS!AD56/(GRAFS!AD56+hypo!AG70)</f>
        <v>26.838748836470003</v>
      </c>
      <c r="AH292" s="54">
        <f>AH20/1000000*hypo!AH70*GRAFS!AE56/(GRAFS!AE56+hypo!AH70)</f>
        <v>51.559978887073513</v>
      </c>
      <c r="AI292" s="54">
        <f>AI20/1000000*hypo!AI70*GRAFS!AF56/(GRAFS!AF56+hypo!AI70)</f>
        <v>0</v>
      </c>
      <c r="AJ292" s="54">
        <f>AJ20/1000000*hypo!AJ70*GRAFS!AG56/(GRAFS!AG56+hypo!AJ70)</f>
        <v>0</v>
      </c>
      <c r="AK292" s="54">
        <f>AK20/1000000*hypo!AK70*GRAFS!AH56/(GRAFS!AH56+hypo!AK70)</f>
        <v>0</v>
      </c>
      <c r="AL292" s="54">
        <f>AL20/1000000*hypo!AL70*GRAFS!AI56/(GRAFS!AI56+hypo!AL70)</f>
        <v>0</v>
      </c>
      <c r="AM292" s="384">
        <f>SUM(F292:AL292)</f>
        <v>814.50487372088287</v>
      </c>
    </row>
    <row r="293" spans="1:39" x14ac:dyDescent="0.2">
      <c r="A293" s="8"/>
      <c r="B293" s="187" t="s">
        <v>985</v>
      </c>
      <c r="C293" s="316" t="s">
        <v>66</v>
      </c>
      <c r="D293" s="21"/>
      <c r="E293" s="54"/>
      <c r="F293" s="54">
        <f t="shared" ref="F293:AL293" si="17">F128*F251/100+F129*F252/100+F130*F253/100+F131*F254/100+F132*F255/100+F133*F256/100+F134*F257/100</f>
        <v>68.290743820776697</v>
      </c>
      <c r="G293" s="54">
        <f t="shared" si="17"/>
        <v>42.969960252497273</v>
      </c>
      <c r="H293" s="54">
        <f t="shared" si="17"/>
        <v>36.568233898518827</v>
      </c>
      <c r="I293" s="54">
        <f t="shared" si="17"/>
        <v>150.00941850191083</v>
      </c>
      <c r="J293" s="54">
        <f t="shared" si="17"/>
        <v>51.791931043090081</v>
      </c>
      <c r="K293" s="54">
        <f t="shared" si="17"/>
        <v>19.481553214612422</v>
      </c>
      <c r="L293" s="54">
        <f t="shared" si="17"/>
        <v>12.78088064250187</v>
      </c>
      <c r="M293" s="54">
        <f t="shared" si="17"/>
        <v>80.849440933691611</v>
      </c>
      <c r="N293" s="54">
        <f t="shared" si="17"/>
        <v>112.54331555267922</v>
      </c>
      <c r="O293" s="54">
        <f t="shared" si="17"/>
        <v>52.715467469776122</v>
      </c>
      <c r="P293" s="54">
        <f t="shared" si="17"/>
        <v>60.760168945725511</v>
      </c>
      <c r="Q293" s="54">
        <f t="shared" si="17"/>
        <v>41.032090831820121</v>
      </c>
      <c r="R293" s="54">
        <f t="shared" si="17"/>
        <v>66.52642485146491</v>
      </c>
      <c r="S293" s="54">
        <f t="shared" si="17"/>
        <v>65.184473699815626</v>
      </c>
      <c r="T293" s="54">
        <f t="shared" si="17"/>
        <v>100.85557568273654</v>
      </c>
      <c r="U293" s="54">
        <f t="shared" si="17"/>
        <v>195.97607598891909</v>
      </c>
      <c r="V293" s="54">
        <f t="shared" si="17"/>
        <v>80.465908108208595</v>
      </c>
      <c r="W293" s="54">
        <f t="shared" si="17"/>
        <v>8.3231601664143042</v>
      </c>
      <c r="X293" s="54">
        <f t="shared" si="17"/>
        <v>1.7797038772630251</v>
      </c>
      <c r="Y293" s="54">
        <f t="shared" si="17"/>
        <v>14.957057801927617</v>
      </c>
      <c r="Z293" s="54">
        <f t="shared" si="17"/>
        <v>6.599020847530948</v>
      </c>
      <c r="AA293" s="54">
        <f t="shared" si="17"/>
        <v>19.890950191342</v>
      </c>
      <c r="AB293" s="54">
        <f t="shared" si="17"/>
        <v>6.3141853126602916</v>
      </c>
      <c r="AC293" s="54">
        <f t="shared" si="17"/>
        <v>152.05294575616091</v>
      </c>
      <c r="AD293" s="54">
        <f t="shared" si="17"/>
        <v>7.9808852630902445</v>
      </c>
      <c r="AE293" s="54">
        <f t="shared" si="17"/>
        <v>36.629308146841616</v>
      </c>
      <c r="AF293" s="54">
        <f t="shared" si="17"/>
        <v>15.339690168744136</v>
      </c>
      <c r="AG293" s="54">
        <f t="shared" si="17"/>
        <v>16.026449912419938</v>
      </c>
      <c r="AH293" s="54">
        <f t="shared" si="17"/>
        <v>3.328900559275215</v>
      </c>
      <c r="AI293" s="54">
        <f t="shared" si="17"/>
        <v>5.3603520675347216</v>
      </c>
      <c r="AJ293" s="54">
        <f t="shared" si="17"/>
        <v>14.834920966372483</v>
      </c>
      <c r="AK293" s="54">
        <f t="shared" si="17"/>
        <v>6.6378411660250434</v>
      </c>
      <c r="AL293" s="54">
        <f t="shared" si="17"/>
        <v>0.8776447706745486</v>
      </c>
      <c r="AM293" s="384"/>
    </row>
    <row r="294" spans="1:39" x14ac:dyDescent="0.2">
      <c r="A294" s="8"/>
      <c r="B294" s="187" t="s">
        <v>986</v>
      </c>
      <c r="C294" s="316" t="s">
        <v>66</v>
      </c>
      <c r="D294" s="21"/>
      <c r="E294" s="54"/>
      <c r="F294" s="25">
        <f t="shared" ref="F294:AL294" si="18">F291+F135*F258/100+F136*F259/100+F137*F260/100+F138*F261/100+F139*F262/100+F159*F282/100+F160*F283/100+F162*F285/100</f>
        <v>13.583499622549406</v>
      </c>
      <c r="G294" s="25">
        <f t="shared" si="18"/>
        <v>18.083549302535527</v>
      </c>
      <c r="H294" s="25">
        <f t="shared" si="18"/>
        <v>10.685544393965611</v>
      </c>
      <c r="I294" s="25">
        <f t="shared" si="18"/>
        <v>34.039664026085298</v>
      </c>
      <c r="J294" s="25">
        <f t="shared" si="18"/>
        <v>41.924925363329521</v>
      </c>
      <c r="K294" s="25">
        <f t="shared" si="18"/>
        <v>10.524477065063831</v>
      </c>
      <c r="L294" s="25">
        <f t="shared" si="18"/>
        <v>36.294582653022765</v>
      </c>
      <c r="M294" s="25">
        <f t="shared" si="18"/>
        <v>34.451598666731954</v>
      </c>
      <c r="N294" s="25">
        <f t="shared" si="18"/>
        <v>33.033960148651595</v>
      </c>
      <c r="O294" s="25">
        <f t="shared" si="18"/>
        <v>30.366559575402018</v>
      </c>
      <c r="P294" s="25">
        <f t="shared" si="18"/>
        <v>37.50995757584522</v>
      </c>
      <c r="Q294" s="25">
        <f t="shared" si="18"/>
        <v>6.8686614031441486</v>
      </c>
      <c r="R294" s="25">
        <f t="shared" si="18"/>
        <v>93.340148992588752</v>
      </c>
      <c r="S294" s="25">
        <f t="shared" si="18"/>
        <v>46.782560539954858</v>
      </c>
      <c r="T294" s="25">
        <f t="shared" si="18"/>
        <v>122.40701458900705</v>
      </c>
      <c r="U294" s="25">
        <f t="shared" si="18"/>
        <v>80.400739608644429</v>
      </c>
      <c r="V294" s="25">
        <f t="shared" si="18"/>
        <v>92.149312559339862</v>
      </c>
      <c r="W294" s="25">
        <f t="shared" si="18"/>
        <v>8.4076859554737258</v>
      </c>
      <c r="X294" s="25">
        <f t="shared" si="18"/>
        <v>2.1489375222966447</v>
      </c>
      <c r="Y294" s="25">
        <f t="shared" si="18"/>
        <v>8.43822707582944</v>
      </c>
      <c r="Z294" s="25">
        <f t="shared" si="18"/>
        <v>6.0936002086882111</v>
      </c>
      <c r="AA294" s="25">
        <f t="shared" si="18"/>
        <v>7.6280139174152763</v>
      </c>
      <c r="AB294" s="25">
        <f t="shared" si="18"/>
        <v>24.344944698380857</v>
      </c>
      <c r="AC294" s="25">
        <f t="shared" si="18"/>
        <v>76.2948454106035</v>
      </c>
      <c r="AD294" s="25">
        <f t="shared" si="18"/>
        <v>2.0433823944479781</v>
      </c>
      <c r="AE294" s="25">
        <f t="shared" si="18"/>
        <v>26.78527844914224</v>
      </c>
      <c r="AF294" s="25">
        <f t="shared" si="18"/>
        <v>2.1447881801931548</v>
      </c>
      <c r="AG294" s="25">
        <f t="shared" si="18"/>
        <v>18.539479329532693</v>
      </c>
      <c r="AH294" s="25">
        <f t="shared" si="18"/>
        <v>13.990187273211667</v>
      </c>
      <c r="AI294" s="25">
        <f t="shared" si="18"/>
        <v>1.01428807010128</v>
      </c>
      <c r="AJ294" s="25">
        <f t="shared" si="18"/>
        <v>3.6818279758525887</v>
      </c>
      <c r="AK294" s="25">
        <f t="shared" si="18"/>
        <v>1.2897034159900178</v>
      </c>
      <c r="AL294" s="25">
        <f t="shared" si="18"/>
        <v>0.50009537541600935</v>
      </c>
      <c r="AM294" s="384"/>
    </row>
    <row r="295" spans="1:39" x14ac:dyDescent="0.2">
      <c r="A295" s="8"/>
      <c r="B295" s="187"/>
      <c r="C295" s="316"/>
      <c r="D295" s="21"/>
      <c r="E295" s="54"/>
      <c r="F295" s="54"/>
      <c r="G295" s="54"/>
      <c r="H295" s="54"/>
      <c r="I295" s="54"/>
      <c r="J295" s="54"/>
      <c r="K295" s="54"/>
      <c r="L295" s="54"/>
      <c r="M295" s="54"/>
      <c r="N295" s="54"/>
      <c r="O295" s="54"/>
      <c r="P295" s="54"/>
      <c r="Q295" s="54"/>
      <c r="R295" s="54"/>
      <c r="S295" s="54"/>
      <c r="T295" s="54"/>
      <c r="U295" s="54"/>
      <c r="V295" s="54"/>
      <c r="W295" s="54"/>
      <c r="X295" s="54"/>
      <c r="Y295" s="54"/>
      <c r="Z295" s="54"/>
      <c r="AA295" s="54"/>
      <c r="AB295" s="54"/>
      <c r="AC295" s="54"/>
      <c r="AD295" s="54"/>
      <c r="AE295" s="54"/>
      <c r="AF295" s="54"/>
      <c r="AG295" s="54"/>
      <c r="AH295" s="54"/>
      <c r="AI295" s="54"/>
      <c r="AJ295" s="54"/>
      <c r="AK295" s="54"/>
      <c r="AL295" s="54"/>
      <c r="AM295" s="383"/>
    </row>
    <row r="296" spans="1:39" x14ac:dyDescent="0.2">
      <c r="A296" s="8"/>
      <c r="B296" s="99" t="s">
        <v>830</v>
      </c>
      <c r="C296" s="98"/>
      <c r="D296" s="93"/>
      <c r="E296" s="115"/>
      <c r="F296" s="93"/>
      <c r="G296" s="93"/>
      <c r="H296" s="93"/>
      <c r="I296" s="93"/>
      <c r="J296" s="93"/>
      <c r="K296" s="93"/>
      <c r="L296" s="93"/>
      <c r="M296" s="93"/>
      <c r="N296" s="93"/>
      <c r="O296" s="93"/>
      <c r="P296" s="93"/>
      <c r="Q296" s="93"/>
      <c r="R296" s="93"/>
      <c r="S296" s="93"/>
      <c r="T296" s="93"/>
      <c r="U296" s="93"/>
      <c r="V296" s="93"/>
      <c r="W296" s="93"/>
      <c r="X296" s="93"/>
      <c r="Y296" s="93"/>
      <c r="Z296" s="93"/>
      <c r="AA296" s="93"/>
      <c r="AB296" s="93"/>
      <c r="AC296" s="93"/>
      <c r="AD296" s="93"/>
      <c r="AE296" s="93"/>
      <c r="AF296" s="93"/>
      <c r="AG296" s="93"/>
      <c r="AH296" s="93"/>
      <c r="AI296" s="93"/>
      <c r="AJ296" s="93"/>
      <c r="AK296" s="93"/>
      <c r="AL296" s="93"/>
      <c r="AM296" s="107"/>
    </row>
    <row r="297" spans="1:39" x14ac:dyDescent="0.2">
      <c r="A297" s="8"/>
      <c r="B297" s="109" t="s">
        <v>86</v>
      </c>
      <c r="C297" s="108" t="s">
        <v>63</v>
      </c>
      <c r="D297" s="95" t="s">
        <v>1122</v>
      </c>
      <c r="E297" s="102"/>
      <c r="F297" s="114">
        <v>15</v>
      </c>
      <c r="G297" s="114">
        <v>15</v>
      </c>
      <c r="H297" s="114">
        <v>15</v>
      </c>
      <c r="I297" s="114">
        <v>15</v>
      </c>
      <c r="J297" s="114">
        <v>15</v>
      </c>
      <c r="K297" s="114">
        <v>15</v>
      </c>
      <c r="L297" s="114">
        <v>15</v>
      </c>
      <c r="M297" s="114">
        <v>15</v>
      </c>
      <c r="N297" s="114">
        <v>15</v>
      </c>
      <c r="O297" s="114">
        <v>15</v>
      </c>
      <c r="P297" s="114">
        <v>15</v>
      </c>
      <c r="Q297" s="114">
        <v>15</v>
      </c>
      <c r="R297" s="114">
        <v>15</v>
      </c>
      <c r="S297" s="114">
        <v>15</v>
      </c>
      <c r="T297" s="114">
        <v>15</v>
      </c>
      <c r="U297" s="114">
        <v>15</v>
      </c>
      <c r="V297" s="114">
        <v>15</v>
      </c>
      <c r="W297" s="114">
        <v>15</v>
      </c>
      <c r="X297" s="114">
        <v>15</v>
      </c>
      <c r="Y297" s="114">
        <v>15</v>
      </c>
      <c r="Z297" s="114">
        <v>15</v>
      </c>
      <c r="AA297" s="114">
        <v>15</v>
      </c>
      <c r="AB297" s="114">
        <v>15</v>
      </c>
      <c r="AC297" s="114">
        <v>15</v>
      </c>
      <c r="AD297" s="114">
        <v>15</v>
      </c>
      <c r="AE297" s="114">
        <v>15</v>
      </c>
      <c r="AF297" s="114">
        <v>15</v>
      </c>
      <c r="AG297" s="114">
        <v>15</v>
      </c>
      <c r="AH297" s="114">
        <v>15</v>
      </c>
      <c r="AI297" s="114">
        <v>15</v>
      </c>
      <c r="AJ297" s="114">
        <v>15</v>
      </c>
      <c r="AK297" s="114">
        <v>15</v>
      </c>
      <c r="AL297" s="114">
        <v>15</v>
      </c>
      <c r="AM297" s="114">
        <v>15</v>
      </c>
    </row>
    <row r="298" spans="1:39" x14ac:dyDescent="0.2">
      <c r="A298" s="8"/>
      <c r="B298" s="109" t="s">
        <v>88</v>
      </c>
      <c r="C298" s="108" t="s">
        <v>63</v>
      </c>
      <c r="D298" s="95" t="s">
        <v>1122</v>
      </c>
      <c r="E298" s="102"/>
      <c r="F298" s="114">
        <v>15</v>
      </c>
      <c r="G298" s="114">
        <v>15</v>
      </c>
      <c r="H298" s="114">
        <v>15</v>
      </c>
      <c r="I298" s="114">
        <v>15</v>
      </c>
      <c r="J298" s="114">
        <v>15</v>
      </c>
      <c r="K298" s="114">
        <v>15</v>
      </c>
      <c r="L298" s="114">
        <v>15</v>
      </c>
      <c r="M298" s="114">
        <v>15</v>
      </c>
      <c r="N298" s="114">
        <v>15</v>
      </c>
      <c r="O298" s="114">
        <v>15</v>
      </c>
      <c r="P298" s="114">
        <v>15</v>
      </c>
      <c r="Q298" s="114">
        <v>15</v>
      </c>
      <c r="R298" s="114">
        <v>15</v>
      </c>
      <c r="S298" s="114">
        <v>15</v>
      </c>
      <c r="T298" s="114">
        <v>15</v>
      </c>
      <c r="U298" s="114">
        <v>15</v>
      </c>
      <c r="V298" s="114">
        <v>15</v>
      </c>
      <c r="W298" s="114">
        <v>15</v>
      </c>
      <c r="X298" s="114">
        <v>15</v>
      </c>
      <c r="Y298" s="114">
        <v>15</v>
      </c>
      <c r="Z298" s="114">
        <v>15</v>
      </c>
      <c r="AA298" s="114">
        <v>15</v>
      </c>
      <c r="AB298" s="114">
        <v>15</v>
      </c>
      <c r="AC298" s="114">
        <v>15</v>
      </c>
      <c r="AD298" s="114">
        <v>15</v>
      </c>
      <c r="AE298" s="114">
        <v>15</v>
      </c>
      <c r="AF298" s="114">
        <v>15</v>
      </c>
      <c r="AG298" s="114">
        <v>15</v>
      </c>
      <c r="AH298" s="114">
        <v>15</v>
      </c>
      <c r="AI298" s="114">
        <v>15</v>
      </c>
      <c r="AJ298" s="114">
        <v>15</v>
      </c>
      <c r="AK298" s="114">
        <v>15</v>
      </c>
      <c r="AL298" s="114">
        <v>15</v>
      </c>
      <c r="AM298" s="114">
        <v>15</v>
      </c>
    </row>
    <row r="299" spans="1:39" x14ac:dyDescent="0.2">
      <c r="A299" s="8"/>
      <c r="B299" s="109" t="s">
        <v>89</v>
      </c>
      <c r="C299" s="108" t="s">
        <v>63</v>
      </c>
      <c r="D299" s="95" t="s">
        <v>1122</v>
      </c>
      <c r="E299" s="102"/>
      <c r="F299" s="114">
        <v>15</v>
      </c>
      <c r="G299" s="114">
        <v>15</v>
      </c>
      <c r="H299" s="114">
        <v>15</v>
      </c>
      <c r="I299" s="114">
        <v>15</v>
      </c>
      <c r="J299" s="114">
        <v>15</v>
      </c>
      <c r="K299" s="114">
        <v>15</v>
      </c>
      <c r="L299" s="114">
        <v>15</v>
      </c>
      <c r="M299" s="114">
        <v>15</v>
      </c>
      <c r="N299" s="114">
        <v>15</v>
      </c>
      <c r="O299" s="114">
        <v>15</v>
      </c>
      <c r="P299" s="114">
        <v>15</v>
      </c>
      <c r="Q299" s="114">
        <v>15</v>
      </c>
      <c r="R299" s="114">
        <v>15</v>
      </c>
      <c r="S299" s="114">
        <v>15</v>
      </c>
      <c r="T299" s="114">
        <v>15</v>
      </c>
      <c r="U299" s="114">
        <v>15</v>
      </c>
      <c r="V299" s="114">
        <v>15</v>
      </c>
      <c r="W299" s="114">
        <v>15</v>
      </c>
      <c r="X299" s="114">
        <v>15</v>
      </c>
      <c r="Y299" s="114">
        <v>15</v>
      </c>
      <c r="Z299" s="114">
        <v>15</v>
      </c>
      <c r="AA299" s="114">
        <v>15</v>
      </c>
      <c r="AB299" s="114">
        <v>15</v>
      </c>
      <c r="AC299" s="114">
        <v>15</v>
      </c>
      <c r="AD299" s="114">
        <v>15</v>
      </c>
      <c r="AE299" s="114">
        <v>15</v>
      </c>
      <c r="AF299" s="114">
        <v>15</v>
      </c>
      <c r="AG299" s="114">
        <v>15</v>
      </c>
      <c r="AH299" s="114">
        <v>15</v>
      </c>
      <c r="AI299" s="114">
        <v>15</v>
      </c>
      <c r="AJ299" s="114">
        <v>15</v>
      </c>
      <c r="AK299" s="114">
        <v>15</v>
      </c>
      <c r="AL299" s="114">
        <v>15</v>
      </c>
      <c r="AM299" s="114">
        <v>15</v>
      </c>
    </row>
    <row r="300" spans="1:39" x14ac:dyDescent="0.2">
      <c r="A300" s="8"/>
      <c r="B300" s="109" t="s">
        <v>90</v>
      </c>
      <c r="C300" s="108" t="s">
        <v>63</v>
      </c>
      <c r="D300" s="95" t="s">
        <v>1122</v>
      </c>
      <c r="E300" s="102"/>
      <c r="F300" s="114">
        <v>15</v>
      </c>
      <c r="G300" s="114">
        <v>15</v>
      </c>
      <c r="H300" s="114">
        <v>15</v>
      </c>
      <c r="I300" s="114">
        <v>15</v>
      </c>
      <c r="J300" s="114">
        <v>15</v>
      </c>
      <c r="K300" s="114">
        <v>15</v>
      </c>
      <c r="L300" s="114">
        <v>15</v>
      </c>
      <c r="M300" s="114">
        <v>15</v>
      </c>
      <c r="N300" s="114">
        <v>15</v>
      </c>
      <c r="O300" s="114">
        <v>15</v>
      </c>
      <c r="P300" s="114">
        <v>15</v>
      </c>
      <c r="Q300" s="114">
        <v>15</v>
      </c>
      <c r="R300" s="114">
        <v>15</v>
      </c>
      <c r="S300" s="114">
        <v>15</v>
      </c>
      <c r="T300" s="114">
        <v>15</v>
      </c>
      <c r="U300" s="114">
        <v>15</v>
      </c>
      <c r="V300" s="114">
        <v>15</v>
      </c>
      <c r="W300" s="114">
        <v>15</v>
      </c>
      <c r="X300" s="114">
        <v>15</v>
      </c>
      <c r="Y300" s="114">
        <v>15</v>
      </c>
      <c r="Z300" s="114">
        <v>15</v>
      </c>
      <c r="AA300" s="114">
        <v>15</v>
      </c>
      <c r="AB300" s="114">
        <v>15</v>
      </c>
      <c r="AC300" s="114">
        <v>15</v>
      </c>
      <c r="AD300" s="114">
        <v>15</v>
      </c>
      <c r="AE300" s="114">
        <v>15</v>
      </c>
      <c r="AF300" s="114">
        <v>15</v>
      </c>
      <c r="AG300" s="114">
        <v>15</v>
      </c>
      <c r="AH300" s="114">
        <v>15</v>
      </c>
      <c r="AI300" s="114">
        <v>15</v>
      </c>
      <c r="AJ300" s="114">
        <v>15</v>
      </c>
      <c r="AK300" s="114">
        <v>15</v>
      </c>
      <c r="AL300" s="114">
        <v>15</v>
      </c>
      <c r="AM300" s="114">
        <v>15</v>
      </c>
    </row>
    <row r="301" spans="1:39" x14ac:dyDescent="0.2">
      <c r="A301" s="8"/>
      <c r="B301" s="109" t="s">
        <v>91</v>
      </c>
      <c r="C301" s="108" t="s">
        <v>63</v>
      </c>
      <c r="D301" s="95" t="s">
        <v>1122</v>
      </c>
      <c r="E301" s="102"/>
      <c r="F301" s="114">
        <v>15</v>
      </c>
      <c r="G301" s="114">
        <v>15</v>
      </c>
      <c r="H301" s="114">
        <v>15</v>
      </c>
      <c r="I301" s="114">
        <v>15</v>
      </c>
      <c r="J301" s="114">
        <v>15</v>
      </c>
      <c r="K301" s="114">
        <v>15</v>
      </c>
      <c r="L301" s="114">
        <v>15</v>
      </c>
      <c r="M301" s="114">
        <v>15</v>
      </c>
      <c r="N301" s="114">
        <v>15</v>
      </c>
      <c r="O301" s="114">
        <v>15</v>
      </c>
      <c r="P301" s="114">
        <v>15</v>
      </c>
      <c r="Q301" s="114">
        <v>15</v>
      </c>
      <c r="R301" s="114">
        <v>15</v>
      </c>
      <c r="S301" s="114">
        <v>15</v>
      </c>
      <c r="T301" s="114">
        <v>15</v>
      </c>
      <c r="U301" s="114">
        <v>15</v>
      </c>
      <c r="V301" s="114">
        <v>15</v>
      </c>
      <c r="W301" s="114">
        <v>15</v>
      </c>
      <c r="X301" s="114">
        <v>15</v>
      </c>
      <c r="Y301" s="114">
        <v>15</v>
      </c>
      <c r="Z301" s="114">
        <v>15</v>
      </c>
      <c r="AA301" s="114">
        <v>15</v>
      </c>
      <c r="AB301" s="114">
        <v>15</v>
      </c>
      <c r="AC301" s="114">
        <v>15</v>
      </c>
      <c r="AD301" s="114">
        <v>15</v>
      </c>
      <c r="AE301" s="114">
        <v>15</v>
      </c>
      <c r="AF301" s="114">
        <v>15</v>
      </c>
      <c r="AG301" s="114">
        <v>15</v>
      </c>
      <c r="AH301" s="114">
        <v>15</v>
      </c>
      <c r="AI301" s="114">
        <v>15</v>
      </c>
      <c r="AJ301" s="114">
        <v>15</v>
      </c>
      <c r="AK301" s="114">
        <v>15</v>
      </c>
      <c r="AL301" s="114">
        <v>15</v>
      </c>
      <c r="AM301" s="114">
        <v>15</v>
      </c>
    </row>
    <row r="302" spans="1:39" x14ac:dyDescent="0.2">
      <c r="A302" s="8"/>
      <c r="B302" s="109" t="s">
        <v>92</v>
      </c>
      <c r="C302" s="108" t="s">
        <v>63</v>
      </c>
      <c r="D302" s="95" t="s">
        <v>1122</v>
      </c>
      <c r="E302" s="102"/>
      <c r="F302" s="114">
        <v>15</v>
      </c>
      <c r="G302" s="114">
        <v>15</v>
      </c>
      <c r="H302" s="114">
        <v>15</v>
      </c>
      <c r="I302" s="114">
        <v>15</v>
      </c>
      <c r="J302" s="114">
        <v>15</v>
      </c>
      <c r="K302" s="114">
        <v>15</v>
      </c>
      <c r="L302" s="114">
        <v>15</v>
      </c>
      <c r="M302" s="114">
        <v>15</v>
      </c>
      <c r="N302" s="114">
        <v>15</v>
      </c>
      <c r="O302" s="114">
        <v>15</v>
      </c>
      <c r="P302" s="114">
        <v>15</v>
      </c>
      <c r="Q302" s="114">
        <v>15</v>
      </c>
      <c r="R302" s="114">
        <v>15</v>
      </c>
      <c r="S302" s="114">
        <v>15</v>
      </c>
      <c r="T302" s="114">
        <v>15</v>
      </c>
      <c r="U302" s="114">
        <v>15</v>
      </c>
      <c r="V302" s="114">
        <v>15</v>
      </c>
      <c r="W302" s="114">
        <v>15</v>
      </c>
      <c r="X302" s="114">
        <v>15</v>
      </c>
      <c r="Y302" s="114">
        <v>15</v>
      </c>
      <c r="Z302" s="114">
        <v>15</v>
      </c>
      <c r="AA302" s="114">
        <v>15</v>
      </c>
      <c r="AB302" s="114">
        <v>15</v>
      </c>
      <c r="AC302" s="114">
        <v>15</v>
      </c>
      <c r="AD302" s="114">
        <v>15</v>
      </c>
      <c r="AE302" s="114">
        <v>15</v>
      </c>
      <c r="AF302" s="114">
        <v>15</v>
      </c>
      <c r="AG302" s="114">
        <v>15</v>
      </c>
      <c r="AH302" s="114">
        <v>15</v>
      </c>
      <c r="AI302" s="114">
        <v>15</v>
      </c>
      <c r="AJ302" s="114">
        <v>15</v>
      </c>
      <c r="AK302" s="114">
        <v>15</v>
      </c>
      <c r="AL302" s="114">
        <v>15</v>
      </c>
      <c r="AM302" s="114">
        <v>15</v>
      </c>
    </row>
    <row r="303" spans="1:39" x14ac:dyDescent="0.2">
      <c r="A303" s="8"/>
      <c r="B303" s="109" t="s">
        <v>93</v>
      </c>
      <c r="C303" s="108" t="s">
        <v>63</v>
      </c>
      <c r="D303" s="95" t="s">
        <v>1122</v>
      </c>
      <c r="E303" s="102"/>
      <c r="F303" s="114">
        <v>15</v>
      </c>
      <c r="G303" s="114">
        <v>15</v>
      </c>
      <c r="H303" s="114">
        <v>15</v>
      </c>
      <c r="I303" s="114">
        <v>15</v>
      </c>
      <c r="J303" s="114">
        <v>15</v>
      </c>
      <c r="K303" s="114">
        <v>15</v>
      </c>
      <c r="L303" s="114">
        <v>15</v>
      </c>
      <c r="M303" s="114">
        <v>15</v>
      </c>
      <c r="N303" s="114">
        <v>15</v>
      </c>
      <c r="O303" s="114">
        <v>15</v>
      </c>
      <c r="P303" s="114">
        <v>15</v>
      </c>
      <c r="Q303" s="114">
        <v>15</v>
      </c>
      <c r="R303" s="114">
        <v>15</v>
      </c>
      <c r="S303" s="114">
        <v>15</v>
      </c>
      <c r="T303" s="114">
        <v>15</v>
      </c>
      <c r="U303" s="114">
        <v>15</v>
      </c>
      <c r="V303" s="114">
        <v>15</v>
      </c>
      <c r="W303" s="114">
        <v>15</v>
      </c>
      <c r="X303" s="114">
        <v>15</v>
      </c>
      <c r="Y303" s="114">
        <v>15</v>
      </c>
      <c r="Z303" s="114">
        <v>15</v>
      </c>
      <c r="AA303" s="114">
        <v>15</v>
      </c>
      <c r="AB303" s="114">
        <v>15</v>
      </c>
      <c r="AC303" s="114">
        <v>15</v>
      </c>
      <c r="AD303" s="114">
        <v>15</v>
      </c>
      <c r="AE303" s="114">
        <v>15</v>
      </c>
      <c r="AF303" s="114">
        <v>15</v>
      </c>
      <c r="AG303" s="114">
        <v>15</v>
      </c>
      <c r="AH303" s="114">
        <v>15</v>
      </c>
      <c r="AI303" s="114">
        <v>15</v>
      </c>
      <c r="AJ303" s="114">
        <v>15</v>
      </c>
      <c r="AK303" s="114">
        <v>15</v>
      </c>
      <c r="AL303" s="114">
        <v>15</v>
      </c>
      <c r="AM303" s="114">
        <v>15</v>
      </c>
    </row>
    <row r="304" spans="1:39" x14ac:dyDescent="0.2">
      <c r="A304" s="8"/>
      <c r="B304" s="109" t="s">
        <v>94</v>
      </c>
      <c r="C304" s="108" t="s">
        <v>63</v>
      </c>
      <c r="D304" s="95" t="s">
        <v>1122</v>
      </c>
      <c r="E304" s="102"/>
      <c r="F304" s="114">
        <v>15</v>
      </c>
      <c r="G304" s="114">
        <v>15</v>
      </c>
      <c r="H304" s="114">
        <v>15</v>
      </c>
      <c r="I304" s="114">
        <v>15</v>
      </c>
      <c r="J304" s="114">
        <v>15</v>
      </c>
      <c r="K304" s="114">
        <v>15</v>
      </c>
      <c r="L304" s="114">
        <v>15</v>
      </c>
      <c r="M304" s="114">
        <v>15</v>
      </c>
      <c r="N304" s="114">
        <v>15</v>
      </c>
      <c r="O304" s="114">
        <v>15</v>
      </c>
      <c r="P304" s="114">
        <v>15</v>
      </c>
      <c r="Q304" s="114">
        <v>15</v>
      </c>
      <c r="R304" s="114">
        <v>15</v>
      </c>
      <c r="S304" s="114">
        <v>15</v>
      </c>
      <c r="T304" s="114">
        <v>15</v>
      </c>
      <c r="U304" s="114">
        <v>15</v>
      </c>
      <c r="V304" s="114">
        <v>15</v>
      </c>
      <c r="W304" s="114">
        <v>15</v>
      </c>
      <c r="X304" s="114">
        <v>15</v>
      </c>
      <c r="Y304" s="114">
        <v>15</v>
      </c>
      <c r="Z304" s="114">
        <v>15</v>
      </c>
      <c r="AA304" s="114">
        <v>15</v>
      </c>
      <c r="AB304" s="114">
        <v>15</v>
      </c>
      <c r="AC304" s="114">
        <v>15</v>
      </c>
      <c r="AD304" s="114">
        <v>15</v>
      </c>
      <c r="AE304" s="114">
        <v>15</v>
      </c>
      <c r="AF304" s="114">
        <v>15</v>
      </c>
      <c r="AG304" s="114">
        <v>15</v>
      </c>
      <c r="AH304" s="114">
        <v>15</v>
      </c>
      <c r="AI304" s="114">
        <v>15</v>
      </c>
      <c r="AJ304" s="114">
        <v>15</v>
      </c>
      <c r="AK304" s="114">
        <v>15</v>
      </c>
      <c r="AL304" s="114">
        <v>15</v>
      </c>
      <c r="AM304" s="114">
        <v>15</v>
      </c>
    </row>
    <row r="305" spans="1:39" x14ac:dyDescent="0.2">
      <c r="A305" s="8"/>
      <c r="B305" s="109" t="s">
        <v>95</v>
      </c>
      <c r="C305" s="108" t="s">
        <v>63</v>
      </c>
      <c r="D305" s="95" t="s">
        <v>1122</v>
      </c>
      <c r="E305" s="102"/>
      <c r="F305" s="114">
        <v>15</v>
      </c>
      <c r="G305" s="114">
        <v>15</v>
      </c>
      <c r="H305" s="114">
        <v>15</v>
      </c>
      <c r="I305" s="114">
        <v>15</v>
      </c>
      <c r="J305" s="114">
        <v>15</v>
      </c>
      <c r="K305" s="114">
        <v>15</v>
      </c>
      <c r="L305" s="114">
        <v>15</v>
      </c>
      <c r="M305" s="114">
        <v>15</v>
      </c>
      <c r="N305" s="114">
        <v>15</v>
      </c>
      <c r="O305" s="114">
        <v>15</v>
      </c>
      <c r="P305" s="114">
        <v>15</v>
      </c>
      <c r="Q305" s="114">
        <v>15</v>
      </c>
      <c r="R305" s="114">
        <v>15</v>
      </c>
      <c r="S305" s="114">
        <v>15</v>
      </c>
      <c r="T305" s="114">
        <v>15</v>
      </c>
      <c r="U305" s="114">
        <v>15</v>
      </c>
      <c r="V305" s="114">
        <v>15</v>
      </c>
      <c r="W305" s="114">
        <v>15</v>
      </c>
      <c r="X305" s="114">
        <v>15</v>
      </c>
      <c r="Y305" s="114">
        <v>15</v>
      </c>
      <c r="Z305" s="114">
        <v>15</v>
      </c>
      <c r="AA305" s="114">
        <v>15</v>
      </c>
      <c r="AB305" s="114">
        <v>15</v>
      </c>
      <c r="AC305" s="114">
        <v>15</v>
      </c>
      <c r="AD305" s="114">
        <v>15</v>
      </c>
      <c r="AE305" s="114">
        <v>15</v>
      </c>
      <c r="AF305" s="114">
        <v>15</v>
      </c>
      <c r="AG305" s="114">
        <v>15</v>
      </c>
      <c r="AH305" s="114">
        <v>15</v>
      </c>
      <c r="AI305" s="114">
        <v>15</v>
      </c>
      <c r="AJ305" s="114">
        <v>15</v>
      </c>
      <c r="AK305" s="114">
        <v>15</v>
      </c>
      <c r="AL305" s="114">
        <v>15</v>
      </c>
      <c r="AM305" s="114">
        <v>15</v>
      </c>
    </row>
    <row r="306" spans="1:39" x14ac:dyDescent="0.2">
      <c r="A306" s="8"/>
      <c r="B306" s="109" t="s">
        <v>96</v>
      </c>
      <c r="C306" s="108" t="s">
        <v>63</v>
      </c>
      <c r="D306" s="95" t="s">
        <v>1122</v>
      </c>
      <c r="E306" s="102"/>
      <c r="F306" s="114">
        <v>15</v>
      </c>
      <c r="G306" s="114">
        <v>15</v>
      </c>
      <c r="H306" s="114">
        <v>15</v>
      </c>
      <c r="I306" s="114">
        <v>15</v>
      </c>
      <c r="J306" s="114">
        <v>15</v>
      </c>
      <c r="K306" s="114">
        <v>15</v>
      </c>
      <c r="L306" s="114">
        <v>15</v>
      </c>
      <c r="M306" s="114">
        <v>15</v>
      </c>
      <c r="N306" s="114">
        <v>15</v>
      </c>
      <c r="O306" s="114">
        <v>15</v>
      </c>
      <c r="P306" s="114">
        <v>15</v>
      </c>
      <c r="Q306" s="114">
        <v>15</v>
      </c>
      <c r="R306" s="114">
        <v>15</v>
      </c>
      <c r="S306" s="114">
        <v>15</v>
      </c>
      <c r="T306" s="114">
        <v>15</v>
      </c>
      <c r="U306" s="114">
        <v>15</v>
      </c>
      <c r="V306" s="114">
        <v>15</v>
      </c>
      <c r="W306" s="114">
        <v>15</v>
      </c>
      <c r="X306" s="114">
        <v>15</v>
      </c>
      <c r="Y306" s="114">
        <v>15</v>
      </c>
      <c r="Z306" s="114">
        <v>15</v>
      </c>
      <c r="AA306" s="114">
        <v>15</v>
      </c>
      <c r="AB306" s="114">
        <v>15</v>
      </c>
      <c r="AC306" s="114">
        <v>15</v>
      </c>
      <c r="AD306" s="114">
        <v>15</v>
      </c>
      <c r="AE306" s="114">
        <v>15</v>
      </c>
      <c r="AF306" s="114">
        <v>15</v>
      </c>
      <c r="AG306" s="114">
        <v>15</v>
      </c>
      <c r="AH306" s="114">
        <v>15</v>
      </c>
      <c r="AI306" s="114">
        <v>15</v>
      </c>
      <c r="AJ306" s="114">
        <v>15</v>
      </c>
      <c r="AK306" s="114">
        <v>15</v>
      </c>
      <c r="AL306" s="114">
        <v>15</v>
      </c>
      <c r="AM306" s="114">
        <v>15</v>
      </c>
    </row>
    <row r="307" spans="1:39" x14ac:dyDescent="0.2">
      <c r="A307" s="8"/>
      <c r="B307" s="109" t="s">
        <v>97</v>
      </c>
      <c r="C307" s="108" t="s">
        <v>63</v>
      </c>
      <c r="D307" s="95" t="s">
        <v>1122</v>
      </c>
      <c r="E307" s="102"/>
      <c r="F307" s="114">
        <v>15</v>
      </c>
      <c r="G307" s="114">
        <v>15</v>
      </c>
      <c r="H307" s="114">
        <v>15</v>
      </c>
      <c r="I307" s="114">
        <v>15</v>
      </c>
      <c r="J307" s="114">
        <v>15</v>
      </c>
      <c r="K307" s="114">
        <v>15</v>
      </c>
      <c r="L307" s="114">
        <v>15</v>
      </c>
      <c r="M307" s="114">
        <v>15</v>
      </c>
      <c r="N307" s="114">
        <v>15</v>
      </c>
      <c r="O307" s="114">
        <v>15</v>
      </c>
      <c r="P307" s="114">
        <v>15</v>
      </c>
      <c r="Q307" s="114">
        <v>15</v>
      </c>
      <c r="R307" s="114">
        <v>15</v>
      </c>
      <c r="S307" s="114">
        <v>15</v>
      </c>
      <c r="T307" s="114">
        <v>15</v>
      </c>
      <c r="U307" s="114">
        <v>15</v>
      </c>
      <c r="V307" s="114">
        <v>15</v>
      </c>
      <c r="W307" s="114">
        <v>15</v>
      </c>
      <c r="X307" s="114">
        <v>15</v>
      </c>
      <c r="Y307" s="114">
        <v>15</v>
      </c>
      <c r="Z307" s="114">
        <v>15</v>
      </c>
      <c r="AA307" s="114">
        <v>15</v>
      </c>
      <c r="AB307" s="114">
        <v>15</v>
      </c>
      <c r="AC307" s="114">
        <v>15</v>
      </c>
      <c r="AD307" s="114">
        <v>15</v>
      </c>
      <c r="AE307" s="114">
        <v>15</v>
      </c>
      <c r="AF307" s="114">
        <v>15</v>
      </c>
      <c r="AG307" s="114">
        <v>15</v>
      </c>
      <c r="AH307" s="114">
        <v>15</v>
      </c>
      <c r="AI307" s="114">
        <v>15</v>
      </c>
      <c r="AJ307" s="114">
        <v>15</v>
      </c>
      <c r="AK307" s="114">
        <v>15</v>
      </c>
      <c r="AL307" s="114">
        <v>15</v>
      </c>
      <c r="AM307" s="114">
        <v>15</v>
      </c>
    </row>
    <row r="308" spans="1:39" x14ac:dyDescent="0.2">
      <c r="A308" s="8"/>
      <c r="B308" s="109" t="s">
        <v>98</v>
      </c>
      <c r="C308" s="108" t="s">
        <v>63</v>
      </c>
      <c r="D308" s="95" t="s">
        <v>1122</v>
      </c>
      <c r="E308" s="102"/>
      <c r="F308" s="114">
        <v>15</v>
      </c>
      <c r="G308" s="114">
        <v>15</v>
      </c>
      <c r="H308" s="114">
        <v>15</v>
      </c>
      <c r="I308" s="114">
        <v>15</v>
      </c>
      <c r="J308" s="114">
        <v>15</v>
      </c>
      <c r="K308" s="114">
        <v>15</v>
      </c>
      <c r="L308" s="114">
        <v>15</v>
      </c>
      <c r="M308" s="114">
        <v>15</v>
      </c>
      <c r="N308" s="114">
        <v>15</v>
      </c>
      <c r="O308" s="114">
        <v>15</v>
      </c>
      <c r="P308" s="114">
        <v>15</v>
      </c>
      <c r="Q308" s="114">
        <v>15</v>
      </c>
      <c r="R308" s="114">
        <v>15</v>
      </c>
      <c r="S308" s="114">
        <v>15</v>
      </c>
      <c r="T308" s="114">
        <v>15</v>
      </c>
      <c r="U308" s="114">
        <v>15</v>
      </c>
      <c r="V308" s="114">
        <v>15</v>
      </c>
      <c r="W308" s="114">
        <v>15</v>
      </c>
      <c r="X308" s="114">
        <v>15</v>
      </c>
      <c r="Y308" s="114">
        <v>15</v>
      </c>
      <c r="Z308" s="114">
        <v>15</v>
      </c>
      <c r="AA308" s="114">
        <v>15</v>
      </c>
      <c r="AB308" s="114">
        <v>15</v>
      </c>
      <c r="AC308" s="114">
        <v>15</v>
      </c>
      <c r="AD308" s="114">
        <v>15</v>
      </c>
      <c r="AE308" s="114">
        <v>15</v>
      </c>
      <c r="AF308" s="114">
        <v>15</v>
      </c>
      <c r="AG308" s="114">
        <v>15</v>
      </c>
      <c r="AH308" s="114">
        <v>15</v>
      </c>
      <c r="AI308" s="114">
        <v>15</v>
      </c>
      <c r="AJ308" s="114">
        <v>15</v>
      </c>
      <c r="AK308" s="114">
        <v>15</v>
      </c>
      <c r="AL308" s="114">
        <v>15</v>
      </c>
      <c r="AM308" s="114">
        <v>15</v>
      </c>
    </row>
    <row r="309" spans="1:39" x14ac:dyDescent="0.2">
      <c r="A309" s="8"/>
      <c r="B309" s="109" t="s">
        <v>99</v>
      </c>
      <c r="C309" s="108" t="s">
        <v>63</v>
      </c>
      <c r="D309" s="95" t="s">
        <v>1122</v>
      </c>
      <c r="E309" s="102"/>
      <c r="F309" s="114">
        <v>15</v>
      </c>
      <c r="G309" s="114">
        <v>15</v>
      </c>
      <c r="H309" s="114">
        <v>15</v>
      </c>
      <c r="I309" s="114">
        <v>15</v>
      </c>
      <c r="J309" s="114">
        <v>15</v>
      </c>
      <c r="K309" s="114">
        <v>15</v>
      </c>
      <c r="L309" s="114">
        <v>15</v>
      </c>
      <c r="M309" s="114">
        <v>15</v>
      </c>
      <c r="N309" s="114">
        <v>15</v>
      </c>
      <c r="O309" s="114">
        <v>15</v>
      </c>
      <c r="P309" s="114">
        <v>15</v>
      </c>
      <c r="Q309" s="114">
        <v>15</v>
      </c>
      <c r="R309" s="114">
        <v>15</v>
      </c>
      <c r="S309" s="114">
        <v>15</v>
      </c>
      <c r="T309" s="114">
        <v>15</v>
      </c>
      <c r="U309" s="114">
        <v>15</v>
      </c>
      <c r="V309" s="114">
        <v>15</v>
      </c>
      <c r="W309" s="114">
        <v>15</v>
      </c>
      <c r="X309" s="114">
        <v>15</v>
      </c>
      <c r="Y309" s="114">
        <v>15</v>
      </c>
      <c r="Z309" s="114">
        <v>15</v>
      </c>
      <c r="AA309" s="114">
        <v>15</v>
      </c>
      <c r="AB309" s="114">
        <v>15</v>
      </c>
      <c r="AC309" s="114">
        <v>15</v>
      </c>
      <c r="AD309" s="114">
        <v>15</v>
      </c>
      <c r="AE309" s="114">
        <v>15</v>
      </c>
      <c r="AF309" s="114">
        <v>15</v>
      </c>
      <c r="AG309" s="114">
        <v>15</v>
      </c>
      <c r="AH309" s="114">
        <v>15</v>
      </c>
      <c r="AI309" s="114">
        <v>15</v>
      </c>
      <c r="AJ309" s="114">
        <v>15</v>
      </c>
      <c r="AK309" s="114">
        <v>15</v>
      </c>
      <c r="AL309" s="114">
        <v>15</v>
      </c>
      <c r="AM309" s="114">
        <v>15</v>
      </c>
    </row>
    <row r="310" spans="1:39" x14ac:dyDescent="0.2">
      <c r="A310" s="8"/>
      <c r="B310" s="109" t="s">
        <v>100</v>
      </c>
      <c r="C310" s="108" t="s">
        <v>63</v>
      </c>
      <c r="D310" s="95" t="s">
        <v>1122</v>
      </c>
      <c r="E310" s="102"/>
      <c r="F310" s="114">
        <v>15</v>
      </c>
      <c r="G310" s="114">
        <v>15</v>
      </c>
      <c r="H310" s="114">
        <v>15</v>
      </c>
      <c r="I310" s="114">
        <v>15</v>
      </c>
      <c r="J310" s="114">
        <v>15</v>
      </c>
      <c r="K310" s="114">
        <v>15</v>
      </c>
      <c r="L310" s="114">
        <v>15</v>
      </c>
      <c r="M310" s="114">
        <v>15</v>
      </c>
      <c r="N310" s="114">
        <v>15</v>
      </c>
      <c r="O310" s="114">
        <v>15</v>
      </c>
      <c r="P310" s="114">
        <v>15</v>
      </c>
      <c r="Q310" s="114">
        <v>15</v>
      </c>
      <c r="R310" s="114">
        <v>15</v>
      </c>
      <c r="S310" s="114">
        <v>15</v>
      </c>
      <c r="T310" s="114">
        <v>15</v>
      </c>
      <c r="U310" s="114">
        <v>15</v>
      </c>
      <c r="V310" s="114">
        <v>15</v>
      </c>
      <c r="W310" s="114">
        <v>15</v>
      </c>
      <c r="X310" s="114">
        <v>15</v>
      </c>
      <c r="Y310" s="114">
        <v>15</v>
      </c>
      <c r="Z310" s="114">
        <v>15</v>
      </c>
      <c r="AA310" s="114">
        <v>15</v>
      </c>
      <c r="AB310" s="114">
        <v>15</v>
      </c>
      <c r="AC310" s="114">
        <v>15</v>
      </c>
      <c r="AD310" s="114">
        <v>15</v>
      </c>
      <c r="AE310" s="114">
        <v>15</v>
      </c>
      <c r="AF310" s="114">
        <v>15</v>
      </c>
      <c r="AG310" s="114">
        <v>15</v>
      </c>
      <c r="AH310" s="114">
        <v>15</v>
      </c>
      <c r="AI310" s="114">
        <v>15</v>
      </c>
      <c r="AJ310" s="114">
        <v>15</v>
      </c>
      <c r="AK310" s="114">
        <v>15</v>
      </c>
      <c r="AL310" s="114">
        <v>15</v>
      </c>
      <c r="AM310" s="114">
        <v>15</v>
      </c>
    </row>
    <row r="311" spans="1:39" x14ac:dyDescent="0.2">
      <c r="A311" s="8"/>
      <c r="B311" s="109" t="s">
        <v>101</v>
      </c>
      <c r="C311" s="108" t="s">
        <v>63</v>
      </c>
      <c r="D311" s="95" t="s">
        <v>1122</v>
      </c>
      <c r="E311" s="102"/>
      <c r="F311" s="114">
        <v>15</v>
      </c>
      <c r="G311" s="114">
        <v>15</v>
      </c>
      <c r="H311" s="114">
        <v>15</v>
      </c>
      <c r="I311" s="114">
        <v>15</v>
      </c>
      <c r="J311" s="114">
        <v>15</v>
      </c>
      <c r="K311" s="114">
        <v>15</v>
      </c>
      <c r="L311" s="114">
        <v>15</v>
      </c>
      <c r="M311" s="114">
        <v>15</v>
      </c>
      <c r="N311" s="114">
        <v>15</v>
      </c>
      <c r="O311" s="114">
        <v>15</v>
      </c>
      <c r="P311" s="114">
        <v>15</v>
      </c>
      <c r="Q311" s="114">
        <v>15</v>
      </c>
      <c r="R311" s="114">
        <v>15</v>
      </c>
      <c r="S311" s="114">
        <v>15</v>
      </c>
      <c r="T311" s="114">
        <v>15</v>
      </c>
      <c r="U311" s="114">
        <v>15</v>
      </c>
      <c r="V311" s="114">
        <v>15</v>
      </c>
      <c r="W311" s="114">
        <v>15</v>
      </c>
      <c r="X311" s="114">
        <v>15</v>
      </c>
      <c r="Y311" s="114">
        <v>15</v>
      </c>
      <c r="Z311" s="114">
        <v>15</v>
      </c>
      <c r="AA311" s="114">
        <v>15</v>
      </c>
      <c r="AB311" s="114">
        <v>15</v>
      </c>
      <c r="AC311" s="114">
        <v>15</v>
      </c>
      <c r="AD311" s="114">
        <v>15</v>
      </c>
      <c r="AE311" s="114">
        <v>15</v>
      </c>
      <c r="AF311" s="114">
        <v>15</v>
      </c>
      <c r="AG311" s="114">
        <v>15</v>
      </c>
      <c r="AH311" s="114">
        <v>15</v>
      </c>
      <c r="AI311" s="114">
        <v>15</v>
      </c>
      <c r="AJ311" s="114">
        <v>15</v>
      </c>
      <c r="AK311" s="114">
        <v>15</v>
      </c>
      <c r="AL311" s="114">
        <v>15</v>
      </c>
      <c r="AM311" s="114">
        <v>15</v>
      </c>
    </row>
    <row r="312" spans="1:39" x14ac:dyDescent="0.2">
      <c r="A312" s="8"/>
      <c r="B312" s="109" t="s">
        <v>102</v>
      </c>
      <c r="C312" s="108" t="s">
        <v>63</v>
      </c>
      <c r="D312" s="95" t="s">
        <v>1122</v>
      </c>
      <c r="E312" s="102"/>
      <c r="F312" s="114">
        <v>80</v>
      </c>
      <c r="G312" s="114">
        <v>80</v>
      </c>
      <c r="H312" s="114">
        <v>80</v>
      </c>
      <c r="I312" s="114">
        <v>80</v>
      </c>
      <c r="J312" s="114">
        <v>80</v>
      </c>
      <c r="K312" s="114">
        <v>80</v>
      </c>
      <c r="L312" s="114">
        <v>80</v>
      </c>
      <c r="M312" s="114">
        <v>80</v>
      </c>
      <c r="N312" s="114">
        <v>80</v>
      </c>
      <c r="O312" s="114">
        <v>80</v>
      </c>
      <c r="P312" s="114">
        <v>80</v>
      </c>
      <c r="Q312" s="114">
        <v>80</v>
      </c>
      <c r="R312" s="114">
        <v>80</v>
      </c>
      <c r="S312" s="114">
        <v>80</v>
      </c>
      <c r="T312" s="114">
        <v>80</v>
      </c>
      <c r="U312" s="114">
        <v>80</v>
      </c>
      <c r="V312" s="114">
        <v>80</v>
      </c>
      <c r="W312" s="114">
        <v>80</v>
      </c>
      <c r="X312" s="114">
        <v>80</v>
      </c>
      <c r="Y312" s="114">
        <v>80</v>
      </c>
      <c r="Z312" s="114">
        <v>80</v>
      </c>
      <c r="AA312" s="114">
        <v>80</v>
      </c>
      <c r="AB312" s="114">
        <v>80</v>
      </c>
      <c r="AC312" s="114">
        <v>80</v>
      </c>
      <c r="AD312" s="114">
        <v>80</v>
      </c>
      <c r="AE312" s="114">
        <v>80</v>
      </c>
      <c r="AF312" s="114">
        <v>80</v>
      </c>
      <c r="AG312" s="114">
        <v>80</v>
      </c>
      <c r="AH312" s="114">
        <v>80</v>
      </c>
      <c r="AI312" s="114">
        <v>80</v>
      </c>
      <c r="AJ312" s="114">
        <v>80</v>
      </c>
      <c r="AK312" s="114">
        <v>80</v>
      </c>
      <c r="AL312" s="114">
        <v>80</v>
      </c>
      <c r="AM312" s="114">
        <v>80</v>
      </c>
    </row>
    <row r="313" spans="1:39" x14ac:dyDescent="0.2">
      <c r="A313" s="8"/>
      <c r="B313" s="109" t="s">
        <v>103</v>
      </c>
      <c r="C313" s="108" t="s">
        <v>63</v>
      </c>
      <c r="D313" s="95" t="s">
        <v>1122</v>
      </c>
      <c r="E313" s="102"/>
      <c r="F313" s="114">
        <v>80</v>
      </c>
      <c r="G313" s="114">
        <v>80</v>
      </c>
      <c r="H313" s="114">
        <v>80</v>
      </c>
      <c r="I313" s="114">
        <v>80</v>
      </c>
      <c r="J313" s="114">
        <v>80</v>
      </c>
      <c r="K313" s="114">
        <v>80</v>
      </c>
      <c r="L313" s="114">
        <v>80</v>
      </c>
      <c r="M313" s="114">
        <v>80</v>
      </c>
      <c r="N313" s="114">
        <v>80</v>
      </c>
      <c r="O313" s="114">
        <v>80</v>
      </c>
      <c r="P313" s="114">
        <v>80</v>
      </c>
      <c r="Q313" s="114">
        <v>80</v>
      </c>
      <c r="R313" s="114">
        <v>80</v>
      </c>
      <c r="S313" s="114">
        <v>80</v>
      </c>
      <c r="T313" s="114">
        <v>80</v>
      </c>
      <c r="U313" s="114">
        <v>80</v>
      </c>
      <c r="V313" s="114">
        <v>80</v>
      </c>
      <c r="W313" s="114">
        <v>80</v>
      </c>
      <c r="X313" s="114">
        <v>80</v>
      </c>
      <c r="Y313" s="114">
        <v>80</v>
      </c>
      <c r="Z313" s="114">
        <v>80</v>
      </c>
      <c r="AA313" s="114">
        <v>80</v>
      </c>
      <c r="AB313" s="114">
        <v>80</v>
      </c>
      <c r="AC313" s="114">
        <v>80</v>
      </c>
      <c r="AD313" s="114">
        <v>80</v>
      </c>
      <c r="AE313" s="114">
        <v>80</v>
      </c>
      <c r="AF313" s="114">
        <v>80</v>
      </c>
      <c r="AG313" s="114">
        <v>80</v>
      </c>
      <c r="AH313" s="114">
        <v>80</v>
      </c>
      <c r="AI313" s="114">
        <v>80</v>
      </c>
      <c r="AJ313" s="114">
        <v>80</v>
      </c>
      <c r="AK313" s="114">
        <v>80</v>
      </c>
      <c r="AL313" s="114">
        <v>80</v>
      </c>
      <c r="AM313" s="114">
        <v>80</v>
      </c>
    </row>
    <row r="314" spans="1:39" x14ac:dyDescent="0.2">
      <c r="A314" s="8"/>
      <c r="B314" s="109" t="s">
        <v>104</v>
      </c>
      <c r="C314" s="108" t="s">
        <v>63</v>
      </c>
      <c r="D314" s="95" t="s">
        <v>1122</v>
      </c>
      <c r="E314" s="102"/>
      <c r="F314" s="114">
        <v>80</v>
      </c>
      <c r="G314" s="114">
        <v>80</v>
      </c>
      <c r="H314" s="114">
        <v>80</v>
      </c>
      <c r="I314" s="114">
        <v>80</v>
      </c>
      <c r="J314" s="114">
        <v>80</v>
      </c>
      <c r="K314" s="114">
        <v>80</v>
      </c>
      <c r="L314" s="114">
        <v>80</v>
      </c>
      <c r="M314" s="114">
        <v>80</v>
      </c>
      <c r="N314" s="114">
        <v>80</v>
      </c>
      <c r="O314" s="114">
        <v>80</v>
      </c>
      <c r="P314" s="114">
        <v>80</v>
      </c>
      <c r="Q314" s="114">
        <v>80</v>
      </c>
      <c r="R314" s="114">
        <v>80</v>
      </c>
      <c r="S314" s="114">
        <v>80</v>
      </c>
      <c r="T314" s="114">
        <v>80</v>
      </c>
      <c r="U314" s="114">
        <v>80</v>
      </c>
      <c r="V314" s="114">
        <v>80</v>
      </c>
      <c r="W314" s="114">
        <v>80</v>
      </c>
      <c r="X314" s="114">
        <v>80</v>
      </c>
      <c r="Y314" s="114">
        <v>80</v>
      </c>
      <c r="Z314" s="114">
        <v>80</v>
      </c>
      <c r="AA314" s="114">
        <v>80</v>
      </c>
      <c r="AB314" s="114">
        <v>80</v>
      </c>
      <c r="AC314" s="114">
        <v>80</v>
      </c>
      <c r="AD314" s="114">
        <v>80</v>
      </c>
      <c r="AE314" s="114">
        <v>80</v>
      </c>
      <c r="AF314" s="114">
        <v>80</v>
      </c>
      <c r="AG314" s="114">
        <v>80</v>
      </c>
      <c r="AH314" s="114">
        <v>80</v>
      </c>
      <c r="AI314" s="114">
        <v>80</v>
      </c>
      <c r="AJ314" s="114">
        <v>80</v>
      </c>
      <c r="AK314" s="114">
        <v>80</v>
      </c>
      <c r="AL314" s="114">
        <v>80</v>
      </c>
      <c r="AM314" s="114">
        <v>80</v>
      </c>
    </row>
    <row r="315" spans="1:39" x14ac:dyDescent="0.2">
      <c r="A315" s="8"/>
      <c r="B315" s="109" t="s">
        <v>105</v>
      </c>
      <c r="C315" s="108" t="s">
        <v>63</v>
      </c>
      <c r="D315" s="95" t="s">
        <v>1122</v>
      </c>
      <c r="E315" s="102"/>
      <c r="F315" s="114">
        <v>90</v>
      </c>
      <c r="G315" s="114">
        <v>90</v>
      </c>
      <c r="H315" s="114">
        <v>90</v>
      </c>
      <c r="I315" s="114">
        <v>90</v>
      </c>
      <c r="J315" s="114">
        <v>90</v>
      </c>
      <c r="K315" s="114">
        <v>90</v>
      </c>
      <c r="L315" s="114">
        <v>90</v>
      </c>
      <c r="M315" s="114">
        <v>90</v>
      </c>
      <c r="N315" s="114">
        <v>90</v>
      </c>
      <c r="O315" s="114">
        <v>90</v>
      </c>
      <c r="P315" s="114">
        <v>90</v>
      </c>
      <c r="Q315" s="114">
        <v>90</v>
      </c>
      <c r="R315" s="114">
        <v>90</v>
      </c>
      <c r="S315" s="114">
        <v>90</v>
      </c>
      <c r="T315" s="114">
        <v>90</v>
      </c>
      <c r="U315" s="114">
        <v>90</v>
      </c>
      <c r="V315" s="114">
        <v>90</v>
      </c>
      <c r="W315" s="114">
        <v>90</v>
      </c>
      <c r="X315" s="114">
        <v>90</v>
      </c>
      <c r="Y315" s="114">
        <v>90</v>
      </c>
      <c r="Z315" s="114">
        <v>90</v>
      </c>
      <c r="AA315" s="114">
        <v>90</v>
      </c>
      <c r="AB315" s="114">
        <v>90</v>
      </c>
      <c r="AC315" s="114">
        <v>90</v>
      </c>
      <c r="AD315" s="114">
        <v>90</v>
      </c>
      <c r="AE315" s="114">
        <v>90</v>
      </c>
      <c r="AF315" s="114">
        <v>90</v>
      </c>
      <c r="AG315" s="114">
        <v>90</v>
      </c>
      <c r="AH315" s="114">
        <v>90</v>
      </c>
      <c r="AI315" s="114">
        <v>90</v>
      </c>
      <c r="AJ315" s="114">
        <v>90</v>
      </c>
      <c r="AK315" s="114">
        <v>90</v>
      </c>
      <c r="AL315" s="114">
        <v>90</v>
      </c>
      <c r="AM315" s="114">
        <v>90</v>
      </c>
    </row>
    <row r="316" spans="1:39" x14ac:dyDescent="0.2">
      <c r="A316" s="8"/>
      <c r="B316" s="109" t="s">
        <v>106</v>
      </c>
      <c r="C316" s="108" t="s">
        <v>63</v>
      </c>
      <c r="D316" s="95" t="s">
        <v>1122</v>
      </c>
      <c r="E316" s="102"/>
      <c r="F316" s="114">
        <v>15</v>
      </c>
      <c r="G316" s="114">
        <v>15</v>
      </c>
      <c r="H316" s="114">
        <v>15</v>
      </c>
      <c r="I316" s="114">
        <v>15</v>
      </c>
      <c r="J316" s="114">
        <v>15</v>
      </c>
      <c r="K316" s="114">
        <v>15</v>
      </c>
      <c r="L316" s="114">
        <v>15</v>
      </c>
      <c r="M316" s="114">
        <v>15</v>
      </c>
      <c r="N316" s="114">
        <v>15</v>
      </c>
      <c r="O316" s="114">
        <v>15</v>
      </c>
      <c r="P316" s="114">
        <v>15</v>
      </c>
      <c r="Q316" s="114">
        <v>15</v>
      </c>
      <c r="R316" s="114">
        <v>15</v>
      </c>
      <c r="S316" s="114">
        <v>15</v>
      </c>
      <c r="T316" s="114">
        <v>15</v>
      </c>
      <c r="U316" s="114">
        <v>15</v>
      </c>
      <c r="V316" s="114">
        <v>15</v>
      </c>
      <c r="W316" s="114">
        <v>15</v>
      </c>
      <c r="X316" s="114">
        <v>15</v>
      </c>
      <c r="Y316" s="114">
        <v>15</v>
      </c>
      <c r="Z316" s="114">
        <v>15</v>
      </c>
      <c r="AA316" s="114">
        <v>15</v>
      </c>
      <c r="AB316" s="114">
        <v>15</v>
      </c>
      <c r="AC316" s="114">
        <v>15</v>
      </c>
      <c r="AD316" s="114">
        <v>15</v>
      </c>
      <c r="AE316" s="114">
        <v>15</v>
      </c>
      <c r="AF316" s="114">
        <v>15</v>
      </c>
      <c r="AG316" s="114">
        <v>15</v>
      </c>
      <c r="AH316" s="114">
        <v>15</v>
      </c>
      <c r="AI316" s="114">
        <v>15</v>
      </c>
      <c r="AJ316" s="114">
        <v>15</v>
      </c>
      <c r="AK316" s="114">
        <v>15</v>
      </c>
      <c r="AL316" s="114">
        <v>15</v>
      </c>
      <c r="AM316" s="114">
        <v>15</v>
      </c>
    </row>
    <row r="317" spans="1:39" x14ac:dyDescent="0.2">
      <c r="A317" s="8"/>
      <c r="B317" s="109" t="s">
        <v>107</v>
      </c>
      <c r="C317" s="108" t="s">
        <v>63</v>
      </c>
      <c r="D317" s="95" t="s">
        <v>1122</v>
      </c>
      <c r="E317" s="102"/>
      <c r="F317" s="114">
        <v>90</v>
      </c>
      <c r="G317" s="114">
        <v>90</v>
      </c>
      <c r="H317" s="114">
        <v>90</v>
      </c>
      <c r="I317" s="114">
        <v>90</v>
      </c>
      <c r="J317" s="114">
        <v>90</v>
      </c>
      <c r="K317" s="114">
        <v>90</v>
      </c>
      <c r="L317" s="114">
        <v>90</v>
      </c>
      <c r="M317" s="114">
        <v>90</v>
      </c>
      <c r="N317" s="114">
        <v>90</v>
      </c>
      <c r="O317" s="114">
        <v>90</v>
      </c>
      <c r="P317" s="114">
        <v>90</v>
      </c>
      <c r="Q317" s="114">
        <v>90</v>
      </c>
      <c r="R317" s="114">
        <v>90</v>
      </c>
      <c r="S317" s="114">
        <v>90</v>
      </c>
      <c r="T317" s="114">
        <v>90</v>
      </c>
      <c r="U317" s="114">
        <v>90</v>
      </c>
      <c r="V317" s="114">
        <v>90</v>
      </c>
      <c r="W317" s="114">
        <v>90</v>
      </c>
      <c r="X317" s="114">
        <v>90</v>
      </c>
      <c r="Y317" s="114">
        <v>90</v>
      </c>
      <c r="Z317" s="114">
        <v>90</v>
      </c>
      <c r="AA317" s="114">
        <v>90</v>
      </c>
      <c r="AB317" s="114">
        <v>90</v>
      </c>
      <c r="AC317" s="114">
        <v>90</v>
      </c>
      <c r="AD317" s="114">
        <v>90</v>
      </c>
      <c r="AE317" s="114">
        <v>90</v>
      </c>
      <c r="AF317" s="114">
        <v>90</v>
      </c>
      <c r="AG317" s="114">
        <v>90</v>
      </c>
      <c r="AH317" s="114">
        <v>90</v>
      </c>
      <c r="AI317" s="114">
        <v>90</v>
      </c>
      <c r="AJ317" s="114">
        <v>90</v>
      </c>
      <c r="AK317" s="114">
        <v>90</v>
      </c>
      <c r="AL317" s="114">
        <v>90</v>
      </c>
      <c r="AM317" s="114">
        <v>90</v>
      </c>
    </row>
    <row r="318" spans="1:39" x14ac:dyDescent="0.2">
      <c r="A318" s="8"/>
      <c r="B318" s="109" t="s">
        <v>108</v>
      </c>
      <c r="C318" s="108" t="s">
        <v>63</v>
      </c>
      <c r="D318" s="95" t="s">
        <v>1122</v>
      </c>
      <c r="E318" s="102"/>
      <c r="F318" s="114">
        <v>15</v>
      </c>
      <c r="G318" s="114">
        <v>15</v>
      </c>
      <c r="H318" s="114">
        <v>15</v>
      </c>
      <c r="I318" s="114">
        <v>15</v>
      </c>
      <c r="J318" s="114">
        <v>15</v>
      </c>
      <c r="K318" s="114">
        <v>15</v>
      </c>
      <c r="L318" s="114">
        <v>15</v>
      </c>
      <c r="M318" s="114">
        <v>15</v>
      </c>
      <c r="N318" s="114">
        <v>15</v>
      </c>
      <c r="O318" s="114">
        <v>15</v>
      </c>
      <c r="P318" s="114">
        <v>15</v>
      </c>
      <c r="Q318" s="114">
        <v>15</v>
      </c>
      <c r="R318" s="114">
        <v>15</v>
      </c>
      <c r="S318" s="114">
        <v>15</v>
      </c>
      <c r="T318" s="114">
        <v>15</v>
      </c>
      <c r="U318" s="114">
        <v>15</v>
      </c>
      <c r="V318" s="114">
        <v>15</v>
      </c>
      <c r="W318" s="114">
        <v>15</v>
      </c>
      <c r="X318" s="114">
        <v>15</v>
      </c>
      <c r="Y318" s="114">
        <v>15</v>
      </c>
      <c r="Z318" s="114">
        <v>15</v>
      </c>
      <c r="AA318" s="114">
        <v>15</v>
      </c>
      <c r="AB318" s="114">
        <v>15</v>
      </c>
      <c r="AC318" s="114">
        <v>15</v>
      </c>
      <c r="AD318" s="114">
        <v>15</v>
      </c>
      <c r="AE318" s="114">
        <v>15</v>
      </c>
      <c r="AF318" s="114">
        <v>15</v>
      </c>
      <c r="AG318" s="114">
        <v>15</v>
      </c>
      <c r="AH318" s="114">
        <v>15</v>
      </c>
      <c r="AI318" s="114">
        <v>15</v>
      </c>
      <c r="AJ318" s="114">
        <v>15</v>
      </c>
      <c r="AK318" s="114">
        <v>15</v>
      </c>
      <c r="AL318" s="114">
        <v>15</v>
      </c>
      <c r="AM318" s="114">
        <v>15</v>
      </c>
    </row>
    <row r="319" spans="1:39" x14ac:dyDescent="0.2">
      <c r="A319" s="8"/>
      <c r="B319" s="109" t="s">
        <v>109</v>
      </c>
      <c r="C319" s="108" t="s">
        <v>63</v>
      </c>
      <c r="D319" s="95" t="s">
        <v>1122</v>
      </c>
      <c r="E319" s="102"/>
      <c r="F319" s="114">
        <v>15</v>
      </c>
      <c r="G319" s="114">
        <v>15</v>
      </c>
      <c r="H319" s="114">
        <v>15</v>
      </c>
      <c r="I319" s="114">
        <v>15</v>
      </c>
      <c r="J319" s="114">
        <v>15</v>
      </c>
      <c r="K319" s="114">
        <v>15</v>
      </c>
      <c r="L319" s="114">
        <v>15</v>
      </c>
      <c r="M319" s="114">
        <v>15</v>
      </c>
      <c r="N319" s="114">
        <v>15</v>
      </c>
      <c r="O319" s="114">
        <v>15</v>
      </c>
      <c r="P319" s="114">
        <v>15</v>
      </c>
      <c r="Q319" s="114">
        <v>15</v>
      </c>
      <c r="R319" s="114">
        <v>15</v>
      </c>
      <c r="S319" s="114">
        <v>15</v>
      </c>
      <c r="T319" s="114">
        <v>15</v>
      </c>
      <c r="U319" s="114">
        <v>15</v>
      </c>
      <c r="V319" s="114">
        <v>15</v>
      </c>
      <c r="W319" s="114">
        <v>15</v>
      </c>
      <c r="X319" s="114">
        <v>15</v>
      </c>
      <c r="Y319" s="114">
        <v>15</v>
      </c>
      <c r="Z319" s="114">
        <v>15</v>
      </c>
      <c r="AA319" s="114">
        <v>15</v>
      </c>
      <c r="AB319" s="114">
        <v>15</v>
      </c>
      <c r="AC319" s="114">
        <v>15</v>
      </c>
      <c r="AD319" s="114">
        <v>15</v>
      </c>
      <c r="AE319" s="114">
        <v>15</v>
      </c>
      <c r="AF319" s="114">
        <v>15</v>
      </c>
      <c r="AG319" s="114">
        <v>15</v>
      </c>
      <c r="AH319" s="114">
        <v>15</v>
      </c>
      <c r="AI319" s="114">
        <v>15</v>
      </c>
      <c r="AJ319" s="114">
        <v>15</v>
      </c>
      <c r="AK319" s="114">
        <v>15</v>
      </c>
      <c r="AL319" s="114">
        <v>15</v>
      </c>
      <c r="AM319" s="114">
        <v>15</v>
      </c>
    </row>
    <row r="320" spans="1:39" x14ac:dyDescent="0.2">
      <c r="A320" s="8"/>
      <c r="B320" s="109" t="s">
        <v>110</v>
      </c>
      <c r="C320" s="108" t="s">
        <v>63</v>
      </c>
      <c r="D320" s="95" t="s">
        <v>1122</v>
      </c>
      <c r="E320" s="102"/>
      <c r="F320" s="114">
        <v>85</v>
      </c>
      <c r="G320" s="114">
        <v>85</v>
      </c>
      <c r="H320" s="114">
        <v>85</v>
      </c>
      <c r="I320" s="114">
        <v>85</v>
      </c>
      <c r="J320" s="114">
        <v>85</v>
      </c>
      <c r="K320" s="114">
        <v>85</v>
      </c>
      <c r="L320" s="114">
        <v>85</v>
      </c>
      <c r="M320" s="114">
        <v>85</v>
      </c>
      <c r="N320" s="114">
        <v>85</v>
      </c>
      <c r="O320" s="114">
        <v>85</v>
      </c>
      <c r="P320" s="114">
        <v>85</v>
      </c>
      <c r="Q320" s="114">
        <v>85</v>
      </c>
      <c r="R320" s="114">
        <v>85</v>
      </c>
      <c r="S320" s="114">
        <v>85</v>
      </c>
      <c r="T320" s="114">
        <v>85</v>
      </c>
      <c r="U320" s="114">
        <v>85</v>
      </c>
      <c r="V320" s="114">
        <v>85</v>
      </c>
      <c r="W320" s="114">
        <v>85</v>
      </c>
      <c r="X320" s="114">
        <v>85</v>
      </c>
      <c r="Y320" s="114">
        <v>85</v>
      </c>
      <c r="Z320" s="114">
        <v>85</v>
      </c>
      <c r="AA320" s="114">
        <v>85</v>
      </c>
      <c r="AB320" s="114">
        <v>85</v>
      </c>
      <c r="AC320" s="114">
        <v>85</v>
      </c>
      <c r="AD320" s="114">
        <v>85</v>
      </c>
      <c r="AE320" s="114">
        <v>85</v>
      </c>
      <c r="AF320" s="114">
        <v>85</v>
      </c>
      <c r="AG320" s="114">
        <v>85</v>
      </c>
      <c r="AH320" s="114">
        <v>85</v>
      </c>
      <c r="AI320" s="114">
        <v>85</v>
      </c>
      <c r="AJ320" s="114">
        <v>85</v>
      </c>
      <c r="AK320" s="114">
        <v>85</v>
      </c>
      <c r="AL320" s="114">
        <v>85</v>
      </c>
      <c r="AM320" s="114">
        <v>85</v>
      </c>
    </row>
    <row r="321" spans="1:39" x14ac:dyDescent="0.2">
      <c r="A321" s="8"/>
      <c r="B321" s="109" t="s">
        <v>111</v>
      </c>
      <c r="C321" s="108" t="s">
        <v>63</v>
      </c>
      <c r="D321" s="95" t="s">
        <v>1122</v>
      </c>
      <c r="E321" s="102"/>
      <c r="F321" s="114">
        <v>90</v>
      </c>
      <c r="G321" s="114">
        <v>90</v>
      </c>
      <c r="H321" s="114">
        <v>90</v>
      </c>
      <c r="I321" s="114">
        <v>90</v>
      </c>
      <c r="J321" s="114">
        <v>90</v>
      </c>
      <c r="K321" s="114">
        <v>90</v>
      </c>
      <c r="L321" s="114">
        <v>90</v>
      </c>
      <c r="M321" s="114">
        <v>90</v>
      </c>
      <c r="N321" s="114">
        <v>90</v>
      </c>
      <c r="O321" s="114">
        <v>90</v>
      </c>
      <c r="P321" s="114">
        <v>90</v>
      </c>
      <c r="Q321" s="114">
        <v>90</v>
      </c>
      <c r="R321" s="114">
        <v>90</v>
      </c>
      <c r="S321" s="114">
        <v>90</v>
      </c>
      <c r="T321" s="114">
        <v>90</v>
      </c>
      <c r="U321" s="114">
        <v>90</v>
      </c>
      <c r="V321" s="114">
        <v>90</v>
      </c>
      <c r="W321" s="114">
        <v>90</v>
      </c>
      <c r="X321" s="114">
        <v>90</v>
      </c>
      <c r="Y321" s="114">
        <v>90</v>
      </c>
      <c r="Z321" s="114">
        <v>90</v>
      </c>
      <c r="AA321" s="114">
        <v>90</v>
      </c>
      <c r="AB321" s="114">
        <v>90</v>
      </c>
      <c r="AC321" s="114">
        <v>90</v>
      </c>
      <c r="AD321" s="114">
        <v>90</v>
      </c>
      <c r="AE321" s="114">
        <v>90</v>
      </c>
      <c r="AF321" s="114">
        <v>90</v>
      </c>
      <c r="AG321" s="114">
        <v>90</v>
      </c>
      <c r="AH321" s="114">
        <v>90</v>
      </c>
      <c r="AI321" s="114">
        <v>90</v>
      </c>
      <c r="AJ321" s="114">
        <v>90</v>
      </c>
      <c r="AK321" s="114">
        <v>90</v>
      </c>
      <c r="AL321" s="114">
        <v>90</v>
      </c>
      <c r="AM321" s="114">
        <v>90</v>
      </c>
    </row>
    <row r="322" spans="1:39" x14ac:dyDescent="0.2">
      <c r="A322" s="8"/>
      <c r="B322" s="109" t="s">
        <v>112</v>
      </c>
      <c r="C322" s="108" t="s">
        <v>63</v>
      </c>
      <c r="D322" s="95" t="s">
        <v>1122</v>
      </c>
      <c r="E322" s="102"/>
      <c r="F322" s="114">
        <v>90</v>
      </c>
      <c r="G322" s="114">
        <v>90</v>
      </c>
      <c r="H322" s="114">
        <v>90</v>
      </c>
      <c r="I322" s="114">
        <v>90</v>
      </c>
      <c r="J322" s="114">
        <v>90</v>
      </c>
      <c r="K322" s="114">
        <v>90</v>
      </c>
      <c r="L322" s="114">
        <v>90</v>
      </c>
      <c r="M322" s="114">
        <v>90</v>
      </c>
      <c r="N322" s="114">
        <v>90</v>
      </c>
      <c r="O322" s="114">
        <v>90</v>
      </c>
      <c r="P322" s="114">
        <v>90</v>
      </c>
      <c r="Q322" s="114">
        <v>90</v>
      </c>
      <c r="R322" s="114">
        <v>90</v>
      </c>
      <c r="S322" s="114">
        <v>90</v>
      </c>
      <c r="T322" s="114">
        <v>90</v>
      </c>
      <c r="U322" s="114">
        <v>90</v>
      </c>
      <c r="V322" s="114">
        <v>90</v>
      </c>
      <c r="W322" s="114">
        <v>90</v>
      </c>
      <c r="X322" s="114">
        <v>90</v>
      </c>
      <c r="Y322" s="114">
        <v>90</v>
      </c>
      <c r="Z322" s="114">
        <v>90</v>
      </c>
      <c r="AA322" s="114">
        <v>90</v>
      </c>
      <c r="AB322" s="114">
        <v>90</v>
      </c>
      <c r="AC322" s="114">
        <v>90</v>
      </c>
      <c r="AD322" s="114">
        <v>90</v>
      </c>
      <c r="AE322" s="114">
        <v>90</v>
      </c>
      <c r="AF322" s="114">
        <v>90</v>
      </c>
      <c r="AG322" s="114">
        <v>90</v>
      </c>
      <c r="AH322" s="114">
        <v>90</v>
      </c>
      <c r="AI322" s="114">
        <v>90</v>
      </c>
      <c r="AJ322" s="114">
        <v>90</v>
      </c>
      <c r="AK322" s="114">
        <v>90</v>
      </c>
      <c r="AL322" s="114">
        <v>90</v>
      </c>
      <c r="AM322" s="114">
        <v>90</v>
      </c>
    </row>
    <row r="323" spans="1:39" x14ac:dyDescent="0.2">
      <c r="A323" s="8"/>
      <c r="B323" s="109" t="s">
        <v>113</v>
      </c>
      <c r="C323" s="108" t="s">
        <v>63</v>
      </c>
      <c r="D323" s="95" t="s">
        <v>1122</v>
      </c>
      <c r="E323" s="102"/>
      <c r="F323" s="114">
        <v>85</v>
      </c>
      <c r="G323" s="114">
        <v>85</v>
      </c>
      <c r="H323" s="114">
        <v>85</v>
      </c>
      <c r="I323" s="114">
        <v>85</v>
      </c>
      <c r="J323" s="114">
        <v>85</v>
      </c>
      <c r="K323" s="114">
        <v>85</v>
      </c>
      <c r="L323" s="114">
        <v>85</v>
      </c>
      <c r="M323" s="114">
        <v>85</v>
      </c>
      <c r="N323" s="114">
        <v>85</v>
      </c>
      <c r="O323" s="114">
        <v>85</v>
      </c>
      <c r="P323" s="114">
        <v>85</v>
      </c>
      <c r="Q323" s="114">
        <v>85</v>
      </c>
      <c r="R323" s="114">
        <v>85</v>
      </c>
      <c r="S323" s="114">
        <v>85</v>
      </c>
      <c r="T323" s="114">
        <v>85</v>
      </c>
      <c r="U323" s="114">
        <v>85</v>
      </c>
      <c r="V323" s="114">
        <v>85</v>
      </c>
      <c r="W323" s="114">
        <v>85</v>
      </c>
      <c r="X323" s="114">
        <v>85</v>
      </c>
      <c r="Y323" s="114">
        <v>85</v>
      </c>
      <c r="Z323" s="114">
        <v>85</v>
      </c>
      <c r="AA323" s="114">
        <v>85</v>
      </c>
      <c r="AB323" s="114">
        <v>85</v>
      </c>
      <c r="AC323" s="114">
        <v>85</v>
      </c>
      <c r="AD323" s="114">
        <v>85</v>
      </c>
      <c r="AE323" s="114">
        <v>85</v>
      </c>
      <c r="AF323" s="114">
        <v>85</v>
      </c>
      <c r="AG323" s="114">
        <v>85</v>
      </c>
      <c r="AH323" s="114">
        <v>85</v>
      </c>
      <c r="AI323" s="114">
        <v>85</v>
      </c>
      <c r="AJ323" s="114">
        <v>85</v>
      </c>
      <c r="AK323" s="114">
        <v>85</v>
      </c>
      <c r="AL323" s="114">
        <v>85</v>
      </c>
      <c r="AM323" s="114">
        <v>85</v>
      </c>
    </row>
    <row r="324" spans="1:39" x14ac:dyDescent="0.2">
      <c r="A324" s="8"/>
      <c r="B324" s="109" t="s">
        <v>114</v>
      </c>
      <c r="C324" s="108" t="s">
        <v>63</v>
      </c>
      <c r="D324" s="95" t="s">
        <v>1122</v>
      </c>
      <c r="E324" s="102"/>
      <c r="F324" s="114">
        <v>85</v>
      </c>
      <c r="G324" s="114">
        <v>85</v>
      </c>
      <c r="H324" s="114">
        <v>85</v>
      </c>
      <c r="I324" s="114">
        <v>85</v>
      </c>
      <c r="J324" s="114">
        <v>85</v>
      </c>
      <c r="K324" s="114">
        <v>85</v>
      </c>
      <c r="L324" s="114">
        <v>85</v>
      </c>
      <c r="M324" s="114">
        <v>85</v>
      </c>
      <c r="N324" s="114">
        <v>85</v>
      </c>
      <c r="O324" s="114">
        <v>85</v>
      </c>
      <c r="P324" s="114">
        <v>85</v>
      </c>
      <c r="Q324" s="114">
        <v>85</v>
      </c>
      <c r="R324" s="114">
        <v>85</v>
      </c>
      <c r="S324" s="114">
        <v>85</v>
      </c>
      <c r="T324" s="114">
        <v>85</v>
      </c>
      <c r="U324" s="114">
        <v>85</v>
      </c>
      <c r="V324" s="114">
        <v>85</v>
      </c>
      <c r="W324" s="114">
        <v>85</v>
      </c>
      <c r="X324" s="114">
        <v>85</v>
      </c>
      <c r="Y324" s="114">
        <v>85</v>
      </c>
      <c r="Z324" s="114">
        <v>85</v>
      </c>
      <c r="AA324" s="114">
        <v>85</v>
      </c>
      <c r="AB324" s="114">
        <v>85</v>
      </c>
      <c r="AC324" s="114">
        <v>85</v>
      </c>
      <c r="AD324" s="114">
        <v>85</v>
      </c>
      <c r="AE324" s="114">
        <v>85</v>
      </c>
      <c r="AF324" s="114">
        <v>85</v>
      </c>
      <c r="AG324" s="114">
        <v>85</v>
      </c>
      <c r="AH324" s="114">
        <v>85</v>
      </c>
      <c r="AI324" s="114">
        <v>85</v>
      </c>
      <c r="AJ324" s="114">
        <v>85</v>
      </c>
      <c r="AK324" s="114">
        <v>85</v>
      </c>
      <c r="AL324" s="114">
        <v>85</v>
      </c>
      <c r="AM324" s="114">
        <v>85</v>
      </c>
    </row>
    <row r="325" spans="1:39" x14ac:dyDescent="0.2">
      <c r="A325" s="8"/>
      <c r="B325" s="109" t="s">
        <v>115</v>
      </c>
      <c r="C325" s="108" t="s">
        <v>63</v>
      </c>
      <c r="D325" s="95" t="s">
        <v>1122</v>
      </c>
      <c r="E325" s="102"/>
      <c r="F325" s="114">
        <v>85</v>
      </c>
      <c r="G325" s="114">
        <v>85</v>
      </c>
      <c r="H325" s="114">
        <v>85</v>
      </c>
      <c r="I325" s="114">
        <v>85</v>
      </c>
      <c r="J325" s="114">
        <v>85</v>
      </c>
      <c r="K325" s="114">
        <v>85</v>
      </c>
      <c r="L325" s="114">
        <v>85</v>
      </c>
      <c r="M325" s="114">
        <v>85</v>
      </c>
      <c r="N325" s="114">
        <v>85</v>
      </c>
      <c r="O325" s="114">
        <v>85</v>
      </c>
      <c r="P325" s="114">
        <v>85</v>
      </c>
      <c r="Q325" s="114">
        <v>85</v>
      </c>
      <c r="R325" s="114">
        <v>85</v>
      </c>
      <c r="S325" s="114">
        <v>85</v>
      </c>
      <c r="T325" s="114">
        <v>85</v>
      </c>
      <c r="U325" s="114">
        <v>85</v>
      </c>
      <c r="V325" s="114">
        <v>85</v>
      </c>
      <c r="W325" s="114">
        <v>85</v>
      </c>
      <c r="X325" s="114">
        <v>85</v>
      </c>
      <c r="Y325" s="114">
        <v>85</v>
      </c>
      <c r="Z325" s="114">
        <v>85</v>
      </c>
      <c r="AA325" s="114">
        <v>85</v>
      </c>
      <c r="AB325" s="114">
        <v>85</v>
      </c>
      <c r="AC325" s="114">
        <v>85</v>
      </c>
      <c r="AD325" s="114">
        <v>85</v>
      </c>
      <c r="AE325" s="114">
        <v>85</v>
      </c>
      <c r="AF325" s="114">
        <v>85</v>
      </c>
      <c r="AG325" s="114">
        <v>85</v>
      </c>
      <c r="AH325" s="114">
        <v>85</v>
      </c>
      <c r="AI325" s="114">
        <v>85</v>
      </c>
      <c r="AJ325" s="114">
        <v>85</v>
      </c>
      <c r="AK325" s="114">
        <v>85</v>
      </c>
      <c r="AL325" s="114">
        <v>85</v>
      </c>
      <c r="AM325" s="114">
        <v>85</v>
      </c>
    </row>
    <row r="326" spans="1:39" x14ac:dyDescent="0.2">
      <c r="A326" s="8"/>
      <c r="B326" s="109" t="s">
        <v>116</v>
      </c>
      <c r="C326" s="108" t="s">
        <v>63</v>
      </c>
      <c r="D326" s="95" t="s">
        <v>1122</v>
      </c>
      <c r="E326" s="102"/>
      <c r="F326" s="114">
        <v>25</v>
      </c>
      <c r="G326" s="114">
        <v>25</v>
      </c>
      <c r="H326" s="114">
        <v>25</v>
      </c>
      <c r="I326" s="114">
        <v>25</v>
      </c>
      <c r="J326" s="114">
        <v>25</v>
      </c>
      <c r="K326" s="114">
        <v>25</v>
      </c>
      <c r="L326" s="114">
        <v>25</v>
      </c>
      <c r="M326" s="114">
        <v>25</v>
      </c>
      <c r="N326" s="114">
        <v>25</v>
      </c>
      <c r="O326" s="114">
        <v>25</v>
      </c>
      <c r="P326" s="114">
        <v>25</v>
      </c>
      <c r="Q326" s="114">
        <v>25</v>
      </c>
      <c r="R326" s="114">
        <v>25</v>
      </c>
      <c r="S326" s="114">
        <v>25</v>
      </c>
      <c r="T326" s="114">
        <v>25</v>
      </c>
      <c r="U326" s="114">
        <v>25</v>
      </c>
      <c r="V326" s="114">
        <v>25</v>
      </c>
      <c r="W326" s="114">
        <v>25</v>
      </c>
      <c r="X326" s="114">
        <v>25</v>
      </c>
      <c r="Y326" s="114">
        <v>25</v>
      </c>
      <c r="Z326" s="114">
        <v>25</v>
      </c>
      <c r="AA326" s="114">
        <v>25</v>
      </c>
      <c r="AB326" s="114">
        <v>25</v>
      </c>
      <c r="AC326" s="114">
        <v>25</v>
      </c>
      <c r="AD326" s="114">
        <v>25</v>
      </c>
      <c r="AE326" s="114">
        <v>25</v>
      </c>
      <c r="AF326" s="114">
        <v>25</v>
      </c>
      <c r="AG326" s="114">
        <v>25</v>
      </c>
      <c r="AH326" s="114">
        <v>25</v>
      </c>
      <c r="AI326" s="114">
        <v>25</v>
      </c>
      <c r="AJ326" s="114">
        <v>25</v>
      </c>
      <c r="AK326" s="114">
        <v>25</v>
      </c>
      <c r="AL326" s="114">
        <v>25</v>
      </c>
      <c r="AM326" s="114">
        <v>25</v>
      </c>
    </row>
    <row r="327" spans="1:39" x14ac:dyDescent="0.2">
      <c r="A327" s="8"/>
      <c r="B327" s="109" t="s">
        <v>117</v>
      </c>
      <c r="C327" s="108" t="s">
        <v>63</v>
      </c>
      <c r="D327" s="95" t="s">
        <v>1122</v>
      </c>
      <c r="E327" s="102"/>
      <c r="F327" s="114">
        <v>25</v>
      </c>
      <c r="G327" s="114">
        <v>25</v>
      </c>
      <c r="H327" s="114">
        <v>25</v>
      </c>
      <c r="I327" s="114">
        <v>25</v>
      </c>
      <c r="J327" s="114">
        <v>25</v>
      </c>
      <c r="K327" s="114">
        <v>25</v>
      </c>
      <c r="L327" s="114">
        <v>25</v>
      </c>
      <c r="M327" s="114">
        <v>25</v>
      </c>
      <c r="N327" s="114">
        <v>25</v>
      </c>
      <c r="O327" s="114">
        <v>25</v>
      </c>
      <c r="P327" s="114">
        <v>25</v>
      </c>
      <c r="Q327" s="114">
        <v>25</v>
      </c>
      <c r="R327" s="114">
        <v>25</v>
      </c>
      <c r="S327" s="114">
        <v>25</v>
      </c>
      <c r="T327" s="114">
        <v>25</v>
      </c>
      <c r="U327" s="114">
        <v>25</v>
      </c>
      <c r="V327" s="114">
        <v>25</v>
      </c>
      <c r="W327" s="114">
        <v>25</v>
      </c>
      <c r="X327" s="114">
        <v>25</v>
      </c>
      <c r="Y327" s="114">
        <v>25</v>
      </c>
      <c r="Z327" s="114">
        <v>25</v>
      </c>
      <c r="AA327" s="114">
        <v>25</v>
      </c>
      <c r="AB327" s="114">
        <v>25</v>
      </c>
      <c r="AC327" s="114">
        <v>25</v>
      </c>
      <c r="AD327" s="114">
        <v>25</v>
      </c>
      <c r="AE327" s="114">
        <v>25</v>
      </c>
      <c r="AF327" s="114">
        <v>25</v>
      </c>
      <c r="AG327" s="114">
        <v>25</v>
      </c>
      <c r="AH327" s="114">
        <v>25</v>
      </c>
      <c r="AI327" s="114">
        <v>25</v>
      </c>
      <c r="AJ327" s="114">
        <v>25</v>
      </c>
      <c r="AK327" s="114">
        <v>25</v>
      </c>
      <c r="AL327" s="114">
        <v>25</v>
      </c>
      <c r="AM327" s="114">
        <v>25</v>
      </c>
    </row>
    <row r="328" spans="1:39" x14ac:dyDescent="0.2">
      <c r="A328" s="8"/>
      <c r="B328" s="109" t="s">
        <v>118</v>
      </c>
      <c r="C328" s="108" t="s">
        <v>63</v>
      </c>
      <c r="D328" s="95" t="s">
        <v>1122</v>
      </c>
      <c r="E328" s="102"/>
      <c r="F328" s="114">
        <v>70</v>
      </c>
      <c r="G328" s="114">
        <v>70</v>
      </c>
      <c r="H328" s="114">
        <v>70</v>
      </c>
      <c r="I328" s="114">
        <v>70</v>
      </c>
      <c r="J328" s="114">
        <v>70</v>
      </c>
      <c r="K328" s="114">
        <v>70</v>
      </c>
      <c r="L328" s="114">
        <v>70</v>
      </c>
      <c r="M328" s="114">
        <v>70</v>
      </c>
      <c r="N328" s="114">
        <v>70</v>
      </c>
      <c r="O328" s="114">
        <v>70</v>
      </c>
      <c r="P328" s="114">
        <v>70</v>
      </c>
      <c r="Q328" s="114">
        <v>70</v>
      </c>
      <c r="R328" s="114">
        <v>70</v>
      </c>
      <c r="S328" s="114">
        <v>70</v>
      </c>
      <c r="T328" s="114">
        <v>70</v>
      </c>
      <c r="U328" s="114">
        <v>70</v>
      </c>
      <c r="V328" s="114">
        <v>70</v>
      </c>
      <c r="W328" s="114">
        <v>70</v>
      </c>
      <c r="X328" s="114">
        <v>70</v>
      </c>
      <c r="Y328" s="114">
        <v>70</v>
      </c>
      <c r="Z328" s="114">
        <v>70</v>
      </c>
      <c r="AA328" s="114">
        <v>70</v>
      </c>
      <c r="AB328" s="114">
        <v>70</v>
      </c>
      <c r="AC328" s="114">
        <v>70</v>
      </c>
      <c r="AD328" s="114">
        <v>70</v>
      </c>
      <c r="AE328" s="114">
        <v>70</v>
      </c>
      <c r="AF328" s="114">
        <v>70</v>
      </c>
      <c r="AG328" s="114">
        <v>70</v>
      </c>
      <c r="AH328" s="114">
        <v>70</v>
      </c>
      <c r="AI328" s="114">
        <v>70</v>
      </c>
      <c r="AJ328" s="114">
        <v>70</v>
      </c>
      <c r="AK328" s="114">
        <v>70</v>
      </c>
      <c r="AL328" s="114">
        <v>70</v>
      </c>
      <c r="AM328" s="114">
        <v>70</v>
      </c>
    </row>
    <row r="329" spans="1:39" x14ac:dyDescent="0.2">
      <c r="A329" s="8"/>
      <c r="B329" s="109" t="s">
        <v>119</v>
      </c>
      <c r="C329" s="108" t="s">
        <v>63</v>
      </c>
      <c r="D329" s="95" t="s">
        <v>1122</v>
      </c>
      <c r="E329" s="102"/>
      <c r="F329" s="114">
        <v>70</v>
      </c>
      <c r="G329" s="114">
        <v>70</v>
      </c>
      <c r="H329" s="114">
        <v>70</v>
      </c>
      <c r="I329" s="114">
        <v>70</v>
      </c>
      <c r="J329" s="114">
        <v>70</v>
      </c>
      <c r="K329" s="114">
        <v>70</v>
      </c>
      <c r="L329" s="114">
        <v>70</v>
      </c>
      <c r="M329" s="114">
        <v>70</v>
      </c>
      <c r="N329" s="114">
        <v>70</v>
      </c>
      <c r="O329" s="114">
        <v>70</v>
      </c>
      <c r="P329" s="114">
        <v>70</v>
      </c>
      <c r="Q329" s="114">
        <v>70</v>
      </c>
      <c r="R329" s="114">
        <v>70</v>
      </c>
      <c r="S329" s="114">
        <v>70</v>
      </c>
      <c r="T329" s="114">
        <v>70</v>
      </c>
      <c r="U329" s="114">
        <v>70</v>
      </c>
      <c r="V329" s="114">
        <v>70</v>
      </c>
      <c r="W329" s="114">
        <v>70</v>
      </c>
      <c r="X329" s="114">
        <v>70</v>
      </c>
      <c r="Y329" s="114">
        <v>70</v>
      </c>
      <c r="Z329" s="114">
        <v>70</v>
      </c>
      <c r="AA329" s="114">
        <v>70</v>
      </c>
      <c r="AB329" s="114">
        <v>70</v>
      </c>
      <c r="AC329" s="114">
        <v>70</v>
      </c>
      <c r="AD329" s="114">
        <v>70</v>
      </c>
      <c r="AE329" s="114">
        <v>70</v>
      </c>
      <c r="AF329" s="114">
        <v>70</v>
      </c>
      <c r="AG329" s="114">
        <v>70</v>
      </c>
      <c r="AH329" s="114">
        <v>70</v>
      </c>
      <c r="AI329" s="114">
        <v>70</v>
      </c>
      <c r="AJ329" s="114">
        <v>70</v>
      </c>
      <c r="AK329" s="114">
        <v>70</v>
      </c>
      <c r="AL329" s="114">
        <v>70</v>
      </c>
      <c r="AM329" s="114">
        <v>70</v>
      </c>
    </row>
    <row r="330" spans="1:39" x14ac:dyDescent="0.2">
      <c r="A330" s="8"/>
      <c r="B330" s="109" t="s">
        <v>120</v>
      </c>
      <c r="C330" s="108" t="s">
        <v>63</v>
      </c>
      <c r="D330" s="95" t="s">
        <v>1122</v>
      </c>
      <c r="E330" s="102"/>
      <c r="F330" s="114">
        <v>5</v>
      </c>
      <c r="G330" s="114">
        <v>5</v>
      </c>
      <c r="H330" s="114">
        <v>5</v>
      </c>
      <c r="I330" s="114">
        <v>5</v>
      </c>
      <c r="J330" s="114">
        <v>5</v>
      </c>
      <c r="K330" s="114">
        <v>5</v>
      </c>
      <c r="L330" s="114">
        <v>5</v>
      </c>
      <c r="M330" s="114">
        <v>5</v>
      </c>
      <c r="N330" s="114">
        <v>5</v>
      </c>
      <c r="O330" s="114">
        <v>5</v>
      </c>
      <c r="P330" s="114">
        <v>5</v>
      </c>
      <c r="Q330" s="114">
        <v>5</v>
      </c>
      <c r="R330" s="114">
        <v>5</v>
      </c>
      <c r="S330" s="114">
        <v>5</v>
      </c>
      <c r="T330" s="114">
        <v>5</v>
      </c>
      <c r="U330" s="114">
        <v>5</v>
      </c>
      <c r="V330" s="114">
        <v>5</v>
      </c>
      <c r="W330" s="114">
        <v>5</v>
      </c>
      <c r="X330" s="114">
        <v>5</v>
      </c>
      <c r="Y330" s="114">
        <v>5</v>
      </c>
      <c r="Z330" s="114">
        <v>5</v>
      </c>
      <c r="AA330" s="114">
        <v>5</v>
      </c>
      <c r="AB330" s="114">
        <v>5</v>
      </c>
      <c r="AC330" s="114">
        <v>5</v>
      </c>
      <c r="AD330" s="114">
        <v>5</v>
      </c>
      <c r="AE330" s="114">
        <v>5</v>
      </c>
      <c r="AF330" s="114">
        <v>5</v>
      </c>
      <c r="AG330" s="114">
        <v>5</v>
      </c>
      <c r="AH330" s="114">
        <v>5</v>
      </c>
      <c r="AI330" s="114">
        <v>5</v>
      </c>
      <c r="AJ330" s="114">
        <v>5</v>
      </c>
      <c r="AK330" s="114">
        <v>5</v>
      </c>
      <c r="AL330" s="114">
        <v>5</v>
      </c>
      <c r="AM330" s="114">
        <v>5</v>
      </c>
    </row>
    <row r="331" spans="1:39" x14ac:dyDescent="0.2">
      <c r="A331" s="8"/>
      <c r="B331" s="109" t="s">
        <v>127</v>
      </c>
      <c r="C331" s="108" t="s">
        <v>63</v>
      </c>
      <c r="D331" s="95" t="s">
        <v>1122</v>
      </c>
      <c r="E331" s="102"/>
      <c r="F331" s="114">
        <v>5</v>
      </c>
      <c r="G331" s="114">
        <v>5</v>
      </c>
      <c r="H331" s="114">
        <v>5</v>
      </c>
      <c r="I331" s="114">
        <v>5</v>
      </c>
      <c r="J331" s="114">
        <v>5</v>
      </c>
      <c r="K331" s="114">
        <v>5</v>
      </c>
      <c r="L331" s="114">
        <v>5</v>
      </c>
      <c r="M331" s="114">
        <v>5</v>
      </c>
      <c r="N331" s="114">
        <v>5</v>
      </c>
      <c r="O331" s="114">
        <v>5</v>
      </c>
      <c r="P331" s="114">
        <v>5</v>
      </c>
      <c r="Q331" s="114">
        <v>5</v>
      </c>
      <c r="R331" s="114">
        <v>5</v>
      </c>
      <c r="S331" s="114">
        <v>5</v>
      </c>
      <c r="T331" s="114">
        <v>5</v>
      </c>
      <c r="U331" s="114">
        <v>5</v>
      </c>
      <c r="V331" s="114">
        <v>5</v>
      </c>
      <c r="W331" s="114">
        <v>5</v>
      </c>
      <c r="X331" s="114">
        <v>5</v>
      </c>
      <c r="Y331" s="114">
        <v>5</v>
      </c>
      <c r="Z331" s="114">
        <v>5</v>
      </c>
      <c r="AA331" s="114">
        <v>5</v>
      </c>
      <c r="AB331" s="114">
        <v>5</v>
      </c>
      <c r="AC331" s="114">
        <v>5</v>
      </c>
      <c r="AD331" s="114">
        <v>5</v>
      </c>
      <c r="AE331" s="114">
        <v>5</v>
      </c>
      <c r="AF331" s="114">
        <v>5</v>
      </c>
      <c r="AG331" s="114">
        <v>5</v>
      </c>
      <c r="AH331" s="114">
        <v>5</v>
      </c>
      <c r="AI331" s="114">
        <v>5</v>
      </c>
      <c r="AJ331" s="114">
        <v>5</v>
      </c>
      <c r="AK331" s="114">
        <v>5</v>
      </c>
      <c r="AL331" s="114">
        <v>5</v>
      </c>
      <c r="AM331" s="114">
        <v>5</v>
      </c>
    </row>
    <row r="332" spans="1:39" x14ac:dyDescent="0.2">
      <c r="A332" s="8"/>
      <c r="B332" s="109" t="s">
        <v>128</v>
      </c>
      <c r="C332" s="108" t="s">
        <v>63</v>
      </c>
      <c r="D332" s="95" t="s">
        <v>1122</v>
      </c>
      <c r="E332" s="102"/>
      <c r="F332" s="114">
        <v>5</v>
      </c>
      <c r="G332" s="114">
        <v>5</v>
      </c>
      <c r="H332" s="114">
        <v>5</v>
      </c>
      <c r="I332" s="114">
        <v>5</v>
      </c>
      <c r="J332" s="114">
        <v>5</v>
      </c>
      <c r="K332" s="114">
        <v>5</v>
      </c>
      <c r="L332" s="114">
        <v>5</v>
      </c>
      <c r="M332" s="114">
        <v>5</v>
      </c>
      <c r="N332" s="114">
        <v>5</v>
      </c>
      <c r="O332" s="114">
        <v>5</v>
      </c>
      <c r="P332" s="114">
        <v>5</v>
      </c>
      <c r="Q332" s="114">
        <v>5</v>
      </c>
      <c r="R332" s="114">
        <v>5</v>
      </c>
      <c r="S332" s="114">
        <v>5</v>
      </c>
      <c r="T332" s="114">
        <v>5</v>
      </c>
      <c r="U332" s="114">
        <v>5</v>
      </c>
      <c r="V332" s="114">
        <v>5</v>
      </c>
      <c r="W332" s="114">
        <v>5</v>
      </c>
      <c r="X332" s="114">
        <v>5</v>
      </c>
      <c r="Y332" s="114">
        <v>5</v>
      </c>
      <c r="Z332" s="114">
        <v>5</v>
      </c>
      <c r="AA332" s="114">
        <v>5</v>
      </c>
      <c r="AB332" s="114">
        <v>5</v>
      </c>
      <c r="AC332" s="114">
        <v>5</v>
      </c>
      <c r="AD332" s="114">
        <v>5</v>
      </c>
      <c r="AE332" s="114">
        <v>5</v>
      </c>
      <c r="AF332" s="114">
        <v>5</v>
      </c>
      <c r="AG332" s="114">
        <v>5</v>
      </c>
      <c r="AH332" s="114">
        <v>5</v>
      </c>
      <c r="AI332" s="114">
        <v>5</v>
      </c>
      <c r="AJ332" s="114">
        <v>5</v>
      </c>
      <c r="AK332" s="114">
        <v>5</v>
      </c>
      <c r="AL332" s="114">
        <v>5</v>
      </c>
      <c r="AM332" s="114">
        <v>5</v>
      </c>
    </row>
    <row r="333" spans="1:39" x14ac:dyDescent="0.2">
      <c r="A333" s="8"/>
      <c r="B333" s="109" t="s">
        <v>174</v>
      </c>
      <c r="C333" s="108" t="s">
        <v>63</v>
      </c>
      <c r="D333" s="95" t="s">
        <v>1122</v>
      </c>
      <c r="E333" s="102"/>
      <c r="F333" s="114">
        <v>0</v>
      </c>
      <c r="G333" s="114">
        <v>0</v>
      </c>
      <c r="H333" s="114">
        <v>0</v>
      </c>
      <c r="I333" s="114">
        <v>0</v>
      </c>
      <c r="J333" s="114">
        <v>0</v>
      </c>
      <c r="K333" s="114">
        <v>0</v>
      </c>
      <c r="L333" s="114">
        <v>0</v>
      </c>
      <c r="M333" s="114">
        <v>0</v>
      </c>
      <c r="N333" s="114">
        <v>0</v>
      </c>
      <c r="O333" s="114">
        <v>0</v>
      </c>
      <c r="P333" s="114">
        <v>0</v>
      </c>
      <c r="Q333" s="114">
        <v>0</v>
      </c>
      <c r="R333" s="114">
        <v>0</v>
      </c>
      <c r="S333" s="114">
        <v>0</v>
      </c>
      <c r="T333" s="114">
        <v>0</v>
      </c>
      <c r="U333" s="114">
        <v>0</v>
      </c>
      <c r="V333" s="114">
        <v>0</v>
      </c>
      <c r="W333" s="114">
        <v>0</v>
      </c>
      <c r="X333" s="114">
        <v>0</v>
      </c>
      <c r="Y333" s="114">
        <v>0</v>
      </c>
      <c r="Z333" s="114">
        <v>0</v>
      </c>
      <c r="AA333" s="114">
        <v>0</v>
      </c>
      <c r="AB333" s="114">
        <v>0</v>
      </c>
      <c r="AC333" s="114">
        <v>0</v>
      </c>
      <c r="AD333" s="114">
        <v>0</v>
      </c>
      <c r="AE333" s="114">
        <v>0</v>
      </c>
      <c r="AF333" s="114">
        <v>0</v>
      </c>
      <c r="AG333" s="114">
        <v>0</v>
      </c>
      <c r="AH333" s="114">
        <v>0</v>
      </c>
      <c r="AI333" s="114">
        <v>0</v>
      </c>
      <c r="AJ333" s="114">
        <v>0</v>
      </c>
      <c r="AK333" s="114">
        <v>0</v>
      </c>
      <c r="AL333" s="114">
        <v>0</v>
      </c>
      <c r="AM333" s="114">
        <v>0</v>
      </c>
    </row>
    <row r="334" spans="1:39" x14ac:dyDescent="0.2">
      <c r="A334" s="8"/>
      <c r="B334" s="109"/>
      <c r="C334" s="108"/>
      <c r="D334" s="276"/>
      <c r="E334" s="102"/>
      <c r="F334" s="114"/>
      <c r="G334" s="114"/>
      <c r="H334" s="114"/>
      <c r="I334" s="114"/>
      <c r="J334" s="114"/>
      <c r="K334" s="114"/>
      <c r="L334" s="114"/>
      <c r="M334" s="114"/>
      <c r="N334" s="114"/>
      <c r="O334" s="114"/>
      <c r="P334" s="114"/>
      <c r="Q334" s="114"/>
      <c r="R334" s="114"/>
      <c r="S334" s="114"/>
      <c r="T334" s="114"/>
      <c r="U334" s="114"/>
      <c r="V334" s="114"/>
      <c r="W334" s="114"/>
      <c r="X334" s="114"/>
      <c r="Y334" s="114"/>
      <c r="Z334" s="114"/>
      <c r="AA334" s="114"/>
      <c r="AB334" s="114"/>
      <c r="AC334" s="114"/>
      <c r="AD334" s="114"/>
      <c r="AE334" s="114"/>
      <c r="AF334" s="114"/>
      <c r="AG334" s="114"/>
      <c r="AH334" s="114"/>
      <c r="AI334" s="114"/>
      <c r="AJ334" s="114"/>
      <c r="AK334" s="114"/>
      <c r="AL334" s="114"/>
      <c r="AM334" s="107"/>
    </row>
    <row r="335" spans="1:39" x14ac:dyDescent="0.2">
      <c r="A335" s="8"/>
      <c r="B335" s="99" t="s">
        <v>831</v>
      </c>
      <c r="C335" s="98"/>
      <c r="D335" s="93"/>
      <c r="E335" s="102"/>
      <c r="F335" s="114"/>
      <c r="G335" s="114"/>
      <c r="H335" s="114"/>
      <c r="I335" s="114"/>
      <c r="J335" s="114"/>
      <c r="K335" s="114"/>
      <c r="L335" s="114"/>
      <c r="M335" s="114"/>
      <c r="N335" s="114"/>
      <c r="O335" s="114"/>
      <c r="P335" s="114"/>
      <c r="Q335" s="114"/>
      <c r="R335" s="114"/>
      <c r="S335" s="114"/>
      <c r="T335" s="114"/>
      <c r="U335" s="114"/>
      <c r="V335" s="114"/>
      <c r="W335" s="114"/>
      <c r="X335" s="114"/>
      <c r="Y335" s="114"/>
      <c r="Z335" s="114"/>
      <c r="AA335" s="114"/>
      <c r="AB335" s="114"/>
      <c r="AC335" s="114"/>
      <c r="AD335" s="114"/>
      <c r="AE335" s="114"/>
      <c r="AF335" s="114"/>
      <c r="AG335" s="114"/>
      <c r="AH335" s="114"/>
      <c r="AI335" s="114"/>
      <c r="AJ335" s="114"/>
      <c r="AK335" s="114"/>
      <c r="AL335" s="114"/>
      <c r="AM335" s="107"/>
    </row>
    <row r="336" spans="1:39" x14ac:dyDescent="0.2">
      <c r="A336" s="8"/>
      <c r="B336" s="109" t="s">
        <v>86</v>
      </c>
      <c r="C336" s="108" t="s">
        <v>832</v>
      </c>
      <c r="D336" s="95" t="s">
        <v>835</v>
      </c>
      <c r="E336" s="102"/>
      <c r="F336" s="266">
        <v>0.40200000000000002</v>
      </c>
      <c r="G336" s="266">
        <v>0.40200000000000002</v>
      </c>
      <c r="H336" s="266">
        <v>0.40200000000000002</v>
      </c>
      <c r="I336" s="266">
        <v>0.40200000000000002</v>
      </c>
      <c r="J336" s="266">
        <v>0.40200000000000002</v>
      </c>
      <c r="K336" s="266">
        <v>0.40200000000000002</v>
      </c>
      <c r="L336" s="266">
        <v>0.40200000000000002</v>
      </c>
      <c r="M336" s="266">
        <v>0.40200000000000002</v>
      </c>
      <c r="N336" s="266">
        <v>0.40200000000000002</v>
      </c>
      <c r="O336" s="266">
        <v>0.40200000000000002</v>
      </c>
      <c r="P336" s="266">
        <v>0.40200000000000002</v>
      </c>
      <c r="Q336" s="266">
        <v>0.40200000000000002</v>
      </c>
      <c r="R336" s="266">
        <v>0.40200000000000002</v>
      </c>
      <c r="S336" s="266">
        <v>0.40200000000000002</v>
      </c>
      <c r="T336" s="266">
        <v>0.40200000000000002</v>
      </c>
      <c r="U336" s="266">
        <v>0.40200000000000002</v>
      </c>
      <c r="V336" s="266">
        <v>0.40200000000000002</v>
      </c>
      <c r="W336" s="266">
        <v>0.40200000000000002</v>
      </c>
      <c r="X336" s="266">
        <v>0.40200000000000002</v>
      </c>
      <c r="Y336" s="266">
        <v>0.40200000000000002</v>
      </c>
      <c r="Z336" s="266">
        <v>0.40200000000000002</v>
      </c>
      <c r="AA336" s="266">
        <v>0.40200000000000002</v>
      </c>
      <c r="AB336" s="266">
        <v>0.40200000000000002</v>
      </c>
      <c r="AC336" s="266">
        <v>0.40200000000000002</v>
      </c>
      <c r="AD336" s="266">
        <v>0.40200000000000002</v>
      </c>
      <c r="AE336" s="266">
        <v>0.40200000000000002</v>
      </c>
      <c r="AF336" s="266">
        <v>0.40200000000000002</v>
      </c>
      <c r="AG336" s="266">
        <v>0.40200000000000002</v>
      </c>
      <c r="AH336" s="266">
        <v>0.40200000000000002</v>
      </c>
      <c r="AI336" s="266">
        <v>0.40200000000000002</v>
      </c>
      <c r="AJ336" s="266">
        <v>0.40200000000000002</v>
      </c>
      <c r="AK336" s="266">
        <v>0.40200000000000002</v>
      </c>
      <c r="AL336" s="266">
        <v>0.40200000000000002</v>
      </c>
      <c r="AM336" s="383">
        <f t="shared" ref="AM336:AM372" si="19">AVERAGE(F336:AL336)</f>
        <v>0.40199999999999975</v>
      </c>
    </row>
    <row r="337" spans="1:39" x14ac:dyDescent="0.2">
      <c r="A337" s="8"/>
      <c r="B337" s="109" t="s">
        <v>88</v>
      </c>
      <c r="C337" s="108" t="s">
        <v>832</v>
      </c>
      <c r="D337" s="95" t="s">
        <v>835</v>
      </c>
      <c r="E337" s="102"/>
      <c r="F337" s="266">
        <v>0.40200000000000002</v>
      </c>
      <c r="G337" s="266">
        <v>0.40200000000000002</v>
      </c>
      <c r="H337" s="266">
        <v>0.40200000000000002</v>
      </c>
      <c r="I337" s="266">
        <v>0.40200000000000002</v>
      </c>
      <c r="J337" s="266">
        <v>0.40200000000000002</v>
      </c>
      <c r="K337" s="266">
        <v>0.40200000000000002</v>
      </c>
      <c r="L337" s="266">
        <v>0.40200000000000002</v>
      </c>
      <c r="M337" s="266">
        <v>0.40200000000000002</v>
      </c>
      <c r="N337" s="266">
        <v>0.40200000000000002</v>
      </c>
      <c r="O337" s="266">
        <v>0.40200000000000002</v>
      </c>
      <c r="P337" s="266">
        <v>0.40200000000000002</v>
      </c>
      <c r="Q337" s="266">
        <v>0.40200000000000002</v>
      </c>
      <c r="R337" s="266">
        <v>0.40200000000000002</v>
      </c>
      <c r="S337" s="266">
        <v>0.40200000000000002</v>
      </c>
      <c r="T337" s="266">
        <v>0.40200000000000002</v>
      </c>
      <c r="U337" s="266">
        <v>0.40200000000000002</v>
      </c>
      <c r="V337" s="266">
        <v>0.40200000000000002</v>
      </c>
      <c r="W337" s="266">
        <v>0.40200000000000002</v>
      </c>
      <c r="X337" s="266">
        <v>0.40200000000000002</v>
      </c>
      <c r="Y337" s="266">
        <v>0.40200000000000002</v>
      </c>
      <c r="Z337" s="266">
        <v>0.40200000000000002</v>
      </c>
      <c r="AA337" s="266">
        <v>0.40200000000000002</v>
      </c>
      <c r="AB337" s="266">
        <v>0.40200000000000002</v>
      </c>
      <c r="AC337" s="266">
        <v>0.40200000000000002</v>
      </c>
      <c r="AD337" s="266">
        <v>0.40200000000000002</v>
      </c>
      <c r="AE337" s="266">
        <v>0.40200000000000002</v>
      </c>
      <c r="AF337" s="266">
        <v>0.40200000000000002</v>
      </c>
      <c r="AG337" s="266">
        <v>0.40200000000000002</v>
      </c>
      <c r="AH337" s="266">
        <v>0.40200000000000002</v>
      </c>
      <c r="AI337" s="266">
        <v>0.40200000000000002</v>
      </c>
      <c r="AJ337" s="266">
        <v>0.40200000000000002</v>
      </c>
      <c r="AK337" s="266">
        <v>0.40200000000000002</v>
      </c>
      <c r="AL337" s="266">
        <v>0.40200000000000002</v>
      </c>
      <c r="AM337" s="383">
        <f t="shared" si="19"/>
        <v>0.40199999999999975</v>
      </c>
    </row>
    <row r="338" spans="1:39" x14ac:dyDescent="0.2">
      <c r="A338" s="8"/>
      <c r="B338" s="109" t="s">
        <v>89</v>
      </c>
      <c r="C338" s="108" t="s">
        <v>832</v>
      </c>
      <c r="D338" s="95" t="s">
        <v>835</v>
      </c>
      <c r="E338" s="102"/>
      <c r="F338" s="266">
        <v>0.44</v>
      </c>
      <c r="G338" s="266">
        <v>0.44</v>
      </c>
      <c r="H338" s="266">
        <v>0.44</v>
      </c>
      <c r="I338" s="266">
        <v>0.44</v>
      </c>
      <c r="J338" s="266">
        <v>0.44</v>
      </c>
      <c r="K338" s="266">
        <v>0.44</v>
      </c>
      <c r="L338" s="266">
        <v>0.44</v>
      </c>
      <c r="M338" s="266">
        <v>0.44</v>
      </c>
      <c r="N338" s="266">
        <v>0.44</v>
      </c>
      <c r="O338" s="266">
        <v>0.44</v>
      </c>
      <c r="P338" s="266">
        <v>0.44</v>
      </c>
      <c r="Q338" s="266">
        <v>0.44</v>
      </c>
      <c r="R338" s="266">
        <v>0.44</v>
      </c>
      <c r="S338" s="266">
        <v>0.44</v>
      </c>
      <c r="T338" s="266">
        <v>0.44</v>
      </c>
      <c r="U338" s="266">
        <v>0.44</v>
      </c>
      <c r="V338" s="266">
        <v>0.44</v>
      </c>
      <c r="W338" s="266">
        <v>0.44</v>
      </c>
      <c r="X338" s="266">
        <v>0.44</v>
      </c>
      <c r="Y338" s="266">
        <v>0.44</v>
      </c>
      <c r="Z338" s="266">
        <v>0.44</v>
      </c>
      <c r="AA338" s="266">
        <v>0.44</v>
      </c>
      <c r="AB338" s="266">
        <v>0.44</v>
      </c>
      <c r="AC338" s="266">
        <v>0.44</v>
      </c>
      <c r="AD338" s="266">
        <v>0.44</v>
      </c>
      <c r="AE338" s="266">
        <v>0.44</v>
      </c>
      <c r="AF338" s="266">
        <v>0.44</v>
      </c>
      <c r="AG338" s="266">
        <v>0.44</v>
      </c>
      <c r="AH338" s="266">
        <v>0.44</v>
      </c>
      <c r="AI338" s="266">
        <v>0.44</v>
      </c>
      <c r="AJ338" s="266">
        <v>0.44</v>
      </c>
      <c r="AK338" s="266">
        <v>0.44</v>
      </c>
      <c r="AL338" s="266">
        <v>0.44</v>
      </c>
      <c r="AM338" s="383">
        <f t="shared" si="19"/>
        <v>0.43999999999999989</v>
      </c>
    </row>
    <row r="339" spans="1:39" x14ac:dyDescent="0.2">
      <c r="A339" s="8"/>
      <c r="B339" s="109" t="s">
        <v>90</v>
      </c>
      <c r="C339" s="108" t="s">
        <v>832</v>
      </c>
      <c r="D339" s="95" t="s">
        <v>835</v>
      </c>
      <c r="E339" s="102"/>
      <c r="F339" s="266">
        <v>0.33100000000000002</v>
      </c>
      <c r="G339" s="266">
        <v>0.33100000000000002</v>
      </c>
      <c r="H339" s="266">
        <v>0.33100000000000002</v>
      </c>
      <c r="I339" s="266">
        <v>0.33100000000000002</v>
      </c>
      <c r="J339" s="266">
        <v>0.33100000000000002</v>
      </c>
      <c r="K339" s="266">
        <v>0.33100000000000002</v>
      </c>
      <c r="L339" s="266">
        <v>0.33100000000000002</v>
      </c>
      <c r="M339" s="266">
        <v>0.33100000000000002</v>
      </c>
      <c r="N339" s="266">
        <v>0.33100000000000002</v>
      </c>
      <c r="O339" s="266">
        <v>0.33100000000000002</v>
      </c>
      <c r="P339" s="266">
        <v>0.33100000000000002</v>
      </c>
      <c r="Q339" s="266">
        <v>0.33100000000000002</v>
      </c>
      <c r="R339" s="266">
        <v>0.33100000000000002</v>
      </c>
      <c r="S339" s="266">
        <v>0.33100000000000002</v>
      </c>
      <c r="T339" s="266">
        <v>0.33100000000000002</v>
      </c>
      <c r="U339" s="266">
        <v>0.33100000000000002</v>
      </c>
      <c r="V339" s="266">
        <v>0.33100000000000002</v>
      </c>
      <c r="W339" s="266">
        <v>0.33100000000000002</v>
      </c>
      <c r="X339" s="266">
        <v>0.33100000000000002</v>
      </c>
      <c r="Y339" s="266">
        <v>0.33100000000000002</v>
      </c>
      <c r="Z339" s="266">
        <v>0.33100000000000002</v>
      </c>
      <c r="AA339" s="266">
        <v>0.33100000000000002</v>
      </c>
      <c r="AB339" s="266">
        <v>0.33100000000000002</v>
      </c>
      <c r="AC339" s="266">
        <v>0.33100000000000002</v>
      </c>
      <c r="AD339" s="266">
        <v>0.33100000000000002</v>
      </c>
      <c r="AE339" s="266">
        <v>0.33100000000000002</v>
      </c>
      <c r="AF339" s="266">
        <v>0.33100000000000002</v>
      </c>
      <c r="AG339" s="266">
        <v>0.33100000000000002</v>
      </c>
      <c r="AH339" s="266">
        <v>0.33100000000000002</v>
      </c>
      <c r="AI339" s="266">
        <v>0.33100000000000002</v>
      </c>
      <c r="AJ339" s="266">
        <v>0.33100000000000002</v>
      </c>
      <c r="AK339" s="266">
        <v>0.33100000000000002</v>
      </c>
      <c r="AL339" s="266">
        <v>0.33100000000000002</v>
      </c>
      <c r="AM339" s="383">
        <f t="shared" si="19"/>
        <v>0.33100000000000002</v>
      </c>
    </row>
    <row r="340" spans="1:39" x14ac:dyDescent="0.2">
      <c r="A340" s="8"/>
      <c r="B340" s="109" t="s">
        <v>91</v>
      </c>
      <c r="C340" s="108" t="s">
        <v>832</v>
      </c>
      <c r="D340" s="95" t="s">
        <v>835</v>
      </c>
      <c r="E340" s="102"/>
      <c r="F340" s="266">
        <v>0.42599999999999999</v>
      </c>
      <c r="G340" s="266">
        <v>0.42599999999999999</v>
      </c>
      <c r="H340" s="266">
        <v>0.42599999999999999</v>
      </c>
      <c r="I340" s="266">
        <v>0.42599999999999999</v>
      </c>
      <c r="J340" s="266">
        <v>0.42599999999999999</v>
      </c>
      <c r="K340" s="266">
        <v>0.42599999999999999</v>
      </c>
      <c r="L340" s="266">
        <v>0.42599999999999999</v>
      </c>
      <c r="M340" s="266">
        <v>0.42599999999999999</v>
      </c>
      <c r="N340" s="266">
        <v>0.42599999999999999</v>
      </c>
      <c r="O340" s="266">
        <v>0.42599999999999999</v>
      </c>
      <c r="P340" s="266">
        <v>0.42599999999999999</v>
      </c>
      <c r="Q340" s="266">
        <v>0.42599999999999999</v>
      </c>
      <c r="R340" s="266">
        <v>0.42599999999999999</v>
      </c>
      <c r="S340" s="266">
        <v>0.42599999999999999</v>
      </c>
      <c r="T340" s="266">
        <v>0.42599999999999999</v>
      </c>
      <c r="U340" s="266">
        <v>0.42599999999999999</v>
      </c>
      <c r="V340" s="266">
        <v>0.42599999999999999</v>
      </c>
      <c r="W340" s="266">
        <v>0.42599999999999999</v>
      </c>
      <c r="X340" s="266">
        <v>0.42599999999999999</v>
      </c>
      <c r="Y340" s="266">
        <v>0.42599999999999999</v>
      </c>
      <c r="Z340" s="266">
        <v>0.42599999999999999</v>
      </c>
      <c r="AA340" s="266">
        <v>0.42599999999999999</v>
      </c>
      <c r="AB340" s="266">
        <v>0.42599999999999999</v>
      </c>
      <c r="AC340" s="266">
        <v>0.42599999999999999</v>
      </c>
      <c r="AD340" s="266">
        <v>0.42599999999999999</v>
      </c>
      <c r="AE340" s="266">
        <v>0.42599999999999999</v>
      </c>
      <c r="AF340" s="266">
        <v>0.42599999999999999</v>
      </c>
      <c r="AG340" s="266">
        <v>0.42599999999999999</v>
      </c>
      <c r="AH340" s="266">
        <v>0.42599999999999999</v>
      </c>
      <c r="AI340" s="266">
        <v>0.42599999999999999</v>
      </c>
      <c r="AJ340" s="266">
        <v>0.42599999999999999</v>
      </c>
      <c r="AK340" s="266">
        <v>0.42599999999999999</v>
      </c>
      <c r="AL340" s="266">
        <v>0.42599999999999999</v>
      </c>
      <c r="AM340" s="383">
        <f t="shared" si="19"/>
        <v>0.4260000000000001</v>
      </c>
    </row>
    <row r="341" spans="1:39" x14ac:dyDescent="0.2">
      <c r="A341" s="8"/>
      <c r="B341" s="109" t="s">
        <v>92</v>
      </c>
      <c r="C341" s="108" t="s">
        <v>832</v>
      </c>
      <c r="D341" s="95" t="s">
        <v>835</v>
      </c>
      <c r="E341" s="102"/>
      <c r="F341" s="266">
        <v>0.39600000000000002</v>
      </c>
      <c r="G341" s="266">
        <v>0.39600000000000002</v>
      </c>
      <c r="H341" s="266">
        <v>0.39600000000000002</v>
      </c>
      <c r="I341" s="266">
        <v>0.39600000000000002</v>
      </c>
      <c r="J341" s="266">
        <v>0.39600000000000002</v>
      </c>
      <c r="K341" s="266">
        <v>0.39600000000000002</v>
      </c>
      <c r="L341" s="266">
        <v>0.39600000000000002</v>
      </c>
      <c r="M341" s="266">
        <v>0.39600000000000002</v>
      </c>
      <c r="N341" s="266">
        <v>0.39600000000000002</v>
      </c>
      <c r="O341" s="266">
        <v>0.39600000000000002</v>
      </c>
      <c r="P341" s="266">
        <v>0.39600000000000002</v>
      </c>
      <c r="Q341" s="266">
        <v>0.39600000000000002</v>
      </c>
      <c r="R341" s="266">
        <v>0.39600000000000002</v>
      </c>
      <c r="S341" s="266">
        <v>0.39600000000000002</v>
      </c>
      <c r="T341" s="266">
        <v>0.39600000000000002</v>
      </c>
      <c r="U341" s="266">
        <v>0.39600000000000002</v>
      </c>
      <c r="V341" s="266">
        <v>0.39600000000000002</v>
      </c>
      <c r="W341" s="266">
        <v>0.39600000000000002</v>
      </c>
      <c r="X341" s="266">
        <v>0.39600000000000002</v>
      </c>
      <c r="Y341" s="266">
        <v>0.39600000000000002</v>
      </c>
      <c r="Z341" s="266">
        <v>0.39600000000000002</v>
      </c>
      <c r="AA341" s="266">
        <v>0.39600000000000002</v>
      </c>
      <c r="AB341" s="266">
        <v>0.39600000000000002</v>
      </c>
      <c r="AC341" s="266">
        <v>0.39600000000000002</v>
      </c>
      <c r="AD341" s="266">
        <v>0.39600000000000002</v>
      </c>
      <c r="AE341" s="266">
        <v>0.39600000000000002</v>
      </c>
      <c r="AF341" s="266">
        <v>0.39600000000000002</v>
      </c>
      <c r="AG341" s="266">
        <v>0.39600000000000002</v>
      </c>
      <c r="AH341" s="266">
        <v>0.39600000000000002</v>
      </c>
      <c r="AI341" s="266">
        <v>0.39600000000000002</v>
      </c>
      <c r="AJ341" s="266">
        <v>0.39600000000000002</v>
      </c>
      <c r="AK341" s="266">
        <v>0.39600000000000002</v>
      </c>
      <c r="AL341" s="266">
        <v>0.39600000000000002</v>
      </c>
      <c r="AM341" s="383">
        <f t="shared" si="19"/>
        <v>0.39600000000000024</v>
      </c>
    </row>
    <row r="342" spans="1:39" x14ac:dyDescent="0.2">
      <c r="A342" s="8"/>
      <c r="B342" s="109" t="s">
        <v>93</v>
      </c>
      <c r="C342" s="108" t="s">
        <v>832</v>
      </c>
      <c r="D342" s="95" t="s">
        <v>835</v>
      </c>
      <c r="E342" s="102"/>
      <c r="F342" s="266">
        <v>0.39600000000000002</v>
      </c>
      <c r="G342" s="266">
        <v>0.39600000000000002</v>
      </c>
      <c r="H342" s="266">
        <v>0.39600000000000002</v>
      </c>
      <c r="I342" s="266">
        <v>0.39600000000000002</v>
      </c>
      <c r="J342" s="266">
        <v>0.39600000000000002</v>
      </c>
      <c r="K342" s="266">
        <v>0.39600000000000002</v>
      </c>
      <c r="L342" s="266">
        <v>0.39600000000000002</v>
      </c>
      <c r="M342" s="266">
        <v>0.39600000000000002</v>
      </c>
      <c r="N342" s="266">
        <v>0.39600000000000002</v>
      </c>
      <c r="O342" s="266">
        <v>0.39600000000000002</v>
      </c>
      <c r="P342" s="266">
        <v>0.39600000000000002</v>
      </c>
      <c r="Q342" s="266">
        <v>0.39600000000000002</v>
      </c>
      <c r="R342" s="266">
        <v>0.39600000000000002</v>
      </c>
      <c r="S342" s="266">
        <v>0.39600000000000002</v>
      </c>
      <c r="T342" s="266">
        <v>0.39600000000000002</v>
      </c>
      <c r="U342" s="266">
        <v>0.39600000000000002</v>
      </c>
      <c r="V342" s="266">
        <v>0.39600000000000002</v>
      </c>
      <c r="W342" s="266">
        <v>0.39600000000000002</v>
      </c>
      <c r="X342" s="266">
        <v>0.39600000000000002</v>
      </c>
      <c r="Y342" s="266">
        <v>0.39600000000000002</v>
      </c>
      <c r="Z342" s="266">
        <v>0.39600000000000002</v>
      </c>
      <c r="AA342" s="266">
        <v>0.39600000000000002</v>
      </c>
      <c r="AB342" s="266">
        <v>0.39600000000000002</v>
      </c>
      <c r="AC342" s="266">
        <v>0.39600000000000002</v>
      </c>
      <c r="AD342" s="266">
        <v>0.39600000000000002</v>
      </c>
      <c r="AE342" s="266">
        <v>0.39600000000000002</v>
      </c>
      <c r="AF342" s="266">
        <v>0.39600000000000002</v>
      </c>
      <c r="AG342" s="266">
        <v>0.39600000000000002</v>
      </c>
      <c r="AH342" s="266">
        <v>0.39600000000000002</v>
      </c>
      <c r="AI342" s="266">
        <v>0.39600000000000002</v>
      </c>
      <c r="AJ342" s="266">
        <v>0.39600000000000002</v>
      </c>
      <c r="AK342" s="266">
        <v>0.39600000000000002</v>
      </c>
      <c r="AL342" s="266">
        <v>0.39600000000000002</v>
      </c>
      <c r="AM342" s="383">
        <f t="shared" si="19"/>
        <v>0.39600000000000024</v>
      </c>
    </row>
    <row r="343" spans="1:39" x14ac:dyDescent="0.2">
      <c r="A343" s="8"/>
      <c r="B343" s="109" t="s">
        <v>94</v>
      </c>
      <c r="C343" s="108" t="s">
        <v>832</v>
      </c>
      <c r="D343" s="95" t="s">
        <v>835</v>
      </c>
      <c r="E343" s="102"/>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266"/>
      <c r="AE343" s="266"/>
      <c r="AF343" s="266"/>
      <c r="AG343" s="266"/>
      <c r="AH343" s="266"/>
      <c r="AI343" s="266"/>
      <c r="AJ343" s="266"/>
      <c r="AK343" s="266"/>
      <c r="AL343" s="266"/>
      <c r="AM343" s="107"/>
    </row>
    <row r="344" spans="1:39" x14ac:dyDescent="0.2">
      <c r="A344" s="8"/>
      <c r="B344" s="109" t="s">
        <v>95</v>
      </c>
      <c r="C344" s="108" t="s">
        <v>832</v>
      </c>
      <c r="D344" s="95" t="s">
        <v>835</v>
      </c>
      <c r="E344" s="102"/>
      <c r="F344" s="266">
        <v>0.16300000000000001</v>
      </c>
      <c r="G344" s="266">
        <v>0.16300000000000001</v>
      </c>
      <c r="H344" s="266">
        <v>0.16300000000000001</v>
      </c>
      <c r="I344" s="266">
        <v>0.16300000000000001</v>
      </c>
      <c r="J344" s="266">
        <v>0.16300000000000001</v>
      </c>
      <c r="K344" s="266">
        <v>0.16300000000000001</v>
      </c>
      <c r="L344" s="266">
        <v>0.16300000000000001</v>
      </c>
      <c r="M344" s="266">
        <v>0.16300000000000001</v>
      </c>
      <c r="N344" s="266">
        <v>0.16300000000000001</v>
      </c>
      <c r="O344" s="266">
        <v>0.16300000000000001</v>
      </c>
      <c r="P344" s="266">
        <v>0.16300000000000001</v>
      </c>
      <c r="Q344" s="266">
        <v>0.16300000000000001</v>
      </c>
      <c r="R344" s="266">
        <v>0.16300000000000001</v>
      </c>
      <c r="S344" s="266">
        <v>0.16300000000000001</v>
      </c>
      <c r="T344" s="266">
        <v>0.16300000000000001</v>
      </c>
      <c r="U344" s="266">
        <v>0.16300000000000001</v>
      </c>
      <c r="V344" s="266">
        <v>0.16300000000000001</v>
      </c>
      <c r="W344" s="266">
        <v>0.16300000000000001</v>
      </c>
      <c r="X344" s="266">
        <v>0.16300000000000001</v>
      </c>
      <c r="Y344" s="266">
        <v>0.16300000000000001</v>
      </c>
      <c r="Z344" s="266">
        <v>0.16300000000000001</v>
      </c>
      <c r="AA344" s="266">
        <v>0.16300000000000001</v>
      </c>
      <c r="AB344" s="266">
        <v>0.16300000000000001</v>
      </c>
      <c r="AC344" s="266">
        <v>0.16300000000000001</v>
      </c>
      <c r="AD344" s="266">
        <v>0.16300000000000001</v>
      </c>
      <c r="AE344" s="266">
        <v>0.16300000000000001</v>
      </c>
      <c r="AF344" s="266">
        <v>0.16300000000000001</v>
      </c>
      <c r="AG344" s="266">
        <v>0.16300000000000001</v>
      </c>
      <c r="AH344" s="266">
        <v>0.16300000000000001</v>
      </c>
      <c r="AI344" s="266">
        <v>0.16300000000000001</v>
      </c>
      <c r="AJ344" s="266">
        <v>0.16300000000000001</v>
      </c>
      <c r="AK344" s="266">
        <v>0.16300000000000001</v>
      </c>
      <c r="AL344" s="266">
        <v>0.16300000000000001</v>
      </c>
      <c r="AM344" s="383">
        <f t="shared" si="19"/>
        <v>0.16300000000000001</v>
      </c>
    </row>
    <row r="345" spans="1:39" x14ac:dyDescent="0.2">
      <c r="A345" s="8"/>
      <c r="B345" s="109" t="s">
        <v>96</v>
      </c>
      <c r="C345" s="108" t="s">
        <v>832</v>
      </c>
      <c r="D345" s="95" t="s">
        <v>835</v>
      </c>
      <c r="E345" s="102"/>
      <c r="F345" s="266">
        <v>0.26</v>
      </c>
      <c r="G345" s="266">
        <v>0.26</v>
      </c>
      <c r="H345" s="266">
        <v>0.26</v>
      </c>
      <c r="I345" s="266">
        <v>0.26</v>
      </c>
      <c r="J345" s="266">
        <v>0.26</v>
      </c>
      <c r="K345" s="266">
        <v>0.26</v>
      </c>
      <c r="L345" s="266">
        <v>0.26</v>
      </c>
      <c r="M345" s="266">
        <v>0.26</v>
      </c>
      <c r="N345" s="266">
        <v>0.26</v>
      </c>
      <c r="O345" s="266">
        <v>0.26</v>
      </c>
      <c r="P345" s="266">
        <v>0.26</v>
      </c>
      <c r="Q345" s="266">
        <v>0.26</v>
      </c>
      <c r="R345" s="266">
        <v>0.26</v>
      </c>
      <c r="S345" s="266">
        <v>0.26</v>
      </c>
      <c r="T345" s="266">
        <v>0.26</v>
      </c>
      <c r="U345" s="266">
        <v>0.26</v>
      </c>
      <c r="V345" s="266">
        <v>0.26</v>
      </c>
      <c r="W345" s="266">
        <v>0.26</v>
      </c>
      <c r="X345" s="266">
        <v>0.26</v>
      </c>
      <c r="Y345" s="266">
        <v>0.26</v>
      </c>
      <c r="Z345" s="266">
        <v>0.26</v>
      </c>
      <c r="AA345" s="266">
        <v>0.26</v>
      </c>
      <c r="AB345" s="266">
        <v>0.26</v>
      </c>
      <c r="AC345" s="266">
        <v>0.26</v>
      </c>
      <c r="AD345" s="266">
        <v>0.26</v>
      </c>
      <c r="AE345" s="266">
        <v>0.26</v>
      </c>
      <c r="AF345" s="266">
        <v>0.26</v>
      </c>
      <c r="AG345" s="266">
        <v>0.26</v>
      </c>
      <c r="AH345" s="266">
        <v>0.26</v>
      </c>
      <c r="AI345" s="266">
        <v>0.26</v>
      </c>
      <c r="AJ345" s="266">
        <v>0.26</v>
      </c>
      <c r="AK345" s="266">
        <v>0.26</v>
      </c>
      <c r="AL345" s="266">
        <v>0.26</v>
      </c>
      <c r="AM345" s="383">
        <f t="shared" si="19"/>
        <v>0.25999999999999984</v>
      </c>
    </row>
    <row r="346" spans="1:39" x14ac:dyDescent="0.2">
      <c r="A346" s="8"/>
      <c r="B346" s="109" t="s">
        <v>97</v>
      </c>
      <c r="C346" s="108" t="s">
        <v>832</v>
      </c>
      <c r="D346" s="95" t="s">
        <v>835</v>
      </c>
      <c r="E346" s="102"/>
      <c r="F346" s="266">
        <v>0.252</v>
      </c>
      <c r="G346" s="266">
        <v>0.252</v>
      </c>
      <c r="H346" s="266">
        <v>0.252</v>
      </c>
      <c r="I346" s="266">
        <v>0.252</v>
      </c>
      <c r="J346" s="266">
        <v>0.252</v>
      </c>
      <c r="K346" s="266">
        <v>0.252</v>
      </c>
      <c r="L346" s="266">
        <v>0.252</v>
      </c>
      <c r="M346" s="266">
        <v>0.252</v>
      </c>
      <c r="N346" s="266">
        <v>0.252</v>
      </c>
      <c r="O346" s="266">
        <v>0.252</v>
      </c>
      <c r="P346" s="266">
        <v>0.252</v>
      </c>
      <c r="Q346" s="266">
        <v>0.252</v>
      </c>
      <c r="R346" s="266">
        <v>0.252</v>
      </c>
      <c r="S346" s="266">
        <v>0.252</v>
      </c>
      <c r="T346" s="266">
        <v>0.252</v>
      </c>
      <c r="U346" s="266">
        <v>0.252</v>
      </c>
      <c r="V346" s="266">
        <v>0.252</v>
      </c>
      <c r="W346" s="266">
        <v>0.252</v>
      </c>
      <c r="X346" s="266">
        <v>0.252</v>
      </c>
      <c r="Y346" s="266">
        <v>0.252</v>
      </c>
      <c r="Z346" s="266">
        <v>0.252</v>
      </c>
      <c r="AA346" s="266">
        <v>0.252</v>
      </c>
      <c r="AB346" s="266">
        <v>0.252</v>
      </c>
      <c r="AC346" s="266">
        <v>0.252</v>
      </c>
      <c r="AD346" s="266">
        <v>0.252</v>
      </c>
      <c r="AE346" s="266">
        <v>0.252</v>
      </c>
      <c r="AF346" s="266">
        <v>0.252</v>
      </c>
      <c r="AG346" s="266">
        <v>0.252</v>
      </c>
      <c r="AH346" s="266">
        <v>0.252</v>
      </c>
      <c r="AI346" s="266">
        <v>0.252</v>
      </c>
      <c r="AJ346" s="266">
        <v>0.252</v>
      </c>
      <c r="AK346" s="266">
        <v>0.252</v>
      </c>
      <c r="AL346" s="266">
        <v>0.252</v>
      </c>
      <c r="AM346" s="383">
        <f t="shared" si="19"/>
        <v>0.25199999999999984</v>
      </c>
    </row>
    <row r="347" spans="1:39" x14ac:dyDescent="0.2">
      <c r="A347" s="8"/>
      <c r="B347" s="109" t="s">
        <v>98</v>
      </c>
      <c r="C347" s="108" t="s">
        <v>832</v>
      </c>
      <c r="D347" s="95" t="s">
        <v>835</v>
      </c>
      <c r="E347" s="102"/>
      <c r="F347" s="266">
        <v>0.22500000000000001</v>
      </c>
      <c r="G347" s="266">
        <v>0.22500000000000001</v>
      </c>
      <c r="H347" s="266">
        <v>0.22500000000000001</v>
      </c>
      <c r="I347" s="266">
        <v>0.22500000000000001</v>
      </c>
      <c r="J347" s="266">
        <v>0.22500000000000001</v>
      </c>
      <c r="K347" s="266">
        <v>0.22500000000000001</v>
      </c>
      <c r="L347" s="266">
        <v>0.22500000000000001</v>
      </c>
      <c r="M347" s="266">
        <v>0.22500000000000001</v>
      </c>
      <c r="N347" s="266">
        <v>0.22500000000000001</v>
      </c>
      <c r="O347" s="266">
        <v>0.22500000000000001</v>
      </c>
      <c r="P347" s="266">
        <v>0.22500000000000001</v>
      </c>
      <c r="Q347" s="266">
        <v>0.22500000000000001</v>
      </c>
      <c r="R347" s="266">
        <v>0.22500000000000001</v>
      </c>
      <c r="S347" s="266">
        <v>0.22500000000000001</v>
      </c>
      <c r="T347" s="266">
        <v>0.22500000000000001</v>
      </c>
      <c r="U347" s="266">
        <v>0.22500000000000001</v>
      </c>
      <c r="V347" s="266">
        <v>0.22500000000000001</v>
      </c>
      <c r="W347" s="266">
        <v>0.22500000000000001</v>
      </c>
      <c r="X347" s="266">
        <v>0.22500000000000001</v>
      </c>
      <c r="Y347" s="266">
        <v>0.22500000000000001</v>
      </c>
      <c r="Z347" s="266">
        <v>0.22500000000000001</v>
      </c>
      <c r="AA347" s="266">
        <v>0.22500000000000001</v>
      </c>
      <c r="AB347" s="266">
        <v>0.22500000000000001</v>
      </c>
      <c r="AC347" s="266">
        <v>0.22500000000000001</v>
      </c>
      <c r="AD347" s="266">
        <v>0.22500000000000001</v>
      </c>
      <c r="AE347" s="266">
        <v>0.22500000000000001</v>
      </c>
      <c r="AF347" s="266">
        <v>0.22500000000000001</v>
      </c>
      <c r="AG347" s="266">
        <v>0.22500000000000001</v>
      </c>
      <c r="AH347" s="266">
        <v>0.22500000000000001</v>
      </c>
      <c r="AI347" s="266">
        <v>0.22500000000000001</v>
      </c>
      <c r="AJ347" s="266">
        <v>0.22500000000000001</v>
      </c>
      <c r="AK347" s="266">
        <v>0.22500000000000001</v>
      </c>
      <c r="AL347" s="266">
        <v>0.22500000000000001</v>
      </c>
      <c r="AM347" s="383">
        <f t="shared" si="19"/>
        <v>0.22499999999999987</v>
      </c>
    </row>
    <row r="348" spans="1:39" x14ac:dyDescent="0.2">
      <c r="A348" s="8"/>
      <c r="B348" s="109" t="s">
        <v>99</v>
      </c>
      <c r="C348" s="108" t="s">
        <v>832</v>
      </c>
      <c r="D348" s="95" t="s">
        <v>835</v>
      </c>
      <c r="E348" s="102"/>
      <c r="F348" s="266">
        <v>0.38600000000000001</v>
      </c>
      <c r="G348" s="266">
        <v>0.38600000000000001</v>
      </c>
      <c r="H348" s="266">
        <v>0.38600000000000001</v>
      </c>
      <c r="I348" s="266">
        <v>0.38600000000000001</v>
      </c>
      <c r="J348" s="266">
        <v>0.38600000000000001</v>
      </c>
      <c r="K348" s="266">
        <v>0.38600000000000001</v>
      </c>
      <c r="L348" s="266">
        <v>0.38600000000000001</v>
      </c>
      <c r="M348" s="266">
        <v>0.38600000000000001</v>
      </c>
      <c r="N348" s="266">
        <v>0.38600000000000001</v>
      </c>
      <c r="O348" s="266">
        <v>0.38600000000000001</v>
      </c>
      <c r="P348" s="266">
        <v>0.38600000000000001</v>
      </c>
      <c r="Q348" s="266">
        <v>0.38600000000000001</v>
      </c>
      <c r="R348" s="266">
        <v>0.38600000000000001</v>
      </c>
      <c r="S348" s="266">
        <v>0.38600000000000001</v>
      </c>
      <c r="T348" s="266">
        <v>0.38600000000000001</v>
      </c>
      <c r="U348" s="266">
        <v>0.38600000000000001</v>
      </c>
      <c r="V348" s="266">
        <v>0.38600000000000001</v>
      </c>
      <c r="W348" s="266">
        <v>0.38600000000000001</v>
      </c>
      <c r="X348" s="266">
        <v>0.38600000000000001</v>
      </c>
      <c r="Y348" s="266">
        <v>0.38600000000000001</v>
      </c>
      <c r="Z348" s="266">
        <v>0.38600000000000001</v>
      </c>
      <c r="AA348" s="266">
        <v>0.38600000000000001</v>
      </c>
      <c r="AB348" s="266">
        <v>0.38600000000000001</v>
      </c>
      <c r="AC348" s="266">
        <v>0.38600000000000001</v>
      </c>
      <c r="AD348" s="266">
        <v>0.38600000000000001</v>
      </c>
      <c r="AE348" s="266">
        <v>0.38600000000000001</v>
      </c>
      <c r="AF348" s="266">
        <v>0.38600000000000001</v>
      </c>
      <c r="AG348" s="266">
        <v>0.38600000000000001</v>
      </c>
      <c r="AH348" s="266">
        <v>0.38600000000000001</v>
      </c>
      <c r="AI348" s="266">
        <v>0.38600000000000001</v>
      </c>
      <c r="AJ348" s="266">
        <v>0.38600000000000001</v>
      </c>
      <c r="AK348" s="266">
        <v>0.38600000000000001</v>
      </c>
      <c r="AL348" s="266">
        <v>0.38600000000000001</v>
      </c>
      <c r="AM348" s="383">
        <f t="shared" si="19"/>
        <v>0.38599999999999979</v>
      </c>
    </row>
    <row r="349" spans="1:39" x14ac:dyDescent="0.2">
      <c r="A349" s="8"/>
      <c r="B349" s="109" t="s">
        <v>100</v>
      </c>
      <c r="C349" s="108" t="s">
        <v>832</v>
      </c>
      <c r="D349" s="95" t="s">
        <v>835</v>
      </c>
      <c r="E349" s="102"/>
      <c r="F349" s="266">
        <v>0.45100000000000001</v>
      </c>
      <c r="G349" s="266">
        <v>0.45100000000000001</v>
      </c>
      <c r="H349" s="266">
        <v>0.45100000000000001</v>
      </c>
      <c r="I349" s="266">
        <v>0.45100000000000001</v>
      </c>
      <c r="J349" s="266">
        <v>0.45100000000000001</v>
      </c>
      <c r="K349" s="266">
        <v>0.45100000000000001</v>
      </c>
      <c r="L349" s="266">
        <v>0.45100000000000001</v>
      </c>
      <c r="M349" s="266">
        <v>0.45100000000000001</v>
      </c>
      <c r="N349" s="266">
        <v>0.45100000000000001</v>
      </c>
      <c r="O349" s="266">
        <v>0.45100000000000001</v>
      </c>
      <c r="P349" s="266">
        <v>0.45100000000000001</v>
      </c>
      <c r="Q349" s="266">
        <v>0.45100000000000001</v>
      </c>
      <c r="R349" s="266">
        <v>0.45100000000000001</v>
      </c>
      <c r="S349" s="266">
        <v>0.45100000000000001</v>
      </c>
      <c r="T349" s="266">
        <v>0.45100000000000001</v>
      </c>
      <c r="U349" s="266">
        <v>0.45100000000000001</v>
      </c>
      <c r="V349" s="266">
        <v>0.45100000000000001</v>
      </c>
      <c r="W349" s="266">
        <v>0.45100000000000001</v>
      </c>
      <c r="X349" s="266">
        <v>0.45100000000000001</v>
      </c>
      <c r="Y349" s="266">
        <v>0.45100000000000001</v>
      </c>
      <c r="Z349" s="266">
        <v>0.45100000000000001</v>
      </c>
      <c r="AA349" s="266">
        <v>0.45100000000000001</v>
      </c>
      <c r="AB349" s="266">
        <v>0.45100000000000001</v>
      </c>
      <c r="AC349" s="266">
        <v>0.45100000000000001</v>
      </c>
      <c r="AD349" s="266">
        <v>0.45100000000000001</v>
      </c>
      <c r="AE349" s="266">
        <v>0.45100000000000001</v>
      </c>
      <c r="AF349" s="266">
        <v>0.45100000000000001</v>
      </c>
      <c r="AG349" s="266">
        <v>0.45100000000000001</v>
      </c>
      <c r="AH349" s="266">
        <v>0.45100000000000001</v>
      </c>
      <c r="AI349" s="266">
        <v>0.45100000000000001</v>
      </c>
      <c r="AJ349" s="266">
        <v>0.45100000000000001</v>
      </c>
      <c r="AK349" s="266">
        <v>0.45100000000000001</v>
      </c>
      <c r="AL349" s="266">
        <v>0.45100000000000001</v>
      </c>
      <c r="AM349" s="383">
        <f t="shared" si="19"/>
        <v>0.45100000000000012</v>
      </c>
    </row>
    <row r="350" spans="1:39" x14ac:dyDescent="0.2">
      <c r="A350" s="8"/>
      <c r="B350" s="109" t="s">
        <v>101</v>
      </c>
      <c r="C350" s="108" t="s">
        <v>832</v>
      </c>
      <c r="D350" s="95" t="s">
        <v>835</v>
      </c>
      <c r="E350" s="102"/>
      <c r="F350" s="266">
        <v>0.41899999999999998</v>
      </c>
      <c r="G350" s="266">
        <v>0.41899999999999998</v>
      </c>
      <c r="H350" s="266">
        <v>0.41899999999999998</v>
      </c>
      <c r="I350" s="266">
        <v>0.41899999999999998</v>
      </c>
      <c r="J350" s="266">
        <v>0.41899999999999998</v>
      </c>
      <c r="K350" s="266">
        <v>0.41899999999999998</v>
      </c>
      <c r="L350" s="266">
        <v>0.41899999999999998</v>
      </c>
      <c r="M350" s="266">
        <v>0.41899999999999998</v>
      </c>
      <c r="N350" s="266">
        <v>0.41899999999999998</v>
      </c>
      <c r="O350" s="266">
        <v>0.41899999999999998</v>
      </c>
      <c r="P350" s="266">
        <v>0.41899999999999998</v>
      </c>
      <c r="Q350" s="266">
        <v>0.41899999999999998</v>
      </c>
      <c r="R350" s="266">
        <v>0.41899999999999998</v>
      </c>
      <c r="S350" s="266">
        <v>0.41899999999999998</v>
      </c>
      <c r="T350" s="266">
        <v>0.41899999999999998</v>
      </c>
      <c r="U350" s="266">
        <v>0.41899999999999998</v>
      </c>
      <c r="V350" s="266">
        <v>0.41899999999999998</v>
      </c>
      <c r="W350" s="266">
        <v>0.41899999999999998</v>
      </c>
      <c r="X350" s="266">
        <v>0.41899999999999998</v>
      </c>
      <c r="Y350" s="266">
        <v>0.41899999999999998</v>
      </c>
      <c r="Z350" s="266">
        <v>0.41899999999999998</v>
      </c>
      <c r="AA350" s="266">
        <v>0.41899999999999998</v>
      </c>
      <c r="AB350" s="266">
        <v>0.41899999999999998</v>
      </c>
      <c r="AC350" s="266">
        <v>0.41899999999999998</v>
      </c>
      <c r="AD350" s="266">
        <v>0.41899999999999998</v>
      </c>
      <c r="AE350" s="266">
        <v>0.41899999999999998</v>
      </c>
      <c r="AF350" s="266">
        <v>0.41899999999999998</v>
      </c>
      <c r="AG350" s="266">
        <v>0.41899999999999998</v>
      </c>
      <c r="AH350" s="266">
        <v>0.41899999999999998</v>
      </c>
      <c r="AI350" s="266">
        <v>0.41899999999999998</v>
      </c>
      <c r="AJ350" s="266">
        <v>0.41899999999999998</v>
      </c>
      <c r="AK350" s="266">
        <v>0.41899999999999998</v>
      </c>
      <c r="AL350" s="266">
        <v>0.41899999999999998</v>
      </c>
      <c r="AM350" s="383">
        <f t="shared" si="19"/>
        <v>0.41900000000000004</v>
      </c>
    </row>
    <row r="351" spans="1:39" x14ac:dyDescent="0.2">
      <c r="A351" s="8"/>
      <c r="B351" s="109" t="s">
        <v>102</v>
      </c>
      <c r="C351" s="108" t="s">
        <v>832</v>
      </c>
      <c r="D351" s="95" t="s">
        <v>835</v>
      </c>
      <c r="E351" s="102"/>
      <c r="F351" s="266">
        <v>0.59099999999999997</v>
      </c>
      <c r="G351" s="266">
        <v>0.59099999999999997</v>
      </c>
      <c r="H351" s="266">
        <v>0.59099999999999997</v>
      </c>
      <c r="I351" s="266">
        <v>0.59099999999999997</v>
      </c>
      <c r="J351" s="266">
        <v>0.59099999999999997</v>
      </c>
      <c r="K351" s="266">
        <v>0.59099999999999997</v>
      </c>
      <c r="L351" s="266">
        <v>0.59099999999999997</v>
      </c>
      <c r="M351" s="266">
        <v>0.59099999999999997</v>
      </c>
      <c r="N351" s="266">
        <v>0.59099999999999997</v>
      </c>
      <c r="O351" s="266">
        <v>0.59099999999999997</v>
      </c>
      <c r="P351" s="266">
        <v>0.59099999999999997</v>
      </c>
      <c r="Q351" s="266">
        <v>0.59099999999999997</v>
      </c>
      <c r="R351" s="266">
        <v>0.59099999999999997</v>
      </c>
      <c r="S351" s="266">
        <v>0.59099999999999997</v>
      </c>
      <c r="T351" s="266">
        <v>0.59099999999999997</v>
      </c>
      <c r="U351" s="266">
        <v>0.59099999999999997</v>
      </c>
      <c r="V351" s="266">
        <v>0.59099999999999997</v>
      </c>
      <c r="W351" s="266">
        <v>0.59099999999999997</v>
      </c>
      <c r="X351" s="266">
        <v>0.59099999999999997</v>
      </c>
      <c r="Y351" s="266">
        <v>0.59099999999999997</v>
      </c>
      <c r="Z351" s="266">
        <v>0.59099999999999997</v>
      </c>
      <c r="AA351" s="266">
        <v>0.59099999999999997</v>
      </c>
      <c r="AB351" s="266">
        <v>0.59099999999999997</v>
      </c>
      <c r="AC351" s="266">
        <v>0.59099999999999997</v>
      </c>
      <c r="AD351" s="266">
        <v>0.59099999999999997</v>
      </c>
      <c r="AE351" s="266">
        <v>0.59099999999999997</v>
      </c>
      <c r="AF351" s="266">
        <v>0.59099999999999997</v>
      </c>
      <c r="AG351" s="266">
        <v>0.59099999999999997</v>
      </c>
      <c r="AH351" s="266">
        <v>0.59099999999999997</v>
      </c>
      <c r="AI351" s="266">
        <v>0.59099999999999997</v>
      </c>
      <c r="AJ351" s="266">
        <v>0.59099999999999997</v>
      </c>
      <c r="AK351" s="266">
        <v>0.59099999999999997</v>
      </c>
      <c r="AL351" s="266">
        <v>0.59099999999999997</v>
      </c>
      <c r="AM351" s="383">
        <f t="shared" si="19"/>
        <v>0.59099999999999986</v>
      </c>
    </row>
    <row r="352" spans="1:39" x14ac:dyDescent="0.2">
      <c r="A352" s="8"/>
      <c r="B352" s="109" t="s">
        <v>103</v>
      </c>
      <c r="C352" s="108" t="s">
        <v>832</v>
      </c>
      <c r="D352" s="95" t="s">
        <v>835</v>
      </c>
      <c r="E352" s="102"/>
      <c r="F352" s="266">
        <v>0.82699999999999996</v>
      </c>
      <c r="G352" s="266">
        <v>0.82699999999999996</v>
      </c>
      <c r="H352" s="266">
        <v>0.82699999999999996</v>
      </c>
      <c r="I352" s="266">
        <v>0.82699999999999996</v>
      </c>
      <c r="J352" s="266">
        <v>0.82699999999999996</v>
      </c>
      <c r="K352" s="266">
        <v>0.82699999999999996</v>
      </c>
      <c r="L352" s="266">
        <v>0.82699999999999996</v>
      </c>
      <c r="M352" s="266">
        <v>0.82699999999999996</v>
      </c>
      <c r="N352" s="266">
        <v>0.82699999999999996</v>
      </c>
      <c r="O352" s="266">
        <v>0.82699999999999996</v>
      </c>
      <c r="P352" s="266">
        <v>0.82699999999999996</v>
      </c>
      <c r="Q352" s="266">
        <v>0.82699999999999996</v>
      </c>
      <c r="R352" s="266">
        <v>0.82699999999999996</v>
      </c>
      <c r="S352" s="266">
        <v>0.82699999999999996</v>
      </c>
      <c r="T352" s="266">
        <v>0.82699999999999996</v>
      </c>
      <c r="U352" s="266">
        <v>0.82699999999999996</v>
      </c>
      <c r="V352" s="266">
        <v>0.82699999999999996</v>
      </c>
      <c r="W352" s="266">
        <v>0.82699999999999996</v>
      </c>
      <c r="X352" s="266">
        <v>0.82699999999999996</v>
      </c>
      <c r="Y352" s="266">
        <v>0.82699999999999996</v>
      </c>
      <c r="Z352" s="266">
        <v>0.82699999999999996</v>
      </c>
      <c r="AA352" s="266">
        <v>0.82699999999999996</v>
      </c>
      <c r="AB352" s="266">
        <v>0.82699999999999996</v>
      </c>
      <c r="AC352" s="266">
        <v>0.82699999999999996</v>
      </c>
      <c r="AD352" s="266">
        <v>0.82699999999999996</v>
      </c>
      <c r="AE352" s="266">
        <v>0.82699999999999996</v>
      </c>
      <c r="AF352" s="266">
        <v>0.82699999999999996</v>
      </c>
      <c r="AG352" s="266">
        <v>0.82699999999999996</v>
      </c>
      <c r="AH352" s="266">
        <v>0.82699999999999996</v>
      </c>
      <c r="AI352" s="266">
        <v>0.82699999999999996</v>
      </c>
      <c r="AJ352" s="266">
        <v>0.82699999999999996</v>
      </c>
      <c r="AK352" s="266">
        <v>0.82699999999999996</v>
      </c>
      <c r="AL352" s="266">
        <v>0.82699999999999996</v>
      </c>
      <c r="AM352" s="383">
        <f t="shared" si="19"/>
        <v>0.82699999999999929</v>
      </c>
    </row>
    <row r="353" spans="1:39" x14ac:dyDescent="0.2">
      <c r="A353" s="8"/>
      <c r="B353" s="109" t="s">
        <v>104</v>
      </c>
      <c r="C353" s="108" t="s">
        <v>832</v>
      </c>
      <c r="D353" s="95" t="s">
        <v>835</v>
      </c>
      <c r="E353" s="102"/>
      <c r="F353" s="266">
        <v>0.67</v>
      </c>
      <c r="G353" s="266">
        <v>0.67</v>
      </c>
      <c r="H353" s="266">
        <v>0.67</v>
      </c>
      <c r="I353" s="266">
        <v>0.67</v>
      </c>
      <c r="J353" s="266">
        <v>0.67</v>
      </c>
      <c r="K353" s="266">
        <v>0.67</v>
      </c>
      <c r="L353" s="266">
        <v>0.67</v>
      </c>
      <c r="M353" s="266">
        <v>0.67</v>
      </c>
      <c r="N353" s="266">
        <v>0.67</v>
      </c>
      <c r="O353" s="266">
        <v>0.67</v>
      </c>
      <c r="P353" s="266">
        <v>0.67</v>
      </c>
      <c r="Q353" s="266">
        <v>0.67</v>
      </c>
      <c r="R353" s="266">
        <v>0.67</v>
      </c>
      <c r="S353" s="266">
        <v>0.67</v>
      </c>
      <c r="T353" s="266">
        <v>0.67</v>
      </c>
      <c r="U353" s="266">
        <v>0.67</v>
      </c>
      <c r="V353" s="266">
        <v>0.67</v>
      </c>
      <c r="W353" s="266">
        <v>0.67</v>
      </c>
      <c r="X353" s="266">
        <v>0.67</v>
      </c>
      <c r="Y353" s="266">
        <v>0.67</v>
      </c>
      <c r="Z353" s="266">
        <v>0.67</v>
      </c>
      <c r="AA353" s="266">
        <v>0.67</v>
      </c>
      <c r="AB353" s="266">
        <v>0.67</v>
      </c>
      <c r="AC353" s="266">
        <v>0.67</v>
      </c>
      <c r="AD353" s="266">
        <v>0.67</v>
      </c>
      <c r="AE353" s="266">
        <v>0.67</v>
      </c>
      <c r="AF353" s="266">
        <v>0.67</v>
      </c>
      <c r="AG353" s="266">
        <v>0.67</v>
      </c>
      <c r="AH353" s="266">
        <v>0.67</v>
      </c>
      <c r="AI353" s="266">
        <v>0.67</v>
      </c>
      <c r="AJ353" s="266">
        <v>0.67</v>
      </c>
      <c r="AK353" s="266">
        <v>0.67</v>
      </c>
      <c r="AL353" s="266">
        <v>0.67</v>
      </c>
      <c r="AM353" s="383">
        <f t="shared" si="19"/>
        <v>0.67000000000000048</v>
      </c>
    </row>
    <row r="354" spans="1:39" x14ac:dyDescent="0.2">
      <c r="A354" s="8"/>
      <c r="B354" s="109" t="s">
        <v>105</v>
      </c>
      <c r="C354" s="108" t="s">
        <v>832</v>
      </c>
      <c r="D354" s="95" t="s">
        <v>835</v>
      </c>
      <c r="E354" s="102"/>
      <c r="F354" s="266">
        <v>0.41899999999999998</v>
      </c>
      <c r="G354" s="266">
        <v>0.41899999999999998</v>
      </c>
      <c r="H354" s="266">
        <v>0.41899999999999998</v>
      </c>
      <c r="I354" s="266">
        <v>0.41899999999999998</v>
      </c>
      <c r="J354" s="266">
        <v>0.41899999999999998</v>
      </c>
      <c r="K354" s="266">
        <v>0.41899999999999998</v>
      </c>
      <c r="L354" s="266">
        <v>0.41899999999999998</v>
      </c>
      <c r="M354" s="266">
        <v>0.41899999999999998</v>
      </c>
      <c r="N354" s="266">
        <v>0.41899999999999998</v>
      </c>
      <c r="O354" s="266">
        <v>0.41899999999999998</v>
      </c>
      <c r="P354" s="266">
        <v>0.41899999999999998</v>
      </c>
      <c r="Q354" s="266">
        <v>0.41899999999999998</v>
      </c>
      <c r="R354" s="266">
        <v>0.41899999999999998</v>
      </c>
      <c r="S354" s="266">
        <v>0.41899999999999998</v>
      </c>
      <c r="T354" s="266">
        <v>0.41899999999999998</v>
      </c>
      <c r="U354" s="266">
        <v>0.41899999999999998</v>
      </c>
      <c r="V354" s="266">
        <v>0.41899999999999998</v>
      </c>
      <c r="W354" s="266">
        <v>0.41899999999999998</v>
      </c>
      <c r="X354" s="266">
        <v>0.41899999999999998</v>
      </c>
      <c r="Y354" s="266">
        <v>0.41899999999999998</v>
      </c>
      <c r="Z354" s="266">
        <v>0.41899999999999998</v>
      </c>
      <c r="AA354" s="266">
        <v>0.41899999999999998</v>
      </c>
      <c r="AB354" s="266">
        <v>0.41899999999999998</v>
      </c>
      <c r="AC354" s="266">
        <v>0.41899999999999998</v>
      </c>
      <c r="AD354" s="266">
        <v>0.41899999999999998</v>
      </c>
      <c r="AE354" s="266">
        <v>0.41899999999999998</v>
      </c>
      <c r="AF354" s="266">
        <v>0.41899999999999998</v>
      </c>
      <c r="AG354" s="266">
        <v>0.41899999999999998</v>
      </c>
      <c r="AH354" s="266">
        <v>0.41899999999999998</v>
      </c>
      <c r="AI354" s="266">
        <v>0.41899999999999998</v>
      </c>
      <c r="AJ354" s="266">
        <v>0.41899999999999998</v>
      </c>
      <c r="AK354" s="266">
        <v>0.41899999999999998</v>
      </c>
      <c r="AL354" s="266">
        <v>0.41899999999999998</v>
      </c>
      <c r="AM354" s="383">
        <f t="shared" si="19"/>
        <v>0.41900000000000004</v>
      </c>
    </row>
    <row r="355" spans="1:39" x14ac:dyDescent="0.2">
      <c r="A355" s="8"/>
      <c r="B355" s="109" t="s">
        <v>106</v>
      </c>
      <c r="C355" s="108" t="s">
        <v>832</v>
      </c>
      <c r="D355" s="95" t="s">
        <v>835</v>
      </c>
      <c r="E355" s="102"/>
      <c r="F355" s="266">
        <v>0.41899999999999998</v>
      </c>
      <c r="G355" s="266">
        <v>0.41899999999999998</v>
      </c>
      <c r="H355" s="266">
        <v>0.41899999999999998</v>
      </c>
      <c r="I355" s="266">
        <v>0.41899999999999998</v>
      </c>
      <c r="J355" s="266">
        <v>0.41899999999999998</v>
      </c>
      <c r="K355" s="266">
        <v>0.41899999999999998</v>
      </c>
      <c r="L355" s="266">
        <v>0.41899999999999998</v>
      </c>
      <c r="M355" s="266">
        <v>0.41899999999999998</v>
      </c>
      <c r="N355" s="266">
        <v>0.41899999999999998</v>
      </c>
      <c r="O355" s="266">
        <v>0.41899999999999998</v>
      </c>
      <c r="P355" s="266">
        <v>0.41899999999999998</v>
      </c>
      <c r="Q355" s="266">
        <v>0.41899999999999998</v>
      </c>
      <c r="R355" s="266">
        <v>0.41899999999999998</v>
      </c>
      <c r="S355" s="266">
        <v>0.41899999999999998</v>
      </c>
      <c r="T355" s="266">
        <v>0.41899999999999998</v>
      </c>
      <c r="U355" s="266">
        <v>0.41899999999999998</v>
      </c>
      <c r="V355" s="266">
        <v>0.41899999999999998</v>
      </c>
      <c r="W355" s="266">
        <v>0.41899999999999998</v>
      </c>
      <c r="X355" s="266">
        <v>0.41899999999999998</v>
      </c>
      <c r="Y355" s="266">
        <v>0.41899999999999998</v>
      </c>
      <c r="Z355" s="266">
        <v>0.41899999999999998</v>
      </c>
      <c r="AA355" s="266">
        <v>0.41899999999999998</v>
      </c>
      <c r="AB355" s="266">
        <v>0.41899999999999998</v>
      </c>
      <c r="AC355" s="266">
        <v>0.41899999999999998</v>
      </c>
      <c r="AD355" s="266">
        <v>0.41899999999999998</v>
      </c>
      <c r="AE355" s="266">
        <v>0.41899999999999998</v>
      </c>
      <c r="AF355" s="266">
        <v>0.41899999999999998</v>
      </c>
      <c r="AG355" s="266">
        <v>0.41899999999999998</v>
      </c>
      <c r="AH355" s="266">
        <v>0.41899999999999998</v>
      </c>
      <c r="AI355" s="266">
        <v>0.41899999999999998</v>
      </c>
      <c r="AJ355" s="266">
        <v>0.41899999999999998</v>
      </c>
      <c r="AK355" s="266">
        <v>0.41899999999999998</v>
      </c>
      <c r="AL355" s="266">
        <v>0.41899999999999998</v>
      </c>
      <c r="AM355" s="383">
        <f t="shared" si="19"/>
        <v>0.41900000000000004</v>
      </c>
    </row>
    <row r="356" spans="1:39" x14ac:dyDescent="0.2">
      <c r="A356" s="8"/>
      <c r="B356" s="109" t="s">
        <v>107</v>
      </c>
      <c r="C356" s="108" t="s">
        <v>832</v>
      </c>
      <c r="D356" s="95" t="s">
        <v>835</v>
      </c>
      <c r="E356" s="102"/>
      <c r="F356" s="266">
        <v>0.41899999999999998</v>
      </c>
      <c r="G356" s="266">
        <v>0.41899999999999998</v>
      </c>
      <c r="H356" s="266">
        <v>0.41899999999999998</v>
      </c>
      <c r="I356" s="266">
        <v>0.41899999999999998</v>
      </c>
      <c r="J356" s="266">
        <v>0.41899999999999998</v>
      </c>
      <c r="K356" s="266">
        <v>0.41899999999999998</v>
      </c>
      <c r="L356" s="266">
        <v>0.41899999999999998</v>
      </c>
      <c r="M356" s="266">
        <v>0.41899999999999998</v>
      </c>
      <c r="N356" s="266">
        <v>0.41899999999999998</v>
      </c>
      <c r="O356" s="266">
        <v>0.41899999999999998</v>
      </c>
      <c r="P356" s="266">
        <v>0.41899999999999998</v>
      </c>
      <c r="Q356" s="266">
        <v>0.41899999999999998</v>
      </c>
      <c r="R356" s="266">
        <v>0.41899999999999998</v>
      </c>
      <c r="S356" s="266">
        <v>0.41899999999999998</v>
      </c>
      <c r="T356" s="266">
        <v>0.41899999999999998</v>
      </c>
      <c r="U356" s="266">
        <v>0.41899999999999998</v>
      </c>
      <c r="V356" s="266">
        <v>0.41899999999999998</v>
      </c>
      <c r="W356" s="266">
        <v>0.41899999999999998</v>
      </c>
      <c r="X356" s="266">
        <v>0.41899999999999998</v>
      </c>
      <c r="Y356" s="266">
        <v>0.41899999999999998</v>
      </c>
      <c r="Z356" s="266">
        <v>0.41899999999999998</v>
      </c>
      <c r="AA356" s="266">
        <v>0.41899999999999998</v>
      </c>
      <c r="AB356" s="266">
        <v>0.41899999999999998</v>
      </c>
      <c r="AC356" s="266">
        <v>0.41899999999999998</v>
      </c>
      <c r="AD356" s="266">
        <v>0.41899999999999998</v>
      </c>
      <c r="AE356" s="266">
        <v>0.41899999999999998</v>
      </c>
      <c r="AF356" s="266">
        <v>0.41899999999999998</v>
      </c>
      <c r="AG356" s="266">
        <v>0.41899999999999998</v>
      </c>
      <c r="AH356" s="266">
        <v>0.41899999999999998</v>
      </c>
      <c r="AI356" s="266">
        <v>0.41899999999999998</v>
      </c>
      <c r="AJ356" s="266">
        <v>0.41899999999999998</v>
      </c>
      <c r="AK356" s="266">
        <v>0.41899999999999998</v>
      </c>
      <c r="AL356" s="266">
        <v>0.41899999999999998</v>
      </c>
      <c r="AM356" s="383">
        <f t="shared" si="19"/>
        <v>0.41900000000000004</v>
      </c>
    </row>
    <row r="357" spans="1:39" x14ac:dyDescent="0.2">
      <c r="A357" s="8"/>
      <c r="B357" s="109" t="s">
        <v>108</v>
      </c>
      <c r="C357" s="108" t="s">
        <v>832</v>
      </c>
      <c r="D357" s="95" t="s">
        <v>835</v>
      </c>
      <c r="E357" s="102"/>
      <c r="F357" s="266">
        <v>0.41899999999999998</v>
      </c>
      <c r="G357" s="266">
        <v>0.41899999999999998</v>
      </c>
      <c r="H357" s="266">
        <v>0.41899999999999998</v>
      </c>
      <c r="I357" s="266">
        <v>0.41899999999999998</v>
      </c>
      <c r="J357" s="266">
        <v>0.41899999999999998</v>
      </c>
      <c r="K357" s="266">
        <v>0.41899999999999998</v>
      </c>
      <c r="L357" s="266">
        <v>0.41899999999999998</v>
      </c>
      <c r="M357" s="266">
        <v>0.41899999999999998</v>
      </c>
      <c r="N357" s="266">
        <v>0.41899999999999998</v>
      </c>
      <c r="O357" s="266">
        <v>0.41899999999999998</v>
      </c>
      <c r="P357" s="266">
        <v>0.41899999999999998</v>
      </c>
      <c r="Q357" s="266">
        <v>0.41899999999999998</v>
      </c>
      <c r="R357" s="266">
        <v>0.41899999999999998</v>
      </c>
      <c r="S357" s="266">
        <v>0.41899999999999998</v>
      </c>
      <c r="T357" s="266">
        <v>0.41899999999999998</v>
      </c>
      <c r="U357" s="266">
        <v>0.41899999999999998</v>
      </c>
      <c r="V357" s="266">
        <v>0.41899999999999998</v>
      </c>
      <c r="W357" s="266">
        <v>0.41899999999999998</v>
      </c>
      <c r="X357" s="266">
        <v>0.41899999999999998</v>
      </c>
      <c r="Y357" s="266">
        <v>0.41899999999999998</v>
      </c>
      <c r="Z357" s="266">
        <v>0.41899999999999998</v>
      </c>
      <c r="AA357" s="266">
        <v>0.41899999999999998</v>
      </c>
      <c r="AB357" s="266">
        <v>0.41899999999999998</v>
      </c>
      <c r="AC357" s="266">
        <v>0.41899999999999998</v>
      </c>
      <c r="AD357" s="266">
        <v>0.41899999999999998</v>
      </c>
      <c r="AE357" s="266">
        <v>0.41899999999999998</v>
      </c>
      <c r="AF357" s="266">
        <v>0.41899999999999998</v>
      </c>
      <c r="AG357" s="266">
        <v>0.41899999999999998</v>
      </c>
      <c r="AH357" s="266">
        <v>0.41899999999999998</v>
      </c>
      <c r="AI357" s="266">
        <v>0.41899999999999998</v>
      </c>
      <c r="AJ357" s="266">
        <v>0.41899999999999998</v>
      </c>
      <c r="AK357" s="266">
        <v>0.41899999999999998</v>
      </c>
      <c r="AL357" s="266">
        <v>0.41899999999999998</v>
      </c>
      <c r="AM357" s="383">
        <f t="shared" si="19"/>
        <v>0.41900000000000004</v>
      </c>
    </row>
    <row r="358" spans="1:39" x14ac:dyDescent="0.2">
      <c r="A358" s="8"/>
      <c r="B358" s="109" t="s">
        <v>109</v>
      </c>
      <c r="C358" s="108" t="s">
        <v>832</v>
      </c>
      <c r="D358" s="95" t="s">
        <v>835</v>
      </c>
      <c r="E358" s="102"/>
      <c r="F358" s="266">
        <v>0.41899999999999998</v>
      </c>
      <c r="G358" s="266">
        <v>0.41899999999999998</v>
      </c>
      <c r="H358" s="266">
        <v>0.41899999999999998</v>
      </c>
      <c r="I358" s="266">
        <v>0.41899999999999998</v>
      </c>
      <c r="J358" s="266">
        <v>0.41899999999999998</v>
      </c>
      <c r="K358" s="266">
        <v>0.41899999999999998</v>
      </c>
      <c r="L358" s="266">
        <v>0.41899999999999998</v>
      </c>
      <c r="M358" s="266">
        <v>0.41899999999999998</v>
      </c>
      <c r="N358" s="266">
        <v>0.41899999999999998</v>
      </c>
      <c r="O358" s="266">
        <v>0.41899999999999998</v>
      </c>
      <c r="P358" s="266">
        <v>0.41899999999999998</v>
      </c>
      <c r="Q358" s="266">
        <v>0.41899999999999998</v>
      </c>
      <c r="R358" s="266">
        <v>0.41899999999999998</v>
      </c>
      <c r="S358" s="266">
        <v>0.41899999999999998</v>
      </c>
      <c r="T358" s="266">
        <v>0.41899999999999998</v>
      </c>
      <c r="U358" s="266">
        <v>0.41899999999999998</v>
      </c>
      <c r="V358" s="266">
        <v>0.41899999999999998</v>
      </c>
      <c r="W358" s="266">
        <v>0.41899999999999998</v>
      </c>
      <c r="X358" s="266">
        <v>0.41899999999999998</v>
      </c>
      <c r="Y358" s="266">
        <v>0.41899999999999998</v>
      </c>
      <c r="Z358" s="266">
        <v>0.41899999999999998</v>
      </c>
      <c r="AA358" s="266">
        <v>0.41899999999999998</v>
      </c>
      <c r="AB358" s="266">
        <v>0.41899999999999998</v>
      </c>
      <c r="AC358" s="266">
        <v>0.41899999999999998</v>
      </c>
      <c r="AD358" s="266">
        <v>0.41899999999999998</v>
      </c>
      <c r="AE358" s="266">
        <v>0.41899999999999998</v>
      </c>
      <c r="AF358" s="266">
        <v>0.41899999999999998</v>
      </c>
      <c r="AG358" s="266">
        <v>0.41899999999999998</v>
      </c>
      <c r="AH358" s="266">
        <v>0.41899999999999998</v>
      </c>
      <c r="AI358" s="266">
        <v>0.41899999999999998</v>
      </c>
      <c r="AJ358" s="266">
        <v>0.41899999999999998</v>
      </c>
      <c r="AK358" s="266">
        <v>0.41899999999999998</v>
      </c>
      <c r="AL358" s="266">
        <v>0.41899999999999998</v>
      </c>
      <c r="AM358" s="383">
        <f t="shared" si="19"/>
        <v>0.41900000000000004</v>
      </c>
    </row>
    <row r="359" spans="1:39" x14ac:dyDescent="0.2">
      <c r="A359" s="8"/>
      <c r="B359" s="109" t="s">
        <v>110</v>
      </c>
      <c r="C359" s="108" t="s">
        <v>832</v>
      </c>
      <c r="D359" s="95" t="s">
        <v>835</v>
      </c>
      <c r="E359" s="102"/>
      <c r="F359" s="266">
        <v>0.41699999999999998</v>
      </c>
      <c r="G359" s="266">
        <v>0.41699999999999998</v>
      </c>
      <c r="H359" s="266">
        <v>0.41699999999999998</v>
      </c>
      <c r="I359" s="266">
        <v>0.41699999999999998</v>
      </c>
      <c r="J359" s="266">
        <v>0.41699999999999998</v>
      </c>
      <c r="K359" s="266">
        <v>0.41699999999999998</v>
      </c>
      <c r="L359" s="266">
        <v>0.41699999999999998</v>
      </c>
      <c r="M359" s="266">
        <v>0.41699999999999998</v>
      </c>
      <c r="N359" s="266">
        <v>0.41699999999999998</v>
      </c>
      <c r="O359" s="266">
        <v>0.41699999999999998</v>
      </c>
      <c r="P359" s="266">
        <v>0.41699999999999998</v>
      </c>
      <c r="Q359" s="266">
        <v>0.41699999999999998</v>
      </c>
      <c r="R359" s="266">
        <v>0.41699999999999998</v>
      </c>
      <c r="S359" s="266">
        <v>0.41699999999999998</v>
      </c>
      <c r="T359" s="266">
        <v>0.41699999999999998</v>
      </c>
      <c r="U359" s="266">
        <v>0.41699999999999998</v>
      </c>
      <c r="V359" s="266">
        <v>0.41699999999999998</v>
      </c>
      <c r="W359" s="266">
        <v>0.41699999999999998</v>
      </c>
      <c r="X359" s="266">
        <v>0.41699999999999998</v>
      </c>
      <c r="Y359" s="266">
        <v>0.41699999999999998</v>
      </c>
      <c r="Z359" s="266">
        <v>0.41699999999999998</v>
      </c>
      <c r="AA359" s="266">
        <v>0.41699999999999998</v>
      </c>
      <c r="AB359" s="266">
        <v>0.41699999999999998</v>
      </c>
      <c r="AC359" s="266">
        <v>0.41699999999999998</v>
      </c>
      <c r="AD359" s="266">
        <v>0.41699999999999998</v>
      </c>
      <c r="AE359" s="266">
        <v>0.41699999999999998</v>
      </c>
      <c r="AF359" s="266">
        <v>0.41699999999999998</v>
      </c>
      <c r="AG359" s="266">
        <v>0.41699999999999998</v>
      </c>
      <c r="AH359" s="266">
        <v>0.41699999999999998</v>
      </c>
      <c r="AI359" s="266">
        <v>0.41699999999999998</v>
      </c>
      <c r="AJ359" s="266">
        <v>0.41699999999999998</v>
      </c>
      <c r="AK359" s="266">
        <v>0.41699999999999998</v>
      </c>
      <c r="AL359" s="266">
        <v>0.41699999999999998</v>
      </c>
      <c r="AM359" s="383">
        <f t="shared" si="19"/>
        <v>0.41699999999999987</v>
      </c>
    </row>
    <row r="360" spans="1:39" x14ac:dyDescent="0.2">
      <c r="A360" s="8"/>
      <c r="B360" s="109" t="s">
        <v>111</v>
      </c>
      <c r="C360" s="108" t="s">
        <v>832</v>
      </c>
      <c r="D360" s="95" t="s">
        <v>835</v>
      </c>
      <c r="E360" s="102"/>
      <c r="F360" s="266">
        <v>0.41699999999999998</v>
      </c>
      <c r="G360" s="266">
        <v>0.41699999999999998</v>
      </c>
      <c r="H360" s="266">
        <v>0.41699999999999998</v>
      </c>
      <c r="I360" s="266">
        <v>0.41699999999999998</v>
      </c>
      <c r="J360" s="266">
        <v>0.41699999999999998</v>
      </c>
      <c r="K360" s="266">
        <v>0.41699999999999998</v>
      </c>
      <c r="L360" s="266">
        <v>0.41699999999999998</v>
      </c>
      <c r="M360" s="266">
        <v>0.41699999999999998</v>
      </c>
      <c r="N360" s="266">
        <v>0.41699999999999998</v>
      </c>
      <c r="O360" s="266">
        <v>0.41699999999999998</v>
      </c>
      <c r="P360" s="266">
        <v>0.41699999999999998</v>
      </c>
      <c r="Q360" s="266">
        <v>0.41699999999999998</v>
      </c>
      <c r="R360" s="266">
        <v>0.41699999999999998</v>
      </c>
      <c r="S360" s="266">
        <v>0.41699999999999998</v>
      </c>
      <c r="T360" s="266">
        <v>0.41699999999999998</v>
      </c>
      <c r="U360" s="266">
        <v>0.41699999999999998</v>
      </c>
      <c r="V360" s="266">
        <v>0.41699999999999998</v>
      </c>
      <c r="W360" s="266">
        <v>0.41699999999999998</v>
      </c>
      <c r="X360" s="266">
        <v>0.41699999999999998</v>
      </c>
      <c r="Y360" s="266">
        <v>0.41699999999999998</v>
      </c>
      <c r="Z360" s="266">
        <v>0.41699999999999998</v>
      </c>
      <c r="AA360" s="266">
        <v>0.41699999999999998</v>
      </c>
      <c r="AB360" s="266">
        <v>0.41699999999999998</v>
      </c>
      <c r="AC360" s="266">
        <v>0.41699999999999998</v>
      </c>
      <c r="AD360" s="266">
        <v>0.41699999999999998</v>
      </c>
      <c r="AE360" s="266">
        <v>0.41699999999999998</v>
      </c>
      <c r="AF360" s="266">
        <v>0.41699999999999998</v>
      </c>
      <c r="AG360" s="266">
        <v>0.41699999999999998</v>
      </c>
      <c r="AH360" s="266">
        <v>0.41699999999999998</v>
      </c>
      <c r="AI360" s="266">
        <v>0.41699999999999998</v>
      </c>
      <c r="AJ360" s="266">
        <v>0.41699999999999998</v>
      </c>
      <c r="AK360" s="266">
        <v>0.41699999999999998</v>
      </c>
      <c r="AL360" s="266">
        <v>0.41699999999999998</v>
      </c>
      <c r="AM360" s="383">
        <f t="shared" si="19"/>
        <v>0.41699999999999987</v>
      </c>
    </row>
    <row r="361" spans="1:39" x14ac:dyDescent="0.2">
      <c r="A361" s="8"/>
      <c r="B361" s="109" t="s">
        <v>112</v>
      </c>
      <c r="C361" s="108" t="s">
        <v>832</v>
      </c>
      <c r="D361" s="95" t="s">
        <v>835</v>
      </c>
      <c r="E361" s="102"/>
      <c r="F361" s="266">
        <v>0.41699999999999998</v>
      </c>
      <c r="G361" s="266">
        <v>0.41699999999999998</v>
      </c>
      <c r="H361" s="266">
        <v>0.41699999999999998</v>
      </c>
      <c r="I361" s="266">
        <v>0.41699999999999998</v>
      </c>
      <c r="J361" s="266">
        <v>0.41699999999999998</v>
      </c>
      <c r="K361" s="266">
        <v>0.41699999999999998</v>
      </c>
      <c r="L361" s="266">
        <v>0.41699999999999998</v>
      </c>
      <c r="M361" s="266">
        <v>0.41699999999999998</v>
      </c>
      <c r="N361" s="266">
        <v>0.41699999999999998</v>
      </c>
      <c r="O361" s="266">
        <v>0.41699999999999998</v>
      </c>
      <c r="P361" s="266">
        <v>0.41699999999999998</v>
      </c>
      <c r="Q361" s="266">
        <v>0.41699999999999998</v>
      </c>
      <c r="R361" s="266">
        <v>0.41699999999999998</v>
      </c>
      <c r="S361" s="266">
        <v>0.41699999999999998</v>
      </c>
      <c r="T361" s="266">
        <v>0.41699999999999998</v>
      </c>
      <c r="U361" s="266">
        <v>0.41699999999999998</v>
      </c>
      <c r="V361" s="266">
        <v>0.41699999999999998</v>
      </c>
      <c r="W361" s="266">
        <v>0.41699999999999998</v>
      </c>
      <c r="X361" s="266">
        <v>0.41699999999999998</v>
      </c>
      <c r="Y361" s="266">
        <v>0.41699999999999998</v>
      </c>
      <c r="Z361" s="266">
        <v>0.41699999999999998</v>
      </c>
      <c r="AA361" s="266">
        <v>0.41699999999999998</v>
      </c>
      <c r="AB361" s="266">
        <v>0.41699999999999998</v>
      </c>
      <c r="AC361" s="266">
        <v>0.41699999999999998</v>
      </c>
      <c r="AD361" s="266">
        <v>0.41699999999999998</v>
      </c>
      <c r="AE361" s="266">
        <v>0.41699999999999998</v>
      </c>
      <c r="AF361" s="266">
        <v>0.41699999999999998</v>
      </c>
      <c r="AG361" s="266">
        <v>0.41699999999999998</v>
      </c>
      <c r="AH361" s="266">
        <v>0.41699999999999998</v>
      </c>
      <c r="AI361" s="266">
        <v>0.41699999999999998</v>
      </c>
      <c r="AJ361" s="266">
        <v>0.41699999999999998</v>
      </c>
      <c r="AK361" s="266">
        <v>0.41699999999999998</v>
      </c>
      <c r="AL361" s="266">
        <v>0.41699999999999998</v>
      </c>
      <c r="AM361" s="383">
        <f t="shared" si="19"/>
        <v>0.41699999999999987</v>
      </c>
    </row>
    <row r="362" spans="1:39" x14ac:dyDescent="0.2">
      <c r="A362" s="8"/>
      <c r="B362" s="109" t="s">
        <v>113</v>
      </c>
      <c r="C362" s="108" t="s">
        <v>832</v>
      </c>
      <c r="D362" s="95" t="s">
        <v>835</v>
      </c>
      <c r="E362" s="102"/>
      <c r="F362" s="266">
        <v>0.41699999999999998</v>
      </c>
      <c r="G362" s="266">
        <v>0.41699999999999998</v>
      </c>
      <c r="H362" s="266">
        <v>0.41699999999999998</v>
      </c>
      <c r="I362" s="266">
        <v>0.41699999999999998</v>
      </c>
      <c r="J362" s="266">
        <v>0.41699999999999998</v>
      </c>
      <c r="K362" s="266">
        <v>0.41699999999999998</v>
      </c>
      <c r="L362" s="266">
        <v>0.41699999999999998</v>
      </c>
      <c r="M362" s="266">
        <v>0.41699999999999998</v>
      </c>
      <c r="N362" s="266">
        <v>0.41699999999999998</v>
      </c>
      <c r="O362" s="266">
        <v>0.41699999999999998</v>
      </c>
      <c r="P362" s="266">
        <v>0.41699999999999998</v>
      </c>
      <c r="Q362" s="266">
        <v>0.41699999999999998</v>
      </c>
      <c r="R362" s="266">
        <v>0.41699999999999998</v>
      </c>
      <c r="S362" s="266">
        <v>0.41699999999999998</v>
      </c>
      <c r="T362" s="266">
        <v>0.41699999999999998</v>
      </c>
      <c r="U362" s="266">
        <v>0.41699999999999998</v>
      </c>
      <c r="V362" s="266">
        <v>0.41699999999999998</v>
      </c>
      <c r="W362" s="266">
        <v>0.41699999999999998</v>
      </c>
      <c r="X362" s="266">
        <v>0.41699999999999998</v>
      </c>
      <c r="Y362" s="266">
        <v>0.41699999999999998</v>
      </c>
      <c r="Z362" s="266">
        <v>0.41699999999999998</v>
      </c>
      <c r="AA362" s="266">
        <v>0.41699999999999998</v>
      </c>
      <c r="AB362" s="266">
        <v>0.41699999999999998</v>
      </c>
      <c r="AC362" s="266">
        <v>0.41699999999999998</v>
      </c>
      <c r="AD362" s="266">
        <v>0.41699999999999998</v>
      </c>
      <c r="AE362" s="266">
        <v>0.41699999999999998</v>
      </c>
      <c r="AF362" s="266">
        <v>0.41699999999999998</v>
      </c>
      <c r="AG362" s="266">
        <v>0.41699999999999998</v>
      </c>
      <c r="AH362" s="266">
        <v>0.41699999999999998</v>
      </c>
      <c r="AI362" s="266">
        <v>0.41699999999999998</v>
      </c>
      <c r="AJ362" s="266">
        <v>0.41699999999999998</v>
      </c>
      <c r="AK362" s="266">
        <v>0.41699999999999998</v>
      </c>
      <c r="AL362" s="266">
        <v>0.41699999999999998</v>
      </c>
      <c r="AM362" s="383">
        <f t="shared" si="19"/>
        <v>0.41699999999999987</v>
      </c>
    </row>
    <row r="363" spans="1:39" x14ac:dyDescent="0.2">
      <c r="A363" s="8"/>
      <c r="B363" s="109" t="s">
        <v>114</v>
      </c>
      <c r="C363" s="108" t="s">
        <v>832</v>
      </c>
      <c r="D363" s="95" t="s">
        <v>835</v>
      </c>
      <c r="E363" s="102"/>
      <c r="F363" s="266">
        <v>0.41699999999999998</v>
      </c>
      <c r="G363" s="266">
        <v>0.41699999999999998</v>
      </c>
      <c r="H363" s="266">
        <v>0.41699999999999998</v>
      </c>
      <c r="I363" s="266">
        <v>0.41699999999999998</v>
      </c>
      <c r="J363" s="266">
        <v>0.41699999999999998</v>
      </c>
      <c r="K363" s="266">
        <v>0.41699999999999998</v>
      </c>
      <c r="L363" s="266">
        <v>0.41699999999999998</v>
      </c>
      <c r="M363" s="266">
        <v>0.41699999999999998</v>
      </c>
      <c r="N363" s="266">
        <v>0.41699999999999998</v>
      </c>
      <c r="O363" s="266">
        <v>0.41699999999999998</v>
      </c>
      <c r="P363" s="266">
        <v>0.41699999999999998</v>
      </c>
      <c r="Q363" s="266">
        <v>0.41699999999999998</v>
      </c>
      <c r="R363" s="266">
        <v>0.41699999999999998</v>
      </c>
      <c r="S363" s="266">
        <v>0.41699999999999998</v>
      </c>
      <c r="T363" s="266">
        <v>0.41699999999999998</v>
      </c>
      <c r="U363" s="266">
        <v>0.41699999999999998</v>
      </c>
      <c r="V363" s="266">
        <v>0.41699999999999998</v>
      </c>
      <c r="W363" s="266">
        <v>0.41699999999999998</v>
      </c>
      <c r="X363" s="266">
        <v>0.41699999999999998</v>
      </c>
      <c r="Y363" s="266">
        <v>0.41699999999999998</v>
      </c>
      <c r="Z363" s="266">
        <v>0.41699999999999998</v>
      </c>
      <c r="AA363" s="266">
        <v>0.41699999999999998</v>
      </c>
      <c r="AB363" s="266">
        <v>0.41699999999999998</v>
      </c>
      <c r="AC363" s="266">
        <v>0.41699999999999998</v>
      </c>
      <c r="AD363" s="266">
        <v>0.41699999999999998</v>
      </c>
      <c r="AE363" s="266">
        <v>0.41699999999999998</v>
      </c>
      <c r="AF363" s="266">
        <v>0.41699999999999998</v>
      </c>
      <c r="AG363" s="266">
        <v>0.41699999999999998</v>
      </c>
      <c r="AH363" s="266">
        <v>0.41699999999999998</v>
      </c>
      <c r="AI363" s="266">
        <v>0.41699999999999998</v>
      </c>
      <c r="AJ363" s="266">
        <v>0.41699999999999998</v>
      </c>
      <c r="AK363" s="266">
        <v>0.41699999999999998</v>
      </c>
      <c r="AL363" s="266">
        <v>0.41699999999999998</v>
      </c>
      <c r="AM363" s="383">
        <f t="shared" si="19"/>
        <v>0.41699999999999987</v>
      </c>
    </row>
    <row r="364" spans="1:39" x14ac:dyDescent="0.2">
      <c r="A364" s="8"/>
      <c r="B364" s="109" t="s">
        <v>115</v>
      </c>
      <c r="C364" s="108" t="s">
        <v>832</v>
      </c>
      <c r="D364" s="95" t="s">
        <v>835</v>
      </c>
      <c r="E364" s="102"/>
      <c r="F364" s="266">
        <v>0.41699999999999998</v>
      </c>
      <c r="G364" s="266">
        <v>0.41699999999999998</v>
      </c>
      <c r="H364" s="266">
        <v>0.41699999999999998</v>
      </c>
      <c r="I364" s="266">
        <v>0.41699999999999998</v>
      </c>
      <c r="J364" s="266">
        <v>0.41699999999999998</v>
      </c>
      <c r="K364" s="266">
        <v>0.41699999999999998</v>
      </c>
      <c r="L364" s="266">
        <v>0.41699999999999998</v>
      </c>
      <c r="M364" s="266">
        <v>0.41699999999999998</v>
      </c>
      <c r="N364" s="266">
        <v>0.41699999999999998</v>
      </c>
      <c r="O364" s="266">
        <v>0.41699999999999998</v>
      </c>
      <c r="P364" s="266">
        <v>0.41699999999999998</v>
      </c>
      <c r="Q364" s="266">
        <v>0.41699999999999998</v>
      </c>
      <c r="R364" s="266">
        <v>0.41699999999999998</v>
      </c>
      <c r="S364" s="266">
        <v>0.41699999999999998</v>
      </c>
      <c r="T364" s="266">
        <v>0.41699999999999998</v>
      </c>
      <c r="U364" s="266">
        <v>0.41699999999999998</v>
      </c>
      <c r="V364" s="266">
        <v>0.41699999999999998</v>
      </c>
      <c r="W364" s="266">
        <v>0.41699999999999998</v>
      </c>
      <c r="X364" s="266">
        <v>0.41699999999999998</v>
      </c>
      <c r="Y364" s="266">
        <v>0.41699999999999998</v>
      </c>
      <c r="Z364" s="266">
        <v>0.41699999999999998</v>
      </c>
      <c r="AA364" s="266">
        <v>0.41699999999999998</v>
      </c>
      <c r="AB364" s="266">
        <v>0.41699999999999998</v>
      </c>
      <c r="AC364" s="266">
        <v>0.41699999999999998</v>
      </c>
      <c r="AD364" s="266">
        <v>0.41699999999999998</v>
      </c>
      <c r="AE364" s="266">
        <v>0.41699999999999998</v>
      </c>
      <c r="AF364" s="266">
        <v>0.41699999999999998</v>
      </c>
      <c r="AG364" s="266">
        <v>0.41699999999999998</v>
      </c>
      <c r="AH364" s="266">
        <v>0.41699999999999998</v>
      </c>
      <c r="AI364" s="266">
        <v>0.41699999999999998</v>
      </c>
      <c r="AJ364" s="266">
        <v>0.41699999999999998</v>
      </c>
      <c r="AK364" s="266">
        <v>0.41699999999999998</v>
      </c>
      <c r="AL364" s="266">
        <v>0.41699999999999998</v>
      </c>
      <c r="AM364" s="383">
        <f t="shared" si="19"/>
        <v>0.41699999999999987</v>
      </c>
    </row>
    <row r="365" spans="1:39" x14ac:dyDescent="0.2">
      <c r="A365" s="8"/>
      <c r="B365" s="109" t="s">
        <v>116</v>
      </c>
      <c r="C365" s="108" t="s">
        <v>832</v>
      </c>
      <c r="D365" s="95" t="s">
        <v>835</v>
      </c>
      <c r="E365" s="102"/>
      <c r="F365" s="266">
        <v>0.41699999999999998</v>
      </c>
      <c r="G365" s="266">
        <v>0.41699999999999998</v>
      </c>
      <c r="H365" s="266">
        <v>0.41699999999999998</v>
      </c>
      <c r="I365" s="266">
        <v>0.41699999999999998</v>
      </c>
      <c r="J365" s="266">
        <v>0.41699999999999998</v>
      </c>
      <c r="K365" s="266">
        <v>0.41699999999999998</v>
      </c>
      <c r="L365" s="266">
        <v>0.41699999999999998</v>
      </c>
      <c r="M365" s="266">
        <v>0.41699999999999998</v>
      </c>
      <c r="N365" s="266">
        <v>0.41699999999999998</v>
      </c>
      <c r="O365" s="266">
        <v>0.41699999999999998</v>
      </c>
      <c r="P365" s="266">
        <v>0.41699999999999998</v>
      </c>
      <c r="Q365" s="266">
        <v>0.41699999999999998</v>
      </c>
      <c r="R365" s="266">
        <v>0.41699999999999998</v>
      </c>
      <c r="S365" s="266">
        <v>0.41699999999999998</v>
      </c>
      <c r="T365" s="266">
        <v>0.41699999999999998</v>
      </c>
      <c r="U365" s="266">
        <v>0.41699999999999998</v>
      </c>
      <c r="V365" s="266">
        <v>0.41699999999999998</v>
      </c>
      <c r="W365" s="266">
        <v>0.41699999999999998</v>
      </c>
      <c r="X365" s="266">
        <v>0.41699999999999998</v>
      </c>
      <c r="Y365" s="266">
        <v>0.41699999999999998</v>
      </c>
      <c r="Z365" s="266">
        <v>0.41699999999999998</v>
      </c>
      <c r="AA365" s="266">
        <v>0.41699999999999998</v>
      </c>
      <c r="AB365" s="266">
        <v>0.41699999999999998</v>
      </c>
      <c r="AC365" s="266">
        <v>0.41699999999999998</v>
      </c>
      <c r="AD365" s="266">
        <v>0.41699999999999998</v>
      </c>
      <c r="AE365" s="266">
        <v>0.41699999999999998</v>
      </c>
      <c r="AF365" s="266">
        <v>0.41699999999999998</v>
      </c>
      <c r="AG365" s="266">
        <v>0.41699999999999998</v>
      </c>
      <c r="AH365" s="266">
        <v>0.41699999999999998</v>
      </c>
      <c r="AI365" s="266">
        <v>0.41699999999999998</v>
      </c>
      <c r="AJ365" s="266">
        <v>0.41699999999999998</v>
      </c>
      <c r="AK365" s="266">
        <v>0.41699999999999998</v>
      </c>
      <c r="AL365" s="266">
        <v>0.41699999999999998</v>
      </c>
      <c r="AM365" s="383">
        <f t="shared" si="19"/>
        <v>0.41699999999999987</v>
      </c>
    </row>
    <row r="366" spans="1:39" x14ac:dyDescent="0.2">
      <c r="A366" s="8"/>
      <c r="B366" s="109" t="s">
        <v>117</v>
      </c>
      <c r="C366" s="108" t="s">
        <v>832</v>
      </c>
      <c r="D366" s="95" t="s">
        <v>835</v>
      </c>
      <c r="E366" s="102"/>
      <c r="F366" s="266">
        <v>0.41699999999999998</v>
      </c>
      <c r="G366" s="266">
        <v>0.41699999999999998</v>
      </c>
      <c r="H366" s="266">
        <v>0.41699999999999998</v>
      </c>
      <c r="I366" s="266">
        <v>0.41699999999999998</v>
      </c>
      <c r="J366" s="266">
        <v>0.41699999999999998</v>
      </c>
      <c r="K366" s="266">
        <v>0.41699999999999998</v>
      </c>
      <c r="L366" s="266">
        <v>0.41699999999999998</v>
      </c>
      <c r="M366" s="266">
        <v>0.41699999999999998</v>
      </c>
      <c r="N366" s="266">
        <v>0.41699999999999998</v>
      </c>
      <c r="O366" s="266">
        <v>0.41699999999999998</v>
      </c>
      <c r="P366" s="266">
        <v>0.41699999999999998</v>
      </c>
      <c r="Q366" s="266">
        <v>0.41699999999999998</v>
      </c>
      <c r="R366" s="266">
        <v>0.41699999999999998</v>
      </c>
      <c r="S366" s="266">
        <v>0.41699999999999998</v>
      </c>
      <c r="T366" s="266">
        <v>0.41699999999999998</v>
      </c>
      <c r="U366" s="266">
        <v>0.41699999999999998</v>
      </c>
      <c r="V366" s="266">
        <v>0.41699999999999998</v>
      </c>
      <c r="W366" s="266">
        <v>0.41699999999999998</v>
      </c>
      <c r="X366" s="266">
        <v>0.41699999999999998</v>
      </c>
      <c r="Y366" s="266">
        <v>0.41699999999999998</v>
      </c>
      <c r="Z366" s="266">
        <v>0.41699999999999998</v>
      </c>
      <c r="AA366" s="266">
        <v>0.41699999999999998</v>
      </c>
      <c r="AB366" s="266">
        <v>0.41699999999999998</v>
      </c>
      <c r="AC366" s="266">
        <v>0.41699999999999998</v>
      </c>
      <c r="AD366" s="266">
        <v>0.41699999999999998</v>
      </c>
      <c r="AE366" s="266">
        <v>0.41699999999999998</v>
      </c>
      <c r="AF366" s="266">
        <v>0.41699999999999998</v>
      </c>
      <c r="AG366" s="266">
        <v>0.41699999999999998</v>
      </c>
      <c r="AH366" s="266">
        <v>0.41699999999999998</v>
      </c>
      <c r="AI366" s="266">
        <v>0.41699999999999998</v>
      </c>
      <c r="AJ366" s="266">
        <v>0.41699999999999998</v>
      </c>
      <c r="AK366" s="266">
        <v>0.41699999999999998</v>
      </c>
      <c r="AL366" s="266">
        <v>0.41699999999999998</v>
      </c>
      <c r="AM366" s="383">
        <f t="shared" si="19"/>
        <v>0.41699999999999987</v>
      </c>
    </row>
    <row r="367" spans="1:39" x14ac:dyDescent="0.2">
      <c r="A367" s="8"/>
      <c r="B367" s="109" t="s">
        <v>118</v>
      </c>
      <c r="C367" s="108" t="s">
        <v>832</v>
      </c>
      <c r="D367" s="95" t="s">
        <v>835</v>
      </c>
      <c r="E367" s="102"/>
      <c r="F367" s="266">
        <v>0.75900000000000001</v>
      </c>
      <c r="G367" s="266">
        <v>0.75900000000000001</v>
      </c>
      <c r="H367" s="266">
        <v>0.75900000000000001</v>
      </c>
      <c r="I367" s="266">
        <v>0.75900000000000001</v>
      </c>
      <c r="J367" s="266">
        <v>0.75900000000000001</v>
      </c>
      <c r="K367" s="266">
        <v>0.75900000000000001</v>
      </c>
      <c r="L367" s="266">
        <v>0.75900000000000001</v>
      </c>
      <c r="M367" s="266">
        <v>0.75900000000000001</v>
      </c>
      <c r="N367" s="266">
        <v>0.75900000000000001</v>
      </c>
      <c r="O367" s="266">
        <v>0.75900000000000001</v>
      </c>
      <c r="P367" s="266">
        <v>0.75900000000000001</v>
      </c>
      <c r="Q367" s="266">
        <v>0.75900000000000001</v>
      </c>
      <c r="R367" s="266">
        <v>0.75900000000000001</v>
      </c>
      <c r="S367" s="266">
        <v>0.75900000000000001</v>
      </c>
      <c r="T367" s="266">
        <v>0.75900000000000001</v>
      </c>
      <c r="U367" s="266">
        <v>0.75900000000000001</v>
      </c>
      <c r="V367" s="266">
        <v>0.75900000000000001</v>
      </c>
      <c r="W367" s="266">
        <v>0.75900000000000001</v>
      </c>
      <c r="X367" s="266">
        <v>0.75900000000000001</v>
      </c>
      <c r="Y367" s="266">
        <v>0.75900000000000001</v>
      </c>
      <c r="Z367" s="266">
        <v>0.75900000000000001</v>
      </c>
      <c r="AA367" s="266">
        <v>0.75900000000000001</v>
      </c>
      <c r="AB367" s="266">
        <v>0.75900000000000001</v>
      </c>
      <c r="AC367" s="266">
        <v>0.75900000000000001</v>
      </c>
      <c r="AD367" s="266">
        <v>0.75900000000000001</v>
      </c>
      <c r="AE367" s="266">
        <v>0.75900000000000001</v>
      </c>
      <c r="AF367" s="266">
        <v>0.75900000000000001</v>
      </c>
      <c r="AG367" s="266">
        <v>0.75900000000000001</v>
      </c>
      <c r="AH367" s="266">
        <v>0.75900000000000001</v>
      </c>
      <c r="AI367" s="266">
        <v>0.75900000000000001</v>
      </c>
      <c r="AJ367" s="266">
        <v>0.75900000000000001</v>
      </c>
      <c r="AK367" s="266">
        <v>0.75900000000000001</v>
      </c>
      <c r="AL367" s="266">
        <v>0.75900000000000001</v>
      </c>
      <c r="AM367" s="383">
        <f t="shared" si="19"/>
        <v>0.75900000000000023</v>
      </c>
    </row>
    <row r="368" spans="1:39" x14ac:dyDescent="0.2">
      <c r="A368" s="8"/>
      <c r="B368" s="109" t="s">
        <v>119</v>
      </c>
      <c r="C368" s="108" t="s">
        <v>832</v>
      </c>
      <c r="D368" s="95" t="s">
        <v>835</v>
      </c>
      <c r="E368" s="102"/>
      <c r="F368" s="266">
        <v>0.41666700000000001</v>
      </c>
      <c r="G368" s="266">
        <v>0.41666700000000001</v>
      </c>
      <c r="H368" s="266">
        <v>0.41666700000000001</v>
      </c>
      <c r="I368" s="266">
        <v>0.41666700000000001</v>
      </c>
      <c r="J368" s="266">
        <v>0.41666700000000001</v>
      </c>
      <c r="K368" s="266">
        <v>0.41666700000000001</v>
      </c>
      <c r="L368" s="266">
        <v>0.41666700000000001</v>
      </c>
      <c r="M368" s="266">
        <v>0.41666700000000001</v>
      </c>
      <c r="N368" s="266">
        <v>0.41666700000000001</v>
      </c>
      <c r="O368" s="266">
        <v>0.41666700000000001</v>
      </c>
      <c r="P368" s="266">
        <v>0.41666700000000001</v>
      </c>
      <c r="Q368" s="266">
        <v>0.41666700000000001</v>
      </c>
      <c r="R368" s="266">
        <v>0.41666700000000001</v>
      </c>
      <c r="S368" s="266">
        <v>0.41666700000000001</v>
      </c>
      <c r="T368" s="266">
        <v>0.41666700000000001</v>
      </c>
      <c r="U368" s="266">
        <v>0.41666700000000001</v>
      </c>
      <c r="V368" s="266">
        <v>0.41666700000000001</v>
      </c>
      <c r="W368" s="266">
        <v>0.41666700000000001</v>
      </c>
      <c r="X368" s="266">
        <v>0.41666700000000001</v>
      </c>
      <c r="Y368" s="266">
        <v>0.41666700000000001</v>
      </c>
      <c r="Z368" s="266">
        <v>0.41666700000000001</v>
      </c>
      <c r="AA368" s="266">
        <v>0.41666700000000001</v>
      </c>
      <c r="AB368" s="266">
        <v>0.41666700000000001</v>
      </c>
      <c r="AC368" s="266">
        <v>0.41666700000000001</v>
      </c>
      <c r="AD368" s="266">
        <v>0.41666700000000001</v>
      </c>
      <c r="AE368" s="266">
        <v>0.41666700000000001</v>
      </c>
      <c r="AF368" s="266">
        <v>0.41666700000000001</v>
      </c>
      <c r="AG368" s="266">
        <v>0.41666700000000001</v>
      </c>
      <c r="AH368" s="266">
        <v>0.41666700000000001</v>
      </c>
      <c r="AI368" s="266">
        <v>0.41666700000000001</v>
      </c>
      <c r="AJ368" s="266">
        <v>0.41666700000000001</v>
      </c>
      <c r="AK368" s="266">
        <v>0.41666700000000001</v>
      </c>
      <c r="AL368" s="266">
        <v>0.41666700000000001</v>
      </c>
      <c r="AM368" s="383">
        <f t="shared" si="19"/>
        <v>0.41666700000000023</v>
      </c>
    </row>
    <row r="369" spans="1:39" x14ac:dyDescent="0.2">
      <c r="A369" s="8"/>
      <c r="B369" s="109" t="s">
        <v>120</v>
      </c>
      <c r="C369" s="108" t="s">
        <v>832</v>
      </c>
      <c r="D369" s="95" t="s">
        <v>835</v>
      </c>
      <c r="E369" s="102"/>
      <c r="F369" s="266">
        <v>0.47571099999999999</v>
      </c>
      <c r="G369" s="266">
        <v>0.47571099999999999</v>
      </c>
      <c r="H369" s="266">
        <v>0.47571099999999999</v>
      </c>
      <c r="I369" s="266">
        <v>0.47571099999999999</v>
      </c>
      <c r="J369" s="266">
        <v>0.47571099999999999</v>
      </c>
      <c r="K369" s="266">
        <v>0.47571099999999999</v>
      </c>
      <c r="L369" s="266">
        <v>0.47571099999999999</v>
      </c>
      <c r="M369" s="266">
        <v>0.47571099999999999</v>
      </c>
      <c r="N369" s="266">
        <v>0.47571099999999999</v>
      </c>
      <c r="O369" s="266">
        <v>0.47571099999999999</v>
      </c>
      <c r="P369" s="266">
        <v>0.47571099999999999</v>
      </c>
      <c r="Q369" s="266">
        <v>0.47571099999999999</v>
      </c>
      <c r="R369" s="266">
        <v>0.47571099999999999</v>
      </c>
      <c r="S369" s="266">
        <v>0.47571099999999999</v>
      </c>
      <c r="T369" s="266">
        <v>0.47571099999999999</v>
      </c>
      <c r="U369" s="266">
        <v>0.47571099999999999</v>
      </c>
      <c r="V369" s="266">
        <v>0.47571099999999999</v>
      </c>
      <c r="W369" s="266">
        <v>0.47571099999999999</v>
      </c>
      <c r="X369" s="266">
        <v>0.47571099999999999</v>
      </c>
      <c r="Y369" s="266">
        <v>0.47571099999999999</v>
      </c>
      <c r="Z369" s="266">
        <v>0.47571099999999999</v>
      </c>
      <c r="AA369" s="266">
        <v>0.47571099999999999</v>
      </c>
      <c r="AB369" s="266">
        <v>0.47571099999999999</v>
      </c>
      <c r="AC369" s="266">
        <v>0.47571099999999999</v>
      </c>
      <c r="AD369" s="266">
        <v>0.47571099999999999</v>
      </c>
      <c r="AE369" s="266">
        <v>0.47571099999999999</v>
      </c>
      <c r="AF369" s="266">
        <v>0.47571099999999999</v>
      </c>
      <c r="AG369" s="266">
        <v>0.47571099999999999</v>
      </c>
      <c r="AH369" s="266">
        <v>0.47571099999999999</v>
      </c>
      <c r="AI369" s="266">
        <v>0.47571099999999999</v>
      </c>
      <c r="AJ369" s="266">
        <v>0.47571099999999999</v>
      </c>
      <c r="AK369" s="266">
        <v>0.47571099999999999</v>
      </c>
      <c r="AL369" s="266">
        <v>0.47571099999999999</v>
      </c>
      <c r="AM369" s="383">
        <f t="shared" si="19"/>
        <v>0.47571100000000033</v>
      </c>
    </row>
    <row r="370" spans="1:39" x14ac:dyDescent="0.2">
      <c r="A370" s="8"/>
      <c r="B370" s="109" t="s">
        <v>127</v>
      </c>
      <c r="C370" s="108" t="s">
        <v>832</v>
      </c>
      <c r="D370" s="95" t="s">
        <v>835</v>
      </c>
      <c r="E370" s="102"/>
      <c r="F370" s="266">
        <v>0.41666700000000001</v>
      </c>
      <c r="G370" s="266">
        <v>0.41666700000000001</v>
      </c>
      <c r="H370" s="266">
        <v>0.41666700000000001</v>
      </c>
      <c r="I370" s="266">
        <v>0.41666700000000001</v>
      </c>
      <c r="J370" s="266">
        <v>0.41666700000000001</v>
      </c>
      <c r="K370" s="266">
        <v>0.41666700000000001</v>
      </c>
      <c r="L370" s="266">
        <v>0.41666700000000001</v>
      </c>
      <c r="M370" s="266">
        <v>0.41666700000000001</v>
      </c>
      <c r="N370" s="266">
        <v>0.41666700000000001</v>
      </c>
      <c r="O370" s="266">
        <v>0.41666700000000001</v>
      </c>
      <c r="P370" s="266">
        <v>0.41666700000000001</v>
      </c>
      <c r="Q370" s="266">
        <v>0.41666700000000001</v>
      </c>
      <c r="R370" s="266">
        <v>0.41666700000000001</v>
      </c>
      <c r="S370" s="266">
        <v>0.41666700000000001</v>
      </c>
      <c r="T370" s="266">
        <v>0.41666700000000001</v>
      </c>
      <c r="U370" s="266">
        <v>0.41666700000000001</v>
      </c>
      <c r="V370" s="266">
        <v>0.41666700000000001</v>
      </c>
      <c r="W370" s="266">
        <v>0.41666700000000001</v>
      </c>
      <c r="X370" s="266">
        <v>0.41666700000000001</v>
      </c>
      <c r="Y370" s="266">
        <v>0.41666700000000001</v>
      </c>
      <c r="Z370" s="266">
        <v>0.41666700000000001</v>
      </c>
      <c r="AA370" s="266">
        <v>0.41666700000000001</v>
      </c>
      <c r="AB370" s="266">
        <v>0.41666700000000001</v>
      </c>
      <c r="AC370" s="266">
        <v>0.41666700000000001</v>
      </c>
      <c r="AD370" s="266">
        <v>0.41666700000000001</v>
      </c>
      <c r="AE370" s="266">
        <v>0.41666700000000001</v>
      </c>
      <c r="AF370" s="266">
        <v>0.41666700000000001</v>
      </c>
      <c r="AG370" s="266">
        <v>0.41666700000000001</v>
      </c>
      <c r="AH370" s="266">
        <v>0.41666700000000001</v>
      </c>
      <c r="AI370" s="266">
        <v>0.41666700000000001</v>
      </c>
      <c r="AJ370" s="266">
        <v>0.41666700000000001</v>
      </c>
      <c r="AK370" s="266">
        <v>0.41666700000000001</v>
      </c>
      <c r="AL370" s="266">
        <v>0.41666700000000001</v>
      </c>
      <c r="AM370" s="383">
        <f t="shared" si="19"/>
        <v>0.41666700000000023</v>
      </c>
    </row>
    <row r="371" spans="1:39" x14ac:dyDescent="0.2">
      <c r="A371" s="8"/>
      <c r="B371" s="109" t="s">
        <v>128</v>
      </c>
      <c r="C371" s="108" t="s">
        <v>832</v>
      </c>
      <c r="D371" s="95" t="s">
        <v>835</v>
      </c>
      <c r="E371" s="102"/>
      <c r="F371" s="266">
        <v>0.446189</v>
      </c>
      <c r="G371" s="266">
        <v>0.446189</v>
      </c>
      <c r="H371" s="266">
        <v>0.446189</v>
      </c>
      <c r="I371" s="266">
        <v>0.446189</v>
      </c>
      <c r="J371" s="266">
        <v>0.446189</v>
      </c>
      <c r="K371" s="266">
        <v>0.446189</v>
      </c>
      <c r="L371" s="266">
        <v>0.446189</v>
      </c>
      <c r="M371" s="266">
        <v>0.446189</v>
      </c>
      <c r="N371" s="266">
        <v>0.446189</v>
      </c>
      <c r="O371" s="266">
        <v>0.446189</v>
      </c>
      <c r="P371" s="266">
        <v>0.446189</v>
      </c>
      <c r="Q371" s="266">
        <v>0.446189</v>
      </c>
      <c r="R371" s="266">
        <v>0.446189</v>
      </c>
      <c r="S371" s="266">
        <v>0.446189</v>
      </c>
      <c r="T371" s="266">
        <v>0.446189</v>
      </c>
      <c r="U371" s="266">
        <v>0.446189</v>
      </c>
      <c r="V371" s="266">
        <v>0.446189</v>
      </c>
      <c r="W371" s="266">
        <v>0.446189</v>
      </c>
      <c r="X371" s="266">
        <v>0.446189</v>
      </c>
      <c r="Y371" s="266">
        <v>0.446189</v>
      </c>
      <c r="Z371" s="266">
        <v>0.446189</v>
      </c>
      <c r="AA371" s="266">
        <v>0.446189</v>
      </c>
      <c r="AB371" s="266">
        <v>0.446189</v>
      </c>
      <c r="AC371" s="266">
        <v>0.446189</v>
      </c>
      <c r="AD371" s="266">
        <v>0.446189</v>
      </c>
      <c r="AE371" s="266">
        <v>0.446189</v>
      </c>
      <c r="AF371" s="266">
        <v>0.446189</v>
      </c>
      <c r="AG371" s="266">
        <v>0.446189</v>
      </c>
      <c r="AH371" s="266">
        <v>0.446189</v>
      </c>
      <c r="AI371" s="266">
        <v>0.446189</v>
      </c>
      <c r="AJ371" s="266">
        <v>0.446189</v>
      </c>
      <c r="AK371" s="266">
        <v>0.446189</v>
      </c>
      <c r="AL371" s="266">
        <v>0.446189</v>
      </c>
      <c r="AM371" s="383">
        <f t="shared" si="19"/>
        <v>0.44618900000000028</v>
      </c>
    </row>
    <row r="372" spans="1:39" x14ac:dyDescent="0.2">
      <c r="A372" s="8"/>
      <c r="B372" s="109" t="s">
        <v>174</v>
      </c>
      <c r="C372" s="108" t="s">
        <v>832</v>
      </c>
      <c r="D372" s="95" t="s">
        <v>835</v>
      </c>
      <c r="E372" s="102"/>
      <c r="F372" s="266">
        <v>0.446189</v>
      </c>
      <c r="G372" s="266">
        <v>0.446189</v>
      </c>
      <c r="H372" s="266">
        <v>0.446189</v>
      </c>
      <c r="I372" s="266">
        <v>0.446189</v>
      </c>
      <c r="J372" s="266">
        <v>0.446189</v>
      </c>
      <c r="K372" s="266">
        <v>0.446189</v>
      </c>
      <c r="L372" s="266">
        <v>0.446189</v>
      </c>
      <c r="M372" s="266">
        <v>0.446189</v>
      </c>
      <c r="N372" s="266">
        <v>0.446189</v>
      </c>
      <c r="O372" s="266">
        <v>0.446189</v>
      </c>
      <c r="P372" s="266">
        <v>0.446189</v>
      </c>
      <c r="Q372" s="266">
        <v>0.446189</v>
      </c>
      <c r="R372" s="266">
        <v>0.446189</v>
      </c>
      <c r="S372" s="266">
        <v>0.446189</v>
      </c>
      <c r="T372" s="266">
        <v>0.446189</v>
      </c>
      <c r="U372" s="266">
        <v>0.446189</v>
      </c>
      <c r="V372" s="266">
        <v>0.446189</v>
      </c>
      <c r="W372" s="266">
        <v>0.446189</v>
      </c>
      <c r="X372" s="266">
        <v>0.446189</v>
      </c>
      <c r="Y372" s="266">
        <v>0.446189</v>
      </c>
      <c r="Z372" s="266">
        <v>0.446189</v>
      </c>
      <c r="AA372" s="266">
        <v>0.446189</v>
      </c>
      <c r="AB372" s="266">
        <v>0.446189</v>
      </c>
      <c r="AC372" s="266">
        <v>0.446189</v>
      </c>
      <c r="AD372" s="266">
        <v>0.446189</v>
      </c>
      <c r="AE372" s="266">
        <v>0.446189</v>
      </c>
      <c r="AF372" s="266">
        <v>0.446189</v>
      </c>
      <c r="AG372" s="266">
        <v>0.446189</v>
      </c>
      <c r="AH372" s="266">
        <v>0.446189</v>
      </c>
      <c r="AI372" s="266">
        <v>0.446189</v>
      </c>
      <c r="AJ372" s="266">
        <v>0.446189</v>
      </c>
      <c r="AK372" s="266">
        <v>0.446189</v>
      </c>
      <c r="AL372" s="266">
        <v>0.446189</v>
      </c>
      <c r="AM372" s="383">
        <f t="shared" si="19"/>
        <v>0.44618900000000028</v>
      </c>
    </row>
    <row r="373" spans="1:39" x14ac:dyDescent="0.2">
      <c r="A373" s="8"/>
      <c r="B373" s="109"/>
      <c r="C373" s="108"/>
      <c r="D373" s="276"/>
      <c r="E373" s="102"/>
      <c r="F373" s="114"/>
      <c r="G373" s="114"/>
      <c r="H373" s="114"/>
      <c r="I373" s="114"/>
      <c r="J373" s="114"/>
      <c r="K373" s="114"/>
      <c r="L373" s="114"/>
      <c r="M373" s="114"/>
      <c r="N373" s="114"/>
      <c r="O373" s="114"/>
      <c r="P373" s="114"/>
      <c r="Q373" s="114"/>
      <c r="R373" s="114"/>
      <c r="S373" s="114"/>
      <c r="T373" s="114"/>
      <c r="U373" s="114"/>
      <c r="V373" s="114"/>
      <c r="W373" s="114"/>
      <c r="X373" s="114"/>
      <c r="Y373" s="114"/>
      <c r="Z373" s="114"/>
      <c r="AA373" s="114"/>
      <c r="AB373" s="114"/>
      <c r="AC373" s="114"/>
      <c r="AD373" s="114"/>
      <c r="AE373" s="114"/>
      <c r="AF373" s="114"/>
      <c r="AG373" s="114"/>
      <c r="AH373" s="114"/>
      <c r="AI373" s="114"/>
      <c r="AJ373" s="114"/>
      <c r="AK373" s="114"/>
      <c r="AL373" s="114"/>
      <c r="AM373" s="107"/>
    </row>
    <row r="374" spans="1:39" x14ac:dyDescent="0.2">
      <c r="A374" s="8"/>
      <c r="B374" s="99" t="s">
        <v>833</v>
      </c>
      <c r="C374" s="98"/>
      <c r="D374" s="93"/>
      <c r="E374" s="102"/>
      <c r="F374" s="114"/>
      <c r="G374" s="114"/>
      <c r="H374" s="114"/>
      <c r="I374" s="114"/>
      <c r="J374" s="114"/>
      <c r="K374" s="114"/>
      <c r="L374" s="114"/>
      <c r="M374" s="114"/>
      <c r="N374" s="114"/>
      <c r="O374" s="114"/>
      <c r="P374" s="114"/>
      <c r="Q374" s="114"/>
      <c r="R374" s="114"/>
      <c r="S374" s="114"/>
      <c r="T374" s="114"/>
      <c r="U374" s="114"/>
      <c r="V374" s="114"/>
      <c r="W374" s="114"/>
      <c r="X374" s="114"/>
      <c r="Y374" s="114"/>
      <c r="Z374" s="114"/>
      <c r="AA374" s="114"/>
      <c r="AB374" s="114"/>
      <c r="AC374" s="114"/>
      <c r="AD374" s="114"/>
      <c r="AE374" s="114"/>
      <c r="AF374" s="114"/>
      <c r="AG374" s="114"/>
      <c r="AH374" s="114"/>
      <c r="AI374" s="114"/>
      <c r="AJ374" s="114"/>
      <c r="AK374" s="114"/>
      <c r="AL374" s="114"/>
      <c r="AM374" s="107"/>
    </row>
    <row r="375" spans="1:39" x14ac:dyDescent="0.2">
      <c r="A375" s="8"/>
      <c r="B375" s="109" t="s">
        <v>86</v>
      </c>
      <c r="C375" s="108" t="s">
        <v>832</v>
      </c>
      <c r="D375" s="95" t="s">
        <v>835</v>
      </c>
      <c r="E375" s="102"/>
      <c r="F375" s="266">
        <v>0.418271</v>
      </c>
      <c r="G375" s="266">
        <v>0.418271</v>
      </c>
      <c r="H375" s="266">
        <v>0.418271</v>
      </c>
      <c r="I375" s="266">
        <v>0.418271</v>
      </c>
      <c r="J375" s="266">
        <v>0.418271</v>
      </c>
      <c r="K375" s="266">
        <v>0.418271</v>
      </c>
      <c r="L375" s="266">
        <v>0.418271</v>
      </c>
      <c r="M375" s="266">
        <v>0.418271</v>
      </c>
      <c r="N375" s="266">
        <v>0.418271</v>
      </c>
      <c r="O375" s="266">
        <v>0.418271</v>
      </c>
      <c r="P375" s="266">
        <v>0.418271</v>
      </c>
      <c r="Q375" s="266">
        <v>0.418271</v>
      </c>
      <c r="R375" s="266">
        <v>0.418271</v>
      </c>
      <c r="S375" s="266">
        <v>0.418271</v>
      </c>
      <c r="T375" s="266">
        <v>0.418271</v>
      </c>
      <c r="U375" s="266">
        <v>0.418271</v>
      </c>
      <c r="V375" s="266">
        <v>0.418271</v>
      </c>
      <c r="W375" s="266">
        <v>0.418271</v>
      </c>
      <c r="X375" s="266">
        <v>0.418271</v>
      </c>
      <c r="Y375" s="266">
        <v>0.418271</v>
      </c>
      <c r="Z375" s="266">
        <v>0.418271</v>
      </c>
      <c r="AA375" s="266">
        <v>0.418271</v>
      </c>
      <c r="AB375" s="266">
        <v>0.418271</v>
      </c>
      <c r="AC375" s="266">
        <v>0.418271</v>
      </c>
      <c r="AD375" s="266">
        <v>0.418271</v>
      </c>
      <c r="AE375" s="266">
        <v>0.418271</v>
      </c>
      <c r="AF375" s="266">
        <v>0.418271</v>
      </c>
      <c r="AG375" s="266">
        <v>0.418271</v>
      </c>
      <c r="AH375" s="266">
        <v>0.418271</v>
      </c>
      <c r="AI375" s="266">
        <v>0.418271</v>
      </c>
      <c r="AJ375" s="266">
        <v>0.418271</v>
      </c>
      <c r="AK375" s="266">
        <v>0.418271</v>
      </c>
      <c r="AL375" s="266">
        <v>0.418271</v>
      </c>
      <c r="AM375" s="383">
        <f t="shared" ref="AM375:AM411" si="20">AVERAGE(F375:AL375)</f>
        <v>0.41827100000000023</v>
      </c>
    </row>
    <row r="376" spans="1:39" x14ac:dyDescent="0.2">
      <c r="A376" s="8"/>
      <c r="B376" s="109" t="s">
        <v>88</v>
      </c>
      <c r="C376" s="108" t="s">
        <v>832</v>
      </c>
      <c r="D376" s="95" t="s">
        <v>835</v>
      </c>
      <c r="E376" s="102"/>
      <c r="F376" s="266">
        <v>0.418271</v>
      </c>
      <c r="G376" s="266">
        <v>0.418271</v>
      </c>
      <c r="H376" s="266">
        <v>0.418271</v>
      </c>
      <c r="I376" s="266">
        <v>0.418271</v>
      </c>
      <c r="J376" s="266">
        <v>0.418271</v>
      </c>
      <c r="K376" s="266">
        <v>0.418271</v>
      </c>
      <c r="L376" s="266">
        <v>0.418271</v>
      </c>
      <c r="M376" s="266">
        <v>0.418271</v>
      </c>
      <c r="N376" s="266">
        <v>0.418271</v>
      </c>
      <c r="O376" s="266">
        <v>0.418271</v>
      </c>
      <c r="P376" s="266">
        <v>0.418271</v>
      </c>
      <c r="Q376" s="266">
        <v>0.418271</v>
      </c>
      <c r="R376" s="266">
        <v>0.418271</v>
      </c>
      <c r="S376" s="266">
        <v>0.418271</v>
      </c>
      <c r="T376" s="266">
        <v>0.418271</v>
      </c>
      <c r="U376" s="266">
        <v>0.418271</v>
      </c>
      <c r="V376" s="266">
        <v>0.418271</v>
      </c>
      <c r="W376" s="266">
        <v>0.418271</v>
      </c>
      <c r="X376" s="266">
        <v>0.418271</v>
      </c>
      <c r="Y376" s="266">
        <v>0.418271</v>
      </c>
      <c r="Z376" s="266">
        <v>0.418271</v>
      </c>
      <c r="AA376" s="266">
        <v>0.418271</v>
      </c>
      <c r="AB376" s="266">
        <v>0.418271</v>
      </c>
      <c r="AC376" s="266">
        <v>0.418271</v>
      </c>
      <c r="AD376" s="266">
        <v>0.418271</v>
      </c>
      <c r="AE376" s="266">
        <v>0.418271</v>
      </c>
      <c r="AF376" s="266">
        <v>0.418271</v>
      </c>
      <c r="AG376" s="266">
        <v>0.418271</v>
      </c>
      <c r="AH376" s="266">
        <v>0.418271</v>
      </c>
      <c r="AI376" s="266">
        <v>0.418271</v>
      </c>
      <c r="AJ376" s="266">
        <v>0.418271</v>
      </c>
      <c r="AK376" s="266">
        <v>0.418271</v>
      </c>
      <c r="AL376" s="266">
        <v>0.418271</v>
      </c>
      <c r="AM376" s="383">
        <f t="shared" si="20"/>
        <v>0.41827100000000023</v>
      </c>
    </row>
    <row r="377" spans="1:39" x14ac:dyDescent="0.2">
      <c r="A377" s="8"/>
      <c r="B377" s="109" t="s">
        <v>89</v>
      </c>
      <c r="C377" s="108" t="s">
        <v>832</v>
      </c>
      <c r="D377" s="95" t="s">
        <v>835</v>
      </c>
      <c r="E377" s="102"/>
      <c r="F377" s="266">
        <v>0.42311399999999999</v>
      </c>
      <c r="G377" s="266">
        <v>0.42311399999999999</v>
      </c>
      <c r="H377" s="266">
        <v>0.42311399999999999</v>
      </c>
      <c r="I377" s="266">
        <v>0.42311399999999999</v>
      </c>
      <c r="J377" s="266">
        <v>0.42311399999999999</v>
      </c>
      <c r="K377" s="266">
        <v>0.42311399999999999</v>
      </c>
      <c r="L377" s="266">
        <v>0.42311399999999999</v>
      </c>
      <c r="M377" s="266">
        <v>0.42311399999999999</v>
      </c>
      <c r="N377" s="266">
        <v>0.42311399999999999</v>
      </c>
      <c r="O377" s="266">
        <v>0.42311399999999999</v>
      </c>
      <c r="P377" s="266">
        <v>0.42311399999999999</v>
      </c>
      <c r="Q377" s="266">
        <v>0.42311399999999999</v>
      </c>
      <c r="R377" s="266">
        <v>0.42311399999999999</v>
      </c>
      <c r="S377" s="266">
        <v>0.42311399999999999</v>
      </c>
      <c r="T377" s="266">
        <v>0.42311399999999999</v>
      </c>
      <c r="U377" s="266">
        <v>0.42311399999999999</v>
      </c>
      <c r="V377" s="266">
        <v>0.42311399999999999</v>
      </c>
      <c r="W377" s="266">
        <v>0.42311399999999999</v>
      </c>
      <c r="X377" s="266">
        <v>0.42311399999999999</v>
      </c>
      <c r="Y377" s="266">
        <v>0.42311399999999999</v>
      </c>
      <c r="Z377" s="266">
        <v>0.42311399999999999</v>
      </c>
      <c r="AA377" s="266">
        <v>0.42311399999999999</v>
      </c>
      <c r="AB377" s="266">
        <v>0.42311399999999999</v>
      </c>
      <c r="AC377" s="266">
        <v>0.42311399999999999</v>
      </c>
      <c r="AD377" s="266">
        <v>0.42311399999999999</v>
      </c>
      <c r="AE377" s="266">
        <v>0.42311399999999999</v>
      </c>
      <c r="AF377" s="266">
        <v>0.42311399999999999</v>
      </c>
      <c r="AG377" s="266">
        <v>0.42311399999999999</v>
      </c>
      <c r="AH377" s="266">
        <v>0.42311399999999999</v>
      </c>
      <c r="AI377" s="266">
        <v>0.42311399999999999</v>
      </c>
      <c r="AJ377" s="266">
        <v>0.42311399999999999</v>
      </c>
      <c r="AK377" s="266">
        <v>0.42311399999999999</v>
      </c>
      <c r="AL377" s="266">
        <v>0.42311399999999999</v>
      </c>
      <c r="AM377" s="383">
        <f t="shared" si="20"/>
        <v>0.42311399999999999</v>
      </c>
    </row>
    <row r="378" spans="1:39" x14ac:dyDescent="0.2">
      <c r="A378" s="8"/>
      <c r="B378" s="109" t="s">
        <v>90</v>
      </c>
      <c r="C378" s="108" t="s">
        <v>832</v>
      </c>
      <c r="D378" s="95" t="s">
        <v>835</v>
      </c>
      <c r="E378" s="102"/>
      <c r="F378" s="266">
        <v>0.29399999999999998</v>
      </c>
      <c r="G378" s="266">
        <v>0.29399999999999998</v>
      </c>
      <c r="H378" s="266">
        <v>0.29399999999999998</v>
      </c>
      <c r="I378" s="266">
        <v>0.29399999999999998</v>
      </c>
      <c r="J378" s="266">
        <v>0.29399999999999998</v>
      </c>
      <c r="K378" s="266">
        <v>0.29399999999999998</v>
      </c>
      <c r="L378" s="266">
        <v>0.29399999999999998</v>
      </c>
      <c r="M378" s="266">
        <v>0.29399999999999998</v>
      </c>
      <c r="N378" s="266">
        <v>0.29399999999999998</v>
      </c>
      <c r="O378" s="266">
        <v>0.29399999999999998</v>
      </c>
      <c r="P378" s="266">
        <v>0.29399999999999998</v>
      </c>
      <c r="Q378" s="266">
        <v>0.29399999999999998</v>
      </c>
      <c r="R378" s="266">
        <v>0.29399999999999998</v>
      </c>
      <c r="S378" s="266">
        <v>0.29399999999999998</v>
      </c>
      <c r="T378" s="266">
        <v>0.29399999999999998</v>
      </c>
      <c r="U378" s="266">
        <v>0.29399999999999998</v>
      </c>
      <c r="V378" s="266">
        <v>0.29399999999999998</v>
      </c>
      <c r="W378" s="266">
        <v>0.29399999999999998</v>
      </c>
      <c r="X378" s="266">
        <v>0.29399999999999998</v>
      </c>
      <c r="Y378" s="266">
        <v>0.29399999999999998</v>
      </c>
      <c r="Z378" s="266">
        <v>0.29399999999999998</v>
      </c>
      <c r="AA378" s="266">
        <v>0.29399999999999998</v>
      </c>
      <c r="AB378" s="266">
        <v>0.29399999999999998</v>
      </c>
      <c r="AC378" s="266">
        <v>0.29399999999999998</v>
      </c>
      <c r="AD378" s="266">
        <v>0.29399999999999998</v>
      </c>
      <c r="AE378" s="266">
        <v>0.29399999999999998</v>
      </c>
      <c r="AF378" s="266">
        <v>0.29399999999999998</v>
      </c>
      <c r="AG378" s="266">
        <v>0.29399999999999998</v>
      </c>
      <c r="AH378" s="266">
        <v>0.29399999999999998</v>
      </c>
      <c r="AI378" s="266">
        <v>0.29399999999999998</v>
      </c>
      <c r="AJ378" s="266">
        <v>0.29399999999999998</v>
      </c>
      <c r="AK378" s="266">
        <v>0.29399999999999998</v>
      </c>
      <c r="AL378" s="266">
        <v>0.29399999999999998</v>
      </c>
      <c r="AM378" s="383">
        <f t="shared" si="20"/>
        <v>0.29399999999999987</v>
      </c>
    </row>
    <row r="379" spans="1:39" x14ac:dyDescent="0.2">
      <c r="A379" s="8"/>
      <c r="B379" s="109" t="s">
        <v>91</v>
      </c>
      <c r="C379" s="108" t="s">
        <v>832</v>
      </c>
      <c r="D379" s="95" t="s">
        <v>835</v>
      </c>
      <c r="E379" s="102"/>
      <c r="F379" s="266">
        <v>0.36299999999999999</v>
      </c>
      <c r="G379" s="266">
        <v>0.36299999999999999</v>
      </c>
      <c r="H379" s="266">
        <v>0.36299999999999999</v>
      </c>
      <c r="I379" s="266">
        <v>0.36299999999999999</v>
      </c>
      <c r="J379" s="266">
        <v>0.36299999999999999</v>
      </c>
      <c r="K379" s="266">
        <v>0.36299999999999999</v>
      </c>
      <c r="L379" s="266">
        <v>0.36299999999999999</v>
      </c>
      <c r="M379" s="266">
        <v>0.36299999999999999</v>
      </c>
      <c r="N379" s="266">
        <v>0.36299999999999999</v>
      </c>
      <c r="O379" s="266">
        <v>0.36299999999999999</v>
      </c>
      <c r="P379" s="266">
        <v>0.36299999999999999</v>
      </c>
      <c r="Q379" s="266">
        <v>0.36299999999999999</v>
      </c>
      <c r="R379" s="266">
        <v>0.36299999999999999</v>
      </c>
      <c r="S379" s="266">
        <v>0.36299999999999999</v>
      </c>
      <c r="T379" s="266">
        <v>0.36299999999999999</v>
      </c>
      <c r="U379" s="266">
        <v>0.36299999999999999</v>
      </c>
      <c r="V379" s="266">
        <v>0.36299999999999999</v>
      </c>
      <c r="W379" s="266">
        <v>0.36299999999999999</v>
      </c>
      <c r="X379" s="266">
        <v>0.36299999999999999</v>
      </c>
      <c r="Y379" s="266">
        <v>0.36299999999999999</v>
      </c>
      <c r="Z379" s="266">
        <v>0.36299999999999999</v>
      </c>
      <c r="AA379" s="266">
        <v>0.36299999999999999</v>
      </c>
      <c r="AB379" s="266">
        <v>0.36299999999999999</v>
      </c>
      <c r="AC379" s="266">
        <v>0.36299999999999999</v>
      </c>
      <c r="AD379" s="266">
        <v>0.36299999999999999</v>
      </c>
      <c r="AE379" s="266">
        <v>0.36299999999999999</v>
      </c>
      <c r="AF379" s="266">
        <v>0.36299999999999999</v>
      </c>
      <c r="AG379" s="266">
        <v>0.36299999999999999</v>
      </c>
      <c r="AH379" s="266">
        <v>0.36299999999999999</v>
      </c>
      <c r="AI379" s="266">
        <v>0.36299999999999999</v>
      </c>
      <c r="AJ379" s="266">
        <v>0.36299999999999999</v>
      </c>
      <c r="AK379" s="266">
        <v>0.36299999999999999</v>
      </c>
      <c r="AL379" s="266">
        <v>0.36299999999999999</v>
      </c>
      <c r="AM379" s="383">
        <f t="shared" si="20"/>
        <v>0.36299999999999971</v>
      </c>
    </row>
    <row r="380" spans="1:39" x14ac:dyDescent="0.2">
      <c r="A380" s="8"/>
      <c r="B380" s="109" t="s">
        <v>92</v>
      </c>
      <c r="C380" s="108" t="s">
        <v>832</v>
      </c>
      <c r="D380" s="95" t="s">
        <v>835</v>
      </c>
      <c r="E380" s="102"/>
      <c r="F380" s="266">
        <v>0.40579399999999999</v>
      </c>
      <c r="G380" s="266">
        <v>0.40579399999999999</v>
      </c>
      <c r="H380" s="266">
        <v>0.40579399999999999</v>
      </c>
      <c r="I380" s="266">
        <v>0.40579399999999999</v>
      </c>
      <c r="J380" s="266">
        <v>0.40579399999999999</v>
      </c>
      <c r="K380" s="266">
        <v>0.40579399999999999</v>
      </c>
      <c r="L380" s="266">
        <v>0.40579399999999999</v>
      </c>
      <c r="M380" s="266">
        <v>0.40579399999999999</v>
      </c>
      <c r="N380" s="266">
        <v>0.40579399999999999</v>
      </c>
      <c r="O380" s="266">
        <v>0.40579399999999999</v>
      </c>
      <c r="P380" s="266">
        <v>0.40579399999999999</v>
      </c>
      <c r="Q380" s="266">
        <v>0.40579399999999999</v>
      </c>
      <c r="R380" s="266">
        <v>0.40579399999999999</v>
      </c>
      <c r="S380" s="266">
        <v>0.40579399999999999</v>
      </c>
      <c r="T380" s="266">
        <v>0.40579399999999999</v>
      </c>
      <c r="U380" s="266">
        <v>0.40579399999999999</v>
      </c>
      <c r="V380" s="266">
        <v>0.40579399999999999</v>
      </c>
      <c r="W380" s="266">
        <v>0.40579399999999999</v>
      </c>
      <c r="X380" s="266">
        <v>0.40579399999999999</v>
      </c>
      <c r="Y380" s="266">
        <v>0.40579399999999999</v>
      </c>
      <c r="Z380" s="266">
        <v>0.40579399999999999</v>
      </c>
      <c r="AA380" s="266">
        <v>0.40579399999999999</v>
      </c>
      <c r="AB380" s="266">
        <v>0.40579399999999999</v>
      </c>
      <c r="AC380" s="266">
        <v>0.40579399999999999</v>
      </c>
      <c r="AD380" s="266">
        <v>0.40579399999999999</v>
      </c>
      <c r="AE380" s="266">
        <v>0.40579399999999999</v>
      </c>
      <c r="AF380" s="266">
        <v>0.40579399999999999</v>
      </c>
      <c r="AG380" s="266">
        <v>0.40579399999999999</v>
      </c>
      <c r="AH380" s="266">
        <v>0.40579399999999999</v>
      </c>
      <c r="AI380" s="266">
        <v>0.40579399999999999</v>
      </c>
      <c r="AJ380" s="266">
        <v>0.40579399999999999</v>
      </c>
      <c r="AK380" s="266">
        <v>0.40579399999999999</v>
      </c>
      <c r="AL380" s="266">
        <v>0.40579399999999999</v>
      </c>
      <c r="AM380" s="383">
        <f t="shared" si="20"/>
        <v>0.40579400000000015</v>
      </c>
    </row>
    <row r="381" spans="1:39" x14ac:dyDescent="0.2">
      <c r="A381" s="8"/>
      <c r="B381" s="109" t="s">
        <v>93</v>
      </c>
      <c r="C381" s="108" t="s">
        <v>832</v>
      </c>
      <c r="D381" s="95" t="s">
        <v>835</v>
      </c>
      <c r="E381" s="102"/>
      <c r="F381" s="266">
        <v>0.40579399999999999</v>
      </c>
      <c r="G381" s="266">
        <v>0.40579399999999999</v>
      </c>
      <c r="H381" s="266">
        <v>0.40579399999999999</v>
      </c>
      <c r="I381" s="266">
        <v>0.40579399999999999</v>
      </c>
      <c r="J381" s="266">
        <v>0.40579399999999999</v>
      </c>
      <c r="K381" s="266">
        <v>0.40579399999999999</v>
      </c>
      <c r="L381" s="266">
        <v>0.40579399999999999</v>
      </c>
      <c r="M381" s="266">
        <v>0.40579399999999999</v>
      </c>
      <c r="N381" s="266">
        <v>0.40579399999999999</v>
      </c>
      <c r="O381" s="266">
        <v>0.40579399999999999</v>
      </c>
      <c r="P381" s="266">
        <v>0.40579399999999999</v>
      </c>
      <c r="Q381" s="266">
        <v>0.40579399999999999</v>
      </c>
      <c r="R381" s="266">
        <v>0.40579399999999999</v>
      </c>
      <c r="S381" s="266">
        <v>0.40579399999999999</v>
      </c>
      <c r="T381" s="266">
        <v>0.40579399999999999</v>
      </c>
      <c r="U381" s="266">
        <v>0.40579399999999999</v>
      </c>
      <c r="V381" s="266">
        <v>0.40579399999999999</v>
      </c>
      <c r="W381" s="266">
        <v>0.40579399999999999</v>
      </c>
      <c r="X381" s="266">
        <v>0.40579399999999999</v>
      </c>
      <c r="Y381" s="266">
        <v>0.40579399999999999</v>
      </c>
      <c r="Z381" s="266">
        <v>0.40579399999999999</v>
      </c>
      <c r="AA381" s="266">
        <v>0.40579399999999999</v>
      </c>
      <c r="AB381" s="266">
        <v>0.40579399999999999</v>
      </c>
      <c r="AC381" s="266">
        <v>0.40579399999999999</v>
      </c>
      <c r="AD381" s="266">
        <v>0.40579399999999999</v>
      </c>
      <c r="AE381" s="266">
        <v>0.40579399999999999</v>
      </c>
      <c r="AF381" s="266">
        <v>0.40579399999999999</v>
      </c>
      <c r="AG381" s="266">
        <v>0.40579399999999999</v>
      </c>
      <c r="AH381" s="266">
        <v>0.40579399999999999</v>
      </c>
      <c r="AI381" s="266">
        <v>0.40579399999999999</v>
      </c>
      <c r="AJ381" s="266">
        <v>0.40579399999999999</v>
      </c>
      <c r="AK381" s="266">
        <v>0.40579399999999999</v>
      </c>
      <c r="AL381" s="266">
        <v>0.40579399999999999</v>
      </c>
      <c r="AM381" s="383">
        <f t="shared" si="20"/>
        <v>0.40579400000000015</v>
      </c>
    </row>
    <row r="382" spans="1:39" x14ac:dyDescent="0.2">
      <c r="A382" s="8"/>
      <c r="B382" s="109" t="s">
        <v>94</v>
      </c>
      <c r="C382" s="108" t="s">
        <v>832</v>
      </c>
      <c r="D382" s="95" t="s">
        <v>835</v>
      </c>
      <c r="E382" s="102"/>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66"/>
      <c r="AE382" s="266"/>
      <c r="AF382" s="266"/>
      <c r="AG382" s="266"/>
      <c r="AH382" s="266"/>
      <c r="AI382" s="266"/>
      <c r="AJ382" s="266"/>
      <c r="AK382" s="266"/>
      <c r="AL382" s="266"/>
      <c r="AM382" s="266"/>
    </row>
    <row r="383" spans="1:39" x14ac:dyDescent="0.2">
      <c r="A383" s="8"/>
      <c r="B383" s="109" t="s">
        <v>95</v>
      </c>
      <c r="C383" s="108" t="s">
        <v>832</v>
      </c>
      <c r="D383" s="95" t="s">
        <v>835</v>
      </c>
      <c r="E383" s="102"/>
      <c r="F383" s="266">
        <v>0.60234399999999999</v>
      </c>
      <c r="G383" s="266">
        <v>0.60234399999999999</v>
      </c>
      <c r="H383" s="266">
        <v>0.60234399999999999</v>
      </c>
      <c r="I383" s="266">
        <v>0.60234399999999999</v>
      </c>
      <c r="J383" s="266">
        <v>0.60234399999999999</v>
      </c>
      <c r="K383" s="266">
        <v>0.60234399999999999</v>
      </c>
      <c r="L383" s="266">
        <v>0.60234399999999999</v>
      </c>
      <c r="M383" s="266">
        <v>0.60234399999999999</v>
      </c>
      <c r="N383" s="266">
        <v>0.60234399999999999</v>
      </c>
      <c r="O383" s="266">
        <v>0.60234399999999999</v>
      </c>
      <c r="P383" s="266">
        <v>0.60234399999999999</v>
      </c>
      <c r="Q383" s="266">
        <v>0.60234399999999999</v>
      </c>
      <c r="R383" s="266">
        <v>0.60234399999999999</v>
      </c>
      <c r="S383" s="266">
        <v>0.60234399999999999</v>
      </c>
      <c r="T383" s="266">
        <v>0.60234399999999999</v>
      </c>
      <c r="U383" s="266">
        <v>0.60234399999999999</v>
      </c>
      <c r="V383" s="266">
        <v>0.60234399999999999</v>
      </c>
      <c r="W383" s="266">
        <v>0.60234399999999999</v>
      </c>
      <c r="X383" s="266">
        <v>0.60234399999999999</v>
      </c>
      <c r="Y383" s="266">
        <v>0.60234399999999999</v>
      </c>
      <c r="Z383" s="266">
        <v>0.60234399999999999</v>
      </c>
      <c r="AA383" s="266">
        <v>0.60234399999999999</v>
      </c>
      <c r="AB383" s="266">
        <v>0.60234399999999999</v>
      </c>
      <c r="AC383" s="266">
        <v>0.60234399999999999</v>
      </c>
      <c r="AD383" s="266">
        <v>0.60234399999999999</v>
      </c>
      <c r="AE383" s="266">
        <v>0.60234399999999999</v>
      </c>
      <c r="AF383" s="266">
        <v>0.60234399999999999</v>
      </c>
      <c r="AG383" s="266">
        <v>0.60234399999999999</v>
      </c>
      <c r="AH383" s="266">
        <v>0.60234399999999999</v>
      </c>
      <c r="AI383" s="266">
        <v>0.60234399999999999</v>
      </c>
      <c r="AJ383" s="266">
        <v>0.60234399999999999</v>
      </c>
      <c r="AK383" s="266">
        <v>0.60234399999999999</v>
      </c>
      <c r="AL383" s="266">
        <v>0.60234399999999999</v>
      </c>
      <c r="AM383" s="383">
        <f t="shared" si="20"/>
        <v>0.60234399999999999</v>
      </c>
    </row>
    <row r="384" spans="1:39" x14ac:dyDescent="0.2">
      <c r="A384" s="8"/>
      <c r="B384" s="109" t="s">
        <v>96</v>
      </c>
      <c r="C384" s="108" t="s">
        <v>832</v>
      </c>
      <c r="D384" s="95" t="s">
        <v>835</v>
      </c>
      <c r="E384" s="102"/>
      <c r="F384" s="266">
        <v>0.53066999999999998</v>
      </c>
      <c r="G384" s="266">
        <v>0.53066999999999998</v>
      </c>
      <c r="H384" s="266">
        <v>0.53066999999999998</v>
      </c>
      <c r="I384" s="266">
        <v>0.53066999999999998</v>
      </c>
      <c r="J384" s="266">
        <v>0.53066999999999998</v>
      </c>
      <c r="K384" s="266">
        <v>0.53066999999999998</v>
      </c>
      <c r="L384" s="266">
        <v>0.53066999999999998</v>
      </c>
      <c r="M384" s="266">
        <v>0.53066999999999998</v>
      </c>
      <c r="N384" s="266">
        <v>0.53066999999999998</v>
      </c>
      <c r="O384" s="266">
        <v>0.53066999999999998</v>
      </c>
      <c r="P384" s="266">
        <v>0.53066999999999998</v>
      </c>
      <c r="Q384" s="266">
        <v>0.53066999999999998</v>
      </c>
      <c r="R384" s="266">
        <v>0.53066999999999998</v>
      </c>
      <c r="S384" s="266">
        <v>0.53066999999999998</v>
      </c>
      <c r="T384" s="266">
        <v>0.53066999999999998</v>
      </c>
      <c r="U384" s="266">
        <v>0.53066999999999998</v>
      </c>
      <c r="V384" s="266">
        <v>0.53066999999999998</v>
      </c>
      <c r="W384" s="266">
        <v>0.53066999999999998</v>
      </c>
      <c r="X384" s="266">
        <v>0.53066999999999998</v>
      </c>
      <c r="Y384" s="266">
        <v>0.53066999999999998</v>
      </c>
      <c r="Z384" s="266">
        <v>0.53066999999999998</v>
      </c>
      <c r="AA384" s="266">
        <v>0.53066999999999998</v>
      </c>
      <c r="AB384" s="266">
        <v>0.53066999999999998</v>
      </c>
      <c r="AC384" s="266">
        <v>0.53066999999999998</v>
      </c>
      <c r="AD384" s="266">
        <v>0.53066999999999998</v>
      </c>
      <c r="AE384" s="266">
        <v>0.53066999999999998</v>
      </c>
      <c r="AF384" s="266">
        <v>0.53066999999999998</v>
      </c>
      <c r="AG384" s="266">
        <v>0.53066999999999998</v>
      </c>
      <c r="AH384" s="266">
        <v>0.53066999999999998</v>
      </c>
      <c r="AI384" s="266">
        <v>0.53066999999999998</v>
      </c>
      <c r="AJ384" s="266">
        <v>0.53066999999999998</v>
      </c>
      <c r="AK384" s="266">
        <v>0.53066999999999998</v>
      </c>
      <c r="AL384" s="266">
        <v>0.53066999999999998</v>
      </c>
      <c r="AM384" s="383">
        <f t="shared" si="20"/>
        <v>0.5306700000000002</v>
      </c>
    </row>
    <row r="385" spans="1:39" x14ac:dyDescent="0.2">
      <c r="A385" s="8"/>
      <c r="B385" s="109" t="s">
        <v>97</v>
      </c>
      <c r="C385" s="108" t="s">
        <v>832</v>
      </c>
      <c r="D385" s="95" t="s">
        <v>835</v>
      </c>
      <c r="E385" s="102"/>
      <c r="F385" s="266">
        <v>0.52439000000000002</v>
      </c>
      <c r="G385" s="266">
        <v>0.52439000000000002</v>
      </c>
      <c r="H385" s="266">
        <v>0.52439000000000002</v>
      </c>
      <c r="I385" s="266">
        <v>0.52439000000000002</v>
      </c>
      <c r="J385" s="266">
        <v>0.52439000000000002</v>
      </c>
      <c r="K385" s="266">
        <v>0.52439000000000002</v>
      </c>
      <c r="L385" s="266">
        <v>0.52439000000000002</v>
      </c>
      <c r="M385" s="266">
        <v>0.52439000000000002</v>
      </c>
      <c r="N385" s="266">
        <v>0.52439000000000002</v>
      </c>
      <c r="O385" s="266">
        <v>0.52439000000000002</v>
      </c>
      <c r="P385" s="266">
        <v>0.52439000000000002</v>
      </c>
      <c r="Q385" s="266">
        <v>0.52439000000000002</v>
      </c>
      <c r="R385" s="266">
        <v>0.52439000000000002</v>
      </c>
      <c r="S385" s="266">
        <v>0.52439000000000002</v>
      </c>
      <c r="T385" s="266">
        <v>0.52439000000000002</v>
      </c>
      <c r="U385" s="266">
        <v>0.52439000000000002</v>
      </c>
      <c r="V385" s="266">
        <v>0.52439000000000002</v>
      </c>
      <c r="W385" s="266">
        <v>0.52439000000000002</v>
      </c>
      <c r="X385" s="266">
        <v>0.52439000000000002</v>
      </c>
      <c r="Y385" s="266">
        <v>0.52439000000000002</v>
      </c>
      <c r="Z385" s="266">
        <v>0.52439000000000002</v>
      </c>
      <c r="AA385" s="266">
        <v>0.52439000000000002</v>
      </c>
      <c r="AB385" s="266">
        <v>0.52439000000000002</v>
      </c>
      <c r="AC385" s="266">
        <v>0.52439000000000002</v>
      </c>
      <c r="AD385" s="266">
        <v>0.52439000000000002</v>
      </c>
      <c r="AE385" s="266">
        <v>0.52439000000000002</v>
      </c>
      <c r="AF385" s="266">
        <v>0.52439000000000002</v>
      </c>
      <c r="AG385" s="266">
        <v>0.52439000000000002</v>
      </c>
      <c r="AH385" s="266">
        <v>0.52439000000000002</v>
      </c>
      <c r="AI385" s="266">
        <v>0.52439000000000002</v>
      </c>
      <c r="AJ385" s="266">
        <v>0.52439000000000002</v>
      </c>
      <c r="AK385" s="266">
        <v>0.52439000000000002</v>
      </c>
      <c r="AL385" s="266">
        <v>0.52439000000000002</v>
      </c>
      <c r="AM385" s="383">
        <f t="shared" si="20"/>
        <v>0.52439000000000024</v>
      </c>
    </row>
    <row r="386" spans="1:39" x14ac:dyDescent="0.2">
      <c r="A386" s="8"/>
      <c r="B386" s="109" t="s">
        <v>98</v>
      </c>
      <c r="C386" s="108" t="s">
        <v>832</v>
      </c>
      <c r="D386" s="95" t="s">
        <v>835</v>
      </c>
      <c r="E386" s="102"/>
      <c r="F386" s="266">
        <v>0.55246799999999996</v>
      </c>
      <c r="G386" s="266">
        <v>0.55246799999999996</v>
      </c>
      <c r="H386" s="266">
        <v>0.55246799999999996</v>
      </c>
      <c r="I386" s="266">
        <v>0.55246799999999996</v>
      </c>
      <c r="J386" s="266">
        <v>0.55246799999999996</v>
      </c>
      <c r="K386" s="266">
        <v>0.55246799999999996</v>
      </c>
      <c r="L386" s="266">
        <v>0.55246799999999996</v>
      </c>
      <c r="M386" s="266">
        <v>0.55246799999999996</v>
      </c>
      <c r="N386" s="266">
        <v>0.55246799999999996</v>
      </c>
      <c r="O386" s="266">
        <v>0.55246799999999996</v>
      </c>
      <c r="P386" s="266">
        <v>0.55246799999999996</v>
      </c>
      <c r="Q386" s="266">
        <v>0.55246799999999996</v>
      </c>
      <c r="R386" s="266">
        <v>0.55246799999999996</v>
      </c>
      <c r="S386" s="266">
        <v>0.55246799999999996</v>
      </c>
      <c r="T386" s="266">
        <v>0.55246799999999996</v>
      </c>
      <c r="U386" s="266">
        <v>0.55246799999999996</v>
      </c>
      <c r="V386" s="266">
        <v>0.55246799999999996</v>
      </c>
      <c r="W386" s="266">
        <v>0.55246799999999996</v>
      </c>
      <c r="X386" s="266">
        <v>0.55246799999999996</v>
      </c>
      <c r="Y386" s="266">
        <v>0.55246799999999996</v>
      </c>
      <c r="Z386" s="266">
        <v>0.55246799999999996</v>
      </c>
      <c r="AA386" s="266">
        <v>0.55246799999999996</v>
      </c>
      <c r="AB386" s="266">
        <v>0.55246799999999996</v>
      </c>
      <c r="AC386" s="266">
        <v>0.55246799999999996</v>
      </c>
      <c r="AD386" s="266">
        <v>0.55246799999999996</v>
      </c>
      <c r="AE386" s="266">
        <v>0.55246799999999996</v>
      </c>
      <c r="AF386" s="266">
        <v>0.55246799999999996</v>
      </c>
      <c r="AG386" s="266">
        <v>0.55246799999999996</v>
      </c>
      <c r="AH386" s="266">
        <v>0.55246799999999996</v>
      </c>
      <c r="AI386" s="266">
        <v>0.55246799999999996</v>
      </c>
      <c r="AJ386" s="266">
        <v>0.55246799999999996</v>
      </c>
      <c r="AK386" s="266">
        <v>0.55246799999999996</v>
      </c>
      <c r="AL386" s="266">
        <v>0.55246799999999996</v>
      </c>
      <c r="AM386" s="383">
        <f t="shared" si="20"/>
        <v>0.55246799999999985</v>
      </c>
    </row>
    <row r="387" spans="1:39" x14ac:dyDescent="0.2">
      <c r="A387" s="8"/>
      <c r="B387" s="109" t="s">
        <v>99</v>
      </c>
      <c r="C387" s="108" t="s">
        <v>832</v>
      </c>
      <c r="D387" s="95" t="s">
        <v>835</v>
      </c>
      <c r="E387" s="102"/>
      <c r="F387" s="266">
        <v>0.341443</v>
      </c>
      <c r="G387" s="266">
        <v>0.341443</v>
      </c>
      <c r="H387" s="266">
        <v>0.341443</v>
      </c>
      <c r="I387" s="266">
        <v>0.341443</v>
      </c>
      <c r="J387" s="266">
        <v>0.341443</v>
      </c>
      <c r="K387" s="266">
        <v>0.341443</v>
      </c>
      <c r="L387" s="266">
        <v>0.341443</v>
      </c>
      <c r="M387" s="266">
        <v>0.341443</v>
      </c>
      <c r="N387" s="266">
        <v>0.341443</v>
      </c>
      <c r="O387" s="266">
        <v>0.341443</v>
      </c>
      <c r="P387" s="266">
        <v>0.341443</v>
      </c>
      <c r="Q387" s="266">
        <v>0.341443</v>
      </c>
      <c r="R387" s="266">
        <v>0.341443</v>
      </c>
      <c r="S387" s="266">
        <v>0.341443</v>
      </c>
      <c r="T387" s="266">
        <v>0.341443</v>
      </c>
      <c r="U387" s="266">
        <v>0.341443</v>
      </c>
      <c r="V387" s="266">
        <v>0.341443</v>
      </c>
      <c r="W387" s="266">
        <v>0.341443</v>
      </c>
      <c r="X387" s="266">
        <v>0.341443</v>
      </c>
      <c r="Y387" s="266">
        <v>0.341443</v>
      </c>
      <c r="Z387" s="266">
        <v>0.341443</v>
      </c>
      <c r="AA387" s="266">
        <v>0.341443</v>
      </c>
      <c r="AB387" s="266">
        <v>0.341443</v>
      </c>
      <c r="AC387" s="266">
        <v>0.341443</v>
      </c>
      <c r="AD387" s="266">
        <v>0.341443</v>
      </c>
      <c r="AE387" s="266">
        <v>0.341443</v>
      </c>
      <c r="AF387" s="266">
        <v>0.341443</v>
      </c>
      <c r="AG387" s="266">
        <v>0.341443</v>
      </c>
      <c r="AH387" s="266">
        <v>0.341443</v>
      </c>
      <c r="AI387" s="266">
        <v>0.341443</v>
      </c>
      <c r="AJ387" s="266">
        <v>0.341443</v>
      </c>
      <c r="AK387" s="266">
        <v>0.341443</v>
      </c>
      <c r="AL387" s="266">
        <v>0.341443</v>
      </c>
      <c r="AM387" s="383">
        <f t="shared" si="20"/>
        <v>0.341443</v>
      </c>
    </row>
    <row r="388" spans="1:39" x14ac:dyDescent="0.2">
      <c r="A388" s="8"/>
      <c r="B388" s="109" t="s">
        <v>100</v>
      </c>
      <c r="C388" s="108" t="s">
        <v>832</v>
      </c>
      <c r="D388" s="95" t="s">
        <v>835</v>
      </c>
      <c r="E388" s="102"/>
      <c r="F388" s="266">
        <v>0.33935500000000002</v>
      </c>
      <c r="G388" s="266">
        <v>0.33935500000000002</v>
      </c>
      <c r="H388" s="266">
        <v>0.33935500000000002</v>
      </c>
      <c r="I388" s="266">
        <v>0.33935500000000002</v>
      </c>
      <c r="J388" s="266">
        <v>0.33935500000000002</v>
      </c>
      <c r="K388" s="266">
        <v>0.33935500000000002</v>
      </c>
      <c r="L388" s="266">
        <v>0.33935500000000002</v>
      </c>
      <c r="M388" s="266">
        <v>0.33935500000000002</v>
      </c>
      <c r="N388" s="266">
        <v>0.33935500000000002</v>
      </c>
      <c r="O388" s="266">
        <v>0.33935500000000002</v>
      </c>
      <c r="P388" s="266">
        <v>0.33935500000000002</v>
      </c>
      <c r="Q388" s="266">
        <v>0.33935500000000002</v>
      </c>
      <c r="R388" s="266">
        <v>0.33935500000000002</v>
      </c>
      <c r="S388" s="266">
        <v>0.33935500000000002</v>
      </c>
      <c r="T388" s="266">
        <v>0.33935500000000002</v>
      </c>
      <c r="U388" s="266">
        <v>0.33935500000000002</v>
      </c>
      <c r="V388" s="266">
        <v>0.33935500000000002</v>
      </c>
      <c r="W388" s="266">
        <v>0.33935500000000002</v>
      </c>
      <c r="X388" s="266">
        <v>0.33935500000000002</v>
      </c>
      <c r="Y388" s="266">
        <v>0.33935500000000002</v>
      </c>
      <c r="Z388" s="266">
        <v>0.33935500000000002</v>
      </c>
      <c r="AA388" s="266">
        <v>0.33935500000000002</v>
      </c>
      <c r="AB388" s="266">
        <v>0.33935500000000002</v>
      </c>
      <c r="AC388" s="266">
        <v>0.33935500000000002</v>
      </c>
      <c r="AD388" s="266">
        <v>0.33935500000000002</v>
      </c>
      <c r="AE388" s="266">
        <v>0.33935500000000002</v>
      </c>
      <c r="AF388" s="266">
        <v>0.33935500000000002</v>
      </c>
      <c r="AG388" s="266">
        <v>0.33935500000000002</v>
      </c>
      <c r="AH388" s="266">
        <v>0.33935500000000002</v>
      </c>
      <c r="AI388" s="266">
        <v>0.33935500000000002</v>
      </c>
      <c r="AJ388" s="266">
        <v>0.33935500000000002</v>
      </c>
      <c r="AK388" s="266">
        <v>0.33935500000000002</v>
      </c>
      <c r="AL388" s="266">
        <v>0.33935500000000002</v>
      </c>
      <c r="AM388" s="383">
        <f t="shared" si="20"/>
        <v>0.33935499999999991</v>
      </c>
    </row>
    <row r="389" spans="1:39" x14ac:dyDescent="0.2">
      <c r="A389" s="8"/>
      <c r="B389" s="109" t="s">
        <v>101</v>
      </c>
      <c r="C389" s="108" t="s">
        <v>832</v>
      </c>
      <c r="D389" s="95" t="s">
        <v>835</v>
      </c>
      <c r="E389" s="102"/>
      <c r="F389" s="266">
        <v>0.34039900000000001</v>
      </c>
      <c r="G389" s="266">
        <v>0.34039900000000001</v>
      </c>
      <c r="H389" s="266">
        <v>0.34039900000000001</v>
      </c>
      <c r="I389" s="266">
        <v>0.34039900000000001</v>
      </c>
      <c r="J389" s="266">
        <v>0.34039900000000001</v>
      </c>
      <c r="K389" s="266">
        <v>0.34039900000000001</v>
      </c>
      <c r="L389" s="266">
        <v>0.34039900000000001</v>
      </c>
      <c r="M389" s="266">
        <v>0.34039900000000001</v>
      </c>
      <c r="N389" s="266">
        <v>0.34039900000000001</v>
      </c>
      <c r="O389" s="266">
        <v>0.34039900000000001</v>
      </c>
      <c r="P389" s="266">
        <v>0.34039900000000001</v>
      </c>
      <c r="Q389" s="266">
        <v>0.34039900000000001</v>
      </c>
      <c r="R389" s="266">
        <v>0.34039900000000001</v>
      </c>
      <c r="S389" s="266">
        <v>0.34039900000000001</v>
      </c>
      <c r="T389" s="266">
        <v>0.34039900000000001</v>
      </c>
      <c r="U389" s="266">
        <v>0.34039900000000001</v>
      </c>
      <c r="V389" s="266">
        <v>0.34039900000000001</v>
      </c>
      <c r="W389" s="266">
        <v>0.34039900000000001</v>
      </c>
      <c r="X389" s="266">
        <v>0.34039900000000001</v>
      </c>
      <c r="Y389" s="266">
        <v>0.34039900000000001</v>
      </c>
      <c r="Z389" s="266">
        <v>0.34039900000000001</v>
      </c>
      <c r="AA389" s="266">
        <v>0.34039900000000001</v>
      </c>
      <c r="AB389" s="266">
        <v>0.34039900000000001</v>
      </c>
      <c r="AC389" s="266">
        <v>0.34039900000000001</v>
      </c>
      <c r="AD389" s="266">
        <v>0.34039900000000001</v>
      </c>
      <c r="AE389" s="266">
        <v>0.34039900000000001</v>
      </c>
      <c r="AF389" s="266">
        <v>0.34039900000000001</v>
      </c>
      <c r="AG389" s="266">
        <v>0.34039900000000001</v>
      </c>
      <c r="AH389" s="266">
        <v>0.34039900000000001</v>
      </c>
      <c r="AI389" s="266">
        <v>0.34039900000000001</v>
      </c>
      <c r="AJ389" s="266">
        <v>0.34039900000000001</v>
      </c>
      <c r="AK389" s="266">
        <v>0.34039900000000001</v>
      </c>
      <c r="AL389" s="266">
        <v>0.34039900000000001</v>
      </c>
      <c r="AM389" s="383">
        <f t="shared" si="20"/>
        <v>0.34039899999999984</v>
      </c>
    </row>
    <row r="390" spans="1:39" x14ac:dyDescent="0.2">
      <c r="A390" s="8"/>
      <c r="B390" s="109" t="s">
        <v>102</v>
      </c>
      <c r="C390" s="108" t="s">
        <v>832</v>
      </c>
      <c r="D390" s="95" t="s">
        <v>835</v>
      </c>
      <c r="E390" s="102"/>
      <c r="F390" s="266">
        <v>0.15103900000000001</v>
      </c>
      <c r="G390" s="266">
        <v>0.15103900000000001</v>
      </c>
      <c r="H390" s="266">
        <v>0.15103900000000001</v>
      </c>
      <c r="I390" s="266">
        <v>0.15103900000000001</v>
      </c>
      <c r="J390" s="266">
        <v>0.15103900000000001</v>
      </c>
      <c r="K390" s="266">
        <v>0.15103900000000001</v>
      </c>
      <c r="L390" s="266">
        <v>0.15103900000000001</v>
      </c>
      <c r="M390" s="266">
        <v>0.15103900000000001</v>
      </c>
      <c r="N390" s="266">
        <v>0.15103900000000001</v>
      </c>
      <c r="O390" s="266">
        <v>0.15103900000000001</v>
      </c>
      <c r="P390" s="266">
        <v>0.15103900000000001</v>
      </c>
      <c r="Q390" s="266">
        <v>0.15103900000000001</v>
      </c>
      <c r="R390" s="266">
        <v>0.15103900000000001</v>
      </c>
      <c r="S390" s="266">
        <v>0.15103900000000001</v>
      </c>
      <c r="T390" s="266">
        <v>0.15103900000000001</v>
      </c>
      <c r="U390" s="266">
        <v>0.15103900000000001</v>
      </c>
      <c r="V390" s="266">
        <v>0.15103900000000001</v>
      </c>
      <c r="W390" s="266">
        <v>0.15103900000000001</v>
      </c>
      <c r="X390" s="266">
        <v>0.15103900000000001</v>
      </c>
      <c r="Y390" s="266">
        <v>0.15103900000000001</v>
      </c>
      <c r="Z390" s="266">
        <v>0.15103900000000001</v>
      </c>
      <c r="AA390" s="266">
        <v>0.15103900000000001</v>
      </c>
      <c r="AB390" s="266">
        <v>0.15103900000000001</v>
      </c>
      <c r="AC390" s="266">
        <v>0.15103900000000001</v>
      </c>
      <c r="AD390" s="266">
        <v>0.15103900000000001</v>
      </c>
      <c r="AE390" s="266">
        <v>0.15103900000000001</v>
      </c>
      <c r="AF390" s="266">
        <v>0.15103900000000001</v>
      </c>
      <c r="AG390" s="266">
        <v>0.15103900000000001</v>
      </c>
      <c r="AH390" s="266">
        <v>0.15103900000000001</v>
      </c>
      <c r="AI390" s="266">
        <v>0.15103900000000001</v>
      </c>
      <c r="AJ390" s="266">
        <v>0.15103900000000001</v>
      </c>
      <c r="AK390" s="266">
        <v>0.15103900000000001</v>
      </c>
      <c r="AL390" s="266">
        <v>0.15103900000000001</v>
      </c>
      <c r="AM390" s="383">
        <f t="shared" si="20"/>
        <v>0.15103899999999995</v>
      </c>
    </row>
    <row r="391" spans="1:39" x14ac:dyDescent="0.2">
      <c r="A391" s="8"/>
      <c r="B391" s="109" t="s">
        <v>103</v>
      </c>
      <c r="C391" s="108" t="s">
        <v>832</v>
      </c>
      <c r="D391" s="95" t="s">
        <v>835</v>
      </c>
      <c r="E391" s="102"/>
      <c r="F391" s="266">
        <v>0.150284</v>
      </c>
      <c r="G391" s="266">
        <v>0.150284</v>
      </c>
      <c r="H391" s="266">
        <v>0.150284</v>
      </c>
      <c r="I391" s="266">
        <v>0.150284</v>
      </c>
      <c r="J391" s="266">
        <v>0.150284</v>
      </c>
      <c r="K391" s="266">
        <v>0.150284</v>
      </c>
      <c r="L391" s="266">
        <v>0.150284</v>
      </c>
      <c r="M391" s="266">
        <v>0.150284</v>
      </c>
      <c r="N391" s="266">
        <v>0.150284</v>
      </c>
      <c r="O391" s="266">
        <v>0.150284</v>
      </c>
      <c r="P391" s="266">
        <v>0.150284</v>
      </c>
      <c r="Q391" s="266">
        <v>0.150284</v>
      </c>
      <c r="R391" s="266">
        <v>0.150284</v>
      </c>
      <c r="S391" s="266">
        <v>0.150284</v>
      </c>
      <c r="T391" s="266">
        <v>0.150284</v>
      </c>
      <c r="U391" s="266">
        <v>0.150284</v>
      </c>
      <c r="V391" s="266">
        <v>0.150284</v>
      </c>
      <c r="W391" s="266">
        <v>0.150284</v>
      </c>
      <c r="X391" s="266">
        <v>0.150284</v>
      </c>
      <c r="Y391" s="266">
        <v>0.150284</v>
      </c>
      <c r="Z391" s="266">
        <v>0.150284</v>
      </c>
      <c r="AA391" s="266">
        <v>0.150284</v>
      </c>
      <c r="AB391" s="266">
        <v>0.150284</v>
      </c>
      <c r="AC391" s="266">
        <v>0.150284</v>
      </c>
      <c r="AD391" s="266">
        <v>0.150284</v>
      </c>
      <c r="AE391" s="266">
        <v>0.150284</v>
      </c>
      <c r="AF391" s="266">
        <v>0.150284</v>
      </c>
      <c r="AG391" s="266">
        <v>0.150284</v>
      </c>
      <c r="AH391" s="266">
        <v>0.150284</v>
      </c>
      <c r="AI391" s="266">
        <v>0.150284</v>
      </c>
      <c r="AJ391" s="266">
        <v>0.150284</v>
      </c>
      <c r="AK391" s="266">
        <v>0.150284</v>
      </c>
      <c r="AL391" s="266">
        <v>0.150284</v>
      </c>
      <c r="AM391" s="383">
        <f t="shared" si="20"/>
        <v>0.15028400000000006</v>
      </c>
    </row>
    <row r="392" spans="1:39" x14ac:dyDescent="0.2">
      <c r="A392" s="8"/>
      <c r="B392" s="109" t="s">
        <v>104</v>
      </c>
      <c r="C392" s="108" t="s">
        <v>832</v>
      </c>
      <c r="D392" s="95" t="s">
        <v>835</v>
      </c>
      <c r="E392" s="102"/>
      <c r="F392" s="266">
        <v>0.150787</v>
      </c>
      <c r="G392" s="266">
        <v>0.150787</v>
      </c>
      <c r="H392" s="266">
        <v>0.150787</v>
      </c>
      <c r="I392" s="266">
        <v>0.150787</v>
      </c>
      <c r="J392" s="266">
        <v>0.150787</v>
      </c>
      <c r="K392" s="266">
        <v>0.150787</v>
      </c>
      <c r="L392" s="266">
        <v>0.150787</v>
      </c>
      <c r="M392" s="266">
        <v>0.150787</v>
      </c>
      <c r="N392" s="266">
        <v>0.150787</v>
      </c>
      <c r="O392" s="266">
        <v>0.150787</v>
      </c>
      <c r="P392" s="266">
        <v>0.150787</v>
      </c>
      <c r="Q392" s="266">
        <v>0.150787</v>
      </c>
      <c r="R392" s="266">
        <v>0.150787</v>
      </c>
      <c r="S392" s="266">
        <v>0.150787</v>
      </c>
      <c r="T392" s="266">
        <v>0.150787</v>
      </c>
      <c r="U392" s="266">
        <v>0.150787</v>
      </c>
      <c r="V392" s="266">
        <v>0.150787</v>
      </c>
      <c r="W392" s="266">
        <v>0.150787</v>
      </c>
      <c r="X392" s="266">
        <v>0.150787</v>
      </c>
      <c r="Y392" s="266">
        <v>0.150787</v>
      </c>
      <c r="Z392" s="266">
        <v>0.150787</v>
      </c>
      <c r="AA392" s="266">
        <v>0.150787</v>
      </c>
      <c r="AB392" s="266">
        <v>0.150787</v>
      </c>
      <c r="AC392" s="266">
        <v>0.150787</v>
      </c>
      <c r="AD392" s="266">
        <v>0.150787</v>
      </c>
      <c r="AE392" s="266">
        <v>0.150787</v>
      </c>
      <c r="AF392" s="266">
        <v>0.150787</v>
      </c>
      <c r="AG392" s="266">
        <v>0.150787</v>
      </c>
      <c r="AH392" s="266">
        <v>0.150787</v>
      </c>
      <c r="AI392" s="266">
        <v>0.150787</v>
      </c>
      <c r="AJ392" s="266">
        <v>0.150787</v>
      </c>
      <c r="AK392" s="266">
        <v>0.150787</v>
      </c>
      <c r="AL392" s="266">
        <v>0.150787</v>
      </c>
      <c r="AM392" s="383">
        <f t="shared" si="20"/>
        <v>0.15078700000000012</v>
      </c>
    </row>
    <row r="393" spans="1:39" x14ac:dyDescent="0.2">
      <c r="A393" s="8"/>
      <c r="B393" s="109" t="s">
        <v>105</v>
      </c>
      <c r="C393" s="108" t="s">
        <v>832</v>
      </c>
      <c r="D393" s="95" t="s">
        <v>835</v>
      </c>
      <c r="E393" s="102"/>
      <c r="F393" s="266">
        <v>0.34039900000000001</v>
      </c>
      <c r="G393" s="266">
        <v>0.34039900000000001</v>
      </c>
      <c r="H393" s="266">
        <v>0.34039900000000001</v>
      </c>
      <c r="I393" s="266">
        <v>0.34039900000000001</v>
      </c>
      <c r="J393" s="266">
        <v>0.34039900000000001</v>
      </c>
      <c r="K393" s="266">
        <v>0.34039900000000001</v>
      </c>
      <c r="L393" s="266">
        <v>0.34039900000000001</v>
      </c>
      <c r="M393" s="266">
        <v>0.34039900000000001</v>
      </c>
      <c r="N393" s="266">
        <v>0.34039900000000001</v>
      </c>
      <c r="O393" s="266">
        <v>0.34039900000000001</v>
      </c>
      <c r="P393" s="266">
        <v>0.34039900000000001</v>
      </c>
      <c r="Q393" s="266">
        <v>0.34039900000000001</v>
      </c>
      <c r="R393" s="266">
        <v>0.34039900000000001</v>
      </c>
      <c r="S393" s="266">
        <v>0.34039900000000001</v>
      </c>
      <c r="T393" s="266">
        <v>0.34039900000000001</v>
      </c>
      <c r="U393" s="266">
        <v>0.34039900000000001</v>
      </c>
      <c r="V393" s="266">
        <v>0.34039900000000001</v>
      </c>
      <c r="W393" s="266">
        <v>0.34039900000000001</v>
      </c>
      <c r="X393" s="266">
        <v>0.34039900000000001</v>
      </c>
      <c r="Y393" s="266">
        <v>0.34039900000000001</v>
      </c>
      <c r="Z393" s="266">
        <v>0.34039900000000001</v>
      </c>
      <c r="AA393" s="266">
        <v>0.34039900000000001</v>
      </c>
      <c r="AB393" s="266">
        <v>0.34039900000000001</v>
      </c>
      <c r="AC393" s="266">
        <v>0.34039900000000001</v>
      </c>
      <c r="AD393" s="266">
        <v>0.34039900000000001</v>
      </c>
      <c r="AE393" s="266">
        <v>0.34039900000000001</v>
      </c>
      <c r="AF393" s="266">
        <v>0.34039900000000001</v>
      </c>
      <c r="AG393" s="266">
        <v>0.34039900000000001</v>
      </c>
      <c r="AH393" s="266">
        <v>0.34039900000000001</v>
      </c>
      <c r="AI393" s="266">
        <v>0.34039900000000001</v>
      </c>
      <c r="AJ393" s="266">
        <v>0.34039900000000001</v>
      </c>
      <c r="AK393" s="266">
        <v>0.34039900000000001</v>
      </c>
      <c r="AL393" s="266">
        <v>0.34039900000000001</v>
      </c>
      <c r="AM393" s="383">
        <f t="shared" si="20"/>
        <v>0.34039899999999984</v>
      </c>
    </row>
    <row r="394" spans="1:39" x14ac:dyDescent="0.2">
      <c r="A394" s="8"/>
      <c r="B394" s="109" t="s">
        <v>106</v>
      </c>
      <c r="C394" s="108" t="s">
        <v>832</v>
      </c>
      <c r="D394" s="95" t="s">
        <v>835</v>
      </c>
      <c r="E394" s="102"/>
      <c r="F394" s="266">
        <v>0.34039900000000001</v>
      </c>
      <c r="G394" s="266">
        <v>0.34039900000000001</v>
      </c>
      <c r="H394" s="266">
        <v>0.34039900000000001</v>
      </c>
      <c r="I394" s="266">
        <v>0.34039900000000001</v>
      </c>
      <c r="J394" s="266">
        <v>0.34039900000000001</v>
      </c>
      <c r="K394" s="266">
        <v>0.34039900000000001</v>
      </c>
      <c r="L394" s="266">
        <v>0.34039900000000001</v>
      </c>
      <c r="M394" s="266">
        <v>0.34039900000000001</v>
      </c>
      <c r="N394" s="266">
        <v>0.34039900000000001</v>
      </c>
      <c r="O394" s="266">
        <v>0.34039900000000001</v>
      </c>
      <c r="P394" s="266">
        <v>0.34039900000000001</v>
      </c>
      <c r="Q394" s="266">
        <v>0.34039900000000001</v>
      </c>
      <c r="R394" s="266">
        <v>0.34039900000000001</v>
      </c>
      <c r="S394" s="266">
        <v>0.34039900000000001</v>
      </c>
      <c r="T394" s="266">
        <v>0.34039900000000001</v>
      </c>
      <c r="U394" s="266">
        <v>0.34039900000000001</v>
      </c>
      <c r="V394" s="266">
        <v>0.34039900000000001</v>
      </c>
      <c r="W394" s="266">
        <v>0.34039900000000001</v>
      </c>
      <c r="X394" s="266">
        <v>0.34039900000000001</v>
      </c>
      <c r="Y394" s="266">
        <v>0.34039900000000001</v>
      </c>
      <c r="Z394" s="266">
        <v>0.34039900000000001</v>
      </c>
      <c r="AA394" s="266">
        <v>0.34039900000000001</v>
      </c>
      <c r="AB394" s="266">
        <v>0.34039900000000001</v>
      </c>
      <c r="AC394" s="266">
        <v>0.34039900000000001</v>
      </c>
      <c r="AD394" s="266">
        <v>0.34039900000000001</v>
      </c>
      <c r="AE394" s="266">
        <v>0.34039900000000001</v>
      </c>
      <c r="AF394" s="266">
        <v>0.34039900000000001</v>
      </c>
      <c r="AG394" s="266">
        <v>0.34039900000000001</v>
      </c>
      <c r="AH394" s="266">
        <v>0.34039900000000001</v>
      </c>
      <c r="AI394" s="266">
        <v>0.34039900000000001</v>
      </c>
      <c r="AJ394" s="266">
        <v>0.34039900000000001</v>
      </c>
      <c r="AK394" s="266">
        <v>0.34039900000000001</v>
      </c>
      <c r="AL394" s="266">
        <v>0.34039900000000001</v>
      </c>
      <c r="AM394" s="383">
        <f t="shared" si="20"/>
        <v>0.34039899999999984</v>
      </c>
    </row>
    <row r="395" spans="1:39" x14ac:dyDescent="0.2">
      <c r="A395" s="8"/>
      <c r="B395" s="109" t="s">
        <v>107</v>
      </c>
      <c r="C395" s="108" t="s">
        <v>832</v>
      </c>
      <c r="D395" s="95" t="s">
        <v>835</v>
      </c>
      <c r="E395" s="102"/>
      <c r="F395" s="266">
        <v>0.34039900000000001</v>
      </c>
      <c r="G395" s="266">
        <v>0.34039900000000001</v>
      </c>
      <c r="H395" s="266">
        <v>0.34039900000000001</v>
      </c>
      <c r="I395" s="266">
        <v>0.34039900000000001</v>
      </c>
      <c r="J395" s="266">
        <v>0.34039900000000001</v>
      </c>
      <c r="K395" s="266">
        <v>0.34039900000000001</v>
      </c>
      <c r="L395" s="266">
        <v>0.34039900000000001</v>
      </c>
      <c r="M395" s="266">
        <v>0.34039900000000001</v>
      </c>
      <c r="N395" s="266">
        <v>0.34039900000000001</v>
      </c>
      <c r="O395" s="266">
        <v>0.34039900000000001</v>
      </c>
      <c r="P395" s="266">
        <v>0.34039900000000001</v>
      </c>
      <c r="Q395" s="266">
        <v>0.34039900000000001</v>
      </c>
      <c r="R395" s="266">
        <v>0.34039900000000001</v>
      </c>
      <c r="S395" s="266">
        <v>0.34039900000000001</v>
      </c>
      <c r="T395" s="266">
        <v>0.34039900000000001</v>
      </c>
      <c r="U395" s="266">
        <v>0.34039900000000001</v>
      </c>
      <c r="V395" s="266">
        <v>0.34039900000000001</v>
      </c>
      <c r="W395" s="266">
        <v>0.34039900000000001</v>
      </c>
      <c r="X395" s="266">
        <v>0.34039900000000001</v>
      </c>
      <c r="Y395" s="266">
        <v>0.34039900000000001</v>
      </c>
      <c r="Z395" s="266">
        <v>0.34039900000000001</v>
      </c>
      <c r="AA395" s="266">
        <v>0.34039900000000001</v>
      </c>
      <c r="AB395" s="266">
        <v>0.34039900000000001</v>
      </c>
      <c r="AC395" s="266">
        <v>0.34039900000000001</v>
      </c>
      <c r="AD395" s="266">
        <v>0.34039900000000001</v>
      </c>
      <c r="AE395" s="266">
        <v>0.34039900000000001</v>
      </c>
      <c r="AF395" s="266">
        <v>0.34039900000000001</v>
      </c>
      <c r="AG395" s="266">
        <v>0.34039900000000001</v>
      </c>
      <c r="AH395" s="266">
        <v>0.34039900000000001</v>
      </c>
      <c r="AI395" s="266">
        <v>0.34039900000000001</v>
      </c>
      <c r="AJ395" s="266">
        <v>0.34039900000000001</v>
      </c>
      <c r="AK395" s="266">
        <v>0.34039900000000001</v>
      </c>
      <c r="AL395" s="266">
        <v>0.34039900000000001</v>
      </c>
      <c r="AM395" s="383">
        <f t="shared" si="20"/>
        <v>0.34039899999999984</v>
      </c>
    </row>
    <row r="396" spans="1:39" x14ac:dyDescent="0.2">
      <c r="A396" s="8"/>
      <c r="B396" s="109" t="s">
        <v>108</v>
      </c>
      <c r="C396" s="108" t="s">
        <v>832</v>
      </c>
      <c r="D396" s="95" t="s">
        <v>835</v>
      </c>
      <c r="E396" s="102"/>
      <c r="F396" s="266">
        <v>0.34039900000000001</v>
      </c>
      <c r="G396" s="266">
        <v>0.34039900000000001</v>
      </c>
      <c r="H396" s="266">
        <v>0.34039900000000001</v>
      </c>
      <c r="I396" s="266">
        <v>0.34039900000000001</v>
      </c>
      <c r="J396" s="266">
        <v>0.34039900000000001</v>
      </c>
      <c r="K396" s="266">
        <v>0.34039900000000001</v>
      </c>
      <c r="L396" s="266">
        <v>0.34039900000000001</v>
      </c>
      <c r="M396" s="266">
        <v>0.34039900000000001</v>
      </c>
      <c r="N396" s="266">
        <v>0.34039900000000001</v>
      </c>
      <c r="O396" s="266">
        <v>0.34039900000000001</v>
      </c>
      <c r="P396" s="266">
        <v>0.34039900000000001</v>
      </c>
      <c r="Q396" s="266">
        <v>0.34039900000000001</v>
      </c>
      <c r="R396" s="266">
        <v>0.34039900000000001</v>
      </c>
      <c r="S396" s="266">
        <v>0.34039900000000001</v>
      </c>
      <c r="T396" s="266">
        <v>0.34039900000000001</v>
      </c>
      <c r="U396" s="266">
        <v>0.34039900000000001</v>
      </c>
      <c r="V396" s="266">
        <v>0.34039900000000001</v>
      </c>
      <c r="W396" s="266">
        <v>0.34039900000000001</v>
      </c>
      <c r="X396" s="266">
        <v>0.34039900000000001</v>
      </c>
      <c r="Y396" s="266">
        <v>0.34039900000000001</v>
      </c>
      <c r="Z396" s="266">
        <v>0.34039900000000001</v>
      </c>
      <c r="AA396" s="266">
        <v>0.34039900000000001</v>
      </c>
      <c r="AB396" s="266">
        <v>0.34039900000000001</v>
      </c>
      <c r="AC396" s="266">
        <v>0.34039900000000001</v>
      </c>
      <c r="AD396" s="266">
        <v>0.34039900000000001</v>
      </c>
      <c r="AE396" s="266">
        <v>0.34039900000000001</v>
      </c>
      <c r="AF396" s="266">
        <v>0.34039900000000001</v>
      </c>
      <c r="AG396" s="266">
        <v>0.34039900000000001</v>
      </c>
      <c r="AH396" s="266">
        <v>0.34039900000000001</v>
      </c>
      <c r="AI396" s="266">
        <v>0.34039900000000001</v>
      </c>
      <c r="AJ396" s="266">
        <v>0.34039900000000001</v>
      </c>
      <c r="AK396" s="266">
        <v>0.34039900000000001</v>
      </c>
      <c r="AL396" s="266">
        <v>0.34039900000000001</v>
      </c>
      <c r="AM396" s="383">
        <f t="shared" si="20"/>
        <v>0.34039899999999984</v>
      </c>
    </row>
    <row r="397" spans="1:39" x14ac:dyDescent="0.2">
      <c r="A397" s="8"/>
      <c r="B397" s="109" t="s">
        <v>109</v>
      </c>
      <c r="C397" s="108" t="s">
        <v>832</v>
      </c>
      <c r="D397" s="95" t="s">
        <v>835</v>
      </c>
      <c r="E397" s="102"/>
      <c r="F397" s="266">
        <v>0.34039900000000001</v>
      </c>
      <c r="G397" s="266">
        <v>0.34039900000000001</v>
      </c>
      <c r="H397" s="266">
        <v>0.34039900000000001</v>
      </c>
      <c r="I397" s="266">
        <v>0.34039900000000001</v>
      </c>
      <c r="J397" s="266">
        <v>0.34039900000000001</v>
      </c>
      <c r="K397" s="266">
        <v>0.34039900000000001</v>
      </c>
      <c r="L397" s="266">
        <v>0.34039900000000001</v>
      </c>
      <c r="M397" s="266">
        <v>0.34039900000000001</v>
      </c>
      <c r="N397" s="266">
        <v>0.34039900000000001</v>
      </c>
      <c r="O397" s="266">
        <v>0.34039900000000001</v>
      </c>
      <c r="P397" s="266">
        <v>0.34039900000000001</v>
      </c>
      <c r="Q397" s="266">
        <v>0.34039900000000001</v>
      </c>
      <c r="R397" s="266">
        <v>0.34039900000000001</v>
      </c>
      <c r="S397" s="266">
        <v>0.34039900000000001</v>
      </c>
      <c r="T397" s="266">
        <v>0.34039900000000001</v>
      </c>
      <c r="U397" s="266">
        <v>0.34039900000000001</v>
      </c>
      <c r="V397" s="266">
        <v>0.34039900000000001</v>
      </c>
      <c r="W397" s="266">
        <v>0.34039900000000001</v>
      </c>
      <c r="X397" s="266">
        <v>0.34039900000000001</v>
      </c>
      <c r="Y397" s="266">
        <v>0.34039900000000001</v>
      </c>
      <c r="Z397" s="266">
        <v>0.34039900000000001</v>
      </c>
      <c r="AA397" s="266">
        <v>0.34039900000000001</v>
      </c>
      <c r="AB397" s="266">
        <v>0.34039900000000001</v>
      </c>
      <c r="AC397" s="266">
        <v>0.34039900000000001</v>
      </c>
      <c r="AD397" s="266">
        <v>0.34039900000000001</v>
      </c>
      <c r="AE397" s="266">
        <v>0.34039900000000001</v>
      </c>
      <c r="AF397" s="266">
        <v>0.34039900000000001</v>
      </c>
      <c r="AG397" s="266">
        <v>0.34039900000000001</v>
      </c>
      <c r="AH397" s="266">
        <v>0.34039900000000001</v>
      </c>
      <c r="AI397" s="266">
        <v>0.34039900000000001</v>
      </c>
      <c r="AJ397" s="266">
        <v>0.34039900000000001</v>
      </c>
      <c r="AK397" s="266">
        <v>0.34039900000000001</v>
      </c>
      <c r="AL397" s="266">
        <v>0.34039900000000001</v>
      </c>
      <c r="AM397" s="383">
        <f t="shared" si="20"/>
        <v>0.34039899999999984</v>
      </c>
    </row>
    <row r="398" spans="1:39" x14ac:dyDescent="0.2">
      <c r="A398" s="8"/>
      <c r="B398" s="109" t="s">
        <v>110</v>
      </c>
      <c r="C398" s="108" t="s">
        <v>832</v>
      </c>
      <c r="D398" s="95" t="s">
        <v>835</v>
      </c>
      <c r="E398" s="102"/>
      <c r="F398" s="266">
        <v>8.3333000000000004E-2</v>
      </c>
      <c r="G398" s="266">
        <v>8.3333000000000004E-2</v>
      </c>
      <c r="H398" s="266">
        <v>8.3333000000000004E-2</v>
      </c>
      <c r="I398" s="266">
        <v>8.3333000000000004E-2</v>
      </c>
      <c r="J398" s="266">
        <v>8.3333000000000004E-2</v>
      </c>
      <c r="K398" s="266">
        <v>8.3333000000000004E-2</v>
      </c>
      <c r="L398" s="266">
        <v>8.3333000000000004E-2</v>
      </c>
      <c r="M398" s="266">
        <v>8.3333000000000004E-2</v>
      </c>
      <c r="N398" s="266">
        <v>8.3333000000000004E-2</v>
      </c>
      <c r="O398" s="266">
        <v>8.3333000000000004E-2</v>
      </c>
      <c r="P398" s="266">
        <v>8.3333000000000004E-2</v>
      </c>
      <c r="Q398" s="266">
        <v>8.3333000000000004E-2</v>
      </c>
      <c r="R398" s="266">
        <v>8.3333000000000004E-2</v>
      </c>
      <c r="S398" s="266">
        <v>8.3333000000000004E-2</v>
      </c>
      <c r="T398" s="266">
        <v>8.3333000000000004E-2</v>
      </c>
      <c r="U398" s="266">
        <v>8.3333000000000004E-2</v>
      </c>
      <c r="V398" s="266">
        <v>8.3333000000000004E-2</v>
      </c>
      <c r="W398" s="266">
        <v>8.3333000000000004E-2</v>
      </c>
      <c r="X398" s="266">
        <v>8.3333000000000004E-2</v>
      </c>
      <c r="Y398" s="266">
        <v>8.3333000000000004E-2</v>
      </c>
      <c r="Z398" s="266">
        <v>8.3333000000000004E-2</v>
      </c>
      <c r="AA398" s="266">
        <v>8.3333000000000004E-2</v>
      </c>
      <c r="AB398" s="266">
        <v>8.3333000000000004E-2</v>
      </c>
      <c r="AC398" s="266">
        <v>8.3333000000000004E-2</v>
      </c>
      <c r="AD398" s="266">
        <v>8.3333000000000004E-2</v>
      </c>
      <c r="AE398" s="266">
        <v>8.3333000000000004E-2</v>
      </c>
      <c r="AF398" s="266">
        <v>8.3333000000000004E-2</v>
      </c>
      <c r="AG398" s="266">
        <v>8.3333000000000004E-2</v>
      </c>
      <c r="AH398" s="266">
        <v>8.3333000000000004E-2</v>
      </c>
      <c r="AI398" s="266">
        <v>8.3333000000000004E-2</v>
      </c>
      <c r="AJ398" s="266">
        <v>8.3333000000000004E-2</v>
      </c>
      <c r="AK398" s="266">
        <v>8.3333000000000004E-2</v>
      </c>
      <c r="AL398" s="266">
        <v>8.3333000000000004E-2</v>
      </c>
      <c r="AM398" s="383">
        <f t="shared" si="20"/>
        <v>8.333300000000006E-2</v>
      </c>
    </row>
    <row r="399" spans="1:39" x14ac:dyDescent="0.2">
      <c r="A399" s="8"/>
      <c r="B399" s="109" t="s">
        <v>111</v>
      </c>
      <c r="C399" s="108" t="s">
        <v>832</v>
      </c>
      <c r="D399" s="95" t="s">
        <v>835</v>
      </c>
      <c r="E399" s="102"/>
      <c r="F399" s="266">
        <v>8.3333000000000004E-2</v>
      </c>
      <c r="G399" s="266">
        <v>8.3333000000000004E-2</v>
      </c>
      <c r="H399" s="266">
        <v>8.3333000000000004E-2</v>
      </c>
      <c r="I399" s="266">
        <v>8.3333000000000004E-2</v>
      </c>
      <c r="J399" s="266">
        <v>8.3333000000000004E-2</v>
      </c>
      <c r="K399" s="266">
        <v>8.3333000000000004E-2</v>
      </c>
      <c r="L399" s="266">
        <v>8.3333000000000004E-2</v>
      </c>
      <c r="M399" s="266">
        <v>8.3333000000000004E-2</v>
      </c>
      <c r="N399" s="266">
        <v>8.3333000000000004E-2</v>
      </c>
      <c r="O399" s="266">
        <v>8.3333000000000004E-2</v>
      </c>
      <c r="P399" s="266">
        <v>8.3333000000000004E-2</v>
      </c>
      <c r="Q399" s="266">
        <v>8.3333000000000004E-2</v>
      </c>
      <c r="R399" s="266">
        <v>8.3333000000000004E-2</v>
      </c>
      <c r="S399" s="266">
        <v>8.3333000000000004E-2</v>
      </c>
      <c r="T399" s="266">
        <v>8.3333000000000004E-2</v>
      </c>
      <c r="U399" s="266">
        <v>8.3333000000000004E-2</v>
      </c>
      <c r="V399" s="266">
        <v>8.3333000000000004E-2</v>
      </c>
      <c r="W399" s="266">
        <v>8.3333000000000004E-2</v>
      </c>
      <c r="X399" s="266">
        <v>8.3333000000000004E-2</v>
      </c>
      <c r="Y399" s="266">
        <v>8.3333000000000004E-2</v>
      </c>
      <c r="Z399" s="266">
        <v>8.3333000000000004E-2</v>
      </c>
      <c r="AA399" s="266">
        <v>8.3333000000000004E-2</v>
      </c>
      <c r="AB399" s="266">
        <v>8.3333000000000004E-2</v>
      </c>
      <c r="AC399" s="266">
        <v>8.3333000000000004E-2</v>
      </c>
      <c r="AD399" s="266">
        <v>8.3333000000000004E-2</v>
      </c>
      <c r="AE399" s="266">
        <v>8.3333000000000004E-2</v>
      </c>
      <c r="AF399" s="266">
        <v>8.3333000000000004E-2</v>
      </c>
      <c r="AG399" s="266">
        <v>8.3333000000000004E-2</v>
      </c>
      <c r="AH399" s="266">
        <v>8.3333000000000004E-2</v>
      </c>
      <c r="AI399" s="266">
        <v>8.3333000000000004E-2</v>
      </c>
      <c r="AJ399" s="266">
        <v>8.3333000000000004E-2</v>
      </c>
      <c r="AK399" s="266">
        <v>8.3333000000000004E-2</v>
      </c>
      <c r="AL399" s="266">
        <v>8.3333000000000004E-2</v>
      </c>
      <c r="AM399" s="383">
        <f t="shared" si="20"/>
        <v>8.333300000000006E-2</v>
      </c>
    </row>
    <row r="400" spans="1:39" x14ac:dyDescent="0.2">
      <c r="A400" s="8"/>
      <c r="B400" s="109" t="s">
        <v>112</v>
      </c>
      <c r="C400" s="108" t="s">
        <v>832</v>
      </c>
      <c r="D400" s="95" t="s">
        <v>835</v>
      </c>
      <c r="E400" s="102"/>
      <c r="F400" s="266">
        <v>8.3333000000000004E-2</v>
      </c>
      <c r="G400" s="266">
        <v>8.3333000000000004E-2</v>
      </c>
      <c r="H400" s="266">
        <v>8.3333000000000004E-2</v>
      </c>
      <c r="I400" s="266">
        <v>8.3333000000000004E-2</v>
      </c>
      <c r="J400" s="266">
        <v>8.3333000000000004E-2</v>
      </c>
      <c r="K400" s="266">
        <v>8.3333000000000004E-2</v>
      </c>
      <c r="L400" s="266">
        <v>8.3333000000000004E-2</v>
      </c>
      <c r="M400" s="266">
        <v>8.3333000000000004E-2</v>
      </c>
      <c r="N400" s="266">
        <v>8.3333000000000004E-2</v>
      </c>
      <c r="O400" s="266">
        <v>8.3333000000000004E-2</v>
      </c>
      <c r="P400" s="266">
        <v>8.3333000000000004E-2</v>
      </c>
      <c r="Q400" s="266">
        <v>8.3333000000000004E-2</v>
      </c>
      <c r="R400" s="266">
        <v>8.3333000000000004E-2</v>
      </c>
      <c r="S400" s="266">
        <v>8.3333000000000004E-2</v>
      </c>
      <c r="T400" s="266">
        <v>8.3333000000000004E-2</v>
      </c>
      <c r="U400" s="266">
        <v>8.3333000000000004E-2</v>
      </c>
      <c r="V400" s="266">
        <v>8.3333000000000004E-2</v>
      </c>
      <c r="W400" s="266">
        <v>8.3333000000000004E-2</v>
      </c>
      <c r="X400" s="266">
        <v>8.3333000000000004E-2</v>
      </c>
      <c r="Y400" s="266">
        <v>8.3333000000000004E-2</v>
      </c>
      <c r="Z400" s="266">
        <v>8.3333000000000004E-2</v>
      </c>
      <c r="AA400" s="266">
        <v>8.3333000000000004E-2</v>
      </c>
      <c r="AB400" s="266">
        <v>8.3333000000000004E-2</v>
      </c>
      <c r="AC400" s="266">
        <v>8.3333000000000004E-2</v>
      </c>
      <c r="AD400" s="266">
        <v>8.3333000000000004E-2</v>
      </c>
      <c r="AE400" s="266">
        <v>8.3333000000000004E-2</v>
      </c>
      <c r="AF400" s="266">
        <v>8.3333000000000004E-2</v>
      </c>
      <c r="AG400" s="266">
        <v>8.3333000000000004E-2</v>
      </c>
      <c r="AH400" s="266">
        <v>8.3333000000000004E-2</v>
      </c>
      <c r="AI400" s="266">
        <v>8.3333000000000004E-2</v>
      </c>
      <c r="AJ400" s="266">
        <v>8.3333000000000004E-2</v>
      </c>
      <c r="AK400" s="266">
        <v>8.3333000000000004E-2</v>
      </c>
      <c r="AL400" s="266">
        <v>8.3333000000000004E-2</v>
      </c>
      <c r="AM400" s="383">
        <f t="shared" si="20"/>
        <v>8.333300000000006E-2</v>
      </c>
    </row>
    <row r="401" spans="1:39" x14ac:dyDescent="0.2">
      <c r="A401" s="8"/>
      <c r="B401" s="109" t="s">
        <v>113</v>
      </c>
      <c r="C401" s="108" t="s">
        <v>832</v>
      </c>
      <c r="D401" s="95" t="s">
        <v>835</v>
      </c>
      <c r="E401" s="102"/>
      <c r="F401" s="266">
        <v>8.3333000000000004E-2</v>
      </c>
      <c r="G401" s="266">
        <v>8.3333000000000004E-2</v>
      </c>
      <c r="H401" s="266">
        <v>8.3333000000000004E-2</v>
      </c>
      <c r="I401" s="266">
        <v>8.3333000000000004E-2</v>
      </c>
      <c r="J401" s="266">
        <v>8.3333000000000004E-2</v>
      </c>
      <c r="K401" s="266">
        <v>8.3333000000000004E-2</v>
      </c>
      <c r="L401" s="266">
        <v>8.3333000000000004E-2</v>
      </c>
      <c r="M401" s="266">
        <v>8.3333000000000004E-2</v>
      </c>
      <c r="N401" s="266">
        <v>8.3333000000000004E-2</v>
      </c>
      <c r="O401" s="266">
        <v>8.3333000000000004E-2</v>
      </c>
      <c r="P401" s="266">
        <v>8.3333000000000004E-2</v>
      </c>
      <c r="Q401" s="266">
        <v>8.3333000000000004E-2</v>
      </c>
      <c r="R401" s="266">
        <v>8.3333000000000004E-2</v>
      </c>
      <c r="S401" s="266">
        <v>8.3333000000000004E-2</v>
      </c>
      <c r="T401" s="266">
        <v>8.3333000000000004E-2</v>
      </c>
      <c r="U401" s="266">
        <v>8.3333000000000004E-2</v>
      </c>
      <c r="V401" s="266">
        <v>8.3333000000000004E-2</v>
      </c>
      <c r="W401" s="266">
        <v>8.3333000000000004E-2</v>
      </c>
      <c r="X401" s="266">
        <v>8.3333000000000004E-2</v>
      </c>
      <c r="Y401" s="266">
        <v>8.3333000000000004E-2</v>
      </c>
      <c r="Z401" s="266">
        <v>8.3333000000000004E-2</v>
      </c>
      <c r="AA401" s="266">
        <v>8.3333000000000004E-2</v>
      </c>
      <c r="AB401" s="266">
        <v>8.3333000000000004E-2</v>
      </c>
      <c r="AC401" s="266">
        <v>8.3333000000000004E-2</v>
      </c>
      <c r="AD401" s="266">
        <v>8.3333000000000004E-2</v>
      </c>
      <c r="AE401" s="266">
        <v>8.3333000000000004E-2</v>
      </c>
      <c r="AF401" s="266">
        <v>8.3333000000000004E-2</v>
      </c>
      <c r="AG401" s="266">
        <v>8.3333000000000004E-2</v>
      </c>
      <c r="AH401" s="266">
        <v>8.3333000000000004E-2</v>
      </c>
      <c r="AI401" s="266">
        <v>8.3333000000000004E-2</v>
      </c>
      <c r="AJ401" s="266">
        <v>8.3333000000000004E-2</v>
      </c>
      <c r="AK401" s="266">
        <v>8.3333000000000004E-2</v>
      </c>
      <c r="AL401" s="266">
        <v>8.3333000000000004E-2</v>
      </c>
      <c r="AM401" s="383">
        <f t="shared" si="20"/>
        <v>8.333300000000006E-2</v>
      </c>
    </row>
    <row r="402" spans="1:39" x14ac:dyDescent="0.2">
      <c r="A402" s="8"/>
      <c r="B402" s="109" t="s">
        <v>114</v>
      </c>
      <c r="C402" s="108" t="s">
        <v>832</v>
      </c>
      <c r="D402" s="95" t="s">
        <v>835</v>
      </c>
      <c r="E402" s="102"/>
      <c r="F402" s="266">
        <v>8.3333000000000004E-2</v>
      </c>
      <c r="G402" s="266">
        <v>8.3333000000000004E-2</v>
      </c>
      <c r="H402" s="266">
        <v>8.3333000000000004E-2</v>
      </c>
      <c r="I402" s="266">
        <v>8.3333000000000004E-2</v>
      </c>
      <c r="J402" s="266">
        <v>8.3333000000000004E-2</v>
      </c>
      <c r="K402" s="266">
        <v>8.3333000000000004E-2</v>
      </c>
      <c r="L402" s="266">
        <v>8.3333000000000004E-2</v>
      </c>
      <c r="M402" s="266">
        <v>8.3333000000000004E-2</v>
      </c>
      <c r="N402" s="266">
        <v>8.3333000000000004E-2</v>
      </c>
      <c r="O402" s="266">
        <v>8.3333000000000004E-2</v>
      </c>
      <c r="P402" s="266">
        <v>8.3333000000000004E-2</v>
      </c>
      <c r="Q402" s="266">
        <v>8.3333000000000004E-2</v>
      </c>
      <c r="R402" s="266">
        <v>8.3333000000000004E-2</v>
      </c>
      <c r="S402" s="266">
        <v>8.3333000000000004E-2</v>
      </c>
      <c r="T402" s="266">
        <v>8.3333000000000004E-2</v>
      </c>
      <c r="U402" s="266">
        <v>8.3333000000000004E-2</v>
      </c>
      <c r="V402" s="266">
        <v>8.3333000000000004E-2</v>
      </c>
      <c r="W402" s="266">
        <v>8.3333000000000004E-2</v>
      </c>
      <c r="X402" s="266">
        <v>8.3333000000000004E-2</v>
      </c>
      <c r="Y402" s="266">
        <v>8.3333000000000004E-2</v>
      </c>
      <c r="Z402" s="266">
        <v>8.3333000000000004E-2</v>
      </c>
      <c r="AA402" s="266">
        <v>8.3333000000000004E-2</v>
      </c>
      <c r="AB402" s="266">
        <v>8.3333000000000004E-2</v>
      </c>
      <c r="AC402" s="266">
        <v>8.3333000000000004E-2</v>
      </c>
      <c r="AD402" s="266">
        <v>8.3333000000000004E-2</v>
      </c>
      <c r="AE402" s="266">
        <v>8.3333000000000004E-2</v>
      </c>
      <c r="AF402" s="266">
        <v>8.3333000000000004E-2</v>
      </c>
      <c r="AG402" s="266">
        <v>8.3333000000000004E-2</v>
      </c>
      <c r="AH402" s="266">
        <v>8.3333000000000004E-2</v>
      </c>
      <c r="AI402" s="266">
        <v>8.3333000000000004E-2</v>
      </c>
      <c r="AJ402" s="266">
        <v>8.3333000000000004E-2</v>
      </c>
      <c r="AK402" s="266">
        <v>8.3333000000000004E-2</v>
      </c>
      <c r="AL402" s="266">
        <v>8.3333000000000004E-2</v>
      </c>
      <c r="AM402" s="383">
        <f t="shared" si="20"/>
        <v>8.333300000000006E-2</v>
      </c>
    </row>
    <row r="403" spans="1:39" x14ac:dyDescent="0.2">
      <c r="A403" s="8"/>
      <c r="B403" s="109" t="s">
        <v>115</v>
      </c>
      <c r="C403" s="108" t="s">
        <v>832</v>
      </c>
      <c r="D403" s="95" t="s">
        <v>835</v>
      </c>
      <c r="E403" s="102"/>
      <c r="F403" s="266">
        <v>8.3333000000000004E-2</v>
      </c>
      <c r="G403" s="266">
        <v>8.3333000000000004E-2</v>
      </c>
      <c r="H403" s="266">
        <v>8.3333000000000004E-2</v>
      </c>
      <c r="I403" s="266">
        <v>8.3333000000000004E-2</v>
      </c>
      <c r="J403" s="266">
        <v>8.3333000000000004E-2</v>
      </c>
      <c r="K403" s="266">
        <v>8.3333000000000004E-2</v>
      </c>
      <c r="L403" s="266">
        <v>8.3333000000000004E-2</v>
      </c>
      <c r="M403" s="266">
        <v>8.3333000000000004E-2</v>
      </c>
      <c r="N403" s="266">
        <v>8.3333000000000004E-2</v>
      </c>
      <c r="O403" s="266">
        <v>8.3333000000000004E-2</v>
      </c>
      <c r="P403" s="266">
        <v>8.3333000000000004E-2</v>
      </c>
      <c r="Q403" s="266">
        <v>8.3333000000000004E-2</v>
      </c>
      <c r="R403" s="266">
        <v>8.3333000000000004E-2</v>
      </c>
      <c r="S403" s="266">
        <v>8.3333000000000004E-2</v>
      </c>
      <c r="T403" s="266">
        <v>8.3333000000000004E-2</v>
      </c>
      <c r="U403" s="266">
        <v>8.3333000000000004E-2</v>
      </c>
      <c r="V403" s="266">
        <v>8.3333000000000004E-2</v>
      </c>
      <c r="W403" s="266">
        <v>8.3333000000000004E-2</v>
      </c>
      <c r="X403" s="266">
        <v>8.3333000000000004E-2</v>
      </c>
      <c r="Y403" s="266">
        <v>8.3333000000000004E-2</v>
      </c>
      <c r="Z403" s="266">
        <v>8.3333000000000004E-2</v>
      </c>
      <c r="AA403" s="266">
        <v>8.3333000000000004E-2</v>
      </c>
      <c r="AB403" s="266">
        <v>8.3333000000000004E-2</v>
      </c>
      <c r="AC403" s="266">
        <v>8.3333000000000004E-2</v>
      </c>
      <c r="AD403" s="266">
        <v>8.3333000000000004E-2</v>
      </c>
      <c r="AE403" s="266">
        <v>8.3333000000000004E-2</v>
      </c>
      <c r="AF403" s="266">
        <v>8.3333000000000004E-2</v>
      </c>
      <c r="AG403" s="266">
        <v>8.3333000000000004E-2</v>
      </c>
      <c r="AH403" s="266">
        <v>8.3333000000000004E-2</v>
      </c>
      <c r="AI403" s="266">
        <v>8.3333000000000004E-2</v>
      </c>
      <c r="AJ403" s="266">
        <v>8.3333000000000004E-2</v>
      </c>
      <c r="AK403" s="266">
        <v>8.3333000000000004E-2</v>
      </c>
      <c r="AL403" s="266">
        <v>8.3333000000000004E-2</v>
      </c>
      <c r="AM403" s="383">
        <f t="shared" si="20"/>
        <v>8.333300000000006E-2</v>
      </c>
    </row>
    <row r="404" spans="1:39" x14ac:dyDescent="0.2">
      <c r="A404" s="8"/>
      <c r="B404" s="109" t="s">
        <v>116</v>
      </c>
      <c r="C404" s="108" t="s">
        <v>832</v>
      </c>
      <c r="D404" s="95" t="s">
        <v>835</v>
      </c>
      <c r="E404" s="102"/>
      <c r="F404" s="266">
        <v>8.3333000000000004E-2</v>
      </c>
      <c r="G404" s="266">
        <v>8.3333000000000004E-2</v>
      </c>
      <c r="H404" s="266">
        <v>8.3333000000000004E-2</v>
      </c>
      <c r="I404" s="266">
        <v>8.3333000000000004E-2</v>
      </c>
      <c r="J404" s="266">
        <v>8.3333000000000004E-2</v>
      </c>
      <c r="K404" s="266">
        <v>8.3333000000000004E-2</v>
      </c>
      <c r="L404" s="266">
        <v>8.3333000000000004E-2</v>
      </c>
      <c r="M404" s="266">
        <v>8.3333000000000004E-2</v>
      </c>
      <c r="N404" s="266">
        <v>8.3333000000000004E-2</v>
      </c>
      <c r="O404" s="266">
        <v>8.3333000000000004E-2</v>
      </c>
      <c r="P404" s="266">
        <v>8.3333000000000004E-2</v>
      </c>
      <c r="Q404" s="266">
        <v>8.3333000000000004E-2</v>
      </c>
      <c r="R404" s="266">
        <v>8.3333000000000004E-2</v>
      </c>
      <c r="S404" s="266">
        <v>8.3333000000000004E-2</v>
      </c>
      <c r="T404" s="266">
        <v>8.3333000000000004E-2</v>
      </c>
      <c r="U404" s="266">
        <v>8.3333000000000004E-2</v>
      </c>
      <c r="V404" s="266">
        <v>8.3333000000000004E-2</v>
      </c>
      <c r="W404" s="266">
        <v>8.3333000000000004E-2</v>
      </c>
      <c r="X404" s="266">
        <v>8.3333000000000004E-2</v>
      </c>
      <c r="Y404" s="266">
        <v>8.3333000000000004E-2</v>
      </c>
      <c r="Z404" s="266">
        <v>8.3333000000000004E-2</v>
      </c>
      <c r="AA404" s="266">
        <v>8.3333000000000004E-2</v>
      </c>
      <c r="AB404" s="266">
        <v>8.3333000000000004E-2</v>
      </c>
      <c r="AC404" s="266">
        <v>8.3333000000000004E-2</v>
      </c>
      <c r="AD404" s="266">
        <v>8.3333000000000004E-2</v>
      </c>
      <c r="AE404" s="266">
        <v>8.3333000000000004E-2</v>
      </c>
      <c r="AF404" s="266">
        <v>8.3333000000000004E-2</v>
      </c>
      <c r="AG404" s="266">
        <v>8.3333000000000004E-2</v>
      </c>
      <c r="AH404" s="266">
        <v>8.3333000000000004E-2</v>
      </c>
      <c r="AI404" s="266">
        <v>8.3333000000000004E-2</v>
      </c>
      <c r="AJ404" s="266">
        <v>8.3333000000000004E-2</v>
      </c>
      <c r="AK404" s="266">
        <v>8.3333000000000004E-2</v>
      </c>
      <c r="AL404" s="266">
        <v>8.3333000000000004E-2</v>
      </c>
      <c r="AM404" s="383">
        <f t="shared" si="20"/>
        <v>8.333300000000006E-2</v>
      </c>
    </row>
    <row r="405" spans="1:39" x14ac:dyDescent="0.2">
      <c r="A405" s="8"/>
      <c r="B405" s="109" t="s">
        <v>117</v>
      </c>
      <c r="C405" s="108" t="s">
        <v>832</v>
      </c>
      <c r="D405" s="95" t="s">
        <v>835</v>
      </c>
      <c r="E405" s="102"/>
      <c r="F405" s="266">
        <v>8.3333000000000004E-2</v>
      </c>
      <c r="G405" s="266">
        <v>8.3333000000000004E-2</v>
      </c>
      <c r="H405" s="266">
        <v>8.3333000000000004E-2</v>
      </c>
      <c r="I405" s="266">
        <v>8.3333000000000004E-2</v>
      </c>
      <c r="J405" s="266">
        <v>8.3333000000000004E-2</v>
      </c>
      <c r="K405" s="266">
        <v>8.3333000000000004E-2</v>
      </c>
      <c r="L405" s="266">
        <v>8.3333000000000004E-2</v>
      </c>
      <c r="M405" s="266">
        <v>8.3333000000000004E-2</v>
      </c>
      <c r="N405" s="266">
        <v>8.3333000000000004E-2</v>
      </c>
      <c r="O405" s="266">
        <v>8.3333000000000004E-2</v>
      </c>
      <c r="P405" s="266">
        <v>8.3333000000000004E-2</v>
      </c>
      <c r="Q405" s="266">
        <v>8.3333000000000004E-2</v>
      </c>
      <c r="R405" s="266">
        <v>8.3333000000000004E-2</v>
      </c>
      <c r="S405" s="266">
        <v>8.3333000000000004E-2</v>
      </c>
      <c r="T405" s="266">
        <v>8.3333000000000004E-2</v>
      </c>
      <c r="U405" s="266">
        <v>8.3333000000000004E-2</v>
      </c>
      <c r="V405" s="266">
        <v>8.3333000000000004E-2</v>
      </c>
      <c r="W405" s="266">
        <v>8.3333000000000004E-2</v>
      </c>
      <c r="X405" s="266">
        <v>8.3333000000000004E-2</v>
      </c>
      <c r="Y405" s="266">
        <v>8.3333000000000004E-2</v>
      </c>
      <c r="Z405" s="266">
        <v>8.3333000000000004E-2</v>
      </c>
      <c r="AA405" s="266">
        <v>8.3333000000000004E-2</v>
      </c>
      <c r="AB405" s="266">
        <v>8.3333000000000004E-2</v>
      </c>
      <c r="AC405" s="266">
        <v>8.3333000000000004E-2</v>
      </c>
      <c r="AD405" s="266">
        <v>8.3333000000000004E-2</v>
      </c>
      <c r="AE405" s="266">
        <v>8.3333000000000004E-2</v>
      </c>
      <c r="AF405" s="266">
        <v>8.3333000000000004E-2</v>
      </c>
      <c r="AG405" s="266">
        <v>8.3333000000000004E-2</v>
      </c>
      <c r="AH405" s="266">
        <v>8.3333000000000004E-2</v>
      </c>
      <c r="AI405" s="266">
        <v>8.3333000000000004E-2</v>
      </c>
      <c r="AJ405" s="266">
        <v>8.3333000000000004E-2</v>
      </c>
      <c r="AK405" s="266">
        <v>8.3333000000000004E-2</v>
      </c>
      <c r="AL405" s="266">
        <v>8.3333000000000004E-2</v>
      </c>
      <c r="AM405" s="383">
        <f t="shared" si="20"/>
        <v>8.333300000000006E-2</v>
      </c>
    </row>
    <row r="406" spans="1:39" x14ac:dyDescent="0.2">
      <c r="A406" s="8"/>
      <c r="B406" s="109" t="s">
        <v>118</v>
      </c>
      <c r="C406" s="108" t="s">
        <v>832</v>
      </c>
      <c r="D406" s="95" t="s">
        <v>835</v>
      </c>
      <c r="E406" s="102"/>
      <c r="F406" s="266">
        <v>2.9558999999999998E-2</v>
      </c>
      <c r="G406" s="266">
        <v>2.9558999999999998E-2</v>
      </c>
      <c r="H406" s="266">
        <v>2.9558999999999998E-2</v>
      </c>
      <c r="I406" s="266">
        <v>2.9558999999999998E-2</v>
      </c>
      <c r="J406" s="266">
        <v>2.9558999999999998E-2</v>
      </c>
      <c r="K406" s="266">
        <v>2.9558999999999998E-2</v>
      </c>
      <c r="L406" s="266">
        <v>2.9558999999999998E-2</v>
      </c>
      <c r="M406" s="266">
        <v>2.9558999999999998E-2</v>
      </c>
      <c r="N406" s="266">
        <v>2.9558999999999998E-2</v>
      </c>
      <c r="O406" s="266">
        <v>2.9558999999999998E-2</v>
      </c>
      <c r="P406" s="266">
        <v>2.9558999999999998E-2</v>
      </c>
      <c r="Q406" s="266">
        <v>2.9558999999999998E-2</v>
      </c>
      <c r="R406" s="266">
        <v>2.9558999999999998E-2</v>
      </c>
      <c r="S406" s="266">
        <v>2.9558999999999998E-2</v>
      </c>
      <c r="T406" s="266">
        <v>2.9558999999999998E-2</v>
      </c>
      <c r="U406" s="266">
        <v>2.9558999999999998E-2</v>
      </c>
      <c r="V406" s="266">
        <v>2.9558999999999998E-2</v>
      </c>
      <c r="W406" s="266">
        <v>2.9558999999999998E-2</v>
      </c>
      <c r="X406" s="266">
        <v>2.9558999999999998E-2</v>
      </c>
      <c r="Y406" s="266">
        <v>2.9558999999999998E-2</v>
      </c>
      <c r="Z406" s="266">
        <v>2.9558999999999998E-2</v>
      </c>
      <c r="AA406" s="266">
        <v>2.9558999999999998E-2</v>
      </c>
      <c r="AB406" s="266">
        <v>2.9558999999999998E-2</v>
      </c>
      <c r="AC406" s="266">
        <v>2.9558999999999998E-2</v>
      </c>
      <c r="AD406" s="266">
        <v>2.9558999999999998E-2</v>
      </c>
      <c r="AE406" s="266">
        <v>2.9558999999999998E-2</v>
      </c>
      <c r="AF406" s="266">
        <v>2.9558999999999998E-2</v>
      </c>
      <c r="AG406" s="266">
        <v>2.9558999999999998E-2</v>
      </c>
      <c r="AH406" s="266">
        <v>2.9558999999999998E-2</v>
      </c>
      <c r="AI406" s="266">
        <v>2.9558999999999998E-2</v>
      </c>
      <c r="AJ406" s="266">
        <v>2.9558999999999998E-2</v>
      </c>
      <c r="AK406" s="266">
        <v>2.9558999999999998E-2</v>
      </c>
      <c r="AL406" s="266">
        <v>2.9558999999999998E-2</v>
      </c>
      <c r="AM406" s="383">
        <f t="shared" si="20"/>
        <v>2.9558999999999998E-2</v>
      </c>
    </row>
    <row r="407" spans="1:39" x14ac:dyDescent="0.2">
      <c r="A407" s="8"/>
      <c r="B407" s="109" t="s">
        <v>119</v>
      </c>
      <c r="C407" s="108" t="s">
        <v>832</v>
      </c>
      <c r="D407" s="95" t="s">
        <v>835</v>
      </c>
      <c r="E407" s="102"/>
      <c r="F407" s="266">
        <v>8.3333000000000004E-2</v>
      </c>
      <c r="G407" s="266">
        <v>8.3333000000000004E-2</v>
      </c>
      <c r="H407" s="266">
        <v>8.3333000000000004E-2</v>
      </c>
      <c r="I407" s="266">
        <v>8.3333000000000004E-2</v>
      </c>
      <c r="J407" s="266">
        <v>8.3333000000000004E-2</v>
      </c>
      <c r="K407" s="266">
        <v>8.3333000000000004E-2</v>
      </c>
      <c r="L407" s="266">
        <v>8.3333000000000004E-2</v>
      </c>
      <c r="M407" s="266">
        <v>8.3333000000000004E-2</v>
      </c>
      <c r="N407" s="266">
        <v>8.3333000000000004E-2</v>
      </c>
      <c r="O407" s="266">
        <v>8.3333000000000004E-2</v>
      </c>
      <c r="P407" s="266">
        <v>8.3333000000000004E-2</v>
      </c>
      <c r="Q407" s="266">
        <v>8.3333000000000004E-2</v>
      </c>
      <c r="R407" s="266">
        <v>8.3333000000000004E-2</v>
      </c>
      <c r="S407" s="266">
        <v>8.3333000000000004E-2</v>
      </c>
      <c r="T407" s="266">
        <v>8.3333000000000004E-2</v>
      </c>
      <c r="U407" s="266">
        <v>8.3333000000000004E-2</v>
      </c>
      <c r="V407" s="266">
        <v>8.3333000000000004E-2</v>
      </c>
      <c r="W407" s="266">
        <v>8.3333000000000004E-2</v>
      </c>
      <c r="X407" s="266">
        <v>8.3333000000000004E-2</v>
      </c>
      <c r="Y407" s="266">
        <v>8.3333000000000004E-2</v>
      </c>
      <c r="Z407" s="266">
        <v>8.3333000000000004E-2</v>
      </c>
      <c r="AA407" s="266">
        <v>8.3333000000000004E-2</v>
      </c>
      <c r="AB407" s="266">
        <v>8.3333000000000004E-2</v>
      </c>
      <c r="AC407" s="266">
        <v>8.3333000000000004E-2</v>
      </c>
      <c r="AD407" s="266">
        <v>8.3333000000000004E-2</v>
      </c>
      <c r="AE407" s="266">
        <v>8.3333000000000004E-2</v>
      </c>
      <c r="AF407" s="266">
        <v>8.3333000000000004E-2</v>
      </c>
      <c r="AG407" s="266">
        <v>8.3333000000000004E-2</v>
      </c>
      <c r="AH407" s="266">
        <v>8.3333000000000004E-2</v>
      </c>
      <c r="AI407" s="266">
        <v>8.3333000000000004E-2</v>
      </c>
      <c r="AJ407" s="266">
        <v>8.3333000000000004E-2</v>
      </c>
      <c r="AK407" s="266">
        <v>8.3333000000000004E-2</v>
      </c>
      <c r="AL407" s="266">
        <v>8.3333000000000004E-2</v>
      </c>
      <c r="AM407" s="383">
        <f t="shared" si="20"/>
        <v>8.333300000000006E-2</v>
      </c>
    </row>
    <row r="408" spans="1:39" x14ac:dyDescent="0.2">
      <c r="A408" s="8"/>
      <c r="B408" s="109" t="s">
        <v>120</v>
      </c>
      <c r="C408" s="108" t="s">
        <v>832</v>
      </c>
      <c r="D408" s="95" t="s">
        <v>835</v>
      </c>
      <c r="E408" s="102"/>
      <c r="F408" s="266">
        <v>7.1374999999999994E-2</v>
      </c>
      <c r="G408" s="266">
        <v>7.1374999999999994E-2</v>
      </c>
      <c r="H408" s="266">
        <v>7.1374999999999994E-2</v>
      </c>
      <c r="I408" s="266">
        <v>7.1374999999999994E-2</v>
      </c>
      <c r="J408" s="266">
        <v>7.1374999999999994E-2</v>
      </c>
      <c r="K408" s="266">
        <v>7.1374999999999994E-2</v>
      </c>
      <c r="L408" s="266">
        <v>7.1374999999999994E-2</v>
      </c>
      <c r="M408" s="266">
        <v>7.1374999999999994E-2</v>
      </c>
      <c r="N408" s="266">
        <v>7.1374999999999994E-2</v>
      </c>
      <c r="O408" s="266">
        <v>7.1374999999999994E-2</v>
      </c>
      <c r="P408" s="266">
        <v>7.1374999999999994E-2</v>
      </c>
      <c r="Q408" s="266">
        <v>7.1374999999999994E-2</v>
      </c>
      <c r="R408" s="266">
        <v>7.1374999999999994E-2</v>
      </c>
      <c r="S408" s="266">
        <v>7.1374999999999994E-2</v>
      </c>
      <c r="T408" s="266">
        <v>7.1374999999999994E-2</v>
      </c>
      <c r="U408" s="266">
        <v>7.1374999999999994E-2</v>
      </c>
      <c r="V408" s="266">
        <v>7.1374999999999994E-2</v>
      </c>
      <c r="W408" s="266">
        <v>7.1374999999999994E-2</v>
      </c>
      <c r="X408" s="266">
        <v>7.1374999999999994E-2</v>
      </c>
      <c r="Y408" s="266">
        <v>7.1374999999999994E-2</v>
      </c>
      <c r="Z408" s="266">
        <v>7.1374999999999994E-2</v>
      </c>
      <c r="AA408" s="266">
        <v>7.1374999999999994E-2</v>
      </c>
      <c r="AB408" s="266">
        <v>7.1374999999999994E-2</v>
      </c>
      <c r="AC408" s="266">
        <v>7.1374999999999994E-2</v>
      </c>
      <c r="AD408" s="266">
        <v>7.1374999999999994E-2</v>
      </c>
      <c r="AE408" s="266">
        <v>7.1374999999999994E-2</v>
      </c>
      <c r="AF408" s="266">
        <v>7.1374999999999994E-2</v>
      </c>
      <c r="AG408" s="266">
        <v>7.1374999999999994E-2</v>
      </c>
      <c r="AH408" s="266">
        <v>7.1374999999999994E-2</v>
      </c>
      <c r="AI408" s="266">
        <v>7.1374999999999994E-2</v>
      </c>
      <c r="AJ408" s="266">
        <v>7.1374999999999994E-2</v>
      </c>
      <c r="AK408" s="266">
        <v>7.1374999999999994E-2</v>
      </c>
      <c r="AL408" s="266">
        <v>7.1374999999999994E-2</v>
      </c>
      <c r="AM408" s="383">
        <f t="shared" si="20"/>
        <v>7.1374999999999994E-2</v>
      </c>
    </row>
    <row r="409" spans="1:39" x14ac:dyDescent="0.2">
      <c r="A409" s="8"/>
      <c r="B409" s="109" t="s">
        <v>127</v>
      </c>
      <c r="C409" s="108" t="s">
        <v>832</v>
      </c>
      <c r="D409" s="95" t="s">
        <v>835</v>
      </c>
      <c r="E409" s="102"/>
      <c r="F409" s="266">
        <v>8.3333000000000004E-2</v>
      </c>
      <c r="G409" s="266">
        <v>8.3333000000000004E-2</v>
      </c>
      <c r="H409" s="266">
        <v>8.3333000000000004E-2</v>
      </c>
      <c r="I409" s="266">
        <v>8.3333000000000004E-2</v>
      </c>
      <c r="J409" s="266">
        <v>8.3333000000000004E-2</v>
      </c>
      <c r="K409" s="266">
        <v>8.3333000000000004E-2</v>
      </c>
      <c r="L409" s="266">
        <v>8.3333000000000004E-2</v>
      </c>
      <c r="M409" s="266">
        <v>8.3333000000000004E-2</v>
      </c>
      <c r="N409" s="266">
        <v>8.3333000000000004E-2</v>
      </c>
      <c r="O409" s="266">
        <v>8.3333000000000004E-2</v>
      </c>
      <c r="P409" s="266">
        <v>8.3333000000000004E-2</v>
      </c>
      <c r="Q409" s="266">
        <v>8.3333000000000004E-2</v>
      </c>
      <c r="R409" s="266">
        <v>8.3333000000000004E-2</v>
      </c>
      <c r="S409" s="266">
        <v>8.3333000000000004E-2</v>
      </c>
      <c r="T409" s="266">
        <v>8.3333000000000004E-2</v>
      </c>
      <c r="U409" s="266">
        <v>8.3333000000000004E-2</v>
      </c>
      <c r="V409" s="266">
        <v>8.3333000000000004E-2</v>
      </c>
      <c r="W409" s="266">
        <v>8.3333000000000004E-2</v>
      </c>
      <c r="X409" s="266">
        <v>8.3333000000000004E-2</v>
      </c>
      <c r="Y409" s="266">
        <v>8.3333000000000004E-2</v>
      </c>
      <c r="Z409" s="266">
        <v>8.3333000000000004E-2</v>
      </c>
      <c r="AA409" s="266">
        <v>8.3333000000000004E-2</v>
      </c>
      <c r="AB409" s="266">
        <v>8.3333000000000004E-2</v>
      </c>
      <c r="AC409" s="266">
        <v>8.3333000000000004E-2</v>
      </c>
      <c r="AD409" s="266">
        <v>8.3333000000000004E-2</v>
      </c>
      <c r="AE409" s="266">
        <v>8.3333000000000004E-2</v>
      </c>
      <c r="AF409" s="266">
        <v>8.3333000000000004E-2</v>
      </c>
      <c r="AG409" s="266">
        <v>8.3333000000000004E-2</v>
      </c>
      <c r="AH409" s="266">
        <v>8.3333000000000004E-2</v>
      </c>
      <c r="AI409" s="266">
        <v>8.3333000000000004E-2</v>
      </c>
      <c r="AJ409" s="266">
        <v>8.3333000000000004E-2</v>
      </c>
      <c r="AK409" s="266">
        <v>8.3333000000000004E-2</v>
      </c>
      <c r="AL409" s="266">
        <v>8.3333000000000004E-2</v>
      </c>
      <c r="AM409" s="383">
        <f t="shared" si="20"/>
        <v>8.333300000000006E-2</v>
      </c>
    </row>
    <row r="410" spans="1:39" x14ac:dyDescent="0.2">
      <c r="A410" s="8"/>
      <c r="B410" s="109" t="s">
        <v>128</v>
      </c>
      <c r="C410" s="108" t="s">
        <v>832</v>
      </c>
      <c r="D410" s="95" t="s">
        <v>835</v>
      </c>
      <c r="E410" s="102"/>
      <c r="F410" s="266">
        <v>7.7354000000000006E-2</v>
      </c>
      <c r="G410" s="266">
        <v>7.7354000000000006E-2</v>
      </c>
      <c r="H410" s="266">
        <v>7.7354000000000006E-2</v>
      </c>
      <c r="I410" s="266">
        <v>7.7354000000000006E-2</v>
      </c>
      <c r="J410" s="266">
        <v>7.7354000000000006E-2</v>
      </c>
      <c r="K410" s="266">
        <v>7.7354000000000006E-2</v>
      </c>
      <c r="L410" s="266">
        <v>7.7354000000000006E-2</v>
      </c>
      <c r="M410" s="266">
        <v>7.7354000000000006E-2</v>
      </c>
      <c r="N410" s="266">
        <v>7.7354000000000006E-2</v>
      </c>
      <c r="O410" s="266">
        <v>7.7354000000000006E-2</v>
      </c>
      <c r="P410" s="266">
        <v>7.7354000000000006E-2</v>
      </c>
      <c r="Q410" s="266">
        <v>7.7354000000000006E-2</v>
      </c>
      <c r="R410" s="266">
        <v>7.7354000000000006E-2</v>
      </c>
      <c r="S410" s="266">
        <v>7.7354000000000006E-2</v>
      </c>
      <c r="T410" s="266">
        <v>7.7354000000000006E-2</v>
      </c>
      <c r="U410" s="266">
        <v>7.7354000000000006E-2</v>
      </c>
      <c r="V410" s="266">
        <v>7.7354000000000006E-2</v>
      </c>
      <c r="W410" s="266">
        <v>7.7354000000000006E-2</v>
      </c>
      <c r="X410" s="266">
        <v>7.7354000000000006E-2</v>
      </c>
      <c r="Y410" s="266">
        <v>7.7354000000000006E-2</v>
      </c>
      <c r="Z410" s="266">
        <v>7.7354000000000006E-2</v>
      </c>
      <c r="AA410" s="266">
        <v>7.7354000000000006E-2</v>
      </c>
      <c r="AB410" s="266">
        <v>7.7354000000000006E-2</v>
      </c>
      <c r="AC410" s="266">
        <v>7.7354000000000006E-2</v>
      </c>
      <c r="AD410" s="266">
        <v>7.7354000000000006E-2</v>
      </c>
      <c r="AE410" s="266">
        <v>7.7354000000000006E-2</v>
      </c>
      <c r="AF410" s="266">
        <v>7.7354000000000006E-2</v>
      </c>
      <c r="AG410" s="266">
        <v>7.7354000000000006E-2</v>
      </c>
      <c r="AH410" s="266">
        <v>7.7354000000000006E-2</v>
      </c>
      <c r="AI410" s="266">
        <v>7.7354000000000006E-2</v>
      </c>
      <c r="AJ410" s="266">
        <v>7.7354000000000006E-2</v>
      </c>
      <c r="AK410" s="266">
        <v>7.7354000000000006E-2</v>
      </c>
      <c r="AL410" s="266">
        <v>7.7354000000000006E-2</v>
      </c>
      <c r="AM410" s="383">
        <f t="shared" si="20"/>
        <v>7.7354000000000006E-2</v>
      </c>
    </row>
    <row r="411" spans="1:39" x14ac:dyDescent="0.2">
      <c r="A411" s="8"/>
      <c r="B411" s="109" t="s">
        <v>174</v>
      </c>
      <c r="C411" s="108" t="s">
        <v>832</v>
      </c>
      <c r="D411" s="95" t="s">
        <v>835</v>
      </c>
      <c r="E411" s="102"/>
      <c r="F411" s="266">
        <v>7.7354000000000006E-2</v>
      </c>
      <c r="G411" s="266">
        <v>7.7354000000000006E-2</v>
      </c>
      <c r="H411" s="266">
        <v>7.7354000000000006E-2</v>
      </c>
      <c r="I411" s="266">
        <v>7.7354000000000006E-2</v>
      </c>
      <c r="J411" s="266">
        <v>7.7354000000000006E-2</v>
      </c>
      <c r="K411" s="266">
        <v>7.7354000000000006E-2</v>
      </c>
      <c r="L411" s="266">
        <v>7.7354000000000006E-2</v>
      </c>
      <c r="M411" s="266">
        <v>7.7354000000000006E-2</v>
      </c>
      <c r="N411" s="266">
        <v>7.7354000000000006E-2</v>
      </c>
      <c r="O411" s="266">
        <v>7.7354000000000006E-2</v>
      </c>
      <c r="P411" s="266">
        <v>7.7354000000000006E-2</v>
      </c>
      <c r="Q411" s="266">
        <v>7.7354000000000006E-2</v>
      </c>
      <c r="R411" s="266">
        <v>7.7354000000000006E-2</v>
      </c>
      <c r="S411" s="266">
        <v>7.7354000000000006E-2</v>
      </c>
      <c r="T411" s="266">
        <v>7.7354000000000006E-2</v>
      </c>
      <c r="U411" s="266">
        <v>7.7354000000000006E-2</v>
      </c>
      <c r="V411" s="266">
        <v>7.7354000000000006E-2</v>
      </c>
      <c r="W411" s="266">
        <v>7.7354000000000006E-2</v>
      </c>
      <c r="X411" s="266">
        <v>7.7354000000000006E-2</v>
      </c>
      <c r="Y411" s="266">
        <v>7.7354000000000006E-2</v>
      </c>
      <c r="Z411" s="266">
        <v>7.7354000000000006E-2</v>
      </c>
      <c r="AA411" s="266">
        <v>7.7354000000000006E-2</v>
      </c>
      <c r="AB411" s="266">
        <v>7.7354000000000006E-2</v>
      </c>
      <c r="AC411" s="266">
        <v>7.7354000000000006E-2</v>
      </c>
      <c r="AD411" s="266">
        <v>7.7354000000000006E-2</v>
      </c>
      <c r="AE411" s="266">
        <v>7.7354000000000006E-2</v>
      </c>
      <c r="AF411" s="266">
        <v>7.7354000000000006E-2</v>
      </c>
      <c r="AG411" s="266">
        <v>7.7354000000000006E-2</v>
      </c>
      <c r="AH411" s="266">
        <v>7.7354000000000006E-2</v>
      </c>
      <c r="AI411" s="266">
        <v>7.7354000000000006E-2</v>
      </c>
      <c r="AJ411" s="266">
        <v>7.7354000000000006E-2</v>
      </c>
      <c r="AK411" s="266">
        <v>7.7354000000000006E-2</v>
      </c>
      <c r="AL411" s="266">
        <v>7.7354000000000006E-2</v>
      </c>
      <c r="AM411" s="383">
        <f t="shared" si="20"/>
        <v>7.7354000000000006E-2</v>
      </c>
    </row>
    <row r="412" spans="1:39" x14ac:dyDescent="0.2">
      <c r="A412" s="8"/>
      <c r="B412" s="109"/>
      <c r="C412" s="108"/>
      <c r="D412" s="276"/>
      <c r="E412" s="102"/>
      <c r="F412" s="114"/>
      <c r="G412" s="114"/>
      <c r="H412" s="114"/>
      <c r="I412" s="114"/>
      <c r="J412" s="114"/>
      <c r="K412" s="114"/>
      <c r="L412" s="114"/>
      <c r="M412" s="114"/>
      <c r="N412" s="114"/>
      <c r="O412" s="114"/>
      <c r="P412" s="114"/>
      <c r="Q412" s="114"/>
      <c r="R412" s="114"/>
      <c r="S412" s="114"/>
      <c r="T412" s="114"/>
      <c r="U412" s="114"/>
      <c r="V412" s="114"/>
      <c r="W412" s="114"/>
      <c r="X412" s="114"/>
      <c r="Y412" s="114"/>
      <c r="Z412" s="114"/>
      <c r="AA412" s="114"/>
      <c r="AB412" s="114"/>
      <c r="AC412" s="114"/>
      <c r="AD412" s="114"/>
      <c r="AE412" s="114"/>
      <c r="AF412" s="114"/>
      <c r="AG412" s="114"/>
      <c r="AH412" s="114"/>
      <c r="AI412" s="114"/>
      <c r="AJ412" s="114"/>
      <c r="AK412" s="114"/>
      <c r="AL412" s="114"/>
      <c r="AM412" s="107"/>
    </row>
    <row r="413" spans="1:39" x14ac:dyDescent="0.2">
      <c r="A413" s="8"/>
      <c r="B413" s="99" t="s">
        <v>834</v>
      </c>
      <c r="C413" s="98"/>
      <c r="D413" s="93"/>
      <c r="E413" s="102"/>
      <c r="F413" s="114"/>
      <c r="G413" s="114"/>
      <c r="H413" s="114"/>
      <c r="I413" s="114"/>
      <c r="J413" s="114"/>
      <c r="K413" s="114"/>
      <c r="L413" s="114"/>
      <c r="M413" s="114"/>
      <c r="N413" s="114"/>
      <c r="O413" s="114"/>
      <c r="P413" s="114"/>
      <c r="Q413" s="114"/>
      <c r="R413" s="114"/>
      <c r="S413" s="114"/>
      <c r="T413" s="114"/>
      <c r="U413" s="114"/>
      <c r="V413" s="114"/>
      <c r="W413" s="114"/>
      <c r="X413" s="114"/>
      <c r="Y413" s="114"/>
      <c r="Z413" s="114"/>
      <c r="AA413" s="114"/>
      <c r="AB413" s="114"/>
      <c r="AC413" s="114"/>
      <c r="AD413" s="114"/>
      <c r="AE413" s="114"/>
      <c r="AF413" s="114"/>
      <c r="AG413" s="114"/>
      <c r="AH413" s="114"/>
      <c r="AI413" s="114"/>
      <c r="AJ413" s="114"/>
      <c r="AK413" s="114"/>
      <c r="AL413" s="114"/>
      <c r="AM413" s="107"/>
    </row>
    <row r="414" spans="1:39" x14ac:dyDescent="0.2">
      <c r="A414" s="8"/>
      <c r="B414" s="109" t="s">
        <v>86</v>
      </c>
      <c r="C414" s="108" t="s">
        <v>832</v>
      </c>
      <c r="D414" s="95" t="s">
        <v>835</v>
      </c>
      <c r="E414" s="102"/>
      <c r="F414" s="266">
        <v>0.109206</v>
      </c>
      <c r="G414" s="266">
        <v>0.109206</v>
      </c>
      <c r="H414" s="266">
        <v>0.109206</v>
      </c>
      <c r="I414" s="266">
        <v>0.109206</v>
      </c>
      <c r="J414" s="266">
        <v>0.109206</v>
      </c>
      <c r="K414" s="266">
        <v>0.109206</v>
      </c>
      <c r="L414" s="266">
        <v>0.109206</v>
      </c>
      <c r="M414" s="266">
        <v>0.109206</v>
      </c>
      <c r="N414" s="266">
        <v>0.109206</v>
      </c>
      <c r="O414" s="266">
        <v>0.109206</v>
      </c>
      <c r="P414" s="266">
        <v>0.109206</v>
      </c>
      <c r="Q414" s="266">
        <v>0.109206</v>
      </c>
      <c r="R414" s="266">
        <v>0.109206</v>
      </c>
      <c r="S414" s="266">
        <v>0.109206</v>
      </c>
      <c r="T414" s="266">
        <v>0.109206</v>
      </c>
      <c r="U414" s="266">
        <v>0.109206</v>
      </c>
      <c r="V414" s="266">
        <v>0.109206</v>
      </c>
      <c r="W414" s="266">
        <v>0.109206</v>
      </c>
      <c r="X414" s="266">
        <v>0.109206</v>
      </c>
      <c r="Y414" s="266">
        <v>0.109206</v>
      </c>
      <c r="Z414" s="266">
        <v>0.109206</v>
      </c>
      <c r="AA414" s="266">
        <v>0.109206</v>
      </c>
      <c r="AB414" s="266">
        <v>0.109206</v>
      </c>
      <c r="AC414" s="266">
        <v>0.109206</v>
      </c>
      <c r="AD414" s="266">
        <v>0.109206</v>
      </c>
      <c r="AE414" s="266">
        <v>0.109206</v>
      </c>
      <c r="AF414" s="266">
        <v>0.109206</v>
      </c>
      <c r="AG414" s="266">
        <v>0.109206</v>
      </c>
      <c r="AH414" s="266">
        <v>0.109206</v>
      </c>
      <c r="AI414" s="266">
        <v>0.109206</v>
      </c>
      <c r="AJ414" s="266">
        <v>0.109206</v>
      </c>
      <c r="AK414" s="266">
        <v>0.109206</v>
      </c>
      <c r="AL414" s="266">
        <v>0.109206</v>
      </c>
      <c r="AM414" s="383">
        <f t="shared" ref="AM414:AM450" si="21">AVERAGE(F414:AL414)</f>
        <v>0.10920599999999994</v>
      </c>
    </row>
    <row r="415" spans="1:39" x14ac:dyDescent="0.2">
      <c r="A415" s="8"/>
      <c r="B415" s="109" t="s">
        <v>88</v>
      </c>
      <c r="C415" s="108" t="s">
        <v>832</v>
      </c>
      <c r="D415" s="95" t="s">
        <v>835</v>
      </c>
      <c r="E415" s="102"/>
      <c r="F415" s="266">
        <v>0.109206</v>
      </c>
      <c r="G415" s="266">
        <v>0.109206</v>
      </c>
      <c r="H415" s="266">
        <v>0.109206</v>
      </c>
      <c r="I415" s="266">
        <v>0.109206</v>
      </c>
      <c r="J415" s="266">
        <v>0.109206</v>
      </c>
      <c r="K415" s="266">
        <v>0.109206</v>
      </c>
      <c r="L415" s="266">
        <v>0.109206</v>
      </c>
      <c r="M415" s="266">
        <v>0.109206</v>
      </c>
      <c r="N415" s="266">
        <v>0.109206</v>
      </c>
      <c r="O415" s="266">
        <v>0.109206</v>
      </c>
      <c r="P415" s="266">
        <v>0.109206</v>
      </c>
      <c r="Q415" s="266">
        <v>0.109206</v>
      </c>
      <c r="R415" s="266">
        <v>0.109206</v>
      </c>
      <c r="S415" s="266">
        <v>0.109206</v>
      </c>
      <c r="T415" s="266">
        <v>0.109206</v>
      </c>
      <c r="U415" s="266">
        <v>0.109206</v>
      </c>
      <c r="V415" s="266">
        <v>0.109206</v>
      </c>
      <c r="W415" s="266">
        <v>0.109206</v>
      </c>
      <c r="X415" s="266">
        <v>0.109206</v>
      </c>
      <c r="Y415" s="266">
        <v>0.109206</v>
      </c>
      <c r="Z415" s="266">
        <v>0.109206</v>
      </c>
      <c r="AA415" s="266">
        <v>0.109206</v>
      </c>
      <c r="AB415" s="266">
        <v>0.109206</v>
      </c>
      <c r="AC415" s="266">
        <v>0.109206</v>
      </c>
      <c r="AD415" s="266">
        <v>0.109206</v>
      </c>
      <c r="AE415" s="266">
        <v>0.109206</v>
      </c>
      <c r="AF415" s="266">
        <v>0.109206</v>
      </c>
      <c r="AG415" s="266">
        <v>0.109206</v>
      </c>
      <c r="AH415" s="266">
        <v>0.109206</v>
      </c>
      <c r="AI415" s="266">
        <v>0.109206</v>
      </c>
      <c r="AJ415" s="266">
        <v>0.109206</v>
      </c>
      <c r="AK415" s="266">
        <v>0.109206</v>
      </c>
      <c r="AL415" s="266">
        <v>0.109206</v>
      </c>
      <c r="AM415" s="383">
        <f t="shared" si="21"/>
        <v>0.10920599999999994</v>
      </c>
    </row>
    <row r="416" spans="1:39" x14ac:dyDescent="0.2">
      <c r="A416" s="8"/>
      <c r="B416" s="109" t="s">
        <v>89</v>
      </c>
      <c r="C416" s="108" t="s">
        <v>832</v>
      </c>
      <c r="D416" s="95" t="s">
        <v>835</v>
      </c>
      <c r="E416" s="102"/>
      <c r="F416" s="266">
        <v>8.2937999999999998E-2</v>
      </c>
      <c r="G416" s="266">
        <v>8.2937999999999998E-2</v>
      </c>
      <c r="H416" s="266">
        <v>8.2937999999999998E-2</v>
      </c>
      <c r="I416" s="266">
        <v>8.2937999999999998E-2</v>
      </c>
      <c r="J416" s="266">
        <v>8.2937999999999998E-2</v>
      </c>
      <c r="K416" s="266">
        <v>8.2937999999999998E-2</v>
      </c>
      <c r="L416" s="266">
        <v>8.2937999999999998E-2</v>
      </c>
      <c r="M416" s="266">
        <v>8.2937999999999998E-2</v>
      </c>
      <c r="N416" s="266">
        <v>8.2937999999999998E-2</v>
      </c>
      <c r="O416" s="266">
        <v>8.2937999999999998E-2</v>
      </c>
      <c r="P416" s="266">
        <v>8.2937999999999998E-2</v>
      </c>
      <c r="Q416" s="266">
        <v>8.2937999999999998E-2</v>
      </c>
      <c r="R416" s="266">
        <v>8.2937999999999998E-2</v>
      </c>
      <c r="S416" s="266">
        <v>8.2937999999999998E-2</v>
      </c>
      <c r="T416" s="266">
        <v>8.2937999999999998E-2</v>
      </c>
      <c r="U416" s="266">
        <v>8.2937999999999998E-2</v>
      </c>
      <c r="V416" s="266">
        <v>8.2937999999999998E-2</v>
      </c>
      <c r="W416" s="266">
        <v>8.2937999999999998E-2</v>
      </c>
      <c r="X416" s="266">
        <v>8.2937999999999998E-2</v>
      </c>
      <c r="Y416" s="266">
        <v>8.2937999999999998E-2</v>
      </c>
      <c r="Z416" s="266">
        <v>8.2937999999999998E-2</v>
      </c>
      <c r="AA416" s="266">
        <v>8.2937999999999998E-2</v>
      </c>
      <c r="AB416" s="266">
        <v>8.2937999999999998E-2</v>
      </c>
      <c r="AC416" s="266">
        <v>8.2937999999999998E-2</v>
      </c>
      <c r="AD416" s="266">
        <v>8.2937999999999998E-2</v>
      </c>
      <c r="AE416" s="266">
        <v>8.2937999999999998E-2</v>
      </c>
      <c r="AF416" s="266">
        <v>8.2937999999999998E-2</v>
      </c>
      <c r="AG416" s="266">
        <v>8.2937999999999998E-2</v>
      </c>
      <c r="AH416" s="266">
        <v>8.2937999999999998E-2</v>
      </c>
      <c r="AI416" s="266">
        <v>8.2937999999999998E-2</v>
      </c>
      <c r="AJ416" s="266">
        <v>8.2937999999999998E-2</v>
      </c>
      <c r="AK416" s="266">
        <v>8.2937999999999998E-2</v>
      </c>
      <c r="AL416" s="266">
        <v>8.2937999999999998E-2</v>
      </c>
      <c r="AM416" s="383">
        <f t="shared" si="21"/>
        <v>8.293799999999997E-2</v>
      </c>
    </row>
    <row r="417" spans="1:39" x14ac:dyDescent="0.2">
      <c r="A417" s="8"/>
      <c r="B417" s="109" t="s">
        <v>90</v>
      </c>
      <c r="C417" s="108" t="s">
        <v>832</v>
      </c>
      <c r="D417" s="95" t="s">
        <v>835</v>
      </c>
      <c r="E417" s="102"/>
      <c r="F417" s="266">
        <v>0.22700000000000001</v>
      </c>
      <c r="G417" s="266">
        <v>0.22700000000000001</v>
      </c>
      <c r="H417" s="266">
        <v>0.22700000000000001</v>
      </c>
      <c r="I417" s="266">
        <v>0.22700000000000001</v>
      </c>
      <c r="J417" s="266">
        <v>0.22700000000000001</v>
      </c>
      <c r="K417" s="266">
        <v>0.22700000000000001</v>
      </c>
      <c r="L417" s="266">
        <v>0.22700000000000001</v>
      </c>
      <c r="M417" s="266">
        <v>0.22700000000000001</v>
      </c>
      <c r="N417" s="266">
        <v>0.22700000000000001</v>
      </c>
      <c r="O417" s="266">
        <v>0.22700000000000001</v>
      </c>
      <c r="P417" s="266">
        <v>0.22700000000000001</v>
      </c>
      <c r="Q417" s="266">
        <v>0.22700000000000001</v>
      </c>
      <c r="R417" s="266">
        <v>0.22700000000000001</v>
      </c>
      <c r="S417" s="266">
        <v>0.22700000000000001</v>
      </c>
      <c r="T417" s="266">
        <v>0.22700000000000001</v>
      </c>
      <c r="U417" s="266">
        <v>0.22700000000000001</v>
      </c>
      <c r="V417" s="266">
        <v>0.22700000000000001</v>
      </c>
      <c r="W417" s="266">
        <v>0.22700000000000001</v>
      </c>
      <c r="X417" s="266">
        <v>0.22700000000000001</v>
      </c>
      <c r="Y417" s="266">
        <v>0.22700000000000001</v>
      </c>
      <c r="Z417" s="266">
        <v>0.22700000000000001</v>
      </c>
      <c r="AA417" s="266">
        <v>0.22700000000000001</v>
      </c>
      <c r="AB417" s="266">
        <v>0.22700000000000001</v>
      </c>
      <c r="AC417" s="266">
        <v>0.22700000000000001</v>
      </c>
      <c r="AD417" s="266">
        <v>0.22700000000000001</v>
      </c>
      <c r="AE417" s="266">
        <v>0.22700000000000001</v>
      </c>
      <c r="AF417" s="266">
        <v>0.22700000000000001</v>
      </c>
      <c r="AG417" s="266">
        <v>0.22700000000000001</v>
      </c>
      <c r="AH417" s="266">
        <v>0.22700000000000001</v>
      </c>
      <c r="AI417" s="266">
        <v>0.22700000000000001</v>
      </c>
      <c r="AJ417" s="266">
        <v>0.22700000000000001</v>
      </c>
      <c r="AK417" s="266">
        <v>0.22700000000000001</v>
      </c>
      <c r="AL417" s="266">
        <v>0.22700000000000001</v>
      </c>
      <c r="AM417" s="383">
        <f t="shared" si="21"/>
        <v>0.22700000000000012</v>
      </c>
    </row>
    <row r="418" spans="1:39" x14ac:dyDescent="0.2">
      <c r="A418" s="8"/>
      <c r="B418" s="109" t="s">
        <v>91</v>
      </c>
      <c r="C418" s="108" t="s">
        <v>832</v>
      </c>
      <c r="D418" s="95" t="s">
        <v>835</v>
      </c>
      <c r="E418" s="102"/>
      <c r="F418" s="266">
        <v>0.128106</v>
      </c>
      <c r="G418" s="266">
        <v>0.128106</v>
      </c>
      <c r="H418" s="266">
        <v>0.128106</v>
      </c>
      <c r="I418" s="266">
        <v>0.128106</v>
      </c>
      <c r="J418" s="266">
        <v>0.128106</v>
      </c>
      <c r="K418" s="266">
        <v>0.128106</v>
      </c>
      <c r="L418" s="266">
        <v>0.128106</v>
      </c>
      <c r="M418" s="266">
        <v>0.128106</v>
      </c>
      <c r="N418" s="266">
        <v>0.128106</v>
      </c>
      <c r="O418" s="266">
        <v>0.128106</v>
      </c>
      <c r="P418" s="266">
        <v>0.128106</v>
      </c>
      <c r="Q418" s="266">
        <v>0.128106</v>
      </c>
      <c r="R418" s="266">
        <v>0.128106</v>
      </c>
      <c r="S418" s="266">
        <v>0.128106</v>
      </c>
      <c r="T418" s="266">
        <v>0.128106</v>
      </c>
      <c r="U418" s="266">
        <v>0.128106</v>
      </c>
      <c r="V418" s="266">
        <v>0.128106</v>
      </c>
      <c r="W418" s="266">
        <v>0.128106</v>
      </c>
      <c r="X418" s="266">
        <v>0.128106</v>
      </c>
      <c r="Y418" s="266">
        <v>0.128106</v>
      </c>
      <c r="Z418" s="266">
        <v>0.128106</v>
      </c>
      <c r="AA418" s="266">
        <v>0.128106</v>
      </c>
      <c r="AB418" s="266">
        <v>0.128106</v>
      </c>
      <c r="AC418" s="266">
        <v>0.128106</v>
      </c>
      <c r="AD418" s="266">
        <v>0.128106</v>
      </c>
      <c r="AE418" s="266">
        <v>0.128106</v>
      </c>
      <c r="AF418" s="266">
        <v>0.128106</v>
      </c>
      <c r="AG418" s="266">
        <v>0.128106</v>
      </c>
      <c r="AH418" s="266">
        <v>0.128106</v>
      </c>
      <c r="AI418" s="266">
        <v>0.128106</v>
      </c>
      <c r="AJ418" s="266">
        <v>0.128106</v>
      </c>
      <c r="AK418" s="266">
        <v>0.128106</v>
      </c>
      <c r="AL418" s="266">
        <v>0.128106</v>
      </c>
      <c r="AM418" s="383">
        <f t="shared" si="21"/>
        <v>0.12810599999999994</v>
      </c>
    </row>
    <row r="419" spans="1:39" x14ac:dyDescent="0.2">
      <c r="A419" s="8"/>
      <c r="B419" s="109" t="s">
        <v>92</v>
      </c>
      <c r="C419" s="108" t="s">
        <v>832</v>
      </c>
      <c r="D419" s="95" t="s">
        <v>835</v>
      </c>
      <c r="E419" s="102"/>
      <c r="F419" s="266">
        <v>0.12008199999999999</v>
      </c>
      <c r="G419" s="266">
        <v>0.12008199999999999</v>
      </c>
      <c r="H419" s="266">
        <v>0.12008199999999999</v>
      </c>
      <c r="I419" s="266">
        <v>0.12008199999999999</v>
      </c>
      <c r="J419" s="266">
        <v>0.12008199999999999</v>
      </c>
      <c r="K419" s="266">
        <v>0.12008199999999999</v>
      </c>
      <c r="L419" s="266">
        <v>0.12008199999999999</v>
      </c>
      <c r="M419" s="266">
        <v>0.12008199999999999</v>
      </c>
      <c r="N419" s="266">
        <v>0.12008199999999999</v>
      </c>
      <c r="O419" s="266">
        <v>0.12008199999999999</v>
      </c>
      <c r="P419" s="266">
        <v>0.12008199999999999</v>
      </c>
      <c r="Q419" s="266">
        <v>0.12008199999999999</v>
      </c>
      <c r="R419" s="266">
        <v>0.12008199999999999</v>
      </c>
      <c r="S419" s="266">
        <v>0.12008199999999999</v>
      </c>
      <c r="T419" s="266">
        <v>0.12008199999999999</v>
      </c>
      <c r="U419" s="266">
        <v>0.12008199999999999</v>
      </c>
      <c r="V419" s="266">
        <v>0.12008199999999999</v>
      </c>
      <c r="W419" s="266">
        <v>0.12008199999999999</v>
      </c>
      <c r="X419" s="266">
        <v>0.12008199999999999</v>
      </c>
      <c r="Y419" s="266">
        <v>0.12008199999999999</v>
      </c>
      <c r="Z419" s="266">
        <v>0.12008199999999999</v>
      </c>
      <c r="AA419" s="266">
        <v>0.12008199999999999</v>
      </c>
      <c r="AB419" s="266">
        <v>0.12008199999999999</v>
      </c>
      <c r="AC419" s="266">
        <v>0.12008199999999999</v>
      </c>
      <c r="AD419" s="266">
        <v>0.12008199999999999</v>
      </c>
      <c r="AE419" s="266">
        <v>0.12008199999999999</v>
      </c>
      <c r="AF419" s="266">
        <v>0.12008199999999999</v>
      </c>
      <c r="AG419" s="266">
        <v>0.12008199999999999</v>
      </c>
      <c r="AH419" s="266">
        <v>0.12008199999999999</v>
      </c>
      <c r="AI419" s="266">
        <v>0.12008199999999999</v>
      </c>
      <c r="AJ419" s="266">
        <v>0.12008199999999999</v>
      </c>
      <c r="AK419" s="266">
        <v>0.12008199999999999</v>
      </c>
      <c r="AL419" s="266">
        <v>0.12008199999999999</v>
      </c>
      <c r="AM419" s="383">
        <f t="shared" si="21"/>
        <v>0.12008200000000001</v>
      </c>
    </row>
    <row r="420" spans="1:39" x14ac:dyDescent="0.2">
      <c r="A420" s="8"/>
      <c r="B420" s="109" t="s">
        <v>93</v>
      </c>
      <c r="C420" s="108" t="s">
        <v>832</v>
      </c>
      <c r="D420" s="95" t="s">
        <v>835</v>
      </c>
      <c r="E420" s="102"/>
      <c r="F420" s="266">
        <v>0.12008199999999999</v>
      </c>
      <c r="G420" s="266">
        <v>0.12008199999999999</v>
      </c>
      <c r="H420" s="266">
        <v>0.12008199999999999</v>
      </c>
      <c r="I420" s="266">
        <v>0.12008199999999999</v>
      </c>
      <c r="J420" s="266">
        <v>0.12008199999999999</v>
      </c>
      <c r="K420" s="266">
        <v>0.12008199999999999</v>
      </c>
      <c r="L420" s="266">
        <v>0.12008199999999999</v>
      </c>
      <c r="M420" s="266">
        <v>0.12008199999999999</v>
      </c>
      <c r="N420" s="266">
        <v>0.12008199999999999</v>
      </c>
      <c r="O420" s="266">
        <v>0.12008199999999999</v>
      </c>
      <c r="P420" s="266">
        <v>0.12008199999999999</v>
      </c>
      <c r="Q420" s="266">
        <v>0.12008199999999999</v>
      </c>
      <c r="R420" s="266">
        <v>0.12008199999999999</v>
      </c>
      <c r="S420" s="266">
        <v>0.12008199999999999</v>
      </c>
      <c r="T420" s="266">
        <v>0.12008199999999999</v>
      </c>
      <c r="U420" s="266">
        <v>0.12008199999999999</v>
      </c>
      <c r="V420" s="266">
        <v>0.12008199999999999</v>
      </c>
      <c r="W420" s="266">
        <v>0.12008199999999999</v>
      </c>
      <c r="X420" s="266">
        <v>0.12008199999999999</v>
      </c>
      <c r="Y420" s="266">
        <v>0.12008199999999999</v>
      </c>
      <c r="Z420" s="266">
        <v>0.12008199999999999</v>
      </c>
      <c r="AA420" s="266">
        <v>0.12008199999999999</v>
      </c>
      <c r="AB420" s="266">
        <v>0.12008199999999999</v>
      </c>
      <c r="AC420" s="266">
        <v>0.12008199999999999</v>
      </c>
      <c r="AD420" s="266">
        <v>0.12008199999999999</v>
      </c>
      <c r="AE420" s="266">
        <v>0.12008199999999999</v>
      </c>
      <c r="AF420" s="266">
        <v>0.12008199999999999</v>
      </c>
      <c r="AG420" s="266">
        <v>0.12008199999999999</v>
      </c>
      <c r="AH420" s="266">
        <v>0.12008199999999999</v>
      </c>
      <c r="AI420" s="266">
        <v>0.12008199999999999</v>
      </c>
      <c r="AJ420" s="266">
        <v>0.12008199999999999</v>
      </c>
      <c r="AK420" s="266">
        <v>0.12008199999999999</v>
      </c>
      <c r="AL420" s="266">
        <v>0.12008199999999999</v>
      </c>
      <c r="AM420" s="383">
        <f t="shared" si="21"/>
        <v>0.12008200000000001</v>
      </c>
    </row>
    <row r="421" spans="1:39" x14ac:dyDescent="0.2">
      <c r="A421" s="8"/>
      <c r="B421" s="109" t="s">
        <v>94</v>
      </c>
      <c r="C421" s="108" t="s">
        <v>832</v>
      </c>
      <c r="D421" s="95" t="s">
        <v>835</v>
      </c>
      <c r="E421" s="102"/>
      <c r="F421" s="266"/>
      <c r="G421" s="266"/>
      <c r="H421" s="266"/>
      <c r="I421" s="266"/>
      <c r="J421" s="266"/>
      <c r="K421" s="266"/>
      <c r="L421" s="266"/>
      <c r="M421" s="266"/>
      <c r="N421" s="266"/>
      <c r="O421" s="266"/>
      <c r="P421" s="266"/>
      <c r="Q421" s="266"/>
      <c r="R421" s="266"/>
      <c r="S421" s="266"/>
      <c r="T421" s="266"/>
      <c r="U421" s="266"/>
      <c r="V421" s="266"/>
      <c r="W421" s="266"/>
      <c r="X421" s="266"/>
      <c r="Y421" s="266"/>
      <c r="Z421" s="266"/>
      <c r="AA421" s="266"/>
      <c r="AB421" s="266"/>
      <c r="AC421" s="266"/>
      <c r="AD421" s="266"/>
      <c r="AE421" s="266"/>
      <c r="AF421" s="266"/>
      <c r="AG421" s="266"/>
      <c r="AH421" s="266"/>
      <c r="AI421" s="266"/>
      <c r="AJ421" s="266"/>
      <c r="AK421" s="266"/>
      <c r="AL421" s="266"/>
      <c r="AM421" s="107"/>
    </row>
    <row r="422" spans="1:39" x14ac:dyDescent="0.2">
      <c r="A422" s="8"/>
      <c r="B422" s="109" t="s">
        <v>95</v>
      </c>
      <c r="C422" s="108" t="s">
        <v>832</v>
      </c>
      <c r="D422" s="95" t="s">
        <v>835</v>
      </c>
      <c r="E422" s="102"/>
      <c r="F422" s="266">
        <v>0.14243800000000001</v>
      </c>
      <c r="G422" s="266">
        <v>0.14243800000000001</v>
      </c>
      <c r="H422" s="266">
        <v>0.14243800000000001</v>
      </c>
      <c r="I422" s="266">
        <v>0.14243800000000001</v>
      </c>
      <c r="J422" s="266">
        <v>0.14243800000000001</v>
      </c>
      <c r="K422" s="266">
        <v>0.14243800000000001</v>
      </c>
      <c r="L422" s="266">
        <v>0.14243800000000001</v>
      </c>
      <c r="M422" s="266">
        <v>0.14243800000000001</v>
      </c>
      <c r="N422" s="266">
        <v>0.14243800000000001</v>
      </c>
      <c r="O422" s="266">
        <v>0.14243800000000001</v>
      </c>
      <c r="P422" s="266">
        <v>0.14243800000000001</v>
      </c>
      <c r="Q422" s="266">
        <v>0.14243800000000001</v>
      </c>
      <c r="R422" s="266">
        <v>0.14243800000000001</v>
      </c>
      <c r="S422" s="266">
        <v>0.14243800000000001</v>
      </c>
      <c r="T422" s="266">
        <v>0.14243800000000001</v>
      </c>
      <c r="U422" s="266">
        <v>0.14243800000000001</v>
      </c>
      <c r="V422" s="266">
        <v>0.14243800000000001</v>
      </c>
      <c r="W422" s="266">
        <v>0.14243800000000001</v>
      </c>
      <c r="X422" s="266">
        <v>0.14243800000000001</v>
      </c>
      <c r="Y422" s="266">
        <v>0.14243800000000001</v>
      </c>
      <c r="Z422" s="266">
        <v>0.14243800000000001</v>
      </c>
      <c r="AA422" s="266">
        <v>0.14243800000000001</v>
      </c>
      <c r="AB422" s="266">
        <v>0.14243800000000001</v>
      </c>
      <c r="AC422" s="266">
        <v>0.14243800000000001</v>
      </c>
      <c r="AD422" s="266">
        <v>0.14243800000000001</v>
      </c>
      <c r="AE422" s="266">
        <v>0.14243800000000001</v>
      </c>
      <c r="AF422" s="266">
        <v>0.14243800000000001</v>
      </c>
      <c r="AG422" s="266">
        <v>0.14243800000000001</v>
      </c>
      <c r="AH422" s="266">
        <v>0.14243800000000001</v>
      </c>
      <c r="AI422" s="266">
        <v>0.14243800000000001</v>
      </c>
      <c r="AJ422" s="266">
        <v>0.14243800000000001</v>
      </c>
      <c r="AK422" s="266">
        <v>0.14243800000000001</v>
      </c>
      <c r="AL422" s="266">
        <v>0.14243800000000001</v>
      </c>
      <c r="AM422" s="383">
        <f t="shared" si="21"/>
        <v>0.14243799999999998</v>
      </c>
    </row>
    <row r="423" spans="1:39" x14ac:dyDescent="0.2">
      <c r="A423" s="8"/>
      <c r="B423" s="109" t="s">
        <v>96</v>
      </c>
      <c r="C423" s="108" t="s">
        <v>832</v>
      </c>
      <c r="D423" s="95" t="s">
        <v>835</v>
      </c>
      <c r="E423" s="102"/>
      <c r="F423" s="266">
        <v>0.12684999999999999</v>
      </c>
      <c r="G423" s="266">
        <v>0.12684999999999999</v>
      </c>
      <c r="H423" s="266">
        <v>0.12684999999999999</v>
      </c>
      <c r="I423" s="266">
        <v>0.12684999999999999</v>
      </c>
      <c r="J423" s="266">
        <v>0.12684999999999999</v>
      </c>
      <c r="K423" s="266">
        <v>0.12684999999999999</v>
      </c>
      <c r="L423" s="266">
        <v>0.12684999999999999</v>
      </c>
      <c r="M423" s="266">
        <v>0.12684999999999999</v>
      </c>
      <c r="N423" s="266">
        <v>0.12684999999999999</v>
      </c>
      <c r="O423" s="266">
        <v>0.12684999999999999</v>
      </c>
      <c r="P423" s="266">
        <v>0.12684999999999999</v>
      </c>
      <c r="Q423" s="266">
        <v>0.12684999999999999</v>
      </c>
      <c r="R423" s="266">
        <v>0.12684999999999999</v>
      </c>
      <c r="S423" s="266">
        <v>0.12684999999999999</v>
      </c>
      <c r="T423" s="266">
        <v>0.12684999999999999</v>
      </c>
      <c r="U423" s="266">
        <v>0.12684999999999999</v>
      </c>
      <c r="V423" s="266">
        <v>0.12684999999999999</v>
      </c>
      <c r="W423" s="266">
        <v>0.12684999999999999</v>
      </c>
      <c r="X423" s="266">
        <v>0.12684999999999999</v>
      </c>
      <c r="Y423" s="266">
        <v>0.12684999999999999</v>
      </c>
      <c r="Z423" s="266">
        <v>0.12684999999999999</v>
      </c>
      <c r="AA423" s="266">
        <v>0.12684999999999999</v>
      </c>
      <c r="AB423" s="266">
        <v>0.12684999999999999</v>
      </c>
      <c r="AC423" s="266">
        <v>0.12684999999999999</v>
      </c>
      <c r="AD423" s="266">
        <v>0.12684999999999999</v>
      </c>
      <c r="AE423" s="266">
        <v>0.12684999999999999</v>
      </c>
      <c r="AF423" s="266">
        <v>0.12684999999999999</v>
      </c>
      <c r="AG423" s="266">
        <v>0.12684999999999999</v>
      </c>
      <c r="AH423" s="266">
        <v>0.12684999999999999</v>
      </c>
      <c r="AI423" s="266">
        <v>0.12684999999999999</v>
      </c>
      <c r="AJ423" s="266">
        <v>0.12684999999999999</v>
      </c>
      <c r="AK423" s="266">
        <v>0.12684999999999999</v>
      </c>
      <c r="AL423" s="266">
        <v>0.12684999999999999</v>
      </c>
      <c r="AM423" s="383">
        <f t="shared" si="21"/>
        <v>0.12685000000000005</v>
      </c>
    </row>
    <row r="424" spans="1:39" x14ac:dyDescent="0.2">
      <c r="A424" s="8"/>
      <c r="B424" s="109" t="s">
        <v>97</v>
      </c>
      <c r="C424" s="108" t="s">
        <v>832</v>
      </c>
      <c r="D424" s="95" t="s">
        <v>835</v>
      </c>
      <c r="E424" s="102"/>
      <c r="F424" s="266">
        <v>0.13569899999999999</v>
      </c>
      <c r="G424" s="266">
        <v>0.13569899999999999</v>
      </c>
      <c r="H424" s="266">
        <v>0.13569899999999999</v>
      </c>
      <c r="I424" s="266">
        <v>0.13569899999999999</v>
      </c>
      <c r="J424" s="266">
        <v>0.13569899999999999</v>
      </c>
      <c r="K424" s="266">
        <v>0.13569899999999999</v>
      </c>
      <c r="L424" s="266">
        <v>0.13569899999999999</v>
      </c>
      <c r="M424" s="266">
        <v>0.13569899999999999</v>
      </c>
      <c r="N424" s="266">
        <v>0.13569899999999999</v>
      </c>
      <c r="O424" s="266">
        <v>0.13569899999999999</v>
      </c>
      <c r="P424" s="266">
        <v>0.13569899999999999</v>
      </c>
      <c r="Q424" s="266">
        <v>0.13569899999999999</v>
      </c>
      <c r="R424" s="266">
        <v>0.13569899999999999</v>
      </c>
      <c r="S424" s="266">
        <v>0.13569899999999999</v>
      </c>
      <c r="T424" s="266">
        <v>0.13569899999999999</v>
      </c>
      <c r="U424" s="266">
        <v>0.13569899999999999</v>
      </c>
      <c r="V424" s="266">
        <v>0.13569899999999999</v>
      </c>
      <c r="W424" s="266">
        <v>0.13569899999999999</v>
      </c>
      <c r="X424" s="266">
        <v>0.13569899999999999</v>
      </c>
      <c r="Y424" s="266">
        <v>0.13569899999999999</v>
      </c>
      <c r="Z424" s="266">
        <v>0.13569899999999999</v>
      </c>
      <c r="AA424" s="266">
        <v>0.13569899999999999</v>
      </c>
      <c r="AB424" s="266">
        <v>0.13569899999999999</v>
      </c>
      <c r="AC424" s="266">
        <v>0.13569899999999999</v>
      </c>
      <c r="AD424" s="266">
        <v>0.13569899999999999</v>
      </c>
      <c r="AE424" s="266">
        <v>0.13569899999999999</v>
      </c>
      <c r="AF424" s="266">
        <v>0.13569899999999999</v>
      </c>
      <c r="AG424" s="266">
        <v>0.13569899999999999</v>
      </c>
      <c r="AH424" s="266">
        <v>0.13569899999999999</v>
      </c>
      <c r="AI424" s="266">
        <v>0.13569899999999999</v>
      </c>
      <c r="AJ424" s="266">
        <v>0.13569899999999999</v>
      </c>
      <c r="AK424" s="266">
        <v>0.13569899999999999</v>
      </c>
      <c r="AL424" s="266">
        <v>0.13569899999999999</v>
      </c>
      <c r="AM424" s="383">
        <f t="shared" si="21"/>
        <v>0.1356989999999999</v>
      </c>
    </row>
    <row r="425" spans="1:39" x14ac:dyDescent="0.2">
      <c r="A425" s="8"/>
      <c r="B425" s="109" t="s">
        <v>98</v>
      </c>
      <c r="C425" s="108" t="s">
        <v>832</v>
      </c>
      <c r="D425" s="95" t="s">
        <v>835</v>
      </c>
      <c r="E425" s="102"/>
      <c r="F425" s="266">
        <v>0.134996</v>
      </c>
      <c r="G425" s="266">
        <v>0.134996</v>
      </c>
      <c r="H425" s="266">
        <v>0.134996</v>
      </c>
      <c r="I425" s="266">
        <v>0.134996</v>
      </c>
      <c r="J425" s="266">
        <v>0.134996</v>
      </c>
      <c r="K425" s="266">
        <v>0.134996</v>
      </c>
      <c r="L425" s="266">
        <v>0.134996</v>
      </c>
      <c r="M425" s="266">
        <v>0.134996</v>
      </c>
      <c r="N425" s="266">
        <v>0.134996</v>
      </c>
      <c r="O425" s="266">
        <v>0.134996</v>
      </c>
      <c r="P425" s="266">
        <v>0.134996</v>
      </c>
      <c r="Q425" s="266">
        <v>0.134996</v>
      </c>
      <c r="R425" s="266">
        <v>0.134996</v>
      </c>
      <c r="S425" s="266">
        <v>0.134996</v>
      </c>
      <c r="T425" s="266">
        <v>0.134996</v>
      </c>
      <c r="U425" s="266">
        <v>0.134996</v>
      </c>
      <c r="V425" s="266">
        <v>0.134996</v>
      </c>
      <c r="W425" s="266">
        <v>0.134996</v>
      </c>
      <c r="X425" s="266">
        <v>0.134996</v>
      </c>
      <c r="Y425" s="266">
        <v>0.134996</v>
      </c>
      <c r="Z425" s="266">
        <v>0.134996</v>
      </c>
      <c r="AA425" s="266">
        <v>0.134996</v>
      </c>
      <c r="AB425" s="266">
        <v>0.134996</v>
      </c>
      <c r="AC425" s="266">
        <v>0.134996</v>
      </c>
      <c r="AD425" s="266">
        <v>0.134996</v>
      </c>
      <c r="AE425" s="266">
        <v>0.134996</v>
      </c>
      <c r="AF425" s="266">
        <v>0.134996</v>
      </c>
      <c r="AG425" s="266">
        <v>0.134996</v>
      </c>
      <c r="AH425" s="266">
        <v>0.134996</v>
      </c>
      <c r="AI425" s="266">
        <v>0.134996</v>
      </c>
      <c r="AJ425" s="266">
        <v>0.134996</v>
      </c>
      <c r="AK425" s="266">
        <v>0.134996</v>
      </c>
      <c r="AL425" s="266">
        <v>0.134996</v>
      </c>
      <c r="AM425" s="383">
        <f t="shared" si="21"/>
        <v>0.13499600000000009</v>
      </c>
    </row>
    <row r="426" spans="1:39" x14ac:dyDescent="0.2">
      <c r="A426" s="8"/>
      <c r="B426" s="109" t="s">
        <v>99</v>
      </c>
      <c r="C426" s="108" t="s">
        <v>832</v>
      </c>
      <c r="D426" s="95" t="s">
        <v>835</v>
      </c>
      <c r="E426" s="102"/>
      <c r="F426" s="266">
        <v>0.16528899999999999</v>
      </c>
      <c r="G426" s="266">
        <v>0.16528899999999999</v>
      </c>
      <c r="H426" s="266">
        <v>0.16528899999999999</v>
      </c>
      <c r="I426" s="266">
        <v>0.16528899999999999</v>
      </c>
      <c r="J426" s="266">
        <v>0.16528899999999999</v>
      </c>
      <c r="K426" s="266">
        <v>0.16528899999999999</v>
      </c>
      <c r="L426" s="266">
        <v>0.16528899999999999</v>
      </c>
      <c r="M426" s="266">
        <v>0.16528899999999999</v>
      </c>
      <c r="N426" s="266">
        <v>0.16528899999999999</v>
      </c>
      <c r="O426" s="266">
        <v>0.16528899999999999</v>
      </c>
      <c r="P426" s="266">
        <v>0.16528899999999999</v>
      </c>
      <c r="Q426" s="266">
        <v>0.16528899999999999</v>
      </c>
      <c r="R426" s="266">
        <v>0.16528899999999999</v>
      </c>
      <c r="S426" s="266">
        <v>0.16528899999999999</v>
      </c>
      <c r="T426" s="266">
        <v>0.16528899999999999</v>
      </c>
      <c r="U426" s="266">
        <v>0.16528899999999999</v>
      </c>
      <c r="V426" s="266">
        <v>0.16528899999999999</v>
      </c>
      <c r="W426" s="266">
        <v>0.16528899999999999</v>
      </c>
      <c r="X426" s="266">
        <v>0.16528899999999999</v>
      </c>
      <c r="Y426" s="266">
        <v>0.16528899999999999</v>
      </c>
      <c r="Z426" s="266">
        <v>0.16528899999999999</v>
      </c>
      <c r="AA426" s="266">
        <v>0.16528899999999999</v>
      </c>
      <c r="AB426" s="266">
        <v>0.16528899999999999</v>
      </c>
      <c r="AC426" s="266">
        <v>0.16528899999999999</v>
      </c>
      <c r="AD426" s="266">
        <v>0.16528899999999999</v>
      </c>
      <c r="AE426" s="266">
        <v>0.16528899999999999</v>
      </c>
      <c r="AF426" s="266">
        <v>0.16528899999999999</v>
      </c>
      <c r="AG426" s="266">
        <v>0.16528899999999999</v>
      </c>
      <c r="AH426" s="266">
        <v>0.16528899999999999</v>
      </c>
      <c r="AI426" s="266">
        <v>0.16528899999999999</v>
      </c>
      <c r="AJ426" s="266">
        <v>0.16528899999999999</v>
      </c>
      <c r="AK426" s="266">
        <v>0.16528899999999999</v>
      </c>
      <c r="AL426" s="266">
        <v>0.16528899999999999</v>
      </c>
      <c r="AM426" s="383">
        <f t="shared" si="21"/>
        <v>0.16528899999999991</v>
      </c>
    </row>
    <row r="427" spans="1:39" x14ac:dyDescent="0.2">
      <c r="A427" s="8"/>
      <c r="B427" s="109" t="s">
        <v>100</v>
      </c>
      <c r="C427" s="108" t="s">
        <v>832</v>
      </c>
      <c r="D427" s="95" t="s">
        <v>835</v>
      </c>
      <c r="E427" s="102"/>
      <c r="F427" s="266">
        <v>0.12684999999999999</v>
      </c>
      <c r="G427" s="266">
        <v>0.12684999999999999</v>
      </c>
      <c r="H427" s="266">
        <v>0.12684999999999999</v>
      </c>
      <c r="I427" s="266">
        <v>0.12684999999999999</v>
      </c>
      <c r="J427" s="266">
        <v>0.12684999999999999</v>
      </c>
      <c r="K427" s="266">
        <v>0.12684999999999999</v>
      </c>
      <c r="L427" s="266">
        <v>0.12684999999999999</v>
      </c>
      <c r="M427" s="266">
        <v>0.12684999999999999</v>
      </c>
      <c r="N427" s="266">
        <v>0.12684999999999999</v>
      </c>
      <c r="O427" s="266">
        <v>0.12684999999999999</v>
      </c>
      <c r="P427" s="266">
        <v>0.12684999999999999</v>
      </c>
      <c r="Q427" s="266">
        <v>0.12684999999999999</v>
      </c>
      <c r="R427" s="266">
        <v>0.12684999999999999</v>
      </c>
      <c r="S427" s="266">
        <v>0.12684999999999999</v>
      </c>
      <c r="T427" s="266">
        <v>0.12684999999999999</v>
      </c>
      <c r="U427" s="266">
        <v>0.12684999999999999</v>
      </c>
      <c r="V427" s="266">
        <v>0.12684999999999999</v>
      </c>
      <c r="W427" s="266">
        <v>0.12684999999999999</v>
      </c>
      <c r="X427" s="266">
        <v>0.12684999999999999</v>
      </c>
      <c r="Y427" s="266">
        <v>0.12684999999999999</v>
      </c>
      <c r="Z427" s="266">
        <v>0.12684999999999999</v>
      </c>
      <c r="AA427" s="266">
        <v>0.12684999999999999</v>
      </c>
      <c r="AB427" s="266">
        <v>0.12684999999999999</v>
      </c>
      <c r="AC427" s="266">
        <v>0.12684999999999999</v>
      </c>
      <c r="AD427" s="266">
        <v>0.12684999999999999</v>
      </c>
      <c r="AE427" s="266">
        <v>0.12684999999999999</v>
      </c>
      <c r="AF427" s="266">
        <v>0.12684999999999999</v>
      </c>
      <c r="AG427" s="266">
        <v>0.12684999999999999</v>
      </c>
      <c r="AH427" s="266">
        <v>0.12684999999999999</v>
      </c>
      <c r="AI427" s="266">
        <v>0.12684999999999999</v>
      </c>
      <c r="AJ427" s="266">
        <v>0.12684999999999999</v>
      </c>
      <c r="AK427" s="266">
        <v>0.12684999999999999</v>
      </c>
      <c r="AL427" s="266">
        <v>0.12684999999999999</v>
      </c>
      <c r="AM427" s="383">
        <f t="shared" si="21"/>
        <v>0.12685000000000005</v>
      </c>
    </row>
    <row r="428" spans="1:39" x14ac:dyDescent="0.2">
      <c r="A428" s="8"/>
      <c r="B428" s="109" t="s">
        <v>101</v>
      </c>
      <c r="C428" s="108" t="s">
        <v>832</v>
      </c>
      <c r="D428" s="95" t="s">
        <v>835</v>
      </c>
      <c r="E428" s="102"/>
      <c r="F428" s="266">
        <v>0.14607000000000001</v>
      </c>
      <c r="G428" s="266">
        <v>0.14607000000000001</v>
      </c>
      <c r="H428" s="266">
        <v>0.14607000000000001</v>
      </c>
      <c r="I428" s="266">
        <v>0.14607000000000001</v>
      </c>
      <c r="J428" s="266">
        <v>0.14607000000000001</v>
      </c>
      <c r="K428" s="266">
        <v>0.14607000000000001</v>
      </c>
      <c r="L428" s="266">
        <v>0.14607000000000001</v>
      </c>
      <c r="M428" s="266">
        <v>0.14607000000000001</v>
      </c>
      <c r="N428" s="266">
        <v>0.14607000000000001</v>
      </c>
      <c r="O428" s="266">
        <v>0.14607000000000001</v>
      </c>
      <c r="P428" s="266">
        <v>0.14607000000000001</v>
      </c>
      <c r="Q428" s="266">
        <v>0.14607000000000001</v>
      </c>
      <c r="R428" s="266">
        <v>0.14607000000000001</v>
      </c>
      <c r="S428" s="266">
        <v>0.14607000000000001</v>
      </c>
      <c r="T428" s="266">
        <v>0.14607000000000001</v>
      </c>
      <c r="U428" s="266">
        <v>0.14607000000000001</v>
      </c>
      <c r="V428" s="266">
        <v>0.14607000000000001</v>
      </c>
      <c r="W428" s="266">
        <v>0.14607000000000001</v>
      </c>
      <c r="X428" s="266">
        <v>0.14607000000000001</v>
      </c>
      <c r="Y428" s="266">
        <v>0.14607000000000001</v>
      </c>
      <c r="Z428" s="266">
        <v>0.14607000000000001</v>
      </c>
      <c r="AA428" s="266">
        <v>0.14607000000000001</v>
      </c>
      <c r="AB428" s="266">
        <v>0.14607000000000001</v>
      </c>
      <c r="AC428" s="266">
        <v>0.14607000000000001</v>
      </c>
      <c r="AD428" s="266">
        <v>0.14607000000000001</v>
      </c>
      <c r="AE428" s="266">
        <v>0.14607000000000001</v>
      </c>
      <c r="AF428" s="266">
        <v>0.14607000000000001</v>
      </c>
      <c r="AG428" s="266">
        <v>0.14607000000000001</v>
      </c>
      <c r="AH428" s="266">
        <v>0.14607000000000001</v>
      </c>
      <c r="AI428" s="266">
        <v>0.14607000000000001</v>
      </c>
      <c r="AJ428" s="266">
        <v>0.14607000000000001</v>
      </c>
      <c r="AK428" s="266">
        <v>0.14607000000000001</v>
      </c>
      <c r="AL428" s="266">
        <v>0.14607000000000001</v>
      </c>
      <c r="AM428" s="383">
        <f t="shared" si="21"/>
        <v>0.14606999999999995</v>
      </c>
    </row>
    <row r="429" spans="1:39" x14ac:dyDescent="0.2">
      <c r="A429" s="8"/>
      <c r="B429" s="109" t="s">
        <v>102</v>
      </c>
      <c r="C429" s="108" t="s">
        <v>832</v>
      </c>
      <c r="D429" s="95" t="s">
        <v>835</v>
      </c>
      <c r="E429" s="102"/>
      <c r="F429" s="266">
        <v>0.15934100000000001</v>
      </c>
      <c r="G429" s="266">
        <v>0.15934100000000001</v>
      </c>
      <c r="H429" s="266">
        <v>0.15934100000000001</v>
      </c>
      <c r="I429" s="266">
        <v>0.15934100000000001</v>
      </c>
      <c r="J429" s="266">
        <v>0.15934100000000001</v>
      </c>
      <c r="K429" s="266">
        <v>0.15934100000000001</v>
      </c>
      <c r="L429" s="266">
        <v>0.15934100000000001</v>
      </c>
      <c r="M429" s="266">
        <v>0.15934100000000001</v>
      </c>
      <c r="N429" s="266">
        <v>0.15934100000000001</v>
      </c>
      <c r="O429" s="266">
        <v>0.15934100000000001</v>
      </c>
      <c r="P429" s="266">
        <v>0.15934100000000001</v>
      </c>
      <c r="Q429" s="266">
        <v>0.15934100000000001</v>
      </c>
      <c r="R429" s="266">
        <v>0.15934100000000001</v>
      </c>
      <c r="S429" s="266">
        <v>0.15934100000000001</v>
      </c>
      <c r="T429" s="266">
        <v>0.15934100000000001</v>
      </c>
      <c r="U429" s="266">
        <v>0.15934100000000001</v>
      </c>
      <c r="V429" s="266">
        <v>0.15934100000000001</v>
      </c>
      <c r="W429" s="266">
        <v>0.15934100000000001</v>
      </c>
      <c r="X429" s="266">
        <v>0.15934100000000001</v>
      </c>
      <c r="Y429" s="266">
        <v>0.15934100000000001</v>
      </c>
      <c r="Z429" s="266">
        <v>0.15934100000000001</v>
      </c>
      <c r="AA429" s="266">
        <v>0.15934100000000001</v>
      </c>
      <c r="AB429" s="266">
        <v>0.15934100000000001</v>
      </c>
      <c r="AC429" s="266">
        <v>0.15934100000000001</v>
      </c>
      <c r="AD429" s="266">
        <v>0.15934100000000001</v>
      </c>
      <c r="AE429" s="266">
        <v>0.15934100000000001</v>
      </c>
      <c r="AF429" s="266">
        <v>0.15934100000000001</v>
      </c>
      <c r="AG429" s="266">
        <v>0.15934100000000001</v>
      </c>
      <c r="AH429" s="266">
        <v>0.15934100000000001</v>
      </c>
      <c r="AI429" s="266">
        <v>0.15934100000000001</v>
      </c>
      <c r="AJ429" s="266">
        <v>0.15934100000000001</v>
      </c>
      <c r="AK429" s="266">
        <v>0.15934100000000001</v>
      </c>
      <c r="AL429" s="266">
        <v>0.15934100000000001</v>
      </c>
      <c r="AM429" s="383">
        <f t="shared" si="21"/>
        <v>0.15934100000000007</v>
      </c>
    </row>
    <row r="430" spans="1:39" x14ac:dyDescent="0.2">
      <c r="A430" s="8"/>
      <c r="B430" s="109" t="s">
        <v>103</v>
      </c>
      <c r="C430" s="108" t="s">
        <v>832</v>
      </c>
      <c r="D430" s="95" t="s">
        <v>835</v>
      </c>
      <c r="E430" s="102"/>
      <c r="F430" s="266">
        <v>2.3156E-2</v>
      </c>
      <c r="G430" s="266">
        <v>2.3156E-2</v>
      </c>
      <c r="H430" s="266">
        <v>2.3156E-2</v>
      </c>
      <c r="I430" s="266">
        <v>2.3156E-2</v>
      </c>
      <c r="J430" s="266">
        <v>2.3156E-2</v>
      </c>
      <c r="K430" s="266">
        <v>2.3156E-2</v>
      </c>
      <c r="L430" s="266">
        <v>2.3156E-2</v>
      </c>
      <c r="M430" s="266">
        <v>2.3156E-2</v>
      </c>
      <c r="N430" s="266">
        <v>2.3156E-2</v>
      </c>
      <c r="O430" s="266">
        <v>2.3156E-2</v>
      </c>
      <c r="P430" s="266">
        <v>2.3156E-2</v>
      </c>
      <c r="Q430" s="266">
        <v>2.3156E-2</v>
      </c>
      <c r="R430" s="266">
        <v>2.3156E-2</v>
      </c>
      <c r="S430" s="266">
        <v>2.3156E-2</v>
      </c>
      <c r="T430" s="266">
        <v>2.3156E-2</v>
      </c>
      <c r="U430" s="266">
        <v>2.3156E-2</v>
      </c>
      <c r="V430" s="266">
        <v>2.3156E-2</v>
      </c>
      <c r="W430" s="266">
        <v>2.3156E-2</v>
      </c>
      <c r="X430" s="266">
        <v>2.3156E-2</v>
      </c>
      <c r="Y430" s="266">
        <v>2.3156E-2</v>
      </c>
      <c r="Z430" s="266">
        <v>2.3156E-2</v>
      </c>
      <c r="AA430" s="266">
        <v>2.3156E-2</v>
      </c>
      <c r="AB430" s="266">
        <v>2.3156E-2</v>
      </c>
      <c r="AC430" s="266">
        <v>2.3156E-2</v>
      </c>
      <c r="AD430" s="266">
        <v>2.3156E-2</v>
      </c>
      <c r="AE430" s="266">
        <v>2.3156E-2</v>
      </c>
      <c r="AF430" s="266">
        <v>2.3156E-2</v>
      </c>
      <c r="AG430" s="266">
        <v>2.3156E-2</v>
      </c>
      <c r="AH430" s="266">
        <v>2.3156E-2</v>
      </c>
      <c r="AI430" s="266">
        <v>2.3156E-2</v>
      </c>
      <c r="AJ430" s="266">
        <v>2.3156E-2</v>
      </c>
      <c r="AK430" s="266">
        <v>2.3156E-2</v>
      </c>
      <c r="AL430" s="266">
        <v>2.3156E-2</v>
      </c>
      <c r="AM430" s="383">
        <f t="shared" si="21"/>
        <v>2.3155999999999989E-2</v>
      </c>
    </row>
    <row r="431" spans="1:39" x14ac:dyDescent="0.2">
      <c r="A431" s="8"/>
      <c r="B431" s="109" t="s">
        <v>104</v>
      </c>
      <c r="C431" s="108" t="s">
        <v>832</v>
      </c>
      <c r="D431" s="95" t="s">
        <v>835</v>
      </c>
      <c r="E431" s="102"/>
      <c r="F431" s="266">
        <v>0.11394600000000001</v>
      </c>
      <c r="G431" s="266">
        <v>0.11394600000000001</v>
      </c>
      <c r="H431" s="266">
        <v>0.11394600000000001</v>
      </c>
      <c r="I431" s="266">
        <v>0.11394600000000001</v>
      </c>
      <c r="J431" s="266">
        <v>0.11394600000000001</v>
      </c>
      <c r="K431" s="266">
        <v>0.11394600000000001</v>
      </c>
      <c r="L431" s="266">
        <v>0.11394600000000001</v>
      </c>
      <c r="M431" s="266">
        <v>0.11394600000000001</v>
      </c>
      <c r="N431" s="266">
        <v>0.11394600000000001</v>
      </c>
      <c r="O431" s="266">
        <v>0.11394600000000001</v>
      </c>
      <c r="P431" s="266">
        <v>0.11394600000000001</v>
      </c>
      <c r="Q431" s="266">
        <v>0.11394600000000001</v>
      </c>
      <c r="R431" s="266">
        <v>0.11394600000000001</v>
      </c>
      <c r="S431" s="266">
        <v>0.11394600000000001</v>
      </c>
      <c r="T431" s="266">
        <v>0.11394600000000001</v>
      </c>
      <c r="U431" s="266">
        <v>0.11394600000000001</v>
      </c>
      <c r="V431" s="266">
        <v>0.11394600000000001</v>
      </c>
      <c r="W431" s="266">
        <v>0.11394600000000001</v>
      </c>
      <c r="X431" s="266">
        <v>0.11394600000000001</v>
      </c>
      <c r="Y431" s="266">
        <v>0.11394600000000001</v>
      </c>
      <c r="Z431" s="266">
        <v>0.11394600000000001</v>
      </c>
      <c r="AA431" s="266">
        <v>0.11394600000000001</v>
      </c>
      <c r="AB431" s="266">
        <v>0.11394600000000001</v>
      </c>
      <c r="AC431" s="266">
        <v>0.11394600000000001</v>
      </c>
      <c r="AD431" s="266">
        <v>0.11394600000000001</v>
      </c>
      <c r="AE431" s="266">
        <v>0.11394600000000001</v>
      </c>
      <c r="AF431" s="266">
        <v>0.11394600000000001</v>
      </c>
      <c r="AG431" s="266">
        <v>0.11394600000000001</v>
      </c>
      <c r="AH431" s="266">
        <v>0.11394600000000001</v>
      </c>
      <c r="AI431" s="266">
        <v>0.11394600000000001</v>
      </c>
      <c r="AJ431" s="266">
        <v>0.11394600000000001</v>
      </c>
      <c r="AK431" s="266">
        <v>0.11394600000000001</v>
      </c>
      <c r="AL431" s="266">
        <v>0.11394600000000001</v>
      </c>
      <c r="AM431" s="383">
        <f t="shared" si="21"/>
        <v>0.11394599999999998</v>
      </c>
    </row>
    <row r="432" spans="1:39" x14ac:dyDescent="0.2">
      <c r="A432" s="8"/>
      <c r="B432" s="109" t="s">
        <v>105</v>
      </c>
      <c r="C432" s="108" t="s">
        <v>832</v>
      </c>
      <c r="D432" s="95" t="s">
        <v>835</v>
      </c>
      <c r="E432" s="102"/>
      <c r="F432" s="266">
        <v>0.14607000000000001</v>
      </c>
      <c r="G432" s="266">
        <v>0.14607000000000001</v>
      </c>
      <c r="H432" s="266">
        <v>0.14607000000000001</v>
      </c>
      <c r="I432" s="266">
        <v>0.14607000000000001</v>
      </c>
      <c r="J432" s="266">
        <v>0.14607000000000001</v>
      </c>
      <c r="K432" s="266">
        <v>0.14607000000000001</v>
      </c>
      <c r="L432" s="266">
        <v>0.14607000000000001</v>
      </c>
      <c r="M432" s="266">
        <v>0.14607000000000001</v>
      </c>
      <c r="N432" s="266">
        <v>0.14607000000000001</v>
      </c>
      <c r="O432" s="266">
        <v>0.14607000000000001</v>
      </c>
      <c r="P432" s="266">
        <v>0.14607000000000001</v>
      </c>
      <c r="Q432" s="266">
        <v>0.14607000000000001</v>
      </c>
      <c r="R432" s="266">
        <v>0.14607000000000001</v>
      </c>
      <c r="S432" s="266">
        <v>0.14607000000000001</v>
      </c>
      <c r="T432" s="266">
        <v>0.14607000000000001</v>
      </c>
      <c r="U432" s="266">
        <v>0.14607000000000001</v>
      </c>
      <c r="V432" s="266">
        <v>0.14607000000000001</v>
      </c>
      <c r="W432" s="266">
        <v>0.14607000000000001</v>
      </c>
      <c r="X432" s="266">
        <v>0.14607000000000001</v>
      </c>
      <c r="Y432" s="266">
        <v>0.14607000000000001</v>
      </c>
      <c r="Z432" s="266">
        <v>0.14607000000000001</v>
      </c>
      <c r="AA432" s="266">
        <v>0.14607000000000001</v>
      </c>
      <c r="AB432" s="266">
        <v>0.14607000000000001</v>
      </c>
      <c r="AC432" s="266">
        <v>0.14607000000000001</v>
      </c>
      <c r="AD432" s="266">
        <v>0.14607000000000001</v>
      </c>
      <c r="AE432" s="266">
        <v>0.14607000000000001</v>
      </c>
      <c r="AF432" s="266">
        <v>0.14607000000000001</v>
      </c>
      <c r="AG432" s="266">
        <v>0.14607000000000001</v>
      </c>
      <c r="AH432" s="266">
        <v>0.14607000000000001</v>
      </c>
      <c r="AI432" s="266">
        <v>0.14607000000000001</v>
      </c>
      <c r="AJ432" s="266">
        <v>0.14607000000000001</v>
      </c>
      <c r="AK432" s="266">
        <v>0.14607000000000001</v>
      </c>
      <c r="AL432" s="266">
        <v>0.14607000000000001</v>
      </c>
      <c r="AM432" s="383">
        <f t="shared" si="21"/>
        <v>0.14606999999999995</v>
      </c>
    </row>
    <row r="433" spans="1:39" x14ac:dyDescent="0.2">
      <c r="A433" s="8"/>
      <c r="B433" s="109" t="s">
        <v>106</v>
      </c>
      <c r="C433" s="108" t="s">
        <v>832</v>
      </c>
      <c r="D433" s="95" t="s">
        <v>835</v>
      </c>
      <c r="E433" s="102"/>
      <c r="F433" s="266">
        <v>0.14607000000000001</v>
      </c>
      <c r="G433" s="266">
        <v>0.14607000000000001</v>
      </c>
      <c r="H433" s="266">
        <v>0.14607000000000001</v>
      </c>
      <c r="I433" s="266">
        <v>0.14607000000000001</v>
      </c>
      <c r="J433" s="266">
        <v>0.14607000000000001</v>
      </c>
      <c r="K433" s="266">
        <v>0.14607000000000001</v>
      </c>
      <c r="L433" s="266">
        <v>0.14607000000000001</v>
      </c>
      <c r="M433" s="266">
        <v>0.14607000000000001</v>
      </c>
      <c r="N433" s="266">
        <v>0.14607000000000001</v>
      </c>
      <c r="O433" s="266">
        <v>0.14607000000000001</v>
      </c>
      <c r="P433" s="266">
        <v>0.14607000000000001</v>
      </c>
      <c r="Q433" s="266">
        <v>0.14607000000000001</v>
      </c>
      <c r="R433" s="266">
        <v>0.14607000000000001</v>
      </c>
      <c r="S433" s="266">
        <v>0.14607000000000001</v>
      </c>
      <c r="T433" s="266">
        <v>0.14607000000000001</v>
      </c>
      <c r="U433" s="266">
        <v>0.14607000000000001</v>
      </c>
      <c r="V433" s="266">
        <v>0.14607000000000001</v>
      </c>
      <c r="W433" s="266">
        <v>0.14607000000000001</v>
      </c>
      <c r="X433" s="266">
        <v>0.14607000000000001</v>
      </c>
      <c r="Y433" s="266">
        <v>0.14607000000000001</v>
      </c>
      <c r="Z433" s="266">
        <v>0.14607000000000001</v>
      </c>
      <c r="AA433" s="266">
        <v>0.14607000000000001</v>
      </c>
      <c r="AB433" s="266">
        <v>0.14607000000000001</v>
      </c>
      <c r="AC433" s="266">
        <v>0.14607000000000001</v>
      </c>
      <c r="AD433" s="266">
        <v>0.14607000000000001</v>
      </c>
      <c r="AE433" s="266">
        <v>0.14607000000000001</v>
      </c>
      <c r="AF433" s="266">
        <v>0.14607000000000001</v>
      </c>
      <c r="AG433" s="266">
        <v>0.14607000000000001</v>
      </c>
      <c r="AH433" s="266">
        <v>0.14607000000000001</v>
      </c>
      <c r="AI433" s="266">
        <v>0.14607000000000001</v>
      </c>
      <c r="AJ433" s="266">
        <v>0.14607000000000001</v>
      </c>
      <c r="AK433" s="266">
        <v>0.14607000000000001</v>
      </c>
      <c r="AL433" s="266">
        <v>0.14607000000000001</v>
      </c>
      <c r="AM433" s="383">
        <f t="shared" si="21"/>
        <v>0.14606999999999995</v>
      </c>
    </row>
    <row r="434" spans="1:39" x14ac:dyDescent="0.2">
      <c r="A434" s="8"/>
      <c r="B434" s="109" t="s">
        <v>107</v>
      </c>
      <c r="C434" s="108" t="s">
        <v>832</v>
      </c>
      <c r="D434" s="95" t="s">
        <v>835</v>
      </c>
      <c r="E434" s="102"/>
      <c r="F434" s="266">
        <v>0.14607000000000001</v>
      </c>
      <c r="G434" s="266">
        <v>0.14607000000000001</v>
      </c>
      <c r="H434" s="266">
        <v>0.14607000000000001</v>
      </c>
      <c r="I434" s="266">
        <v>0.14607000000000001</v>
      </c>
      <c r="J434" s="266">
        <v>0.14607000000000001</v>
      </c>
      <c r="K434" s="266">
        <v>0.14607000000000001</v>
      </c>
      <c r="L434" s="266">
        <v>0.14607000000000001</v>
      </c>
      <c r="M434" s="266">
        <v>0.14607000000000001</v>
      </c>
      <c r="N434" s="266">
        <v>0.14607000000000001</v>
      </c>
      <c r="O434" s="266">
        <v>0.14607000000000001</v>
      </c>
      <c r="P434" s="266">
        <v>0.14607000000000001</v>
      </c>
      <c r="Q434" s="266">
        <v>0.14607000000000001</v>
      </c>
      <c r="R434" s="266">
        <v>0.14607000000000001</v>
      </c>
      <c r="S434" s="266">
        <v>0.14607000000000001</v>
      </c>
      <c r="T434" s="266">
        <v>0.14607000000000001</v>
      </c>
      <c r="U434" s="266">
        <v>0.14607000000000001</v>
      </c>
      <c r="V434" s="266">
        <v>0.14607000000000001</v>
      </c>
      <c r="W434" s="266">
        <v>0.14607000000000001</v>
      </c>
      <c r="X434" s="266">
        <v>0.14607000000000001</v>
      </c>
      <c r="Y434" s="266">
        <v>0.14607000000000001</v>
      </c>
      <c r="Z434" s="266">
        <v>0.14607000000000001</v>
      </c>
      <c r="AA434" s="266">
        <v>0.14607000000000001</v>
      </c>
      <c r="AB434" s="266">
        <v>0.14607000000000001</v>
      </c>
      <c r="AC434" s="266">
        <v>0.14607000000000001</v>
      </c>
      <c r="AD434" s="266">
        <v>0.14607000000000001</v>
      </c>
      <c r="AE434" s="266">
        <v>0.14607000000000001</v>
      </c>
      <c r="AF434" s="266">
        <v>0.14607000000000001</v>
      </c>
      <c r="AG434" s="266">
        <v>0.14607000000000001</v>
      </c>
      <c r="AH434" s="266">
        <v>0.14607000000000001</v>
      </c>
      <c r="AI434" s="266">
        <v>0.14607000000000001</v>
      </c>
      <c r="AJ434" s="266">
        <v>0.14607000000000001</v>
      </c>
      <c r="AK434" s="266">
        <v>0.14607000000000001</v>
      </c>
      <c r="AL434" s="266">
        <v>0.14607000000000001</v>
      </c>
      <c r="AM434" s="383">
        <f t="shared" si="21"/>
        <v>0.14606999999999995</v>
      </c>
    </row>
    <row r="435" spans="1:39" x14ac:dyDescent="0.2">
      <c r="A435" s="8"/>
      <c r="B435" s="109" t="s">
        <v>108</v>
      </c>
      <c r="C435" s="108" t="s">
        <v>832</v>
      </c>
      <c r="D435" s="95" t="s">
        <v>835</v>
      </c>
      <c r="E435" s="102"/>
      <c r="F435" s="266">
        <v>0.14607000000000001</v>
      </c>
      <c r="G435" s="266">
        <v>0.14607000000000001</v>
      </c>
      <c r="H435" s="266">
        <v>0.14607000000000001</v>
      </c>
      <c r="I435" s="266">
        <v>0.14607000000000001</v>
      </c>
      <c r="J435" s="266">
        <v>0.14607000000000001</v>
      </c>
      <c r="K435" s="266">
        <v>0.14607000000000001</v>
      </c>
      <c r="L435" s="266">
        <v>0.14607000000000001</v>
      </c>
      <c r="M435" s="266">
        <v>0.14607000000000001</v>
      </c>
      <c r="N435" s="266">
        <v>0.14607000000000001</v>
      </c>
      <c r="O435" s="266">
        <v>0.14607000000000001</v>
      </c>
      <c r="P435" s="266">
        <v>0.14607000000000001</v>
      </c>
      <c r="Q435" s="266">
        <v>0.14607000000000001</v>
      </c>
      <c r="R435" s="266">
        <v>0.14607000000000001</v>
      </c>
      <c r="S435" s="266">
        <v>0.14607000000000001</v>
      </c>
      <c r="T435" s="266">
        <v>0.14607000000000001</v>
      </c>
      <c r="U435" s="266">
        <v>0.14607000000000001</v>
      </c>
      <c r="V435" s="266">
        <v>0.14607000000000001</v>
      </c>
      <c r="W435" s="266">
        <v>0.14607000000000001</v>
      </c>
      <c r="X435" s="266">
        <v>0.14607000000000001</v>
      </c>
      <c r="Y435" s="266">
        <v>0.14607000000000001</v>
      </c>
      <c r="Z435" s="266">
        <v>0.14607000000000001</v>
      </c>
      <c r="AA435" s="266">
        <v>0.14607000000000001</v>
      </c>
      <c r="AB435" s="266">
        <v>0.14607000000000001</v>
      </c>
      <c r="AC435" s="266">
        <v>0.14607000000000001</v>
      </c>
      <c r="AD435" s="266">
        <v>0.14607000000000001</v>
      </c>
      <c r="AE435" s="266">
        <v>0.14607000000000001</v>
      </c>
      <c r="AF435" s="266">
        <v>0.14607000000000001</v>
      </c>
      <c r="AG435" s="266">
        <v>0.14607000000000001</v>
      </c>
      <c r="AH435" s="266">
        <v>0.14607000000000001</v>
      </c>
      <c r="AI435" s="266">
        <v>0.14607000000000001</v>
      </c>
      <c r="AJ435" s="266">
        <v>0.14607000000000001</v>
      </c>
      <c r="AK435" s="266">
        <v>0.14607000000000001</v>
      </c>
      <c r="AL435" s="266">
        <v>0.14607000000000001</v>
      </c>
      <c r="AM435" s="383">
        <f t="shared" si="21"/>
        <v>0.14606999999999995</v>
      </c>
    </row>
    <row r="436" spans="1:39" x14ac:dyDescent="0.2">
      <c r="A436" s="8"/>
      <c r="B436" s="109" t="s">
        <v>109</v>
      </c>
      <c r="C436" s="108" t="s">
        <v>832</v>
      </c>
      <c r="D436" s="95" t="s">
        <v>835</v>
      </c>
      <c r="E436" s="102"/>
      <c r="F436" s="266">
        <v>0.14607000000000001</v>
      </c>
      <c r="G436" s="266">
        <v>0.14607000000000001</v>
      </c>
      <c r="H436" s="266">
        <v>0.14607000000000001</v>
      </c>
      <c r="I436" s="266">
        <v>0.14607000000000001</v>
      </c>
      <c r="J436" s="266">
        <v>0.14607000000000001</v>
      </c>
      <c r="K436" s="266">
        <v>0.14607000000000001</v>
      </c>
      <c r="L436" s="266">
        <v>0.14607000000000001</v>
      </c>
      <c r="M436" s="266">
        <v>0.14607000000000001</v>
      </c>
      <c r="N436" s="266">
        <v>0.14607000000000001</v>
      </c>
      <c r="O436" s="266">
        <v>0.14607000000000001</v>
      </c>
      <c r="P436" s="266">
        <v>0.14607000000000001</v>
      </c>
      <c r="Q436" s="266">
        <v>0.14607000000000001</v>
      </c>
      <c r="R436" s="266">
        <v>0.14607000000000001</v>
      </c>
      <c r="S436" s="266">
        <v>0.14607000000000001</v>
      </c>
      <c r="T436" s="266">
        <v>0.14607000000000001</v>
      </c>
      <c r="U436" s="266">
        <v>0.14607000000000001</v>
      </c>
      <c r="V436" s="266">
        <v>0.14607000000000001</v>
      </c>
      <c r="W436" s="266">
        <v>0.14607000000000001</v>
      </c>
      <c r="X436" s="266">
        <v>0.14607000000000001</v>
      </c>
      <c r="Y436" s="266">
        <v>0.14607000000000001</v>
      </c>
      <c r="Z436" s="266">
        <v>0.14607000000000001</v>
      </c>
      <c r="AA436" s="266">
        <v>0.14607000000000001</v>
      </c>
      <c r="AB436" s="266">
        <v>0.14607000000000001</v>
      </c>
      <c r="AC436" s="266">
        <v>0.14607000000000001</v>
      </c>
      <c r="AD436" s="266">
        <v>0.14607000000000001</v>
      </c>
      <c r="AE436" s="266">
        <v>0.14607000000000001</v>
      </c>
      <c r="AF436" s="266">
        <v>0.14607000000000001</v>
      </c>
      <c r="AG436" s="266">
        <v>0.14607000000000001</v>
      </c>
      <c r="AH436" s="266">
        <v>0.14607000000000001</v>
      </c>
      <c r="AI436" s="266">
        <v>0.14607000000000001</v>
      </c>
      <c r="AJ436" s="266">
        <v>0.14607000000000001</v>
      </c>
      <c r="AK436" s="266">
        <v>0.14607000000000001</v>
      </c>
      <c r="AL436" s="266">
        <v>0.14607000000000001</v>
      </c>
      <c r="AM436" s="383">
        <f t="shared" si="21"/>
        <v>0.14606999999999995</v>
      </c>
    </row>
    <row r="437" spans="1:39" x14ac:dyDescent="0.2">
      <c r="A437" s="8"/>
      <c r="B437" s="109" t="s">
        <v>110</v>
      </c>
      <c r="C437" s="108" t="s">
        <v>832</v>
      </c>
      <c r="D437" s="95" t="s">
        <v>835</v>
      </c>
      <c r="E437" s="102"/>
      <c r="F437" s="266">
        <v>0.30303000000000002</v>
      </c>
      <c r="G437" s="266">
        <v>0.30303000000000002</v>
      </c>
      <c r="H437" s="266">
        <v>0.30303000000000002</v>
      </c>
      <c r="I437" s="266">
        <v>0.30303000000000002</v>
      </c>
      <c r="J437" s="266">
        <v>0.30303000000000002</v>
      </c>
      <c r="K437" s="266">
        <v>0.30303000000000002</v>
      </c>
      <c r="L437" s="266">
        <v>0.30303000000000002</v>
      </c>
      <c r="M437" s="266">
        <v>0.30303000000000002</v>
      </c>
      <c r="N437" s="266">
        <v>0.30303000000000002</v>
      </c>
      <c r="O437" s="266">
        <v>0.30303000000000002</v>
      </c>
      <c r="P437" s="266">
        <v>0.30303000000000002</v>
      </c>
      <c r="Q437" s="266">
        <v>0.30303000000000002</v>
      </c>
      <c r="R437" s="266">
        <v>0.30303000000000002</v>
      </c>
      <c r="S437" s="266">
        <v>0.30303000000000002</v>
      </c>
      <c r="T437" s="266">
        <v>0.30303000000000002</v>
      </c>
      <c r="U437" s="266">
        <v>0.30303000000000002</v>
      </c>
      <c r="V437" s="266">
        <v>0.30303000000000002</v>
      </c>
      <c r="W437" s="266">
        <v>0.30303000000000002</v>
      </c>
      <c r="X437" s="266">
        <v>0.30303000000000002</v>
      </c>
      <c r="Y437" s="266">
        <v>0.30303000000000002</v>
      </c>
      <c r="Z437" s="266">
        <v>0.30303000000000002</v>
      </c>
      <c r="AA437" s="266">
        <v>0.30303000000000002</v>
      </c>
      <c r="AB437" s="266">
        <v>0.30303000000000002</v>
      </c>
      <c r="AC437" s="266">
        <v>0.30303000000000002</v>
      </c>
      <c r="AD437" s="266">
        <v>0.30303000000000002</v>
      </c>
      <c r="AE437" s="266">
        <v>0.30303000000000002</v>
      </c>
      <c r="AF437" s="266">
        <v>0.30303000000000002</v>
      </c>
      <c r="AG437" s="266">
        <v>0.30303000000000002</v>
      </c>
      <c r="AH437" s="266">
        <v>0.30303000000000002</v>
      </c>
      <c r="AI437" s="266">
        <v>0.30303000000000002</v>
      </c>
      <c r="AJ437" s="266">
        <v>0.30303000000000002</v>
      </c>
      <c r="AK437" s="266">
        <v>0.30303000000000002</v>
      </c>
      <c r="AL437" s="266">
        <v>0.30303000000000002</v>
      </c>
      <c r="AM437" s="383">
        <f t="shared" si="21"/>
        <v>0.30302999999999986</v>
      </c>
    </row>
    <row r="438" spans="1:39" x14ac:dyDescent="0.2">
      <c r="A438" s="8"/>
      <c r="B438" s="109" t="s">
        <v>111</v>
      </c>
      <c r="C438" s="108" t="s">
        <v>832</v>
      </c>
      <c r="D438" s="95" t="s">
        <v>835</v>
      </c>
      <c r="E438" s="102"/>
      <c r="F438" s="266">
        <v>0.30303000000000002</v>
      </c>
      <c r="G438" s="266">
        <v>0.30303000000000002</v>
      </c>
      <c r="H438" s="266">
        <v>0.30303000000000002</v>
      </c>
      <c r="I438" s="266">
        <v>0.30303000000000002</v>
      </c>
      <c r="J438" s="266">
        <v>0.30303000000000002</v>
      </c>
      <c r="K438" s="266">
        <v>0.30303000000000002</v>
      </c>
      <c r="L438" s="266">
        <v>0.30303000000000002</v>
      </c>
      <c r="M438" s="266">
        <v>0.30303000000000002</v>
      </c>
      <c r="N438" s="266">
        <v>0.30303000000000002</v>
      </c>
      <c r="O438" s="266">
        <v>0.30303000000000002</v>
      </c>
      <c r="P438" s="266">
        <v>0.30303000000000002</v>
      </c>
      <c r="Q438" s="266">
        <v>0.30303000000000002</v>
      </c>
      <c r="R438" s="266">
        <v>0.30303000000000002</v>
      </c>
      <c r="S438" s="266">
        <v>0.30303000000000002</v>
      </c>
      <c r="T438" s="266">
        <v>0.30303000000000002</v>
      </c>
      <c r="U438" s="266">
        <v>0.30303000000000002</v>
      </c>
      <c r="V438" s="266">
        <v>0.30303000000000002</v>
      </c>
      <c r="W438" s="266">
        <v>0.30303000000000002</v>
      </c>
      <c r="X438" s="266">
        <v>0.30303000000000002</v>
      </c>
      <c r="Y438" s="266">
        <v>0.30303000000000002</v>
      </c>
      <c r="Z438" s="266">
        <v>0.30303000000000002</v>
      </c>
      <c r="AA438" s="266">
        <v>0.30303000000000002</v>
      </c>
      <c r="AB438" s="266">
        <v>0.30303000000000002</v>
      </c>
      <c r="AC438" s="266">
        <v>0.30303000000000002</v>
      </c>
      <c r="AD438" s="266">
        <v>0.30303000000000002</v>
      </c>
      <c r="AE438" s="266">
        <v>0.30303000000000002</v>
      </c>
      <c r="AF438" s="266">
        <v>0.30303000000000002</v>
      </c>
      <c r="AG438" s="266">
        <v>0.30303000000000002</v>
      </c>
      <c r="AH438" s="266">
        <v>0.30303000000000002</v>
      </c>
      <c r="AI438" s="266">
        <v>0.30303000000000002</v>
      </c>
      <c r="AJ438" s="266">
        <v>0.30303000000000002</v>
      </c>
      <c r="AK438" s="266">
        <v>0.30303000000000002</v>
      </c>
      <c r="AL438" s="266">
        <v>0.30303000000000002</v>
      </c>
      <c r="AM438" s="383">
        <f t="shared" si="21"/>
        <v>0.30302999999999986</v>
      </c>
    </row>
    <row r="439" spans="1:39" x14ac:dyDescent="0.2">
      <c r="A439" s="8"/>
      <c r="B439" s="109" t="s">
        <v>112</v>
      </c>
      <c r="C439" s="108" t="s">
        <v>832</v>
      </c>
      <c r="D439" s="95" t="s">
        <v>835</v>
      </c>
      <c r="E439" s="102"/>
      <c r="F439" s="266">
        <v>0.30303000000000002</v>
      </c>
      <c r="G439" s="266">
        <v>0.30303000000000002</v>
      </c>
      <c r="H439" s="266">
        <v>0.30303000000000002</v>
      </c>
      <c r="I439" s="266">
        <v>0.30303000000000002</v>
      </c>
      <c r="J439" s="266">
        <v>0.30303000000000002</v>
      </c>
      <c r="K439" s="266">
        <v>0.30303000000000002</v>
      </c>
      <c r="L439" s="266">
        <v>0.30303000000000002</v>
      </c>
      <c r="M439" s="266">
        <v>0.30303000000000002</v>
      </c>
      <c r="N439" s="266">
        <v>0.30303000000000002</v>
      </c>
      <c r="O439" s="266">
        <v>0.30303000000000002</v>
      </c>
      <c r="P439" s="266">
        <v>0.30303000000000002</v>
      </c>
      <c r="Q439" s="266">
        <v>0.30303000000000002</v>
      </c>
      <c r="R439" s="266">
        <v>0.30303000000000002</v>
      </c>
      <c r="S439" s="266">
        <v>0.30303000000000002</v>
      </c>
      <c r="T439" s="266">
        <v>0.30303000000000002</v>
      </c>
      <c r="U439" s="266">
        <v>0.30303000000000002</v>
      </c>
      <c r="V439" s="266">
        <v>0.30303000000000002</v>
      </c>
      <c r="W439" s="266">
        <v>0.30303000000000002</v>
      </c>
      <c r="X439" s="266">
        <v>0.30303000000000002</v>
      </c>
      <c r="Y439" s="266">
        <v>0.30303000000000002</v>
      </c>
      <c r="Z439" s="266">
        <v>0.30303000000000002</v>
      </c>
      <c r="AA439" s="266">
        <v>0.30303000000000002</v>
      </c>
      <c r="AB439" s="266">
        <v>0.30303000000000002</v>
      </c>
      <c r="AC439" s="266">
        <v>0.30303000000000002</v>
      </c>
      <c r="AD439" s="266">
        <v>0.30303000000000002</v>
      </c>
      <c r="AE439" s="266">
        <v>0.30303000000000002</v>
      </c>
      <c r="AF439" s="266">
        <v>0.30303000000000002</v>
      </c>
      <c r="AG439" s="266">
        <v>0.30303000000000002</v>
      </c>
      <c r="AH439" s="266">
        <v>0.30303000000000002</v>
      </c>
      <c r="AI439" s="266">
        <v>0.30303000000000002</v>
      </c>
      <c r="AJ439" s="266">
        <v>0.30303000000000002</v>
      </c>
      <c r="AK439" s="266">
        <v>0.30303000000000002</v>
      </c>
      <c r="AL439" s="266">
        <v>0.30303000000000002</v>
      </c>
      <c r="AM439" s="383">
        <f t="shared" si="21"/>
        <v>0.30302999999999986</v>
      </c>
    </row>
    <row r="440" spans="1:39" x14ac:dyDescent="0.2">
      <c r="A440" s="8"/>
      <c r="B440" s="109" t="s">
        <v>113</v>
      </c>
      <c r="C440" s="108" t="s">
        <v>832</v>
      </c>
      <c r="D440" s="95" t="s">
        <v>835</v>
      </c>
      <c r="E440" s="102"/>
      <c r="F440" s="266">
        <v>0.30303000000000002</v>
      </c>
      <c r="G440" s="266">
        <v>0.30303000000000002</v>
      </c>
      <c r="H440" s="266">
        <v>0.30303000000000002</v>
      </c>
      <c r="I440" s="266">
        <v>0.30303000000000002</v>
      </c>
      <c r="J440" s="266">
        <v>0.30303000000000002</v>
      </c>
      <c r="K440" s="266">
        <v>0.30303000000000002</v>
      </c>
      <c r="L440" s="266">
        <v>0.30303000000000002</v>
      </c>
      <c r="M440" s="266">
        <v>0.30303000000000002</v>
      </c>
      <c r="N440" s="266">
        <v>0.30303000000000002</v>
      </c>
      <c r="O440" s="266">
        <v>0.30303000000000002</v>
      </c>
      <c r="P440" s="266">
        <v>0.30303000000000002</v>
      </c>
      <c r="Q440" s="266">
        <v>0.30303000000000002</v>
      </c>
      <c r="R440" s="266">
        <v>0.30303000000000002</v>
      </c>
      <c r="S440" s="266">
        <v>0.30303000000000002</v>
      </c>
      <c r="T440" s="266">
        <v>0.30303000000000002</v>
      </c>
      <c r="U440" s="266">
        <v>0.30303000000000002</v>
      </c>
      <c r="V440" s="266">
        <v>0.30303000000000002</v>
      </c>
      <c r="W440" s="266">
        <v>0.30303000000000002</v>
      </c>
      <c r="X440" s="266">
        <v>0.30303000000000002</v>
      </c>
      <c r="Y440" s="266">
        <v>0.30303000000000002</v>
      </c>
      <c r="Z440" s="266">
        <v>0.30303000000000002</v>
      </c>
      <c r="AA440" s="266">
        <v>0.30303000000000002</v>
      </c>
      <c r="AB440" s="266">
        <v>0.30303000000000002</v>
      </c>
      <c r="AC440" s="266">
        <v>0.30303000000000002</v>
      </c>
      <c r="AD440" s="266">
        <v>0.30303000000000002</v>
      </c>
      <c r="AE440" s="266">
        <v>0.30303000000000002</v>
      </c>
      <c r="AF440" s="266">
        <v>0.30303000000000002</v>
      </c>
      <c r="AG440" s="266">
        <v>0.30303000000000002</v>
      </c>
      <c r="AH440" s="266">
        <v>0.30303000000000002</v>
      </c>
      <c r="AI440" s="266">
        <v>0.30303000000000002</v>
      </c>
      <c r="AJ440" s="266">
        <v>0.30303000000000002</v>
      </c>
      <c r="AK440" s="266">
        <v>0.30303000000000002</v>
      </c>
      <c r="AL440" s="266">
        <v>0.30303000000000002</v>
      </c>
      <c r="AM440" s="383">
        <f t="shared" si="21"/>
        <v>0.30302999999999986</v>
      </c>
    </row>
    <row r="441" spans="1:39" x14ac:dyDescent="0.2">
      <c r="A441" s="8"/>
      <c r="B441" s="109" t="s">
        <v>114</v>
      </c>
      <c r="C441" s="108" t="s">
        <v>832</v>
      </c>
      <c r="D441" s="95" t="s">
        <v>835</v>
      </c>
      <c r="E441" s="102"/>
      <c r="F441" s="266">
        <v>0.30303000000000002</v>
      </c>
      <c r="G441" s="266">
        <v>0.30303000000000002</v>
      </c>
      <c r="H441" s="266">
        <v>0.30303000000000002</v>
      </c>
      <c r="I441" s="266">
        <v>0.30303000000000002</v>
      </c>
      <c r="J441" s="266">
        <v>0.30303000000000002</v>
      </c>
      <c r="K441" s="266">
        <v>0.30303000000000002</v>
      </c>
      <c r="L441" s="266">
        <v>0.30303000000000002</v>
      </c>
      <c r="M441" s="266">
        <v>0.30303000000000002</v>
      </c>
      <c r="N441" s="266">
        <v>0.30303000000000002</v>
      </c>
      <c r="O441" s="266">
        <v>0.30303000000000002</v>
      </c>
      <c r="P441" s="266">
        <v>0.30303000000000002</v>
      </c>
      <c r="Q441" s="266">
        <v>0.30303000000000002</v>
      </c>
      <c r="R441" s="266">
        <v>0.30303000000000002</v>
      </c>
      <c r="S441" s="266">
        <v>0.30303000000000002</v>
      </c>
      <c r="T441" s="266">
        <v>0.30303000000000002</v>
      </c>
      <c r="U441" s="266">
        <v>0.30303000000000002</v>
      </c>
      <c r="V441" s="266">
        <v>0.30303000000000002</v>
      </c>
      <c r="W441" s="266">
        <v>0.30303000000000002</v>
      </c>
      <c r="X441" s="266">
        <v>0.30303000000000002</v>
      </c>
      <c r="Y441" s="266">
        <v>0.30303000000000002</v>
      </c>
      <c r="Z441" s="266">
        <v>0.30303000000000002</v>
      </c>
      <c r="AA441" s="266">
        <v>0.30303000000000002</v>
      </c>
      <c r="AB441" s="266">
        <v>0.30303000000000002</v>
      </c>
      <c r="AC441" s="266">
        <v>0.30303000000000002</v>
      </c>
      <c r="AD441" s="266">
        <v>0.30303000000000002</v>
      </c>
      <c r="AE441" s="266">
        <v>0.30303000000000002</v>
      </c>
      <c r="AF441" s="266">
        <v>0.30303000000000002</v>
      </c>
      <c r="AG441" s="266">
        <v>0.30303000000000002</v>
      </c>
      <c r="AH441" s="266">
        <v>0.30303000000000002</v>
      </c>
      <c r="AI441" s="266">
        <v>0.30303000000000002</v>
      </c>
      <c r="AJ441" s="266">
        <v>0.30303000000000002</v>
      </c>
      <c r="AK441" s="266">
        <v>0.30303000000000002</v>
      </c>
      <c r="AL441" s="266">
        <v>0.30303000000000002</v>
      </c>
      <c r="AM441" s="383">
        <f t="shared" si="21"/>
        <v>0.30302999999999986</v>
      </c>
    </row>
    <row r="442" spans="1:39" x14ac:dyDescent="0.2">
      <c r="A442" s="8"/>
      <c r="B442" s="109" t="s">
        <v>115</v>
      </c>
      <c r="C442" s="108" t="s">
        <v>832</v>
      </c>
      <c r="D442" s="95" t="s">
        <v>835</v>
      </c>
      <c r="E442" s="102"/>
      <c r="F442" s="266">
        <v>0.30303000000000002</v>
      </c>
      <c r="G442" s="266">
        <v>0.30303000000000002</v>
      </c>
      <c r="H442" s="266">
        <v>0.30303000000000002</v>
      </c>
      <c r="I442" s="266">
        <v>0.30303000000000002</v>
      </c>
      <c r="J442" s="266">
        <v>0.30303000000000002</v>
      </c>
      <c r="K442" s="266">
        <v>0.30303000000000002</v>
      </c>
      <c r="L442" s="266">
        <v>0.30303000000000002</v>
      </c>
      <c r="M442" s="266">
        <v>0.30303000000000002</v>
      </c>
      <c r="N442" s="266">
        <v>0.30303000000000002</v>
      </c>
      <c r="O442" s="266">
        <v>0.30303000000000002</v>
      </c>
      <c r="P442" s="266">
        <v>0.30303000000000002</v>
      </c>
      <c r="Q442" s="266">
        <v>0.30303000000000002</v>
      </c>
      <c r="R442" s="266">
        <v>0.30303000000000002</v>
      </c>
      <c r="S442" s="266">
        <v>0.30303000000000002</v>
      </c>
      <c r="T442" s="266">
        <v>0.30303000000000002</v>
      </c>
      <c r="U442" s="266">
        <v>0.30303000000000002</v>
      </c>
      <c r="V442" s="266">
        <v>0.30303000000000002</v>
      </c>
      <c r="W442" s="266">
        <v>0.30303000000000002</v>
      </c>
      <c r="X442" s="266">
        <v>0.30303000000000002</v>
      </c>
      <c r="Y442" s="266">
        <v>0.30303000000000002</v>
      </c>
      <c r="Z442" s="266">
        <v>0.30303000000000002</v>
      </c>
      <c r="AA442" s="266">
        <v>0.30303000000000002</v>
      </c>
      <c r="AB442" s="266">
        <v>0.30303000000000002</v>
      </c>
      <c r="AC442" s="266">
        <v>0.30303000000000002</v>
      </c>
      <c r="AD442" s="266">
        <v>0.30303000000000002</v>
      </c>
      <c r="AE442" s="266">
        <v>0.30303000000000002</v>
      </c>
      <c r="AF442" s="266">
        <v>0.30303000000000002</v>
      </c>
      <c r="AG442" s="266">
        <v>0.30303000000000002</v>
      </c>
      <c r="AH442" s="266">
        <v>0.30303000000000002</v>
      </c>
      <c r="AI442" s="266">
        <v>0.30303000000000002</v>
      </c>
      <c r="AJ442" s="266">
        <v>0.30303000000000002</v>
      </c>
      <c r="AK442" s="266">
        <v>0.30303000000000002</v>
      </c>
      <c r="AL442" s="266">
        <v>0.30303000000000002</v>
      </c>
      <c r="AM442" s="383">
        <f t="shared" si="21"/>
        <v>0.30302999999999986</v>
      </c>
    </row>
    <row r="443" spans="1:39" x14ac:dyDescent="0.2">
      <c r="A443" s="8"/>
      <c r="B443" s="109" t="s">
        <v>116</v>
      </c>
      <c r="C443" s="108" t="s">
        <v>832</v>
      </c>
      <c r="D443" s="95" t="s">
        <v>835</v>
      </c>
      <c r="E443" s="102"/>
      <c r="F443" s="266">
        <v>0.30303000000000002</v>
      </c>
      <c r="G443" s="266">
        <v>0.30303000000000002</v>
      </c>
      <c r="H443" s="266">
        <v>0.30303000000000002</v>
      </c>
      <c r="I443" s="266">
        <v>0.30303000000000002</v>
      </c>
      <c r="J443" s="266">
        <v>0.30303000000000002</v>
      </c>
      <c r="K443" s="266">
        <v>0.30303000000000002</v>
      </c>
      <c r="L443" s="266">
        <v>0.30303000000000002</v>
      </c>
      <c r="M443" s="266">
        <v>0.30303000000000002</v>
      </c>
      <c r="N443" s="266">
        <v>0.30303000000000002</v>
      </c>
      <c r="O443" s="266">
        <v>0.30303000000000002</v>
      </c>
      <c r="P443" s="266">
        <v>0.30303000000000002</v>
      </c>
      <c r="Q443" s="266">
        <v>0.30303000000000002</v>
      </c>
      <c r="R443" s="266">
        <v>0.30303000000000002</v>
      </c>
      <c r="S443" s="266">
        <v>0.30303000000000002</v>
      </c>
      <c r="T443" s="266">
        <v>0.30303000000000002</v>
      </c>
      <c r="U443" s="266">
        <v>0.30303000000000002</v>
      </c>
      <c r="V443" s="266">
        <v>0.30303000000000002</v>
      </c>
      <c r="W443" s="266">
        <v>0.30303000000000002</v>
      </c>
      <c r="X443" s="266">
        <v>0.30303000000000002</v>
      </c>
      <c r="Y443" s="266">
        <v>0.30303000000000002</v>
      </c>
      <c r="Z443" s="266">
        <v>0.30303000000000002</v>
      </c>
      <c r="AA443" s="266">
        <v>0.30303000000000002</v>
      </c>
      <c r="AB443" s="266">
        <v>0.30303000000000002</v>
      </c>
      <c r="AC443" s="266">
        <v>0.30303000000000002</v>
      </c>
      <c r="AD443" s="266">
        <v>0.30303000000000002</v>
      </c>
      <c r="AE443" s="266">
        <v>0.30303000000000002</v>
      </c>
      <c r="AF443" s="266">
        <v>0.30303000000000002</v>
      </c>
      <c r="AG443" s="266">
        <v>0.30303000000000002</v>
      </c>
      <c r="AH443" s="266">
        <v>0.30303000000000002</v>
      </c>
      <c r="AI443" s="266">
        <v>0.30303000000000002</v>
      </c>
      <c r="AJ443" s="266">
        <v>0.30303000000000002</v>
      </c>
      <c r="AK443" s="266">
        <v>0.30303000000000002</v>
      </c>
      <c r="AL443" s="266">
        <v>0.30303000000000002</v>
      </c>
      <c r="AM443" s="383">
        <f t="shared" si="21"/>
        <v>0.30302999999999986</v>
      </c>
    </row>
    <row r="444" spans="1:39" x14ac:dyDescent="0.2">
      <c r="A444" s="8"/>
      <c r="B444" s="109" t="s">
        <v>117</v>
      </c>
      <c r="C444" s="108" t="s">
        <v>832</v>
      </c>
      <c r="D444" s="95" t="s">
        <v>835</v>
      </c>
      <c r="E444" s="102"/>
      <c r="F444" s="266">
        <v>0.30303000000000002</v>
      </c>
      <c r="G444" s="266">
        <v>0.30303000000000002</v>
      </c>
      <c r="H444" s="266">
        <v>0.30303000000000002</v>
      </c>
      <c r="I444" s="266">
        <v>0.30303000000000002</v>
      </c>
      <c r="J444" s="266">
        <v>0.30303000000000002</v>
      </c>
      <c r="K444" s="266">
        <v>0.30303000000000002</v>
      </c>
      <c r="L444" s="266">
        <v>0.30303000000000002</v>
      </c>
      <c r="M444" s="266">
        <v>0.30303000000000002</v>
      </c>
      <c r="N444" s="266">
        <v>0.30303000000000002</v>
      </c>
      <c r="O444" s="266">
        <v>0.30303000000000002</v>
      </c>
      <c r="P444" s="266">
        <v>0.30303000000000002</v>
      </c>
      <c r="Q444" s="266">
        <v>0.30303000000000002</v>
      </c>
      <c r="R444" s="266">
        <v>0.30303000000000002</v>
      </c>
      <c r="S444" s="266">
        <v>0.30303000000000002</v>
      </c>
      <c r="T444" s="266">
        <v>0.30303000000000002</v>
      </c>
      <c r="U444" s="266">
        <v>0.30303000000000002</v>
      </c>
      <c r="V444" s="266">
        <v>0.30303000000000002</v>
      </c>
      <c r="W444" s="266">
        <v>0.30303000000000002</v>
      </c>
      <c r="X444" s="266">
        <v>0.30303000000000002</v>
      </c>
      <c r="Y444" s="266">
        <v>0.30303000000000002</v>
      </c>
      <c r="Z444" s="266">
        <v>0.30303000000000002</v>
      </c>
      <c r="AA444" s="266">
        <v>0.30303000000000002</v>
      </c>
      <c r="AB444" s="266">
        <v>0.30303000000000002</v>
      </c>
      <c r="AC444" s="266">
        <v>0.30303000000000002</v>
      </c>
      <c r="AD444" s="266">
        <v>0.30303000000000002</v>
      </c>
      <c r="AE444" s="266">
        <v>0.30303000000000002</v>
      </c>
      <c r="AF444" s="266">
        <v>0.30303000000000002</v>
      </c>
      <c r="AG444" s="266">
        <v>0.30303000000000002</v>
      </c>
      <c r="AH444" s="266">
        <v>0.30303000000000002</v>
      </c>
      <c r="AI444" s="266">
        <v>0.30303000000000002</v>
      </c>
      <c r="AJ444" s="266">
        <v>0.30303000000000002</v>
      </c>
      <c r="AK444" s="266">
        <v>0.30303000000000002</v>
      </c>
      <c r="AL444" s="266">
        <v>0.30303000000000002</v>
      </c>
      <c r="AM444" s="383">
        <f t="shared" si="21"/>
        <v>0.30302999999999986</v>
      </c>
    </row>
    <row r="445" spans="1:39" x14ac:dyDescent="0.2">
      <c r="A445" s="8"/>
      <c r="B445" s="109" t="s">
        <v>118</v>
      </c>
      <c r="C445" s="108" t="s">
        <v>832</v>
      </c>
      <c r="D445" s="95" t="s">
        <v>835</v>
      </c>
      <c r="E445" s="102"/>
      <c r="F445" s="266">
        <v>0.128106</v>
      </c>
      <c r="G445" s="266">
        <v>0.128106</v>
      </c>
      <c r="H445" s="266">
        <v>0.128106</v>
      </c>
      <c r="I445" s="266">
        <v>0.128106</v>
      </c>
      <c r="J445" s="266">
        <v>0.128106</v>
      </c>
      <c r="K445" s="266">
        <v>0.128106</v>
      </c>
      <c r="L445" s="266">
        <v>0.128106</v>
      </c>
      <c r="M445" s="266">
        <v>0.128106</v>
      </c>
      <c r="N445" s="266">
        <v>0.128106</v>
      </c>
      <c r="O445" s="266">
        <v>0.128106</v>
      </c>
      <c r="P445" s="266">
        <v>0.128106</v>
      </c>
      <c r="Q445" s="266">
        <v>0.128106</v>
      </c>
      <c r="R445" s="266">
        <v>0.128106</v>
      </c>
      <c r="S445" s="266">
        <v>0.128106</v>
      </c>
      <c r="T445" s="266">
        <v>0.128106</v>
      </c>
      <c r="U445" s="266">
        <v>0.128106</v>
      </c>
      <c r="V445" s="266">
        <v>0.128106</v>
      </c>
      <c r="W445" s="266">
        <v>0.128106</v>
      </c>
      <c r="X445" s="266">
        <v>0.128106</v>
      </c>
      <c r="Y445" s="266">
        <v>0.128106</v>
      </c>
      <c r="Z445" s="266">
        <v>0.128106</v>
      </c>
      <c r="AA445" s="266">
        <v>0.128106</v>
      </c>
      <c r="AB445" s="266">
        <v>0.128106</v>
      </c>
      <c r="AC445" s="266">
        <v>0.128106</v>
      </c>
      <c r="AD445" s="266">
        <v>0.128106</v>
      </c>
      <c r="AE445" s="266">
        <v>0.128106</v>
      </c>
      <c r="AF445" s="266">
        <v>0.128106</v>
      </c>
      <c r="AG445" s="266">
        <v>0.128106</v>
      </c>
      <c r="AH445" s="266">
        <v>0.128106</v>
      </c>
      <c r="AI445" s="266">
        <v>0.128106</v>
      </c>
      <c r="AJ445" s="266">
        <v>0.128106</v>
      </c>
      <c r="AK445" s="266">
        <v>0.128106</v>
      </c>
      <c r="AL445" s="266">
        <v>0.128106</v>
      </c>
      <c r="AM445" s="383">
        <f t="shared" si="21"/>
        <v>0.12810599999999994</v>
      </c>
    </row>
    <row r="446" spans="1:39" x14ac:dyDescent="0.2">
      <c r="A446" s="8"/>
      <c r="B446" s="109" t="s">
        <v>119</v>
      </c>
      <c r="C446" s="108" t="s">
        <v>832</v>
      </c>
      <c r="D446" s="95" t="s">
        <v>835</v>
      </c>
      <c r="E446" s="102"/>
      <c r="F446" s="266">
        <v>0.30303000000000002</v>
      </c>
      <c r="G446" s="266">
        <v>0.30303000000000002</v>
      </c>
      <c r="H446" s="266">
        <v>0.30303000000000002</v>
      </c>
      <c r="I446" s="266">
        <v>0.30303000000000002</v>
      </c>
      <c r="J446" s="266">
        <v>0.30303000000000002</v>
      </c>
      <c r="K446" s="266">
        <v>0.30303000000000002</v>
      </c>
      <c r="L446" s="266">
        <v>0.30303000000000002</v>
      </c>
      <c r="M446" s="266">
        <v>0.30303000000000002</v>
      </c>
      <c r="N446" s="266">
        <v>0.30303000000000002</v>
      </c>
      <c r="O446" s="266">
        <v>0.30303000000000002</v>
      </c>
      <c r="P446" s="266">
        <v>0.30303000000000002</v>
      </c>
      <c r="Q446" s="266">
        <v>0.30303000000000002</v>
      </c>
      <c r="R446" s="266">
        <v>0.30303000000000002</v>
      </c>
      <c r="S446" s="266">
        <v>0.30303000000000002</v>
      </c>
      <c r="T446" s="266">
        <v>0.30303000000000002</v>
      </c>
      <c r="U446" s="266">
        <v>0.30303000000000002</v>
      </c>
      <c r="V446" s="266">
        <v>0.30303000000000002</v>
      </c>
      <c r="W446" s="266">
        <v>0.30303000000000002</v>
      </c>
      <c r="X446" s="266">
        <v>0.30303000000000002</v>
      </c>
      <c r="Y446" s="266">
        <v>0.30303000000000002</v>
      </c>
      <c r="Z446" s="266">
        <v>0.30303000000000002</v>
      </c>
      <c r="AA446" s="266">
        <v>0.30303000000000002</v>
      </c>
      <c r="AB446" s="266">
        <v>0.30303000000000002</v>
      </c>
      <c r="AC446" s="266">
        <v>0.30303000000000002</v>
      </c>
      <c r="AD446" s="266">
        <v>0.30303000000000002</v>
      </c>
      <c r="AE446" s="266">
        <v>0.30303000000000002</v>
      </c>
      <c r="AF446" s="266">
        <v>0.30303000000000002</v>
      </c>
      <c r="AG446" s="266">
        <v>0.30303000000000002</v>
      </c>
      <c r="AH446" s="266">
        <v>0.30303000000000002</v>
      </c>
      <c r="AI446" s="266">
        <v>0.30303000000000002</v>
      </c>
      <c r="AJ446" s="266">
        <v>0.30303000000000002</v>
      </c>
      <c r="AK446" s="266">
        <v>0.30303000000000002</v>
      </c>
      <c r="AL446" s="266">
        <v>0.30303000000000002</v>
      </c>
      <c r="AM446" s="383">
        <f t="shared" si="21"/>
        <v>0.30302999999999986</v>
      </c>
    </row>
    <row r="447" spans="1:39" x14ac:dyDescent="0.2">
      <c r="A447" s="8"/>
      <c r="B447" s="109" t="s">
        <v>120</v>
      </c>
      <c r="C447" s="108" t="s">
        <v>832</v>
      </c>
      <c r="D447" s="95" t="s">
        <v>835</v>
      </c>
      <c r="E447" s="102"/>
      <c r="F447" s="266">
        <v>0.27449299999999999</v>
      </c>
      <c r="G447" s="266">
        <v>0.27449299999999999</v>
      </c>
      <c r="H447" s="266">
        <v>0.27449299999999999</v>
      </c>
      <c r="I447" s="266">
        <v>0.27449299999999999</v>
      </c>
      <c r="J447" s="266">
        <v>0.27449299999999999</v>
      </c>
      <c r="K447" s="266">
        <v>0.27449299999999999</v>
      </c>
      <c r="L447" s="266">
        <v>0.27449299999999999</v>
      </c>
      <c r="M447" s="266">
        <v>0.27449299999999999</v>
      </c>
      <c r="N447" s="266">
        <v>0.27449299999999999</v>
      </c>
      <c r="O447" s="266">
        <v>0.27449299999999999</v>
      </c>
      <c r="P447" s="266">
        <v>0.27449299999999999</v>
      </c>
      <c r="Q447" s="266">
        <v>0.27449299999999999</v>
      </c>
      <c r="R447" s="266">
        <v>0.27449299999999999</v>
      </c>
      <c r="S447" s="266">
        <v>0.27449299999999999</v>
      </c>
      <c r="T447" s="266">
        <v>0.27449299999999999</v>
      </c>
      <c r="U447" s="266">
        <v>0.27449299999999999</v>
      </c>
      <c r="V447" s="266">
        <v>0.27449299999999999</v>
      </c>
      <c r="W447" s="266">
        <v>0.27449299999999999</v>
      </c>
      <c r="X447" s="266">
        <v>0.27449299999999999</v>
      </c>
      <c r="Y447" s="266">
        <v>0.27449299999999999</v>
      </c>
      <c r="Z447" s="266">
        <v>0.27449299999999999</v>
      </c>
      <c r="AA447" s="266">
        <v>0.27449299999999999</v>
      </c>
      <c r="AB447" s="266">
        <v>0.27449299999999999</v>
      </c>
      <c r="AC447" s="266">
        <v>0.27449299999999999</v>
      </c>
      <c r="AD447" s="266">
        <v>0.27449299999999999</v>
      </c>
      <c r="AE447" s="266">
        <v>0.27449299999999999</v>
      </c>
      <c r="AF447" s="266">
        <v>0.27449299999999999</v>
      </c>
      <c r="AG447" s="266">
        <v>0.27449299999999999</v>
      </c>
      <c r="AH447" s="266">
        <v>0.27449299999999999</v>
      </c>
      <c r="AI447" s="266">
        <v>0.27449299999999999</v>
      </c>
      <c r="AJ447" s="266">
        <v>0.27449299999999999</v>
      </c>
      <c r="AK447" s="266">
        <v>0.27449299999999999</v>
      </c>
      <c r="AL447" s="266">
        <v>0.27449299999999999</v>
      </c>
      <c r="AM447" s="383">
        <f t="shared" si="21"/>
        <v>0.27449299999999988</v>
      </c>
    </row>
    <row r="448" spans="1:39" x14ac:dyDescent="0.2">
      <c r="A448" s="8"/>
      <c r="B448" s="109" t="s">
        <v>127</v>
      </c>
      <c r="C448" s="108" t="s">
        <v>832</v>
      </c>
      <c r="D448" s="95" t="s">
        <v>835</v>
      </c>
      <c r="E448" s="102"/>
      <c r="F448" s="266">
        <v>0.30303000000000002</v>
      </c>
      <c r="G448" s="266">
        <v>0.30303000000000002</v>
      </c>
      <c r="H448" s="266">
        <v>0.30303000000000002</v>
      </c>
      <c r="I448" s="266">
        <v>0.30303000000000002</v>
      </c>
      <c r="J448" s="266">
        <v>0.30303000000000002</v>
      </c>
      <c r="K448" s="266">
        <v>0.30303000000000002</v>
      </c>
      <c r="L448" s="266">
        <v>0.30303000000000002</v>
      </c>
      <c r="M448" s="266">
        <v>0.30303000000000002</v>
      </c>
      <c r="N448" s="266">
        <v>0.30303000000000002</v>
      </c>
      <c r="O448" s="266">
        <v>0.30303000000000002</v>
      </c>
      <c r="P448" s="266">
        <v>0.30303000000000002</v>
      </c>
      <c r="Q448" s="266">
        <v>0.30303000000000002</v>
      </c>
      <c r="R448" s="266">
        <v>0.30303000000000002</v>
      </c>
      <c r="S448" s="266">
        <v>0.30303000000000002</v>
      </c>
      <c r="T448" s="266">
        <v>0.30303000000000002</v>
      </c>
      <c r="U448" s="266">
        <v>0.30303000000000002</v>
      </c>
      <c r="V448" s="266">
        <v>0.30303000000000002</v>
      </c>
      <c r="W448" s="266">
        <v>0.30303000000000002</v>
      </c>
      <c r="X448" s="266">
        <v>0.30303000000000002</v>
      </c>
      <c r="Y448" s="266">
        <v>0.30303000000000002</v>
      </c>
      <c r="Z448" s="266">
        <v>0.30303000000000002</v>
      </c>
      <c r="AA448" s="266">
        <v>0.30303000000000002</v>
      </c>
      <c r="AB448" s="266">
        <v>0.30303000000000002</v>
      </c>
      <c r="AC448" s="266">
        <v>0.30303000000000002</v>
      </c>
      <c r="AD448" s="266">
        <v>0.30303000000000002</v>
      </c>
      <c r="AE448" s="266">
        <v>0.30303000000000002</v>
      </c>
      <c r="AF448" s="266">
        <v>0.30303000000000002</v>
      </c>
      <c r="AG448" s="266">
        <v>0.30303000000000002</v>
      </c>
      <c r="AH448" s="266">
        <v>0.30303000000000002</v>
      </c>
      <c r="AI448" s="266">
        <v>0.30303000000000002</v>
      </c>
      <c r="AJ448" s="266">
        <v>0.30303000000000002</v>
      </c>
      <c r="AK448" s="266">
        <v>0.30303000000000002</v>
      </c>
      <c r="AL448" s="266">
        <v>0.30303000000000002</v>
      </c>
      <c r="AM448" s="383">
        <f t="shared" si="21"/>
        <v>0.30302999999999986</v>
      </c>
    </row>
    <row r="449" spans="1:39" x14ac:dyDescent="0.2">
      <c r="A449" s="8"/>
      <c r="B449" s="109" t="s">
        <v>128</v>
      </c>
      <c r="C449" s="108" t="s">
        <v>832</v>
      </c>
      <c r="D449" s="95" t="s">
        <v>835</v>
      </c>
      <c r="E449" s="102"/>
      <c r="F449" s="266">
        <v>0.28876200000000002</v>
      </c>
      <c r="G449" s="266">
        <v>0.28876200000000002</v>
      </c>
      <c r="H449" s="266">
        <v>0.28876200000000002</v>
      </c>
      <c r="I449" s="266">
        <v>0.28876200000000002</v>
      </c>
      <c r="J449" s="266">
        <v>0.28876200000000002</v>
      </c>
      <c r="K449" s="266">
        <v>0.28876200000000002</v>
      </c>
      <c r="L449" s="266">
        <v>0.28876200000000002</v>
      </c>
      <c r="M449" s="266">
        <v>0.28876200000000002</v>
      </c>
      <c r="N449" s="266">
        <v>0.28876200000000002</v>
      </c>
      <c r="O449" s="266">
        <v>0.28876200000000002</v>
      </c>
      <c r="P449" s="266">
        <v>0.28876200000000002</v>
      </c>
      <c r="Q449" s="266">
        <v>0.28876200000000002</v>
      </c>
      <c r="R449" s="266">
        <v>0.28876200000000002</v>
      </c>
      <c r="S449" s="266">
        <v>0.28876200000000002</v>
      </c>
      <c r="T449" s="266">
        <v>0.28876200000000002</v>
      </c>
      <c r="U449" s="266">
        <v>0.28876200000000002</v>
      </c>
      <c r="V449" s="266">
        <v>0.28876200000000002</v>
      </c>
      <c r="W449" s="266">
        <v>0.28876200000000002</v>
      </c>
      <c r="X449" s="266">
        <v>0.28876200000000002</v>
      </c>
      <c r="Y449" s="266">
        <v>0.28876200000000002</v>
      </c>
      <c r="Z449" s="266">
        <v>0.28876200000000002</v>
      </c>
      <c r="AA449" s="266">
        <v>0.28876200000000002</v>
      </c>
      <c r="AB449" s="266">
        <v>0.28876200000000002</v>
      </c>
      <c r="AC449" s="266">
        <v>0.28876200000000002</v>
      </c>
      <c r="AD449" s="266">
        <v>0.28876200000000002</v>
      </c>
      <c r="AE449" s="266">
        <v>0.28876200000000002</v>
      </c>
      <c r="AF449" s="266">
        <v>0.28876200000000002</v>
      </c>
      <c r="AG449" s="266">
        <v>0.28876200000000002</v>
      </c>
      <c r="AH449" s="266">
        <v>0.28876200000000002</v>
      </c>
      <c r="AI449" s="266">
        <v>0.28876200000000002</v>
      </c>
      <c r="AJ449" s="266">
        <v>0.28876200000000002</v>
      </c>
      <c r="AK449" s="266">
        <v>0.28876200000000002</v>
      </c>
      <c r="AL449" s="266">
        <v>0.28876200000000002</v>
      </c>
      <c r="AM449" s="383">
        <f t="shared" si="21"/>
        <v>0.28876200000000013</v>
      </c>
    </row>
    <row r="450" spans="1:39" x14ac:dyDescent="0.2">
      <c r="A450" s="8"/>
      <c r="B450" s="109" t="s">
        <v>174</v>
      </c>
      <c r="C450" s="108" t="s">
        <v>832</v>
      </c>
      <c r="D450" s="95" t="s">
        <v>835</v>
      </c>
      <c r="E450" s="102"/>
      <c r="F450" s="266">
        <v>0.28876200000000002</v>
      </c>
      <c r="G450" s="266">
        <v>0.28876200000000002</v>
      </c>
      <c r="H450" s="266">
        <v>0.28876200000000002</v>
      </c>
      <c r="I450" s="266">
        <v>0.28876200000000002</v>
      </c>
      <c r="J450" s="266">
        <v>0.28876200000000002</v>
      </c>
      <c r="K450" s="266">
        <v>0.28876200000000002</v>
      </c>
      <c r="L450" s="266">
        <v>0.28876200000000002</v>
      </c>
      <c r="M450" s="266">
        <v>0.28876200000000002</v>
      </c>
      <c r="N450" s="266">
        <v>0.28876200000000002</v>
      </c>
      <c r="O450" s="266">
        <v>0.28876200000000002</v>
      </c>
      <c r="P450" s="266">
        <v>0.28876200000000002</v>
      </c>
      <c r="Q450" s="266">
        <v>0.28876200000000002</v>
      </c>
      <c r="R450" s="266">
        <v>0.28876200000000002</v>
      </c>
      <c r="S450" s="266">
        <v>0.28876200000000002</v>
      </c>
      <c r="T450" s="266">
        <v>0.28876200000000002</v>
      </c>
      <c r="U450" s="266">
        <v>0.28876200000000002</v>
      </c>
      <c r="V450" s="266">
        <v>0.28876200000000002</v>
      </c>
      <c r="W450" s="266">
        <v>0.28876200000000002</v>
      </c>
      <c r="X450" s="266">
        <v>0.28876200000000002</v>
      </c>
      <c r="Y450" s="266">
        <v>0.28876200000000002</v>
      </c>
      <c r="Z450" s="266">
        <v>0.28876200000000002</v>
      </c>
      <c r="AA450" s="266">
        <v>0.28876200000000002</v>
      </c>
      <c r="AB450" s="266">
        <v>0.28876200000000002</v>
      </c>
      <c r="AC450" s="266">
        <v>0.28876200000000002</v>
      </c>
      <c r="AD450" s="266">
        <v>0.28876200000000002</v>
      </c>
      <c r="AE450" s="266">
        <v>0.28876200000000002</v>
      </c>
      <c r="AF450" s="266">
        <v>0.28876200000000002</v>
      </c>
      <c r="AG450" s="266">
        <v>0.28876200000000002</v>
      </c>
      <c r="AH450" s="266">
        <v>0.28876200000000002</v>
      </c>
      <c r="AI450" s="266">
        <v>0.28876200000000002</v>
      </c>
      <c r="AJ450" s="266">
        <v>0.28876200000000002</v>
      </c>
      <c r="AK450" s="266">
        <v>0.28876200000000002</v>
      </c>
      <c r="AL450" s="266">
        <v>0.28876200000000002</v>
      </c>
      <c r="AM450" s="383">
        <f t="shared" si="21"/>
        <v>0.28876200000000013</v>
      </c>
    </row>
    <row r="451" spans="1:39" x14ac:dyDescent="0.2">
      <c r="A451" s="8"/>
      <c r="B451" s="109"/>
      <c r="C451" s="108"/>
      <c r="D451" s="276"/>
      <c r="E451" s="102"/>
      <c r="F451" s="114"/>
      <c r="G451" s="114"/>
      <c r="H451" s="114"/>
      <c r="I451" s="114"/>
      <c r="J451" s="114"/>
      <c r="K451" s="114"/>
      <c r="L451" s="114"/>
      <c r="M451" s="114"/>
      <c r="N451" s="114"/>
      <c r="O451" s="114"/>
      <c r="P451" s="114"/>
      <c r="Q451" s="114"/>
      <c r="R451" s="114"/>
      <c r="S451" s="114"/>
      <c r="T451" s="114"/>
      <c r="U451" s="114"/>
      <c r="V451" s="114"/>
      <c r="W451" s="114"/>
      <c r="X451" s="114"/>
      <c r="Y451" s="114"/>
      <c r="Z451" s="114"/>
      <c r="AA451" s="114"/>
      <c r="AB451" s="114"/>
      <c r="AC451" s="114"/>
      <c r="AD451" s="114"/>
      <c r="AE451" s="114"/>
      <c r="AF451" s="114"/>
      <c r="AG451" s="114"/>
      <c r="AH451" s="114"/>
      <c r="AI451" s="114"/>
      <c r="AJ451" s="114"/>
      <c r="AK451" s="114"/>
      <c r="AL451" s="114"/>
      <c r="AM451" s="107"/>
    </row>
    <row r="452" spans="1:39" x14ac:dyDescent="0.2">
      <c r="A452" s="8"/>
      <c r="B452" s="99" t="s">
        <v>836</v>
      </c>
      <c r="C452" s="98"/>
      <c r="D452" s="93"/>
      <c r="E452" s="102"/>
      <c r="F452" s="114"/>
      <c r="G452" s="114"/>
      <c r="H452" s="114"/>
      <c r="I452" s="114"/>
      <c r="J452" s="114"/>
      <c r="K452" s="114"/>
      <c r="L452" s="114"/>
      <c r="M452" s="114"/>
      <c r="N452" s="114"/>
      <c r="O452" s="114"/>
      <c r="P452" s="114"/>
      <c r="Q452" s="114"/>
      <c r="R452" s="114"/>
      <c r="S452" s="114"/>
      <c r="T452" s="114"/>
      <c r="U452" s="114"/>
      <c r="V452" s="114"/>
      <c r="W452" s="114"/>
      <c r="X452" s="114"/>
      <c r="Y452" s="114"/>
      <c r="Z452" s="114"/>
      <c r="AA452" s="114"/>
      <c r="AB452" s="114"/>
      <c r="AC452" s="114"/>
      <c r="AD452" s="114"/>
      <c r="AE452" s="114"/>
      <c r="AF452" s="114"/>
      <c r="AG452" s="114"/>
      <c r="AH452" s="114"/>
      <c r="AI452" s="114"/>
      <c r="AJ452" s="114"/>
      <c r="AK452" s="114"/>
      <c r="AL452" s="114"/>
      <c r="AM452" s="107"/>
    </row>
    <row r="453" spans="1:39" x14ac:dyDescent="0.2">
      <c r="A453" s="8"/>
      <c r="B453" s="109" t="s">
        <v>86</v>
      </c>
      <c r="C453" s="108" t="s">
        <v>832</v>
      </c>
      <c r="D453" s="95" t="s">
        <v>837</v>
      </c>
      <c r="E453" s="102"/>
      <c r="F453" s="277">
        <v>0.71</v>
      </c>
      <c r="G453" s="277">
        <v>0.71</v>
      </c>
      <c r="H453" s="277">
        <v>0.71</v>
      </c>
      <c r="I453" s="277">
        <v>0.71</v>
      </c>
      <c r="J453" s="277">
        <v>0.71</v>
      </c>
      <c r="K453" s="277">
        <v>0.71</v>
      </c>
      <c r="L453" s="277">
        <v>0.71</v>
      </c>
      <c r="M453" s="277">
        <v>0.71</v>
      </c>
      <c r="N453" s="277">
        <v>0.71</v>
      </c>
      <c r="O453" s="277">
        <v>0.71</v>
      </c>
      <c r="P453" s="277">
        <v>0.71</v>
      </c>
      <c r="Q453" s="277">
        <v>0.71</v>
      </c>
      <c r="R453" s="277">
        <v>0.71</v>
      </c>
      <c r="S453" s="277">
        <v>0.71</v>
      </c>
      <c r="T453" s="277">
        <v>0.71</v>
      </c>
      <c r="U453" s="277">
        <v>0.71</v>
      </c>
      <c r="V453" s="277">
        <v>0.71</v>
      </c>
      <c r="W453" s="277">
        <v>0.71</v>
      </c>
      <c r="X453" s="277">
        <v>0.71</v>
      </c>
      <c r="Y453" s="277">
        <v>0.71</v>
      </c>
      <c r="Z453" s="277">
        <v>0.71</v>
      </c>
      <c r="AA453" s="277">
        <v>0.71</v>
      </c>
      <c r="AB453" s="277">
        <v>0.71</v>
      </c>
      <c r="AC453" s="277">
        <v>0.71</v>
      </c>
      <c r="AD453" s="277">
        <v>0.71</v>
      </c>
      <c r="AE453" s="277">
        <v>0.71</v>
      </c>
      <c r="AF453" s="277">
        <v>0.71</v>
      </c>
      <c r="AG453" s="277">
        <v>0.71</v>
      </c>
      <c r="AH453" s="277">
        <v>0.71</v>
      </c>
      <c r="AI453" s="277">
        <v>0.71</v>
      </c>
      <c r="AJ453" s="277">
        <v>0.71</v>
      </c>
      <c r="AK453" s="277">
        <v>0.71</v>
      </c>
      <c r="AL453" s="277">
        <v>0.71</v>
      </c>
      <c r="AM453" s="383">
        <f t="shared" ref="AM453:AM489" si="22">AVERAGE(F453:AL453)</f>
        <v>0.71000000000000052</v>
      </c>
    </row>
    <row r="454" spans="1:39" x14ac:dyDescent="0.2">
      <c r="A454" s="8"/>
      <c r="B454" s="109" t="s">
        <v>88</v>
      </c>
      <c r="C454" s="108" t="s">
        <v>832</v>
      </c>
      <c r="D454" s="95" t="s">
        <v>837</v>
      </c>
      <c r="E454" s="102"/>
      <c r="F454" s="277">
        <v>0.71</v>
      </c>
      <c r="G454" s="277">
        <v>0.71</v>
      </c>
      <c r="H454" s="277">
        <v>0.71</v>
      </c>
      <c r="I454" s="277">
        <v>0.71</v>
      </c>
      <c r="J454" s="277">
        <v>0.71</v>
      </c>
      <c r="K454" s="277">
        <v>0.71</v>
      </c>
      <c r="L454" s="277">
        <v>0.71</v>
      </c>
      <c r="M454" s="277">
        <v>0.71</v>
      </c>
      <c r="N454" s="277">
        <v>0.71</v>
      </c>
      <c r="O454" s="277">
        <v>0.71</v>
      </c>
      <c r="P454" s="277">
        <v>0.71</v>
      </c>
      <c r="Q454" s="277">
        <v>0.71</v>
      </c>
      <c r="R454" s="277">
        <v>0.71</v>
      </c>
      <c r="S454" s="277">
        <v>0.71</v>
      </c>
      <c r="T454" s="277">
        <v>0.71</v>
      </c>
      <c r="U454" s="277">
        <v>0.71</v>
      </c>
      <c r="V454" s="277">
        <v>0.71</v>
      </c>
      <c r="W454" s="277">
        <v>0.71</v>
      </c>
      <c r="X454" s="277">
        <v>0.71</v>
      </c>
      <c r="Y454" s="277">
        <v>0.71</v>
      </c>
      <c r="Z454" s="277">
        <v>0.71</v>
      </c>
      <c r="AA454" s="277">
        <v>0.71</v>
      </c>
      <c r="AB454" s="277">
        <v>0.71</v>
      </c>
      <c r="AC454" s="277">
        <v>0.71</v>
      </c>
      <c r="AD454" s="277">
        <v>0.71</v>
      </c>
      <c r="AE454" s="277">
        <v>0.71</v>
      </c>
      <c r="AF454" s="277">
        <v>0.71</v>
      </c>
      <c r="AG454" s="277">
        <v>0.71</v>
      </c>
      <c r="AH454" s="277">
        <v>0.71</v>
      </c>
      <c r="AI454" s="277">
        <v>0.71</v>
      </c>
      <c r="AJ454" s="277">
        <v>0.71</v>
      </c>
      <c r="AK454" s="277">
        <v>0.71</v>
      </c>
      <c r="AL454" s="277">
        <v>0.71</v>
      </c>
      <c r="AM454" s="383">
        <f t="shared" si="22"/>
        <v>0.71000000000000052</v>
      </c>
    </row>
    <row r="455" spans="1:39" x14ac:dyDescent="0.2">
      <c r="A455" s="8"/>
      <c r="B455" s="109" t="s">
        <v>89</v>
      </c>
      <c r="C455" s="108" t="s">
        <v>832</v>
      </c>
      <c r="D455" s="95" t="s">
        <v>837</v>
      </c>
      <c r="E455" s="102"/>
      <c r="F455" s="277">
        <v>0.84</v>
      </c>
      <c r="G455" s="277">
        <v>0.84</v>
      </c>
      <c r="H455" s="277">
        <v>0.84</v>
      </c>
      <c r="I455" s="277">
        <v>0.84</v>
      </c>
      <c r="J455" s="277">
        <v>0.84</v>
      </c>
      <c r="K455" s="277">
        <v>0.84</v>
      </c>
      <c r="L455" s="277">
        <v>0.84</v>
      </c>
      <c r="M455" s="277">
        <v>0.84</v>
      </c>
      <c r="N455" s="277">
        <v>0.84</v>
      </c>
      <c r="O455" s="277">
        <v>0.84</v>
      </c>
      <c r="P455" s="277">
        <v>0.84</v>
      </c>
      <c r="Q455" s="277">
        <v>0.84</v>
      </c>
      <c r="R455" s="277">
        <v>0.84</v>
      </c>
      <c r="S455" s="277">
        <v>0.84</v>
      </c>
      <c r="T455" s="277">
        <v>0.84</v>
      </c>
      <c r="U455" s="277">
        <v>0.84</v>
      </c>
      <c r="V455" s="277">
        <v>0.84</v>
      </c>
      <c r="W455" s="277">
        <v>0.84</v>
      </c>
      <c r="X455" s="277">
        <v>0.84</v>
      </c>
      <c r="Y455" s="277">
        <v>0.84</v>
      </c>
      <c r="Z455" s="277">
        <v>0.84</v>
      </c>
      <c r="AA455" s="277">
        <v>0.84</v>
      </c>
      <c r="AB455" s="277">
        <v>0.84</v>
      </c>
      <c r="AC455" s="277">
        <v>0.84</v>
      </c>
      <c r="AD455" s="277">
        <v>0.84</v>
      </c>
      <c r="AE455" s="277">
        <v>0.84</v>
      </c>
      <c r="AF455" s="277">
        <v>0.84</v>
      </c>
      <c r="AG455" s="277">
        <v>0.84</v>
      </c>
      <c r="AH455" s="277">
        <v>0.84</v>
      </c>
      <c r="AI455" s="277">
        <v>0.84</v>
      </c>
      <c r="AJ455" s="277">
        <v>0.84</v>
      </c>
      <c r="AK455" s="277">
        <v>0.84</v>
      </c>
      <c r="AL455" s="277">
        <v>0.84</v>
      </c>
      <c r="AM455" s="383">
        <f t="shared" si="22"/>
        <v>0.84</v>
      </c>
    </row>
    <row r="456" spans="1:39" x14ac:dyDescent="0.2">
      <c r="A456" s="8"/>
      <c r="B456" s="109" t="s">
        <v>90</v>
      </c>
      <c r="C456" s="108" t="s">
        <v>832</v>
      </c>
      <c r="D456" s="95" t="s">
        <v>837</v>
      </c>
      <c r="E456" s="102"/>
      <c r="F456" s="277">
        <v>0.85</v>
      </c>
      <c r="G456" s="277">
        <v>0.85</v>
      </c>
      <c r="H456" s="277">
        <v>0.85</v>
      </c>
      <c r="I456" s="277">
        <v>0.85</v>
      </c>
      <c r="J456" s="277">
        <v>0.85</v>
      </c>
      <c r="K456" s="277">
        <v>0.85</v>
      </c>
      <c r="L456" s="277">
        <v>0.85</v>
      </c>
      <c r="M456" s="277">
        <v>0.85</v>
      </c>
      <c r="N456" s="277">
        <v>0.85</v>
      </c>
      <c r="O456" s="277">
        <v>0.85</v>
      </c>
      <c r="P456" s="277">
        <v>0.85</v>
      </c>
      <c r="Q456" s="277">
        <v>0.85</v>
      </c>
      <c r="R456" s="277">
        <v>0.85</v>
      </c>
      <c r="S456" s="277">
        <v>0.85</v>
      </c>
      <c r="T456" s="277">
        <v>0.85</v>
      </c>
      <c r="U456" s="277">
        <v>0.85</v>
      </c>
      <c r="V456" s="277">
        <v>0.85</v>
      </c>
      <c r="W456" s="277">
        <v>0.85</v>
      </c>
      <c r="X456" s="277">
        <v>0.85</v>
      </c>
      <c r="Y456" s="277">
        <v>0.85</v>
      </c>
      <c r="Z456" s="277">
        <v>0.85</v>
      </c>
      <c r="AA456" s="277">
        <v>0.85</v>
      </c>
      <c r="AB456" s="277">
        <v>0.85</v>
      </c>
      <c r="AC456" s="277">
        <v>0.85</v>
      </c>
      <c r="AD456" s="277">
        <v>0.85</v>
      </c>
      <c r="AE456" s="277">
        <v>0.85</v>
      </c>
      <c r="AF456" s="277">
        <v>0.85</v>
      </c>
      <c r="AG456" s="277">
        <v>0.85</v>
      </c>
      <c r="AH456" s="277">
        <v>0.85</v>
      </c>
      <c r="AI456" s="277">
        <v>0.85</v>
      </c>
      <c r="AJ456" s="277">
        <v>0.85</v>
      </c>
      <c r="AK456" s="277">
        <v>0.85</v>
      </c>
      <c r="AL456" s="277">
        <v>0.85</v>
      </c>
      <c r="AM456" s="383">
        <f t="shared" si="22"/>
        <v>0.85000000000000042</v>
      </c>
    </row>
    <row r="457" spans="1:39" x14ac:dyDescent="0.2">
      <c r="A457" s="8"/>
      <c r="B457" s="109" t="s">
        <v>91</v>
      </c>
      <c r="C457" s="108" t="s">
        <v>832</v>
      </c>
      <c r="D457" s="95" t="s">
        <v>837</v>
      </c>
      <c r="E457" s="102"/>
      <c r="F457" s="277">
        <v>0.77</v>
      </c>
      <c r="G457" s="277">
        <v>0.77</v>
      </c>
      <c r="H457" s="277">
        <v>0.77</v>
      </c>
      <c r="I457" s="277">
        <v>0.77</v>
      </c>
      <c r="J457" s="277">
        <v>0.77</v>
      </c>
      <c r="K457" s="277">
        <v>0.77</v>
      </c>
      <c r="L457" s="277">
        <v>0.77</v>
      </c>
      <c r="M457" s="277">
        <v>0.77</v>
      </c>
      <c r="N457" s="277">
        <v>0.77</v>
      </c>
      <c r="O457" s="277">
        <v>0.77</v>
      </c>
      <c r="P457" s="277">
        <v>0.77</v>
      </c>
      <c r="Q457" s="277">
        <v>0.77</v>
      </c>
      <c r="R457" s="277">
        <v>0.77</v>
      </c>
      <c r="S457" s="277">
        <v>0.77</v>
      </c>
      <c r="T457" s="277">
        <v>0.77</v>
      </c>
      <c r="U457" s="277">
        <v>0.77</v>
      </c>
      <c r="V457" s="277">
        <v>0.77</v>
      </c>
      <c r="W457" s="277">
        <v>0.77</v>
      </c>
      <c r="X457" s="277">
        <v>0.77</v>
      </c>
      <c r="Y457" s="277">
        <v>0.77</v>
      </c>
      <c r="Z457" s="277">
        <v>0.77</v>
      </c>
      <c r="AA457" s="277">
        <v>0.77</v>
      </c>
      <c r="AB457" s="277">
        <v>0.77</v>
      </c>
      <c r="AC457" s="277">
        <v>0.77</v>
      </c>
      <c r="AD457" s="277">
        <v>0.77</v>
      </c>
      <c r="AE457" s="277">
        <v>0.77</v>
      </c>
      <c r="AF457" s="277">
        <v>0.77</v>
      </c>
      <c r="AG457" s="277">
        <v>0.77</v>
      </c>
      <c r="AH457" s="277">
        <v>0.77</v>
      </c>
      <c r="AI457" s="277">
        <v>0.77</v>
      </c>
      <c r="AJ457" s="277">
        <v>0.77</v>
      </c>
      <c r="AK457" s="277">
        <v>0.77</v>
      </c>
      <c r="AL457" s="277">
        <v>0.77</v>
      </c>
      <c r="AM457" s="383">
        <f t="shared" si="22"/>
        <v>0.76999999999999968</v>
      </c>
    </row>
    <row r="458" spans="1:39" x14ac:dyDescent="0.2">
      <c r="A458" s="8"/>
      <c r="B458" s="109" t="s">
        <v>92</v>
      </c>
      <c r="C458" s="108" t="s">
        <v>832</v>
      </c>
      <c r="D458" s="95" t="s">
        <v>837</v>
      </c>
      <c r="E458" s="102"/>
      <c r="F458" s="277">
        <v>0.79</v>
      </c>
      <c r="G458" s="277">
        <v>0.79</v>
      </c>
      <c r="H458" s="277">
        <v>0.79</v>
      </c>
      <c r="I458" s="277">
        <v>0.79</v>
      </c>
      <c r="J458" s="277">
        <v>0.79</v>
      </c>
      <c r="K458" s="277">
        <v>0.79</v>
      </c>
      <c r="L458" s="277">
        <v>0.79</v>
      </c>
      <c r="M458" s="277">
        <v>0.79</v>
      </c>
      <c r="N458" s="277">
        <v>0.79</v>
      </c>
      <c r="O458" s="277">
        <v>0.79</v>
      </c>
      <c r="P458" s="277">
        <v>0.79</v>
      </c>
      <c r="Q458" s="277">
        <v>0.79</v>
      </c>
      <c r="R458" s="277">
        <v>0.79</v>
      </c>
      <c r="S458" s="277">
        <v>0.79</v>
      </c>
      <c r="T458" s="277">
        <v>0.79</v>
      </c>
      <c r="U458" s="277">
        <v>0.79</v>
      </c>
      <c r="V458" s="277">
        <v>0.79</v>
      </c>
      <c r="W458" s="277">
        <v>0.79</v>
      </c>
      <c r="X458" s="277">
        <v>0.79</v>
      </c>
      <c r="Y458" s="277">
        <v>0.79</v>
      </c>
      <c r="Z458" s="277">
        <v>0.79</v>
      </c>
      <c r="AA458" s="277">
        <v>0.79</v>
      </c>
      <c r="AB458" s="277">
        <v>0.79</v>
      </c>
      <c r="AC458" s="277">
        <v>0.79</v>
      </c>
      <c r="AD458" s="277">
        <v>0.79</v>
      </c>
      <c r="AE458" s="277">
        <v>0.79</v>
      </c>
      <c r="AF458" s="277">
        <v>0.79</v>
      </c>
      <c r="AG458" s="277">
        <v>0.79</v>
      </c>
      <c r="AH458" s="277">
        <v>0.79</v>
      </c>
      <c r="AI458" s="277">
        <v>0.79</v>
      </c>
      <c r="AJ458" s="277">
        <v>0.79</v>
      </c>
      <c r="AK458" s="277">
        <v>0.79</v>
      </c>
      <c r="AL458" s="277">
        <v>0.79</v>
      </c>
      <c r="AM458" s="383">
        <f t="shared" si="22"/>
        <v>0.78999999999999948</v>
      </c>
    </row>
    <row r="459" spans="1:39" x14ac:dyDescent="0.2">
      <c r="A459" s="8"/>
      <c r="B459" s="109" t="s">
        <v>93</v>
      </c>
      <c r="C459" s="108" t="s">
        <v>832</v>
      </c>
      <c r="D459" s="95" t="s">
        <v>837</v>
      </c>
      <c r="E459" s="102"/>
      <c r="F459" s="277">
        <v>0.79</v>
      </c>
      <c r="G459" s="277">
        <v>0.79</v>
      </c>
      <c r="H459" s="277">
        <v>0.79</v>
      </c>
      <c r="I459" s="277">
        <v>0.79</v>
      </c>
      <c r="J459" s="277">
        <v>0.79</v>
      </c>
      <c r="K459" s="277">
        <v>0.79</v>
      </c>
      <c r="L459" s="277">
        <v>0.79</v>
      </c>
      <c r="M459" s="277">
        <v>0.79</v>
      </c>
      <c r="N459" s="277">
        <v>0.79</v>
      </c>
      <c r="O459" s="277">
        <v>0.79</v>
      </c>
      <c r="P459" s="277">
        <v>0.79</v>
      </c>
      <c r="Q459" s="277">
        <v>0.79</v>
      </c>
      <c r="R459" s="277">
        <v>0.79</v>
      </c>
      <c r="S459" s="277">
        <v>0.79</v>
      </c>
      <c r="T459" s="277">
        <v>0.79</v>
      </c>
      <c r="U459" s="277">
        <v>0.79</v>
      </c>
      <c r="V459" s="277">
        <v>0.79</v>
      </c>
      <c r="W459" s="277">
        <v>0.79</v>
      </c>
      <c r="X459" s="277">
        <v>0.79</v>
      </c>
      <c r="Y459" s="277">
        <v>0.79</v>
      </c>
      <c r="Z459" s="277">
        <v>0.79</v>
      </c>
      <c r="AA459" s="277">
        <v>0.79</v>
      </c>
      <c r="AB459" s="277">
        <v>0.79</v>
      </c>
      <c r="AC459" s="277">
        <v>0.79</v>
      </c>
      <c r="AD459" s="277">
        <v>0.79</v>
      </c>
      <c r="AE459" s="277">
        <v>0.79</v>
      </c>
      <c r="AF459" s="277">
        <v>0.79</v>
      </c>
      <c r="AG459" s="277">
        <v>0.79</v>
      </c>
      <c r="AH459" s="277">
        <v>0.79</v>
      </c>
      <c r="AI459" s="277">
        <v>0.79</v>
      </c>
      <c r="AJ459" s="277">
        <v>0.79</v>
      </c>
      <c r="AK459" s="277">
        <v>0.79</v>
      </c>
      <c r="AL459" s="277">
        <v>0.79</v>
      </c>
      <c r="AM459" s="383">
        <f t="shared" si="22"/>
        <v>0.78999999999999948</v>
      </c>
    </row>
    <row r="460" spans="1:39" x14ac:dyDescent="0.2">
      <c r="A460" s="8"/>
      <c r="B460" s="109" t="s">
        <v>94</v>
      </c>
      <c r="C460" s="108" t="s">
        <v>832</v>
      </c>
      <c r="D460" s="95" t="s">
        <v>837</v>
      </c>
      <c r="E460" s="102"/>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77"/>
      <c r="AE460" s="277"/>
      <c r="AF460" s="277"/>
      <c r="AG460" s="277"/>
      <c r="AH460" s="277"/>
      <c r="AI460" s="277"/>
      <c r="AJ460" s="277"/>
      <c r="AK460" s="277"/>
      <c r="AL460" s="277"/>
      <c r="AM460" s="107"/>
    </row>
    <row r="461" spans="1:39" x14ac:dyDescent="0.2">
      <c r="A461" s="8"/>
      <c r="B461" s="109" t="s">
        <v>95</v>
      </c>
      <c r="C461" s="108" t="s">
        <v>832</v>
      </c>
      <c r="D461" s="95" t="s">
        <v>837</v>
      </c>
      <c r="E461" s="102"/>
      <c r="F461" s="277">
        <v>0.92</v>
      </c>
      <c r="G461" s="277">
        <v>0.92</v>
      </c>
      <c r="H461" s="277">
        <v>0.92</v>
      </c>
      <c r="I461" s="277">
        <v>0.92</v>
      </c>
      <c r="J461" s="277">
        <v>0.92</v>
      </c>
      <c r="K461" s="277">
        <v>0.92</v>
      </c>
      <c r="L461" s="277">
        <v>0.92</v>
      </c>
      <c r="M461" s="277">
        <v>0.92</v>
      </c>
      <c r="N461" s="277">
        <v>0.92</v>
      </c>
      <c r="O461" s="277">
        <v>0.92</v>
      </c>
      <c r="P461" s="277">
        <v>0.92</v>
      </c>
      <c r="Q461" s="277">
        <v>0.92</v>
      </c>
      <c r="R461" s="277">
        <v>0.92</v>
      </c>
      <c r="S461" s="277">
        <v>0.92</v>
      </c>
      <c r="T461" s="277">
        <v>0.92</v>
      </c>
      <c r="U461" s="277">
        <v>0.92</v>
      </c>
      <c r="V461" s="277">
        <v>0.92</v>
      </c>
      <c r="W461" s="277">
        <v>0.92</v>
      </c>
      <c r="X461" s="277">
        <v>0.92</v>
      </c>
      <c r="Y461" s="277">
        <v>0.92</v>
      </c>
      <c r="Z461" s="277">
        <v>0.92</v>
      </c>
      <c r="AA461" s="277">
        <v>0.92</v>
      </c>
      <c r="AB461" s="277">
        <v>0.92</v>
      </c>
      <c r="AC461" s="277">
        <v>0.92</v>
      </c>
      <c r="AD461" s="277">
        <v>0.92</v>
      </c>
      <c r="AE461" s="277">
        <v>0.92</v>
      </c>
      <c r="AF461" s="277">
        <v>0.92</v>
      </c>
      <c r="AG461" s="277">
        <v>0.92</v>
      </c>
      <c r="AH461" s="277">
        <v>0.92</v>
      </c>
      <c r="AI461" s="277">
        <v>0.92</v>
      </c>
      <c r="AJ461" s="277">
        <v>0.92</v>
      </c>
      <c r="AK461" s="277">
        <v>0.92</v>
      </c>
      <c r="AL461" s="277">
        <v>0.92</v>
      </c>
      <c r="AM461" s="383">
        <f t="shared" si="22"/>
        <v>0.92000000000000082</v>
      </c>
    </row>
    <row r="462" spans="1:39" x14ac:dyDescent="0.2">
      <c r="A462" s="8"/>
      <c r="B462" s="109" t="s">
        <v>96</v>
      </c>
      <c r="C462" s="108" t="s">
        <v>832</v>
      </c>
      <c r="D462" s="95" t="s">
        <v>837</v>
      </c>
      <c r="E462" s="102"/>
      <c r="F462" s="277">
        <v>0.89</v>
      </c>
      <c r="G462" s="277">
        <v>0.89</v>
      </c>
      <c r="H462" s="277">
        <v>0.89</v>
      </c>
      <c r="I462" s="277">
        <v>0.89</v>
      </c>
      <c r="J462" s="277">
        <v>0.89</v>
      </c>
      <c r="K462" s="277">
        <v>0.89</v>
      </c>
      <c r="L462" s="277">
        <v>0.89</v>
      </c>
      <c r="M462" s="277">
        <v>0.89</v>
      </c>
      <c r="N462" s="277">
        <v>0.89</v>
      </c>
      <c r="O462" s="277">
        <v>0.89</v>
      </c>
      <c r="P462" s="277">
        <v>0.89</v>
      </c>
      <c r="Q462" s="277">
        <v>0.89</v>
      </c>
      <c r="R462" s="277">
        <v>0.89</v>
      </c>
      <c r="S462" s="277">
        <v>0.89</v>
      </c>
      <c r="T462" s="277">
        <v>0.89</v>
      </c>
      <c r="U462" s="277">
        <v>0.89</v>
      </c>
      <c r="V462" s="277">
        <v>0.89</v>
      </c>
      <c r="W462" s="277">
        <v>0.89</v>
      </c>
      <c r="X462" s="277">
        <v>0.89</v>
      </c>
      <c r="Y462" s="277">
        <v>0.89</v>
      </c>
      <c r="Z462" s="277">
        <v>0.89</v>
      </c>
      <c r="AA462" s="277">
        <v>0.89</v>
      </c>
      <c r="AB462" s="277">
        <v>0.89</v>
      </c>
      <c r="AC462" s="277">
        <v>0.89</v>
      </c>
      <c r="AD462" s="277">
        <v>0.89</v>
      </c>
      <c r="AE462" s="277">
        <v>0.89</v>
      </c>
      <c r="AF462" s="277">
        <v>0.89</v>
      </c>
      <c r="AG462" s="277">
        <v>0.89</v>
      </c>
      <c r="AH462" s="277">
        <v>0.89</v>
      </c>
      <c r="AI462" s="277">
        <v>0.89</v>
      </c>
      <c r="AJ462" s="277">
        <v>0.89</v>
      </c>
      <c r="AK462" s="277">
        <v>0.89</v>
      </c>
      <c r="AL462" s="277">
        <v>0.89</v>
      </c>
      <c r="AM462" s="383">
        <f t="shared" si="22"/>
        <v>0.89000000000000035</v>
      </c>
    </row>
    <row r="463" spans="1:39" x14ac:dyDescent="0.2">
      <c r="A463" s="8"/>
      <c r="B463" s="109" t="s">
        <v>97</v>
      </c>
      <c r="C463" s="108" t="s">
        <v>832</v>
      </c>
      <c r="D463" s="95" t="s">
        <v>837</v>
      </c>
      <c r="E463" s="102"/>
      <c r="F463" s="277">
        <v>0.85</v>
      </c>
      <c r="G463" s="277">
        <v>0.85</v>
      </c>
      <c r="H463" s="277">
        <v>0.85</v>
      </c>
      <c r="I463" s="277">
        <v>0.85</v>
      </c>
      <c r="J463" s="277">
        <v>0.85</v>
      </c>
      <c r="K463" s="277">
        <v>0.85</v>
      </c>
      <c r="L463" s="277">
        <v>0.85</v>
      </c>
      <c r="M463" s="277">
        <v>0.85</v>
      </c>
      <c r="N463" s="277">
        <v>0.85</v>
      </c>
      <c r="O463" s="277">
        <v>0.85</v>
      </c>
      <c r="P463" s="277">
        <v>0.85</v>
      </c>
      <c r="Q463" s="277">
        <v>0.85</v>
      </c>
      <c r="R463" s="277">
        <v>0.85</v>
      </c>
      <c r="S463" s="277">
        <v>0.85</v>
      </c>
      <c r="T463" s="277">
        <v>0.85</v>
      </c>
      <c r="U463" s="277">
        <v>0.85</v>
      </c>
      <c r="V463" s="277">
        <v>0.85</v>
      </c>
      <c r="W463" s="277">
        <v>0.85</v>
      </c>
      <c r="X463" s="277">
        <v>0.85</v>
      </c>
      <c r="Y463" s="277">
        <v>0.85</v>
      </c>
      <c r="Z463" s="277">
        <v>0.85</v>
      </c>
      <c r="AA463" s="277">
        <v>0.85</v>
      </c>
      <c r="AB463" s="277">
        <v>0.85</v>
      </c>
      <c r="AC463" s="277">
        <v>0.85</v>
      </c>
      <c r="AD463" s="277">
        <v>0.85</v>
      </c>
      <c r="AE463" s="277">
        <v>0.85</v>
      </c>
      <c r="AF463" s="277">
        <v>0.85</v>
      </c>
      <c r="AG463" s="277">
        <v>0.85</v>
      </c>
      <c r="AH463" s="277">
        <v>0.85</v>
      </c>
      <c r="AI463" s="277">
        <v>0.85</v>
      </c>
      <c r="AJ463" s="277">
        <v>0.85</v>
      </c>
      <c r="AK463" s="277">
        <v>0.85</v>
      </c>
      <c r="AL463" s="277">
        <v>0.85</v>
      </c>
      <c r="AM463" s="383">
        <f t="shared" si="22"/>
        <v>0.85000000000000042</v>
      </c>
    </row>
    <row r="464" spans="1:39" x14ac:dyDescent="0.2">
      <c r="A464" s="8"/>
      <c r="B464" s="109" t="s">
        <v>98</v>
      </c>
      <c r="C464" s="108" t="s">
        <v>832</v>
      </c>
      <c r="D464" s="95" t="s">
        <v>837</v>
      </c>
      <c r="E464" s="102"/>
      <c r="F464" s="277">
        <v>0.89</v>
      </c>
      <c r="G464" s="277">
        <v>0.89</v>
      </c>
      <c r="H464" s="277">
        <v>0.89</v>
      </c>
      <c r="I464" s="277">
        <v>0.89</v>
      </c>
      <c r="J464" s="277">
        <v>0.89</v>
      </c>
      <c r="K464" s="277">
        <v>0.89</v>
      </c>
      <c r="L464" s="277">
        <v>0.89</v>
      </c>
      <c r="M464" s="277">
        <v>0.89</v>
      </c>
      <c r="N464" s="277">
        <v>0.89</v>
      </c>
      <c r="O464" s="277">
        <v>0.89</v>
      </c>
      <c r="P464" s="277">
        <v>0.89</v>
      </c>
      <c r="Q464" s="277">
        <v>0.89</v>
      </c>
      <c r="R464" s="277">
        <v>0.89</v>
      </c>
      <c r="S464" s="277">
        <v>0.89</v>
      </c>
      <c r="T464" s="277">
        <v>0.89</v>
      </c>
      <c r="U464" s="277">
        <v>0.89</v>
      </c>
      <c r="V464" s="277">
        <v>0.89</v>
      </c>
      <c r="W464" s="277">
        <v>0.89</v>
      </c>
      <c r="X464" s="277">
        <v>0.89</v>
      </c>
      <c r="Y464" s="277">
        <v>0.89</v>
      </c>
      <c r="Z464" s="277">
        <v>0.89</v>
      </c>
      <c r="AA464" s="277">
        <v>0.89</v>
      </c>
      <c r="AB464" s="277">
        <v>0.89</v>
      </c>
      <c r="AC464" s="277">
        <v>0.89</v>
      </c>
      <c r="AD464" s="277">
        <v>0.89</v>
      </c>
      <c r="AE464" s="277">
        <v>0.89</v>
      </c>
      <c r="AF464" s="277">
        <v>0.89</v>
      </c>
      <c r="AG464" s="277">
        <v>0.89</v>
      </c>
      <c r="AH464" s="277">
        <v>0.89</v>
      </c>
      <c r="AI464" s="277">
        <v>0.89</v>
      </c>
      <c r="AJ464" s="277">
        <v>0.89</v>
      </c>
      <c r="AK464" s="277">
        <v>0.89</v>
      </c>
      <c r="AL464" s="277">
        <v>0.89</v>
      </c>
      <c r="AM464" s="383">
        <f t="shared" si="22"/>
        <v>0.89000000000000035</v>
      </c>
    </row>
    <row r="465" spans="1:39" x14ac:dyDescent="0.2">
      <c r="A465" s="8"/>
      <c r="B465" s="109" t="s">
        <v>99</v>
      </c>
      <c r="C465" s="108" t="s">
        <v>832</v>
      </c>
      <c r="D465" s="95" t="s">
        <v>837</v>
      </c>
      <c r="E465" s="102"/>
      <c r="F465" s="277">
        <v>0.7</v>
      </c>
      <c r="G465" s="277">
        <v>0.7</v>
      </c>
      <c r="H465" s="277">
        <v>0.7</v>
      </c>
      <c r="I465" s="277">
        <v>0.7</v>
      </c>
      <c r="J465" s="277">
        <v>0.7</v>
      </c>
      <c r="K465" s="277">
        <v>0.7</v>
      </c>
      <c r="L465" s="277">
        <v>0.7</v>
      </c>
      <c r="M465" s="277">
        <v>0.7</v>
      </c>
      <c r="N465" s="277">
        <v>0.7</v>
      </c>
      <c r="O465" s="277">
        <v>0.7</v>
      </c>
      <c r="P465" s="277">
        <v>0.7</v>
      </c>
      <c r="Q465" s="277">
        <v>0.7</v>
      </c>
      <c r="R465" s="277">
        <v>0.7</v>
      </c>
      <c r="S465" s="277">
        <v>0.7</v>
      </c>
      <c r="T465" s="277">
        <v>0.7</v>
      </c>
      <c r="U465" s="277">
        <v>0.7</v>
      </c>
      <c r="V465" s="277">
        <v>0.7</v>
      </c>
      <c r="W465" s="277">
        <v>0.7</v>
      </c>
      <c r="X465" s="277">
        <v>0.7</v>
      </c>
      <c r="Y465" s="277">
        <v>0.7</v>
      </c>
      <c r="Z465" s="277">
        <v>0.7</v>
      </c>
      <c r="AA465" s="277">
        <v>0.7</v>
      </c>
      <c r="AB465" s="277">
        <v>0.7</v>
      </c>
      <c r="AC465" s="277">
        <v>0.7</v>
      </c>
      <c r="AD465" s="277">
        <v>0.7</v>
      </c>
      <c r="AE465" s="277">
        <v>0.7</v>
      </c>
      <c r="AF465" s="277">
        <v>0.7</v>
      </c>
      <c r="AG465" s="277">
        <v>0.7</v>
      </c>
      <c r="AH465" s="277">
        <v>0.7</v>
      </c>
      <c r="AI465" s="277">
        <v>0.7</v>
      </c>
      <c r="AJ465" s="277">
        <v>0.7</v>
      </c>
      <c r="AK465" s="277">
        <v>0.7</v>
      </c>
      <c r="AL465" s="277">
        <v>0.7</v>
      </c>
      <c r="AM465" s="383">
        <f t="shared" si="22"/>
        <v>0.69999999999999962</v>
      </c>
    </row>
    <row r="466" spans="1:39" x14ac:dyDescent="0.2">
      <c r="A466" s="8"/>
      <c r="B466" s="109" t="s">
        <v>100</v>
      </c>
      <c r="C466" s="108" t="s">
        <v>832</v>
      </c>
      <c r="D466" s="95" t="s">
        <v>837</v>
      </c>
      <c r="E466" s="102"/>
      <c r="F466" s="277">
        <v>0.68</v>
      </c>
      <c r="G466" s="277">
        <v>0.68</v>
      </c>
      <c r="H466" s="277">
        <v>0.68</v>
      </c>
      <c r="I466" s="277">
        <v>0.68</v>
      </c>
      <c r="J466" s="277">
        <v>0.68</v>
      </c>
      <c r="K466" s="277">
        <v>0.68</v>
      </c>
      <c r="L466" s="277">
        <v>0.68</v>
      </c>
      <c r="M466" s="277">
        <v>0.68</v>
      </c>
      <c r="N466" s="277">
        <v>0.68</v>
      </c>
      <c r="O466" s="277">
        <v>0.68</v>
      </c>
      <c r="P466" s="277">
        <v>0.68</v>
      </c>
      <c r="Q466" s="277">
        <v>0.68</v>
      </c>
      <c r="R466" s="277">
        <v>0.68</v>
      </c>
      <c r="S466" s="277">
        <v>0.68</v>
      </c>
      <c r="T466" s="277">
        <v>0.68</v>
      </c>
      <c r="U466" s="277">
        <v>0.68</v>
      </c>
      <c r="V466" s="277">
        <v>0.68</v>
      </c>
      <c r="W466" s="277">
        <v>0.68</v>
      </c>
      <c r="X466" s="277">
        <v>0.68</v>
      </c>
      <c r="Y466" s="277">
        <v>0.68</v>
      </c>
      <c r="Z466" s="277">
        <v>0.68</v>
      </c>
      <c r="AA466" s="277">
        <v>0.68</v>
      </c>
      <c r="AB466" s="277">
        <v>0.68</v>
      </c>
      <c r="AC466" s="277">
        <v>0.68</v>
      </c>
      <c r="AD466" s="277">
        <v>0.68</v>
      </c>
      <c r="AE466" s="277">
        <v>0.68</v>
      </c>
      <c r="AF466" s="277">
        <v>0.68</v>
      </c>
      <c r="AG466" s="277">
        <v>0.68</v>
      </c>
      <c r="AH466" s="277">
        <v>0.68</v>
      </c>
      <c r="AI466" s="277">
        <v>0.68</v>
      </c>
      <c r="AJ466" s="277">
        <v>0.68</v>
      </c>
      <c r="AK466" s="277">
        <v>0.68</v>
      </c>
      <c r="AL466" s="277">
        <v>0.68</v>
      </c>
      <c r="AM466" s="383">
        <f t="shared" si="22"/>
        <v>0.67999999999999983</v>
      </c>
    </row>
    <row r="467" spans="1:39" x14ac:dyDescent="0.2">
      <c r="A467" s="8"/>
      <c r="B467" s="109" t="s">
        <v>101</v>
      </c>
      <c r="C467" s="108" t="s">
        <v>832</v>
      </c>
      <c r="D467" s="95" t="s">
        <v>837</v>
      </c>
      <c r="E467" s="102"/>
      <c r="F467" s="277">
        <v>0.69</v>
      </c>
      <c r="G467" s="277">
        <v>0.69</v>
      </c>
      <c r="H467" s="277">
        <v>0.69</v>
      </c>
      <c r="I467" s="277">
        <v>0.69</v>
      </c>
      <c r="J467" s="277">
        <v>0.69</v>
      </c>
      <c r="K467" s="277">
        <v>0.69</v>
      </c>
      <c r="L467" s="277">
        <v>0.69</v>
      </c>
      <c r="M467" s="277">
        <v>0.69</v>
      </c>
      <c r="N467" s="277">
        <v>0.69</v>
      </c>
      <c r="O467" s="277">
        <v>0.69</v>
      </c>
      <c r="P467" s="277">
        <v>0.69</v>
      </c>
      <c r="Q467" s="277">
        <v>0.69</v>
      </c>
      <c r="R467" s="277">
        <v>0.69</v>
      </c>
      <c r="S467" s="277">
        <v>0.69</v>
      </c>
      <c r="T467" s="277">
        <v>0.69</v>
      </c>
      <c r="U467" s="277">
        <v>0.69</v>
      </c>
      <c r="V467" s="277">
        <v>0.69</v>
      </c>
      <c r="W467" s="277">
        <v>0.69</v>
      </c>
      <c r="X467" s="277">
        <v>0.69</v>
      </c>
      <c r="Y467" s="277">
        <v>0.69</v>
      </c>
      <c r="Z467" s="277">
        <v>0.69</v>
      </c>
      <c r="AA467" s="277">
        <v>0.69</v>
      </c>
      <c r="AB467" s="277">
        <v>0.69</v>
      </c>
      <c r="AC467" s="277">
        <v>0.69</v>
      </c>
      <c r="AD467" s="277">
        <v>0.69</v>
      </c>
      <c r="AE467" s="277">
        <v>0.69</v>
      </c>
      <c r="AF467" s="277">
        <v>0.69</v>
      </c>
      <c r="AG467" s="277">
        <v>0.69</v>
      </c>
      <c r="AH467" s="277">
        <v>0.69</v>
      </c>
      <c r="AI467" s="277">
        <v>0.69</v>
      </c>
      <c r="AJ467" s="277">
        <v>0.69</v>
      </c>
      <c r="AK467" s="277">
        <v>0.69</v>
      </c>
      <c r="AL467" s="277">
        <v>0.69</v>
      </c>
      <c r="AM467" s="383">
        <f t="shared" si="22"/>
        <v>0.69000000000000006</v>
      </c>
    </row>
    <row r="468" spans="1:39" x14ac:dyDescent="0.2">
      <c r="A468" s="8"/>
      <c r="B468" s="109" t="s">
        <v>102</v>
      </c>
      <c r="C468" s="108" t="s">
        <v>832</v>
      </c>
      <c r="D468" s="95" t="s">
        <v>837</v>
      </c>
      <c r="E468" s="102"/>
      <c r="F468" s="277">
        <v>0.76</v>
      </c>
      <c r="G468" s="277">
        <v>0.76</v>
      </c>
      <c r="H468" s="277">
        <v>0.76</v>
      </c>
      <c r="I468" s="277">
        <v>0.76</v>
      </c>
      <c r="J468" s="277">
        <v>0.76</v>
      </c>
      <c r="K468" s="277">
        <v>0.76</v>
      </c>
      <c r="L468" s="277">
        <v>0.76</v>
      </c>
      <c r="M468" s="277">
        <v>0.76</v>
      </c>
      <c r="N468" s="277">
        <v>0.76</v>
      </c>
      <c r="O468" s="277">
        <v>0.76</v>
      </c>
      <c r="P468" s="277">
        <v>0.76</v>
      </c>
      <c r="Q468" s="277">
        <v>0.76</v>
      </c>
      <c r="R468" s="277">
        <v>0.76</v>
      </c>
      <c r="S468" s="277">
        <v>0.76</v>
      </c>
      <c r="T468" s="277">
        <v>0.76</v>
      </c>
      <c r="U468" s="277">
        <v>0.76</v>
      </c>
      <c r="V468" s="277">
        <v>0.76</v>
      </c>
      <c r="W468" s="277">
        <v>0.76</v>
      </c>
      <c r="X468" s="277">
        <v>0.76</v>
      </c>
      <c r="Y468" s="277">
        <v>0.76</v>
      </c>
      <c r="Z468" s="277">
        <v>0.76</v>
      </c>
      <c r="AA468" s="277">
        <v>0.76</v>
      </c>
      <c r="AB468" s="277">
        <v>0.76</v>
      </c>
      <c r="AC468" s="277">
        <v>0.76</v>
      </c>
      <c r="AD468" s="277">
        <v>0.76</v>
      </c>
      <c r="AE468" s="277">
        <v>0.76</v>
      </c>
      <c r="AF468" s="277">
        <v>0.76</v>
      </c>
      <c r="AG468" s="277">
        <v>0.76</v>
      </c>
      <c r="AH468" s="277">
        <v>0.76</v>
      </c>
      <c r="AI468" s="277">
        <v>0.76</v>
      </c>
      <c r="AJ468" s="277">
        <v>0.76</v>
      </c>
      <c r="AK468" s="277">
        <v>0.76</v>
      </c>
      <c r="AL468" s="277">
        <v>0.76</v>
      </c>
      <c r="AM468" s="383">
        <f t="shared" si="22"/>
        <v>0.76000000000000045</v>
      </c>
    </row>
    <row r="469" spans="1:39" x14ac:dyDescent="0.2">
      <c r="A469" s="8"/>
      <c r="B469" s="109" t="s">
        <v>103</v>
      </c>
      <c r="C469" s="108" t="s">
        <v>832</v>
      </c>
      <c r="D469" s="95" t="s">
        <v>837</v>
      </c>
      <c r="E469" s="102"/>
      <c r="F469" s="277">
        <v>0.76</v>
      </c>
      <c r="G469" s="277">
        <v>0.76</v>
      </c>
      <c r="H469" s="277">
        <v>0.76</v>
      </c>
      <c r="I469" s="277">
        <v>0.76</v>
      </c>
      <c r="J469" s="277">
        <v>0.76</v>
      </c>
      <c r="K469" s="277">
        <v>0.76</v>
      </c>
      <c r="L469" s="277">
        <v>0.76</v>
      </c>
      <c r="M469" s="277">
        <v>0.76</v>
      </c>
      <c r="N469" s="277">
        <v>0.76</v>
      </c>
      <c r="O469" s="277">
        <v>0.76</v>
      </c>
      <c r="P469" s="277">
        <v>0.76</v>
      </c>
      <c r="Q469" s="277">
        <v>0.76</v>
      </c>
      <c r="R469" s="277">
        <v>0.76</v>
      </c>
      <c r="S469" s="277">
        <v>0.76</v>
      </c>
      <c r="T469" s="277">
        <v>0.76</v>
      </c>
      <c r="U469" s="277">
        <v>0.76</v>
      </c>
      <c r="V469" s="277">
        <v>0.76</v>
      </c>
      <c r="W469" s="277">
        <v>0.76</v>
      </c>
      <c r="X469" s="277">
        <v>0.76</v>
      </c>
      <c r="Y469" s="277">
        <v>0.76</v>
      </c>
      <c r="Z469" s="277">
        <v>0.76</v>
      </c>
      <c r="AA469" s="277">
        <v>0.76</v>
      </c>
      <c r="AB469" s="277">
        <v>0.76</v>
      </c>
      <c r="AC469" s="277">
        <v>0.76</v>
      </c>
      <c r="AD469" s="277">
        <v>0.76</v>
      </c>
      <c r="AE469" s="277">
        <v>0.76</v>
      </c>
      <c r="AF469" s="277">
        <v>0.76</v>
      </c>
      <c r="AG469" s="277">
        <v>0.76</v>
      </c>
      <c r="AH469" s="277">
        <v>0.76</v>
      </c>
      <c r="AI469" s="277">
        <v>0.76</v>
      </c>
      <c r="AJ469" s="277">
        <v>0.76</v>
      </c>
      <c r="AK469" s="277">
        <v>0.76</v>
      </c>
      <c r="AL469" s="277">
        <v>0.76</v>
      </c>
      <c r="AM469" s="383">
        <f t="shared" si="22"/>
        <v>0.76000000000000045</v>
      </c>
    </row>
    <row r="470" spans="1:39" x14ac:dyDescent="0.2">
      <c r="A470" s="8"/>
      <c r="B470" s="109" t="s">
        <v>104</v>
      </c>
      <c r="C470" s="108" t="s">
        <v>832</v>
      </c>
      <c r="D470" s="95" t="s">
        <v>837</v>
      </c>
      <c r="E470" s="102"/>
      <c r="F470" s="277">
        <v>0.76</v>
      </c>
      <c r="G470" s="277">
        <v>0.76</v>
      </c>
      <c r="H470" s="277">
        <v>0.76</v>
      </c>
      <c r="I470" s="277">
        <v>0.76</v>
      </c>
      <c r="J470" s="277">
        <v>0.76</v>
      </c>
      <c r="K470" s="277">
        <v>0.76</v>
      </c>
      <c r="L470" s="277">
        <v>0.76</v>
      </c>
      <c r="M470" s="277">
        <v>0.76</v>
      </c>
      <c r="N470" s="277">
        <v>0.76</v>
      </c>
      <c r="O470" s="277">
        <v>0.76</v>
      </c>
      <c r="P470" s="277">
        <v>0.76</v>
      </c>
      <c r="Q470" s="277">
        <v>0.76</v>
      </c>
      <c r="R470" s="277">
        <v>0.76</v>
      </c>
      <c r="S470" s="277">
        <v>0.76</v>
      </c>
      <c r="T470" s="277">
        <v>0.76</v>
      </c>
      <c r="U470" s="277">
        <v>0.76</v>
      </c>
      <c r="V470" s="277">
        <v>0.76</v>
      </c>
      <c r="W470" s="277">
        <v>0.76</v>
      </c>
      <c r="X470" s="277">
        <v>0.76</v>
      </c>
      <c r="Y470" s="277">
        <v>0.76</v>
      </c>
      <c r="Z470" s="277">
        <v>0.76</v>
      </c>
      <c r="AA470" s="277">
        <v>0.76</v>
      </c>
      <c r="AB470" s="277">
        <v>0.76</v>
      </c>
      <c r="AC470" s="277">
        <v>0.76</v>
      </c>
      <c r="AD470" s="277">
        <v>0.76</v>
      </c>
      <c r="AE470" s="277">
        <v>0.76</v>
      </c>
      <c r="AF470" s="277">
        <v>0.76</v>
      </c>
      <c r="AG470" s="277">
        <v>0.76</v>
      </c>
      <c r="AH470" s="277">
        <v>0.76</v>
      </c>
      <c r="AI470" s="277">
        <v>0.76</v>
      </c>
      <c r="AJ470" s="277">
        <v>0.76</v>
      </c>
      <c r="AK470" s="277">
        <v>0.76</v>
      </c>
      <c r="AL470" s="277">
        <v>0.76</v>
      </c>
      <c r="AM470" s="383">
        <f t="shared" si="22"/>
        <v>0.76000000000000045</v>
      </c>
    </row>
    <row r="471" spans="1:39" x14ac:dyDescent="0.2">
      <c r="A471" s="8"/>
      <c r="B471" s="109" t="s">
        <v>105</v>
      </c>
      <c r="C471" s="108" t="s">
        <v>832</v>
      </c>
      <c r="D471" s="95" t="s">
        <v>837</v>
      </c>
      <c r="E471" s="102"/>
      <c r="F471" s="277">
        <v>0.69</v>
      </c>
      <c r="G471" s="277">
        <v>0.69</v>
      </c>
      <c r="H471" s="277">
        <v>0.69</v>
      </c>
      <c r="I471" s="277">
        <v>0.69</v>
      </c>
      <c r="J471" s="277">
        <v>0.69</v>
      </c>
      <c r="K471" s="277">
        <v>0.69</v>
      </c>
      <c r="L471" s="277">
        <v>0.69</v>
      </c>
      <c r="M471" s="277">
        <v>0.69</v>
      </c>
      <c r="N471" s="277">
        <v>0.69</v>
      </c>
      <c r="O471" s="277">
        <v>0.69</v>
      </c>
      <c r="P471" s="277">
        <v>0.69</v>
      </c>
      <c r="Q471" s="277">
        <v>0.69</v>
      </c>
      <c r="R471" s="277">
        <v>0.69</v>
      </c>
      <c r="S471" s="277">
        <v>0.69</v>
      </c>
      <c r="T471" s="277">
        <v>0.69</v>
      </c>
      <c r="U471" s="277">
        <v>0.69</v>
      </c>
      <c r="V471" s="277">
        <v>0.69</v>
      </c>
      <c r="W471" s="277">
        <v>0.69</v>
      </c>
      <c r="X471" s="277">
        <v>0.69</v>
      </c>
      <c r="Y471" s="277">
        <v>0.69</v>
      </c>
      <c r="Z471" s="277">
        <v>0.69</v>
      </c>
      <c r="AA471" s="277">
        <v>0.69</v>
      </c>
      <c r="AB471" s="277">
        <v>0.69</v>
      </c>
      <c r="AC471" s="277">
        <v>0.69</v>
      </c>
      <c r="AD471" s="277">
        <v>0.69</v>
      </c>
      <c r="AE471" s="277">
        <v>0.69</v>
      </c>
      <c r="AF471" s="277">
        <v>0.69</v>
      </c>
      <c r="AG471" s="277">
        <v>0.69</v>
      </c>
      <c r="AH471" s="277">
        <v>0.69</v>
      </c>
      <c r="AI471" s="277">
        <v>0.69</v>
      </c>
      <c r="AJ471" s="277">
        <v>0.69</v>
      </c>
      <c r="AK471" s="277">
        <v>0.69</v>
      </c>
      <c r="AL471" s="277">
        <v>0.69</v>
      </c>
      <c r="AM471" s="383">
        <f t="shared" si="22"/>
        <v>0.69000000000000006</v>
      </c>
    </row>
    <row r="472" spans="1:39" x14ac:dyDescent="0.2">
      <c r="A472" s="8"/>
      <c r="B472" s="109" t="s">
        <v>106</v>
      </c>
      <c r="C472" s="108" t="s">
        <v>832</v>
      </c>
      <c r="D472" s="95" t="s">
        <v>837</v>
      </c>
      <c r="E472" s="102"/>
      <c r="F472" s="277">
        <v>0.69</v>
      </c>
      <c r="G472" s="277">
        <v>0.69</v>
      </c>
      <c r="H472" s="277">
        <v>0.69</v>
      </c>
      <c r="I472" s="277">
        <v>0.69</v>
      </c>
      <c r="J472" s="277">
        <v>0.69</v>
      </c>
      <c r="K472" s="277">
        <v>0.69</v>
      </c>
      <c r="L472" s="277">
        <v>0.69</v>
      </c>
      <c r="M472" s="277">
        <v>0.69</v>
      </c>
      <c r="N472" s="277">
        <v>0.69</v>
      </c>
      <c r="O472" s="277">
        <v>0.69</v>
      </c>
      <c r="P472" s="277">
        <v>0.69</v>
      </c>
      <c r="Q472" s="277">
        <v>0.69</v>
      </c>
      <c r="R472" s="277">
        <v>0.69</v>
      </c>
      <c r="S472" s="277">
        <v>0.69</v>
      </c>
      <c r="T472" s="277">
        <v>0.69</v>
      </c>
      <c r="U472" s="277">
        <v>0.69</v>
      </c>
      <c r="V472" s="277">
        <v>0.69</v>
      </c>
      <c r="W472" s="277">
        <v>0.69</v>
      </c>
      <c r="X472" s="277">
        <v>0.69</v>
      </c>
      <c r="Y472" s="277">
        <v>0.69</v>
      </c>
      <c r="Z472" s="277">
        <v>0.69</v>
      </c>
      <c r="AA472" s="277">
        <v>0.69</v>
      </c>
      <c r="AB472" s="277">
        <v>0.69</v>
      </c>
      <c r="AC472" s="277">
        <v>0.69</v>
      </c>
      <c r="AD472" s="277">
        <v>0.69</v>
      </c>
      <c r="AE472" s="277">
        <v>0.69</v>
      </c>
      <c r="AF472" s="277">
        <v>0.69</v>
      </c>
      <c r="AG472" s="277">
        <v>0.69</v>
      </c>
      <c r="AH472" s="277">
        <v>0.69</v>
      </c>
      <c r="AI472" s="277">
        <v>0.69</v>
      </c>
      <c r="AJ472" s="277">
        <v>0.69</v>
      </c>
      <c r="AK472" s="277">
        <v>0.69</v>
      </c>
      <c r="AL472" s="277">
        <v>0.69</v>
      </c>
      <c r="AM472" s="383">
        <f t="shared" si="22"/>
        <v>0.69000000000000006</v>
      </c>
    </row>
    <row r="473" spans="1:39" x14ac:dyDescent="0.2">
      <c r="A473" s="8"/>
      <c r="B473" s="109" t="s">
        <v>107</v>
      </c>
      <c r="C473" s="108" t="s">
        <v>832</v>
      </c>
      <c r="D473" s="95" t="s">
        <v>837</v>
      </c>
      <c r="E473" s="102"/>
      <c r="F473" s="277">
        <v>0.69</v>
      </c>
      <c r="G473" s="277">
        <v>0.69</v>
      </c>
      <c r="H473" s="277">
        <v>0.69</v>
      </c>
      <c r="I473" s="277">
        <v>0.69</v>
      </c>
      <c r="J473" s="277">
        <v>0.69</v>
      </c>
      <c r="K473" s="277">
        <v>0.69</v>
      </c>
      <c r="L473" s="277">
        <v>0.69</v>
      </c>
      <c r="M473" s="277">
        <v>0.69</v>
      </c>
      <c r="N473" s="277">
        <v>0.69</v>
      </c>
      <c r="O473" s="277">
        <v>0.69</v>
      </c>
      <c r="P473" s="277">
        <v>0.69</v>
      </c>
      <c r="Q473" s="277">
        <v>0.69</v>
      </c>
      <c r="R473" s="277">
        <v>0.69</v>
      </c>
      <c r="S473" s="277">
        <v>0.69</v>
      </c>
      <c r="T473" s="277">
        <v>0.69</v>
      </c>
      <c r="U473" s="277">
        <v>0.69</v>
      </c>
      <c r="V473" s="277">
        <v>0.69</v>
      </c>
      <c r="W473" s="277">
        <v>0.69</v>
      </c>
      <c r="X473" s="277">
        <v>0.69</v>
      </c>
      <c r="Y473" s="277">
        <v>0.69</v>
      </c>
      <c r="Z473" s="277">
        <v>0.69</v>
      </c>
      <c r="AA473" s="277">
        <v>0.69</v>
      </c>
      <c r="AB473" s="277">
        <v>0.69</v>
      </c>
      <c r="AC473" s="277">
        <v>0.69</v>
      </c>
      <c r="AD473" s="277">
        <v>0.69</v>
      </c>
      <c r="AE473" s="277">
        <v>0.69</v>
      </c>
      <c r="AF473" s="277">
        <v>0.69</v>
      </c>
      <c r="AG473" s="277">
        <v>0.69</v>
      </c>
      <c r="AH473" s="277">
        <v>0.69</v>
      </c>
      <c r="AI473" s="277">
        <v>0.69</v>
      </c>
      <c r="AJ473" s="277">
        <v>0.69</v>
      </c>
      <c r="AK473" s="277">
        <v>0.69</v>
      </c>
      <c r="AL473" s="277">
        <v>0.69</v>
      </c>
      <c r="AM473" s="383">
        <f t="shared" si="22"/>
        <v>0.69000000000000006</v>
      </c>
    </row>
    <row r="474" spans="1:39" x14ac:dyDescent="0.2">
      <c r="A474" s="8"/>
      <c r="B474" s="109" t="s">
        <v>108</v>
      </c>
      <c r="C474" s="108" t="s">
        <v>832</v>
      </c>
      <c r="D474" s="95" t="s">
        <v>837</v>
      </c>
      <c r="E474" s="102"/>
      <c r="F474" s="277">
        <v>0.69</v>
      </c>
      <c r="G474" s="277">
        <v>0.69</v>
      </c>
      <c r="H474" s="277">
        <v>0.69</v>
      </c>
      <c r="I474" s="277">
        <v>0.69</v>
      </c>
      <c r="J474" s="277">
        <v>0.69</v>
      </c>
      <c r="K474" s="277">
        <v>0.69</v>
      </c>
      <c r="L474" s="277">
        <v>0.69</v>
      </c>
      <c r="M474" s="277">
        <v>0.69</v>
      </c>
      <c r="N474" s="277">
        <v>0.69</v>
      </c>
      <c r="O474" s="277">
        <v>0.69</v>
      </c>
      <c r="P474" s="277">
        <v>0.69</v>
      </c>
      <c r="Q474" s="277">
        <v>0.69</v>
      </c>
      <c r="R474" s="277">
        <v>0.69</v>
      </c>
      <c r="S474" s="277">
        <v>0.69</v>
      </c>
      <c r="T474" s="277">
        <v>0.69</v>
      </c>
      <c r="U474" s="277">
        <v>0.69</v>
      </c>
      <c r="V474" s="277">
        <v>0.69</v>
      </c>
      <c r="W474" s="277">
        <v>0.69</v>
      </c>
      <c r="X474" s="277">
        <v>0.69</v>
      </c>
      <c r="Y474" s="277">
        <v>0.69</v>
      </c>
      <c r="Z474" s="277">
        <v>0.69</v>
      </c>
      <c r="AA474" s="277">
        <v>0.69</v>
      </c>
      <c r="AB474" s="277">
        <v>0.69</v>
      </c>
      <c r="AC474" s="277">
        <v>0.69</v>
      </c>
      <c r="AD474" s="277">
        <v>0.69</v>
      </c>
      <c r="AE474" s="277">
        <v>0.69</v>
      </c>
      <c r="AF474" s="277">
        <v>0.69</v>
      </c>
      <c r="AG474" s="277">
        <v>0.69</v>
      </c>
      <c r="AH474" s="277">
        <v>0.69</v>
      </c>
      <c r="AI474" s="277">
        <v>0.69</v>
      </c>
      <c r="AJ474" s="277">
        <v>0.69</v>
      </c>
      <c r="AK474" s="277">
        <v>0.69</v>
      </c>
      <c r="AL474" s="277">
        <v>0.69</v>
      </c>
      <c r="AM474" s="383">
        <f t="shared" si="22"/>
        <v>0.69000000000000006</v>
      </c>
    </row>
    <row r="475" spans="1:39" x14ac:dyDescent="0.2">
      <c r="A475" s="8"/>
      <c r="B475" s="109" t="s">
        <v>109</v>
      </c>
      <c r="C475" s="108" t="s">
        <v>832</v>
      </c>
      <c r="D475" s="95" t="s">
        <v>837</v>
      </c>
      <c r="E475" s="102"/>
      <c r="F475" s="277">
        <v>0.69</v>
      </c>
      <c r="G475" s="277">
        <v>0.69</v>
      </c>
      <c r="H475" s="277">
        <v>0.69</v>
      </c>
      <c r="I475" s="277">
        <v>0.69</v>
      </c>
      <c r="J475" s="277">
        <v>0.69</v>
      </c>
      <c r="K475" s="277">
        <v>0.69</v>
      </c>
      <c r="L475" s="277">
        <v>0.69</v>
      </c>
      <c r="M475" s="277">
        <v>0.69</v>
      </c>
      <c r="N475" s="277">
        <v>0.69</v>
      </c>
      <c r="O475" s="277">
        <v>0.69</v>
      </c>
      <c r="P475" s="277">
        <v>0.69</v>
      </c>
      <c r="Q475" s="277">
        <v>0.69</v>
      </c>
      <c r="R475" s="277">
        <v>0.69</v>
      </c>
      <c r="S475" s="277">
        <v>0.69</v>
      </c>
      <c r="T475" s="277">
        <v>0.69</v>
      </c>
      <c r="U475" s="277">
        <v>0.69</v>
      </c>
      <c r="V475" s="277">
        <v>0.69</v>
      </c>
      <c r="W475" s="277">
        <v>0.69</v>
      </c>
      <c r="X475" s="277">
        <v>0.69</v>
      </c>
      <c r="Y475" s="277">
        <v>0.69</v>
      </c>
      <c r="Z475" s="277">
        <v>0.69</v>
      </c>
      <c r="AA475" s="277">
        <v>0.69</v>
      </c>
      <c r="AB475" s="277">
        <v>0.69</v>
      </c>
      <c r="AC475" s="277">
        <v>0.69</v>
      </c>
      <c r="AD475" s="277">
        <v>0.69</v>
      </c>
      <c r="AE475" s="277">
        <v>0.69</v>
      </c>
      <c r="AF475" s="277">
        <v>0.69</v>
      </c>
      <c r="AG475" s="277">
        <v>0.69</v>
      </c>
      <c r="AH475" s="277">
        <v>0.69</v>
      </c>
      <c r="AI475" s="277">
        <v>0.69</v>
      </c>
      <c r="AJ475" s="277">
        <v>0.69</v>
      </c>
      <c r="AK475" s="277">
        <v>0.69</v>
      </c>
      <c r="AL475" s="277">
        <v>0.69</v>
      </c>
      <c r="AM475" s="383">
        <f t="shared" si="22"/>
        <v>0.69000000000000006</v>
      </c>
    </row>
    <row r="476" spans="1:39" x14ac:dyDescent="0.2">
      <c r="A476" s="8"/>
      <c r="B476" s="109" t="s">
        <v>110</v>
      </c>
      <c r="C476" s="108" t="s">
        <v>832</v>
      </c>
      <c r="D476" s="95" t="s">
        <v>837</v>
      </c>
      <c r="E476" s="102"/>
      <c r="F476" s="277">
        <v>0.76</v>
      </c>
      <c r="G476" s="277">
        <v>0.76</v>
      </c>
      <c r="H476" s="277">
        <v>0.76</v>
      </c>
      <c r="I476" s="277">
        <v>0.76</v>
      </c>
      <c r="J476" s="277">
        <v>0.76</v>
      </c>
      <c r="K476" s="277">
        <v>0.76</v>
      </c>
      <c r="L476" s="277">
        <v>0.76</v>
      </c>
      <c r="M476" s="277">
        <v>0.76</v>
      </c>
      <c r="N476" s="277">
        <v>0.76</v>
      </c>
      <c r="O476" s="277">
        <v>0.76</v>
      </c>
      <c r="P476" s="277">
        <v>0.76</v>
      </c>
      <c r="Q476" s="277">
        <v>0.76</v>
      </c>
      <c r="R476" s="277">
        <v>0.76</v>
      </c>
      <c r="S476" s="277">
        <v>0.76</v>
      </c>
      <c r="T476" s="277">
        <v>0.76</v>
      </c>
      <c r="U476" s="277">
        <v>0.76</v>
      </c>
      <c r="V476" s="277">
        <v>0.76</v>
      </c>
      <c r="W476" s="277">
        <v>0.76</v>
      </c>
      <c r="X476" s="277">
        <v>0.76</v>
      </c>
      <c r="Y476" s="277">
        <v>0.76</v>
      </c>
      <c r="Z476" s="277">
        <v>0.76</v>
      </c>
      <c r="AA476" s="277">
        <v>0.76</v>
      </c>
      <c r="AB476" s="277">
        <v>0.76</v>
      </c>
      <c r="AC476" s="277">
        <v>0.76</v>
      </c>
      <c r="AD476" s="277">
        <v>0.76</v>
      </c>
      <c r="AE476" s="277">
        <v>0.76</v>
      </c>
      <c r="AF476" s="277">
        <v>0.76</v>
      </c>
      <c r="AG476" s="277">
        <v>0.76</v>
      </c>
      <c r="AH476" s="277">
        <v>0.76</v>
      </c>
      <c r="AI476" s="277">
        <v>0.76</v>
      </c>
      <c r="AJ476" s="277">
        <v>0.76</v>
      </c>
      <c r="AK476" s="277">
        <v>0.76</v>
      </c>
      <c r="AL476" s="277">
        <v>0.76</v>
      </c>
      <c r="AM476" s="383">
        <f t="shared" si="22"/>
        <v>0.76000000000000045</v>
      </c>
    </row>
    <row r="477" spans="1:39" x14ac:dyDescent="0.2">
      <c r="A477" s="8"/>
      <c r="B477" s="109" t="s">
        <v>111</v>
      </c>
      <c r="C477" s="108" t="s">
        <v>832</v>
      </c>
      <c r="D477" s="95" t="s">
        <v>837</v>
      </c>
      <c r="E477" s="102"/>
      <c r="F477" s="277">
        <v>0.76</v>
      </c>
      <c r="G477" s="277">
        <v>0.76</v>
      </c>
      <c r="H477" s="277">
        <v>0.76</v>
      </c>
      <c r="I477" s="277">
        <v>0.76</v>
      </c>
      <c r="J477" s="277">
        <v>0.76</v>
      </c>
      <c r="K477" s="277">
        <v>0.76</v>
      </c>
      <c r="L477" s="277">
        <v>0.76</v>
      </c>
      <c r="M477" s="277">
        <v>0.76</v>
      </c>
      <c r="N477" s="277">
        <v>0.76</v>
      </c>
      <c r="O477" s="277">
        <v>0.76</v>
      </c>
      <c r="P477" s="277">
        <v>0.76</v>
      </c>
      <c r="Q477" s="277">
        <v>0.76</v>
      </c>
      <c r="R477" s="277">
        <v>0.76</v>
      </c>
      <c r="S477" s="277">
        <v>0.76</v>
      </c>
      <c r="T477" s="277">
        <v>0.76</v>
      </c>
      <c r="U477" s="277">
        <v>0.76</v>
      </c>
      <c r="V477" s="277">
        <v>0.76</v>
      </c>
      <c r="W477" s="277">
        <v>0.76</v>
      </c>
      <c r="X477" s="277">
        <v>0.76</v>
      </c>
      <c r="Y477" s="277">
        <v>0.76</v>
      </c>
      <c r="Z477" s="277">
        <v>0.76</v>
      </c>
      <c r="AA477" s="277">
        <v>0.76</v>
      </c>
      <c r="AB477" s="277">
        <v>0.76</v>
      </c>
      <c r="AC477" s="277">
        <v>0.76</v>
      </c>
      <c r="AD477" s="277">
        <v>0.76</v>
      </c>
      <c r="AE477" s="277">
        <v>0.76</v>
      </c>
      <c r="AF477" s="277">
        <v>0.76</v>
      </c>
      <c r="AG477" s="277">
        <v>0.76</v>
      </c>
      <c r="AH477" s="277">
        <v>0.76</v>
      </c>
      <c r="AI477" s="277">
        <v>0.76</v>
      </c>
      <c r="AJ477" s="277">
        <v>0.76</v>
      </c>
      <c r="AK477" s="277">
        <v>0.76</v>
      </c>
      <c r="AL477" s="277">
        <v>0.76</v>
      </c>
      <c r="AM477" s="383">
        <f t="shared" si="22"/>
        <v>0.76000000000000045</v>
      </c>
    </row>
    <row r="478" spans="1:39" x14ac:dyDescent="0.2">
      <c r="A478" s="8"/>
      <c r="B478" s="109" t="s">
        <v>112</v>
      </c>
      <c r="C478" s="108" t="s">
        <v>832</v>
      </c>
      <c r="D478" s="95" t="s">
        <v>837</v>
      </c>
      <c r="E478" s="102"/>
      <c r="F478" s="277">
        <v>0.76</v>
      </c>
      <c r="G478" s="277">
        <v>0.76</v>
      </c>
      <c r="H478" s="277">
        <v>0.76</v>
      </c>
      <c r="I478" s="277">
        <v>0.76</v>
      </c>
      <c r="J478" s="277">
        <v>0.76</v>
      </c>
      <c r="K478" s="277">
        <v>0.76</v>
      </c>
      <c r="L478" s="277">
        <v>0.76</v>
      </c>
      <c r="M478" s="277">
        <v>0.76</v>
      </c>
      <c r="N478" s="277">
        <v>0.76</v>
      </c>
      <c r="O478" s="277">
        <v>0.76</v>
      </c>
      <c r="P478" s="277">
        <v>0.76</v>
      </c>
      <c r="Q478" s="277">
        <v>0.76</v>
      </c>
      <c r="R478" s="277">
        <v>0.76</v>
      </c>
      <c r="S478" s="277">
        <v>0.76</v>
      </c>
      <c r="T478" s="277">
        <v>0.76</v>
      </c>
      <c r="U478" s="277">
        <v>0.76</v>
      </c>
      <c r="V478" s="277">
        <v>0.76</v>
      </c>
      <c r="W478" s="277">
        <v>0.76</v>
      </c>
      <c r="X478" s="277">
        <v>0.76</v>
      </c>
      <c r="Y478" s="277">
        <v>0.76</v>
      </c>
      <c r="Z478" s="277">
        <v>0.76</v>
      </c>
      <c r="AA478" s="277">
        <v>0.76</v>
      </c>
      <c r="AB478" s="277">
        <v>0.76</v>
      </c>
      <c r="AC478" s="277">
        <v>0.76</v>
      </c>
      <c r="AD478" s="277">
        <v>0.76</v>
      </c>
      <c r="AE478" s="277">
        <v>0.76</v>
      </c>
      <c r="AF478" s="277">
        <v>0.76</v>
      </c>
      <c r="AG478" s="277">
        <v>0.76</v>
      </c>
      <c r="AH478" s="277">
        <v>0.76</v>
      </c>
      <c r="AI478" s="277">
        <v>0.76</v>
      </c>
      <c r="AJ478" s="277">
        <v>0.76</v>
      </c>
      <c r="AK478" s="277">
        <v>0.76</v>
      </c>
      <c r="AL478" s="277">
        <v>0.76</v>
      </c>
      <c r="AM478" s="383">
        <f t="shared" si="22"/>
        <v>0.76000000000000045</v>
      </c>
    </row>
    <row r="479" spans="1:39" x14ac:dyDescent="0.2">
      <c r="A479" s="8"/>
      <c r="B479" s="109" t="s">
        <v>113</v>
      </c>
      <c r="C479" s="108" t="s">
        <v>832</v>
      </c>
      <c r="D479" s="95" t="s">
        <v>837</v>
      </c>
      <c r="E479" s="102"/>
      <c r="F479" s="277">
        <v>0.76</v>
      </c>
      <c r="G479" s="277">
        <v>0.76</v>
      </c>
      <c r="H479" s="277">
        <v>0.76</v>
      </c>
      <c r="I479" s="277">
        <v>0.76</v>
      </c>
      <c r="J479" s="277">
        <v>0.76</v>
      </c>
      <c r="K479" s="277">
        <v>0.76</v>
      </c>
      <c r="L479" s="277">
        <v>0.76</v>
      </c>
      <c r="M479" s="277">
        <v>0.76</v>
      </c>
      <c r="N479" s="277">
        <v>0.76</v>
      </c>
      <c r="O479" s="277">
        <v>0.76</v>
      </c>
      <c r="P479" s="277">
        <v>0.76</v>
      </c>
      <c r="Q479" s="277">
        <v>0.76</v>
      </c>
      <c r="R479" s="277">
        <v>0.76</v>
      </c>
      <c r="S479" s="277">
        <v>0.76</v>
      </c>
      <c r="T479" s="277">
        <v>0.76</v>
      </c>
      <c r="U479" s="277">
        <v>0.76</v>
      </c>
      <c r="V479" s="277">
        <v>0.76</v>
      </c>
      <c r="W479" s="277">
        <v>0.76</v>
      </c>
      <c r="X479" s="277">
        <v>0.76</v>
      </c>
      <c r="Y479" s="277">
        <v>0.76</v>
      </c>
      <c r="Z479" s="277">
        <v>0.76</v>
      </c>
      <c r="AA479" s="277">
        <v>0.76</v>
      </c>
      <c r="AB479" s="277">
        <v>0.76</v>
      </c>
      <c r="AC479" s="277">
        <v>0.76</v>
      </c>
      <c r="AD479" s="277">
        <v>0.76</v>
      </c>
      <c r="AE479" s="277">
        <v>0.76</v>
      </c>
      <c r="AF479" s="277">
        <v>0.76</v>
      </c>
      <c r="AG479" s="277">
        <v>0.76</v>
      </c>
      <c r="AH479" s="277">
        <v>0.76</v>
      </c>
      <c r="AI479" s="277">
        <v>0.76</v>
      </c>
      <c r="AJ479" s="277">
        <v>0.76</v>
      </c>
      <c r="AK479" s="277">
        <v>0.76</v>
      </c>
      <c r="AL479" s="277">
        <v>0.76</v>
      </c>
      <c r="AM479" s="383">
        <f t="shared" si="22"/>
        <v>0.76000000000000045</v>
      </c>
    </row>
    <row r="480" spans="1:39" x14ac:dyDescent="0.2">
      <c r="A480" s="8"/>
      <c r="B480" s="109" t="s">
        <v>114</v>
      </c>
      <c r="C480" s="108" t="s">
        <v>832</v>
      </c>
      <c r="D480" s="95" t="s">
        <v>837</v>
      </c>
      <c r="E480" s="102"/>
      <c r="F480" s="277">
        <v>0.76</v>
      </c>
      <c r="G480" s="277">
        <v>0.76</v>
      </c>
      <c r="H480" s="277">
        <v>0.76</v>
      </c>
      <c r="I480" s="277">
        <v>0.76</v>
      </c>
      <c r="J480" s="277">
        <v>0.76</v>
      </c>
      <c r="K480" s="277">
        <v>0.76</v>
      </c>
      <c r="L480" s="277">
        <v>0.76</v>
      </c>
      <c r="M480" s="277">
        <v>0.76</v>
      </c>
      <c r="N480" s="277">
        <v>0.76</v>
      </c>
      <c r="O480" s="277">
        <v>0.76</v>
      </c>
      <c r="P480" s="277">
        <v>0.76</v>
      </c>
      <c r="Q480" s="277">
        <v>0.76</v>
      </c>
      <c r="R480" s="277">
        <v>0.76</v>
      </c>
      <c r="S480" s="277">
        <v>0.76</v>
      </c>
      <c r="T480" s="277">
        <v>0.76</v>
      </c>
      <c r="U480" s="277">
        <v>0.76</v>
      </c>
      <c r="V480" s="277">
        <v>0.76</v>
      </c>
      <c r="W480" s="277">
        <v>0.76</v>
      </c>
      <c r="X480" s="277">
        <v>0.76</v>
      </c>
      <c r="Y480" s="277">
        <v>0.76</v>
      </c>
      <c r="Z480" s="277">
        <v>0.76</v>
      </c>
      <c r="AA480" s="277">
        <v>0.76</v>
      </c>
      <c r="AB480" s="277">
        <v>0.76</v>
      </c>
      <c r="AC480" s="277">
        <v>0.76</v>
      </c>
      <c r="AD480" s="277">
        <v>0.76</v>
      </c>
      <c r="AE480" s="277">
        <v>0.76</v>
      </c>
      <c r="AF480" s="277">
        <v>0.76</v>
      </c>
      <c r="AG480" s="277">
        <v>0.76</v>
      </c>
      <c r="AH480" s="277">
        <v>0.76</v>
      </c>
      <c r="AI480" s="277">
        <v>0.76</v>
      </c>
      <c r="AJ480" s="277">
        <v>0.76</v>
      </c>
      <c r="AK480" s="277">
        <v>0.76</v>
      </c>
      <c r="AL480" s="277">
        <v>0.76</v>
      </c>
      <c r="AM480" s="383">
        <f t="shared" si="22"/>
        <v>0.76000000000000045</v>
      </c>
    </row>
    <row r="481" spans="1:39" x14ac:dyDescent="0.2">
      <c r="A481" s="8"/>
      <c r="B481" s="109" t="s">
        <v>115</v>
      </c>
      <c r="C481" s="108" t="s">
        <v>832</v>
      </c>
      <c r="D481" s="95" t="s">
        <v>837</v>
      </c>
      <c r="E481" s="102"/>
      <c r="F481" s="277">
        <v>0.76</v>
      </c>
      <c r="G481" s="277">
        <v>0.76</v>
      </c>
      <c r="H481" s="277">
        <v>0.76</v>
      </c>
      <c r="I481" s="277">
        <v>0.76</v>
      </c>
      <c r="J481" s="277">
        <v>0.76</v>
      </c>
      <c r="K481" s="277">
        <v>0.76</v>
      </c>
      <c r="L481" s="277">
        <v>0.76</v>
      </c>
      <c r="M481" s="277">
        <v>0.76</v>
      </c>
      <c r="N481" s="277">
        <v>0.76</v>
      </c>
      <c r="O481" s="277">
        <v>0.76</v>
      </c>
      <c r="P481" s="277">
        <v>0.76</v>
      </c>
      <c r="Q481" s="277">
        <v>0.76</v>
      </c>
      <c r="R481" s="277">
        <v>0.76</v>
      </c>
      <c r="S481" s="277">
        <v>0.76</v>
      </c>
      <c r="T481" s="277">
        <v>0.76</v>
      </c>
      <c r="U481" s="277">
        <v>0.76</v>
      </c>
      <c r="V481" s="277">
        <v>0.76</v>
      </c>
      <c r="W481" s="277">
        <v>0.76</v>
      </c>
      <c r="X481" s="277">
        <v>0.76</v>
      </c>
      <c r="Y481" s="277">
        <v>0.76</v>
      </c>
      <c r="Z481" s="277">
        <v>0.76</v>
      </c>
      <c r="AA481" s="277">
        <v>0.76</v>
      </c>
      <c r="AB481" s="277">
        <v>0.76</v>
      </c>
      <c r="AC481" s="277">
        <v>0.76</v>
      </c>
      <c r="AD481" s="277">
        <v>0.76</v>
      </c>
      <c r="AE481" s="277">
        <v>0.76</v>
      </c>
      <c r="AF481" s="277">
        <v>0.76</v>
      </c>
      <c r="AG481" s="277">
        <v>0.76</v>
      </c>
      <c r="AH481" s="277">
        <v>0.76</v>
      </c>
      <c r="AI481" s="277">
        <v>0.76</v>
      </c>
      <c r="AJ481" s="277">
        <v>0.76</v>
      </c>
      <c r="AK481" s="277">
        <v>0.76</v>
      </c>
      <c r="AL481" s="277">
        <v>0.76</v>
      </c>
      <c r="AM481" s="383">
        <f t="shared" si="22"/>
        <v>0.76000000000000045</v>
      </c>
    </row>
    <row r="482" spans="1:39" x14ac:dyDescent="0.2">
      <c r="A482" s="8"/>
      <c r="B482" s="109" t="s">
        <v>116</v>
      </c>
      <c r="C482" s="108" t="s">
        <v>832</v>
      </c>
      <c r="D482" s="95" t="s">
        <v>837</v>
      </c>
      <c r="E482" s="102"/>
      <c r="F482" s="277">
        <v>0.76</v>
      </c>
      <c r="G482" s="277">
        <v>0.76</v>
      </c>
      <c r="H482" s="277">
        <v>0.76</v>
      </c>
      <c r="I482" s="277">
        <v>0.76</v>
      </c>
      <c r="J482" s="277">
        <v>0.76</v>
      </c>
      <c r="K482" s="277">
        <v>0.76</v>
      </c>
      <c r="L482" s="277">
        <v>0.76</v>
      </c>
      <c r="M482" s="277">
        <v>0.76</v>
      </c>
      <c r="N482" s="277">
        <v>0.76</v>
      </c>
      <c r="O482" s="277">
        <v>0.76</v>
      </c>
      <c r="P482" s="277">
        <v>0.76</v>
      </c>
      <c r="Q482" s="277">
        <v>0.76</v>
      </c>
      <c r="R482" s="277">
        <v>0.76</v>
      </c>
      <c r="S482" s="277">
        <v>0.76</v>
      </c>
      <c r="T482" s="277">
        <v>0.76</v>
      </c>
      <c r="U482" s="277">
        <v>0.76</v>
      </c>
      <c r="V482" s="277">
        <v>0.76</v>
      </c>
      <c r="W482" s="277">
        <v>0.76</v>
      </c>
      <c r="X482" s="277">
        <v>0.76</v>
      </c>
      <c r="Y482" s="277">
        <v>0.76</v>
      </c>
      <c r="Z482" s="277">
        <v>0.76</v>
      </c>
      <c r="AA482" s="277">
        <v>0.76</v>
      </c>
      <c r="AB482" s="277">
        <v>0.76</v>
      </c>
      <c r="AC482" s="277">
        <v>0.76</v>
      </c>
      <c r="AD482" s="277">
        <v>0.76</v>
      </c>
      <c r="AE482" s="277">
        <v>0.76</v>
      </c>
      <c r="AF482" s="277">
        <v>0.76</v>
      </c>
      <c r="AG482" s="277">
        <v>0.76</v>
      </c>
      <c r="AH482" s="277">
        <v>0.76</v>
      </c>
      <c r="AI482" s="277">
        <v>0.76</v>
      </c>
      <c r="AJ482" s="277">
        <v>0.76</v>
      </c>
      <c r="AK482" s="277">
        <v>0.76</v>
      </c>
      <c r="AL482" s="277">
        <v>0.76</v>
      </c>
      <c r="AM482" s="383">
        <f t="shared" si="22"/>
        <v>0.76000000000000045</v>
      </c>
    </row>
    <row r="483" spans="1:39" x14ac:dyDescent="0.2">
      <c r="A483" s="8"/>
      <c r="B483" s="109" t="s">
        <v>117</v>
      </c>
      <c r="C483" s="108" t="s">
        <v>832</v>
      </c>
      <c r="D483" s="95" t="s">
        <v>837</v>
      </c>
      <c r="E483" s="102"/>
      <c r="F483" s="277">
        <v>0.76</v>
      </c>
      <c r="G483" s="277">
        <v>0.76</v>
      </c>
      <c r="H483" s="277">
        <v>0.76</v>
      </c>
      <c r="I483" s="277">
        <v>0.76</v>
      </c>
      <c r="J483" s="277">
        <v>0.76</v>
      </c>
      <c r="K483" s="277">
        <v>0.76</v>
      </c>
      <c r="L483" s="277">
        <v>0.76</v>
      </c>
      <c r="M483" s="277">
        <v>0.76</v>
      </c>
      <c r="N483" s="277">
        <v>0.76</v>
      </c>
      <c r="O483" s="277">
        <v>0.76</v>
      </c>
      <c r="P483" s="277">
        <v>0.76</v>
      </c>
      <c r="Q483" s="277">
        <v>0.76</v>
      </c>
      <c r="R483" s="277">
        <v>0.76</v>
      </c>
      <c r="S483" s="277">
        <v>0.76</v>
      </c>
      <c r="T483" s="277">
        <v>0.76</v>
      </c>
      <c r="U483" s="277">
        <v>0.76</v>
      </c>
      <c r="V483" s="277">
        <v>0.76</v>
      </c>
      <c r="W483" s="277">
        <v>0.76</v>
      </c>
      <c r="X483" s="277">
        <v>0.76</v>
      </c>
      <c r="Y483" s="277">
        <v>0.76</v>
      </c>
      <c r="Z483" s="277">
        <v>0.76</v>
      </c>
      <c r="AA483" s="277">
        <v>0.76</v>
      </c>
      <c r="AB483" s="277">
        <v>0.76</v>
      </c>
      <c r="AC483" s="277">
        <v>0.76</v>
      </c>
      <c r="AD483" s="277">
        <v>0.76</v>
      </c>
      <c r="AE483" s="277">
        <v>0.76</v>
      </c>
      <c r="AF483" s="277">
        <v>0.76</v>
      </c>
      <c r="AG483" s="277">
        <v>0.76</v>
      </c>
      <c r="AH483" s="277">
        <v>0.76</v>
      </c>
      <c r="AI483" s="277">
        <v>0.76</v>
      </c>
      <c r="AJ483" s="277">
        <v>0.76</v>
      </c>
      <c r="AK483" s="277">
        <v>0.76</v>
      </c>
      <c r="AL483" s="277">
        <v>0.76</v>
      </c>
      <c r="AM483" s="383">
        <f t="shared" si="22"/>
        <v>0.76000000000000045</v>
      </c>
    </row>
    <row r="484" spans="1:39" x14ac:dyDescent="0.2">
      <c r="A484" s="8"/>
      <c r="B484" s="109" t="s">
        <v>118</v>
      </c>
      <c r="C484" s="108" t="s">
        <v>832</v>
      </c>
      <c r="D484" s="95" t="s">
        <v>837</v>
      </c>
      <c r="E484" s="102"/>
      <c r="F484" s="277">
        <v>0.77</v>
      </c>
      <c r="G484" s="277">
        <v>0.77</v>
      </c>
      <c r="H484" s="277">
        <v>0.77</v>
      </c>
      <c r="I484" s="277">
        <v>0.77</v>
      </c>
      <c r="J484" s="277">
        <v>0.77</v>
      </c>
      <c r="K484" s="277">
        <v>0.77</v>
      </c>
      <c r="L484" s="277">
        <v>0.77</v>
      </c>
      <c r="M484" s="277">
        <v>0.77</v>
      </c>
      <c r="N484" s="277">
        <v>0.77</v>
      </c>
      <c r="O484" s="277">
        <v>0.77</v>
      </c>
      <c r="P484" s="277">
        <v>0.77</v>
      </c>
      <c r="Q484" s="277">
        <v>0.77</v>
      </c>
      <c r="R484" s="277">
        <v>0.77</v>
      </c>
      <c r="S484" s="277">
        <v>0.77</v>
      </c>
      <c r="T484" s="277">
        <v>0.77</v>
      </c>
      <c r="U484" s="277">
        <v>0.77</v>
      </c>
      <c r="V484" s="277">
        <v>0.77</v>
      </c>
      <c r="W484" s="277">
        <v>0.77</v>
      </c>
      <c r="X484" s="277">
        <v>0.77</v>
      </c>
      <c r="Y484" s="277">
        <v>0.77</v>
      </c>
      <c r="Z484" s="277">
        <v>0.77</v>
      </c>
      <c r="AA484" s="277">
        <v>0.77</v>
      </c>
      <c r="AB484" s="277">
        <v>0.77</v>
      </c>
      <c r="AC484" s="277">
        <v>0.77</v>
      </c>
      <c r="AD484" s="277">
        <v>0.77</v>
      </c>
      <c r="AE484" s="277">
        <v>0.77</v>
      </c>
      <c r="AF484" s="277">
        <v>0.77</v>
      </c>
      <c r="AG484" s="277">
        <v>0.77</v>
      </c>
      <c r="AH484" s="277">
        <v>0.77</v>
      </c>
      <c r="AI484" s="277">
        <v>0.77</v>
      </c>
      <c r="AJ484" s="277">
        <v>0.77</v>
      </c>
      <c r="AK484" s="277">
        <v>0.77</v>
      </c>
      <c r="AL484" s="277">
        <v>0.77</v>
      </c>
      <c r="AM484" s="383">
        <f t="shared" si="22"/>
        <v>0.76999999999999968</v>
      </c>
    </row>
    <row r="485" spans="1:39" x14ac:dyDescent="0.2">
      <c r="A485" s="8"/>
      <c r="B485" s="109" t="s">
        <v>119</v>
      </c>
      <c r="C485" s="108" t="s">
        <v>832</v>
      </c>
      <c r="D485" s="95" t="s">
        <v>837</v>
      </c>
      <c r="E485" s="102"/>
      <c r="F485" s="277">
        <v>0.76</v>
      </c>
      <c r="G485" s="277">
        <v>0.76</v>
      </c>
      <c r="H485" s="277">
        <v>0.76</v>
      </c>
      <c r="I485" s="277">
        <v>0.76</v>
      </c>
      <c r="J485" s="277">
        <v>0.76</v>
      </c>
      <c r="K485" s="277">
        <v>0.76</v>
      </c>
      <c r="L485" s="277">
        <v>0.76</v>
      </c>
      <c r="M485" s="277">
        <v>0.76</v>
      </c>
      <c r="N485" s="277">
        <v>0.76</v>
      </c>
      <c r="O485" s="277">
        <v>0.76</v>
      </c>
      <c r="P485" s="277">
        <v>0.76</v>
      </c>
      <c r="Q485" s="277">
        <v>0.76</v>
      </c>
      <c r="R485" s="277">
        <v>0.76</v>
      </c>
      <c r="S485" s="277">
        <v>0.76</v>
      </c>
      <c r="T485" s="277">
        <v>0.76</v>
      </c>
      <c r="U485" s="277">
        <v>0.76</v>
      </c>
      <c r="V485" s="277">
        <v>0.76</v>
      </c>
      <c r="W485" s="277">
        <v>0.76</v>
      </c>
      <c r="X485" s="277">
        <v>0.76</v>
      </c>
      <c r="Y485" s="277">
        <v>0.76</v>
      </c>
      <c r="Z485" s="277">
        <v>0.76</v>
      </c>
      <c r="AA485" s="277">
        <v>0.76</v>
      </c>
      <c r="AB485" s="277">
        <v>0.76</v>
      </c>
      <c r="AC485" s="277">
        <v>0.76</v>
      </c>
      <c r="AD485" s="277">
        <v>0.76</v>
      </c>
      <c r="AE485" s="277">
        <v>0.76</v>
      </c>
      <c r="AF485" s="277">
        <v>0.76</v>
      </c>
      <c r="AG485" s="277">
        <v>0.76</v>
      </c>
      <c r="AH485" s="277">
        <v>0.76</v>
      </c>
      <c r="AI485" s="277">
        <v>0.76</v>
      </c>
      <c r="AJ485" s="277">
        <v>0.76</v>
      </c>
      <c r="AK485" s="277">
        <v>0.76</v>
      </c>
      <c r="AL485" s="277">
        <v>0.76</v>
      </c>
      <c r="AM485" s="383">
        <f t="shared" si="22"/>
        <v>0.76000000000000045</v>
      </c>
    </row>
    <row r="486" spans="1:39" x14ac:dyDescent="0.2">
      <c r="A486" s="8"/>
      <c r="B486" s="109" t="s">
        <v>120</v>
      </c>
      <c r="C486" s="108" t="s">
        <v>832</v>
      </c>
      <c r="D486" s="95" t="s">
        <v>837</v>
      </c>
      <c r="E486" s="102"/>
      <c r="F486" s="277">
        <v>0.71</v>
      </c>
      <c r="G486" s="277">
        <v>0.71</v>
      </c>
      <c r="H486" s="277">
        <v>0.71</v>
      </c>
      <c r="I486" s="277">
        <v>0.71</v>
      </c>
      <c r="J486" s="277">
        <v>0.71</v>
      </c>
      <c r="K486" s="277">
        <v>0.71</v>
      </c>
      <c r="L486" s="277">
        <v>0.71</v>
      </c>
      <c r="M486" s="277">
        <v>0.71</v>
      </c>
      <c r="N486" s="277">
        <v>0.71</v>
      </c>
      <c r="O486" s="277">
        <v>0.71</v>
      </c>
      <c r="P486" s="277">
        <v>0.71</v>
      </c>
      <c r="Q486" s="277">
        <v>0.71</v>
      </c>
      <c r="R486" s="277">
        <v>0.71</v>
      </c>
      <c r="S486" s="277">
        <v>0.71</v>
      </c>
      <c r="T486" s="277">
        <v>0.71</v>
      </c>
      <c r="U486" s="277">
        <v>0.71</v>
      </c>
      <c r="V486" s="277">
        <v>0.71</v>
      </c>
      <c r="W486" s="277">
        <v>0.71</v>
      </c>
      <c r="X486" s="277">
        <v>0.71</v>
      </c>
      <c r="Y486" s="277">
        <v>0.71</v>
      </c>
      <c r="Z486" s="277">
        <v>0.71</v>
      </c>
      <c r="AA486" s="277">
        <v>0.71</v>
      </c>
      <c r="AB486" s="277">
        <v>0.71</v>
      </c>
      <c r="AC486" s="277">
        <v>0.71</v>
      </c>
      <c r="AD486" s="277">
        <v>0.71</v>
      </c>
      <c r="AE486" s="277">
        <v>0.71</v>
      </c>
      <c r="AF486" s="277">
        <v>0.71</v>
      </c>
      <c r="AG486" s="277">
        <v>0.71</v>
      </c>
      <c r="AH486" s="277">
        <v>0.71</v>
      </c>
      <c r="AI486" s="277">
        <v>0.71</v>
      </c>
      <c r="AJ486" s="277">
        <v>0.71</v>
      </c>
      <c r="AK486" s="277">
        <v>0.71</v>
      </c>
      <c r="AL486" s="277">
        <v>0.71</v>
      </c>
      <c r="AM486" s="383">
        <f t="shared" si="22"/>
        <v>0.71000000000000052</v>
      </c>
    </row>
    <row r="487" spans="1:39" x14ac:dyDescent="0.2">
      <c r="A487" s="8"/>
      <c r="B487" s="109" t="s">
        <v>127</v>
      </c>
      <c r="C487" s="108" t="s">
        <v>832</v>
      </c>
      <c r="D487" s="95" t="s">
        <v>837</v>
      </c>
      <c r="E487" s="102"/>
      <c r="F487" s="277">
        <v>0.76</v>
      </c>
      <c r="G487" s="277">
        <v>0.76</v>
      </c>
      <c r="H487" s="277">
        <v>0.76</v>
      </c>
      <c r="I487" s="277">
        <v>0.76</v>
      </c>
      <c r="J487" s="277">
        <v>0.76</v>
      </c>
      <c r="K487" s="277">
        <v>0.76</v>
      </c>
      <c r="L487" s="277">
        <v>0.76</v>
      </c>
      <c r="M487" s="277">
        <v>0.76</v>
      </c>
      <c r="N487" s="277">
        <v>0.76</v>
      </c>
      <c r="O487" s="277">
        <v>0.76</v>
      </c>
      <c r="P487" s="277">
        <v>0.76</v>
      </c>
      <c r="Q487" s="277">
        <v>0.76</v>
      </c>
      <c r="R487" s="277">
        <v>0.76</v>
      </c>
      <c r="S487" s="277">
        <v>0.76</v>
      </c>
      <c r="T487" s="277">
        <v>0.76</v>
      </c>
      <c r="U487" s="277">
        <v>0.76</v>
      </c>
      <c r="V487" s="277">
        <v>0.76</v>
      </c>
      <c r="W487" s="277">
        <v>0.76</v>
      </c>
      <c r="X487" s="277">
        <v>0.76</v>
      </c>
      <c r="Y487" s="277">
        <v>0.76</v>
      </c>
      <c r="Z487" s="277">
        <v>0.76</v>
      </c>
      <c r="AA487" s="277">
        <v>0.76</v>
      </c>
      <c r="AB487" s="277">
        <v>0.76</v>
      </c>
      <c r="AC487" s="277">
        <v>0.76</v>
      </c>
      <c r="AD487" s="277">
        <v>0.76</v>
      </c>
      <c r="AE487" s="277">
        <v>0.76</v>
      </c>
      <c r="AF487" s="277">
        <v>0.76</v>
      </c>
      <c r="AG487" s="277">
        <v>0.76</v>
      </c>
      <c r="AH487" s="277">
        <v>0.76</v>
      </c>
      <c r="AI487" s="277">
        <v>0.76</v>
      </c>
      <c r="AJ487" s="277">
        <v>0.76</v>
      </c>
      <c r="AK487" s="277">
        <v>0.76</v>
      </c>
      <c r="AL487" s="277">
        <v>0.76</v>
      </c>
      <c r="AM487" s="383">
        <f t="shared" si="22"/>
        <v>0.76000000000000045</v>
      </c>
    </row>
    <row r="488" spans="1:39" x14ac:dyDescent="0.2">
      <c r="A488" s="8"/>
      <c r="B488" s="109" t="s">
        <v>128</v>
      </c>
      <c r="C488" s="108" t="s">
        <v>832</v>
      </c>
      <c r="D488" s="95" t="s">
        <v>837</v>
      </c>
      <c r="E488" s="102"/>
      <c r="F488" s="277">
        <v>0.74</v>
      </c>
      <c r="G488" s="277">
        <v>0.74</v>
      </c>
      <c r="H488" s="277">
        <v>0.74</v>
      </c>
      <c r="I488" s="277">
        <v>0.74</v>
      </c>
      <c r="J488" s="277">
        <v>0.74</v>
      </c>
      <c r="K488" s="277">
        <v>0.74</v>
      </c>
      <c r="L488" s="277">
        <v>0.74</v>
      </c>
      <c r="M488" s="277">
        <v>0.74</v>
      </c>
      <c r="N488" s="277">
        <v>0.74</v>
      </c>
      <c r="O488" s="277">
        <v>0.74</v>
      </c>
      <c r="P488" s="277">
        <v>0.74</v>
      </c>
      <c r="Q488" s="277">
        <v>0.74</v>
      </c>
      <c r="R488" s="277">
        <v>0.74</v>
      </c>
      <c r="S488" s="277">
        <v>0.74</v>
      </c>
      <c r="T488" s="277">
        <v>0.74</v>
      </c>
      <c r="U488" s="277">
        <v>0.74</v>
      </c>
      <c r="V488" s="277">
        <v>0.74</v>
      </c>
      <c r="W488" s="277">
        <v>0.74</v>
      </c>
      <c r="X488" s="277">
        <v>0.74</v>
      </c>
      <c r="Y488" s="277">
        <v>0.74</v>
      </c>
      <c r="Z488" s="277">
        <v>0.74</v>
      </c>
      <c r="AA488" s="277">
        <v>0.74</v>
      </c>
      <c r="AB488" s="277">
        <v>0.74</v>
      </c>
      <c r="AC488" s="277">
        <v>0.74</v>
      </c>
      <c r="AD488" s="277">
        <v>0.74</v>
      </c>
      <c r="AE488" s="277">
        <v>0.74</v>
      </c>
      <c r="AF488" s="277">
        <v>0.74</v>
      </c>
      <c r="AG488" s="277">
        <v>0.74</v>
      </c>
      <c r="AH488" s="277">
        <v>0.74</v>
      </c>
      <c r="AI488" s="277">
        <v>0.74</v>
      </c>
      <c r="AJ488" s="277">
        <v>0.74</v>
      </c>
      <c r="AK488" s="277">
        <v>0.74</v>
      </c>
      <c r="AL488" s="277">
        <v>0.74</v>
      </c>
      <c r="AM488" s="383">
        <f t="shared" si="22"/>
        <v>0.73999999999999955</v>
      </c>
    </row>
    <row r="489" spans="1:39" x14ac:dyDescent="0.2">
      <c r="A489" s="8"/>
      <c r="B489" s="109" t="s">
        <v>174</v>
      </c>
      <c r="C489" s="108" t="s">
        <v>832</v>
      </c>
      <c r="D489" s="95" t="s">
        <v>837</v>
      </c>
      <c r="E489" s="102"/>
      <c r="F489" s="277">
        <v>0.74</v>
      </c>
      <c r="G489" s="277">
        <v>0.74</v>
      </c>
      <c r="H489" s="277">
        <v>0.74</v>
      </c>
      <c r="I489" s="277">
        <v>0.74</v>
      </c>
      <c r="J489" s="277">
        <v>0.74</v>
      </c>
      <c r="K489" s="277">
        <v>0.74</v>
      </c>
      <c r="L489" s="277">
        <v>0.74</v>
      </c>
      <c r="M489" s="277">
        <v>0.74</v>
      </c>
      <c r="N489" s="277">
        <v>0.74</v>
      </c>
      <c r="O489" s="277">
        <v>0.74</v>
      </c>
      <c r="P489" s="277">
        <v>0.74</v>
      </c>
      <c r="Q489" s="277">
        <v>0.74</v>
      </c>
      <c r="R489" s="277">
        <v>0.74</v>
      </c>
      <c r="S489" s="277">
        <v>0.74</v>
      </c>
      <c r="T489" s="277">
        <v>0.74</v>
      </c>
      <c r="U489" s="277">
        <v>0.74</v>
      </c>
      <c r="V489" s="277">
        <v>0.74</v>
      </c>
      <c r="W489" s="277">
        <v>0.74</v>
      </c>
      <c r="X489" s="277">
        <v>0.74</v>
      </c>
      <c r="Y489" s="277">
        <v>0.74</v>
      </c>
      <c r="Z489" s="277">
        <v>0.74</v>
      </c>
      <c r="AA489" s="277">
        <v>0.74</v>
      </c>
      <c r="AB489" s="277">
        <v>0.74</v>
      </c>
      <c r="AC489" s="277">
        <v>0.74</v>
      </c>
      <c r="AD489" s="277">
        <v>0.74</v>
      </c>
      <c r="AE489" s="277">
        <v>0.74</v>
      </c>
      <c r="AF489" s="277">
        <v>0.74</v>
      </c>
      <c r="AG489" s="277">
        <v>0.74</v>
      </c>
      <c r="AH489" s="277">
        <v>0.74</v>
      </c>
      <c r="AI489" s="277">
        <v>0.74</v>
      </c>
      <c r="AJ489" s="277">
        <v>0.74</v>
      </c>
      <c r="AK489" s="277">
        <v>0.74</v>
      </c>
      <c r="AL489" s="277">
        <v>0.74</v>
      </c>
      <c r="AM489" s="383">
        <f t="shared" si="22"/>
        <v>0.73999999999999955</v>
      </c>
    </row>
    <row r="490" spans="1:39" x14ac:dyDescent="0.2">
      <c r="A490" s="8"/>
      <c r="B490" s="52"/>
      <c r="C490" s="53"/>
      <c r="D490" s="21"/>
      <c r="E490" s="25"/>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107"/>
    </row>
    <row r="491" spans="1:39" ht="14.25" customHeight="1" x14ac:dyDescent="0.2">
      <c r="A491" s="8"/>
      <c r="B491" s="99" t="s">
        <v>838</v>
      </c>
      <c r="C491" s="38"/>
      <c r="D491" s="1"/>
      <c r="E491" s="102"/>
      <c r="F491" s="50"/>
      <c r="G491" s="50"/>
      <c r="H491" s="50"/>
      <c r="I491" s="50"/>
      <c r="J491" s="50"/>
      <c r="K491" s="50"/>
      <c r="L491" s="50"/>
      <c r="M491" s="50"/>
      <c r="N491" s="50"/>
      <c r="O491" s="50"/>
      <c r="P491" s="50"/>
      <c r="Q491" s="50"/>
      <c r="R491" s="50"/>
      <c r="S491" s="50"/>
      <c r="T491" s="50"/>
      <c r="U491" s="50"/>
      <c r="V491" s="50"/>
      <c r="W491" s="50"/>
      <c r="X491" s="50"/>
      <c r="Y491" s="50"/>
      <c r="Z491" s="50"/>
      <c r="AA491" s="50"/>
      <c r="AB491" s="50"/>
      <c r="AC491" s="50"/>
      <c r="AD491" s="50"/>
      <c r="AE491" s="50"/>
      <c r="AF491" s="50"/>
      <c r="AG491" s="50"/>
      <c r="AH491" s="50"/>
      <c r="AI491" s="50"/>
      <c r="AJ491" s="50"/>
      <c r="AK491" s="50"/>
      <c r="AL491" s="50"/>
      <c r="AM491" s="107"/>
    </row>
    <row r="492" spans="1:39" x14ac:dyDescent="0.2">
      <c r="A492" s="8"/>
      <c r="B492" s="57" t="s">
        <v>175</v>
      </c>
      <c r="C492" s="213" t="s">
        <v>176</v>
      </c>
      <c r="D492" s="158"/>
      <c r="E492" s="101"/>
      <c r="F492" s="101">
        <f t="shared" ref="F492:AL492" si="23">F128*0.44*(1-F297/100)</f>
        <v>887.56137904026491</v>
      </c>
      <c r="G492" s="101">
        <f t="shared" si="23"/>
        <v>671.71069411435406</v>
      </c>
      <c r="H492" s="101">
        <f t="shared" si="23"/>
        <v>496.9500024304391</v>
      </c>
      <c r="I492" s="101">
        <f t="shared" si="23"/>
        <v>2300.4242267639111</v>
      </c>
      <c r="J492" s="101">
        <f t="shared" si="23"/>
        <v>770.67472732037766</v>
      </c>
      <c r="K492" s="101">
        <f t="shared" si="23"/>
        <v>296.79963349273379</v>
      </c>
      <c r="L492" s="101">
        <f t="shared" si="23"/>
        <v>177.62868961029739</v>
      </c>
      <c r="M492" s="101">
        <f t="shared" si="23"/>
        <v>1214.9288893269631</v>
      </c>
      <c r="N492" s="101">
        <f t="shared" si="23"/>
        <v>1303.5952741603662</v>
      </c>
      <c r="O492" s="101">
        <f t="shared" si="23"/>
        <v>558.0531156660785</v>
      </c>
      <c r="P492" s="101">
        <f t="shared" si="23"/>
        <v>659.55454410717812</v>
      </c>
      <c r="Q492" s="101">
        <f t="shared" si="23"/>
        <v>162.88255579403511</v>
      </c>
      <c r="R492" s="101">
        <f t="shared" si="23"/>
        <v>702.31523890116</v>
      </c>
      <c r="S492" s="101">
        <f t="shared" si="23"/>
        <v>681.8334364365071</v>
      </c>
      <c r="T492" s="101">
        <f t="shared" si="23"/>
        <v>1271.2601258073034</v>
      </c>
      <c r="U492" s="101">
        <f t="shared" si="23"/>
        <v>2387.2010439863657</v>
      </c>
      <c r="V492" s="101">
        <f t="shared" si="23"/>
        <v>746.99885342499567</v>
      </c>
      <c r="W492" s="101">
        <f t="shared" si="23"/>
        <v>69.010994171223828</v>
      </c>
      <c r="X492" s="101">
        <f t="shared" si="23"/>
        <v>8.9163987398666276</v>
      </c>
      <c r="Y492" s="101">
        <f t="shared" si="23"/>
        <v>95.077248308241977</v>
      </c>
      <c r="Z492" s="101">
        <f t="shared" si="23"/>
        <v>70.145465491775724</v>
      </c>
      <c r="AA492" s="101">
        <f t="shared" si="23"/>
        <v>145.54102359622988</v>
      </c>
      <c r="AB492" s="101">
        <f t="shared" si="23"/>
        <v>24.900660411758029</v>
      </c>
      <c r="AC492" s="101">
        <f t="shared" si="23"/>
        <v>1652.0994840690312</v>
      </c>
      <c r="AD492" s="101">
        <f t="shared" si="23"/>
        <v>18.102185360788337</v>
      </c>
      <c r="AE492" s="101">
        <f t="shared" si="23"/>
        <v>38.683628123652163</v>
      </c>
      <c r="AF492" s="101">
        <f t="shared" si="23"/>
        <v>5.1104285563209695</v>
      </c>
      <c r="AG492" s="101">
        <f t="shared" si="23"/>
        <v>103.96390841018676</v>
      </c>
      <c r="AH492" s="101">
        <f t="shared" si="23"/>
        <v>20.88177829103353</v>
      </c>
      <c r="AI492" s="101">
        <f t="shared" si="23"/>
        <v>65.486090989105946</v>
      </c>
      <c r="AJ492" s="101">
        <f t="shared" si="23"/>
        <v>136.9151405371133</v>
      </c>
      <c r="AK492" s="101">
        <f t="shared" si="23"/>
        <v>102.5329980666077</v>
      </c>
      <c r="AL492" s="101">
        <f t="shared" si="23"/>
        <v>9.5241376992887794</v>
      </c>
      <c r="AM492" s="381">
        <f>SUM(F492:AL492)</f>
        <v>17857.264001205553</v>
      </c>
    </row>
    <row r="493" spans="1:39" x14ac:dyDescent="0.2">
      <c r="A493" s="8"/>
      <c r="B493" s="158" t="s">
        <v>177</v>
      </c>
      <c r="C493" s="213" t="s">
        <v>176</v>
      </c>
      <c r="D493" s="158"/>
      <c r="E493" s="101"/>
      <c r="F493" s="101">
        <f t="shared" ref="F493:AL493" si="24">F129*0.44*(1-F298/100)</f>
        <v>2.1670921443229383</v>
      </c>
      <c r="G493" s="101">
        <f t="shared" si="24"/>
        <v>0.2217487430077339</v>
      </c>
      <c r="H493" s="101">
        <f t="shared" si="24"/>
        <v>5.2520867800896056</v>
      </c>
      <c r="I493" s="101">
        <f t="shared" si="24"/>
        <v>1.9980806366286756</v>
      </c>
      <c r="J493" s="101">
        <f t="shared" si="24"/>
        <v>1.1268727707753601</v>
      </c>
      <c r="K493" s="101">
        <f t="shared" si="24"/>
        <v>9.974092386345558E-2</v>
      </c>
      <c r="L493" s="101">
        <f t="shared" si="24"/>
        <v>3.4862722116087555E-2</v>
      </c>
      <c r="M493" s="101">
        <f t="shared" si="24"/>
        <v>0.47941524201701929</v>
      </c>
      <c r="N493" s="101">
        <f t="shared" si="24"/>
        <v>1.1175484485233012</v>
      </c>
      <c r="O493" s="101">
        <f t="shared" si="24"/>
        <v>2.6573489102026624</v>
      </c>
      <c r="P493" s="101">
        <f t="shared" si="24"/>
        <v>2.3215066978753742</v>
      </c>
      <c r="Q493" s="101">
        <f t="shared" si="24"/>
        <v>0.37504253450200342</v>
      </c>
      <c r="R493" s="101">
        <f t="shared" si="24"/>
        <v>0.739985764295368</v>
      </c>
      <c r="S493" s="101">
        <f t="shared" si="24"/>
        <v>1.0674620664416252</v>
      </c>
      <c r="T493" s="101">
        <f t="shared" si="24"/>
        <v>3.6036630376570273</v>
      </c>
      <c r="U493" s="101">
        <f t="shared" si="24"/>
        <v>13.453809025988138</v>
      </c>
      <c r="V493" s="101">
        <f t="shared" si="24"/>
        <v>14.990802632236194</v>
      </c>
      <c r="W493" s="101">
        <f t="shared" si="24"/>
        <v>1.8972051344537719</v>
      </c>
      <c r="X493" s="101">
        <f t="shared" si="24"/>
        <v>0.14719422149202632</v>
      </c>
      <c r="Y493" s="101">
        <f t="shared" si="24"/>
        <v>0.98993915054136128</v>
      </c>
      <c r="Z493" s="101">
        <f t="shared" si="24"/>
        <v>0.91712877171741647</v>
      </c>
      <c r="AA493" s="101">
        <f t="shared" si="24"/>
        <v>2.2034643798616012</v>
      </c>
      <c r="AB493" s="101">
        <f t="shared" si="24"/>
        <v>2.8386575007544068</v>
      </c>
      <c r="AC493" s="101">
        <f t="shared" si="24"/>
        <v>1.0860550966493703</v>
      </c>
      <c r="AD493" s="101">
        <f t="shared" si="24"/>
        <v>0.14969308943569523</v>
      </c>
      <c r="AE493" s="101">
        <f t="shared" si="24"/>
        <v>0.11141725072059533</v>
      </c>
      <c r="AF493" s="101">
        <f t="shared" si="24"/>
        <v>0.12977795068206038</v>
      </c>
      <c r="AG493" s="101">
        <f t="shared" si="24"/>
        <v>0.44502589332031312</v>
      </c>
      <c r="AH493" s="101">
        <f t="shared" si="24"/>
        <v>2.4907009334645562</v>
      </c>
      <c r="AI493" s="101">
        <f t="shared" si="24"/>
        <v>0.20650112313937191</v>
      </c>
      <c r="AJ493" s="101">
        <f t="shared" si="24"/>
        <v>0.21910461668502099</v>
      </c>
      <c r="AK493" s="101">
        <f t="shared" si="24"/>
        <v>4.1641124026804199E-2</v>
      </c>
      <c r="AL493" s="101">
        <f t="shared" si="24"/>
        <v>1.3966779404475673</v>
      </c>
      <c r="AM493" s="381">
        <f t="shared" ref="AM493:AM530" si="25">SUM(F493:AL493)</f>
        <v>66.977253257934507</v>
      </c>
    </row>
    <row r="494" spans="1:39" x14ac:dyDescent="0.2">
      <c r="A494" s="8"/>
      <c r="B494" s="158" t="s">
        <v>178</v>
      </c>
      <c r="C494" s="213" t="s">
        <v>176</v>
      </c>
      <c r="D494" s="158"/>
      <c r="E494" s="101"/>
      <c r="F494" s="101">
        <f t="shared" ref="F494:AL494" si="26">F130*0.44*(1-F299/100)</f>
        <v>280.26737965029139</v>
      </c>
      <c r="G494" s="101">
        <f t="shared" si="26"/>
        <v>133.5663590359795</v>
      </c>
      <c r="H494" s="101">
        <f t="shared" si="26"/>
        <v>146.93520395051522</v>
      </c>
      <c r="I494" s="101">
        <f t="shared" si="26"/>
        <v>426.47797849888383</v>
      </c>
      <c r="J494" s="101">
        <f t="shared" si="26"/>
        <v>143.14863401532924</v>
      </c>
      <c r="K494" s="101">
        <f t="shared" si="26"/>
        <v>70.813905902107933</v>
      </c>
      <c r="L494" s="101">
        <f t="shared" si="26"/>
        <v>24.856098659325671</v>
      </c>
      <c r="M494" s="101">
        <f t="shared" si="26"/>
        <v>257.51852529004952</v>
      </c>
      <c r="N494" s="101">
        <f t="shared" si="26"/>
        <v>766.83402715683042</v>
      </c>
      <c r="O494" s="101">
        <f t="shared" si="26"/>
        <v>401.29734208794531</v>
      </c>
      <c r="P494" s="101">
        <f t="shared" si="26"/>
        <v>426.19641748110473</v>
      </c>
      <c r="Q494" s="101">
        <f t="shared" si="26"/>
        <v>16.133024706908532</v>
      </c>
      <c r="R494" s="101">
        <f t="shared" si="26"/>
        <v>155.96551663549559</v>
      </c>
      <c r="S494" s="101">
        <f t="shared" si="26"/>
        <v>130.71690422803752</v>
      </c>
      <c r="T494" s="101">
        <f t="shared" si="26"/>
        <v>167.86367402618387</v>
      </c>
      <c r="U494" s="101">
        <f t="shared" si="26"/>
        <v>728.91503322951735</v>
      </c>
      <c r="V494" s="101">
        <f t="shared" si="26"/>
        <v>259.77292583968648</v>
      </c>
      <c r="W494" s="101">
        <f t="shared" si="26"/>
        <v>34.754016560079926</v>
      </c>
      <c r="X494" s="101">
        <f t="shared" si="26"/>
        <v>5.0621117495860934</v>
      </c>
      <c r="Y494" s="101">
        <f t="shared" si="26"/>
        <v>25.979878080964738</v>
      </c>
      <c r="Z494" s="101">
        <f t="shared" si="26"/>
        <v>26.231930670677141</v>
      </c>
      <c r="AA494" s="101">
        <f t="shared" si="26"/>
        <v>45.68918242796974</v>
      </c>
      <c r="AB494" s="101">
        <f t="shared" si="26"/>
        <v>51.686413462530965</v>
      </c>
      <c r="AC494" s="101">
        <f t="shared" si="26"/>
        <v>224.75297829980627</v>
      </c>
      <c r="AD494" s="101">
        <f t="shared" si="26"/>
        <v>3.0836157126101891</v>
      </c>
      <c r="AE494" s="101">
        <f t="shared" si="26"/>
        <v>8.7714239544736436</v>
      </c>
      <c r="AF494" s="101">
        <f t="shared" si="26"/>
        <v>0.96277586230810286</v>
      </c>
      <c r="AG494" s="101">
        <f t="shared" si="26"/>
        <v>44.719923850337537</v>
      </c>
      <c r="AH494" s="101">
        <f t="shared" si="26"/>
        <v>6.3073831733974854</v>
      </c>
      <c r="AI494" s="101">
        <f t="shared" si="26"/>
        <v>3.6493783828739761</v>
      </c>
      <c r="AJ494" s="101">
        <f t="shared" si="26"/>
        <v>6.2859252716219434</v>
      </c>
      <c r="AK494" s="101">
        <f t="shared" si="26"/>
        <v>7.249816985412469</v>
      </c>
      <c r="AL494" s="101">
        <f t="shared" si="26"/>
        <v>0.7614287837330973</v>
      </c>
      <c r="AM494" s="381">
        <f t="shared" si="25"/>
        <v>5033.2271336225758</v>
      </c>
    </row>
    <row r="495" spans="1:39" x14ac:dyDescent="0.2">
      <c r="A495" s="8"/>
      <c r="B495" s="158" t="s">
        <v>179</v>
      </c>
      <c r="C495" s="213" t="s">
        <v>176</v>
      </c>
      <c r="D495" s="158"/>
      <c r="E495" s="101"/>
      <c r="F495" s="101">
        <f t="shared" ref="F495:AL495" si="27">F131*0.44*(1-F300/100)</f>
        <v>8.9510251515457551</v>
      </c>
      <c r="G495" s="101">
        <f t="shared" si="27"/>
        <v>3.218490060263465</v>
      </c>
      <c r="H495" s="101">
        <f t="shared" si="27"/>
        <v>2.3428631625475469</v>
      </c>
      <c r="I495" s="101">
        <f t="shared" si="27"/>
        <v>11.400462212135619</v>
      </c>
      <c r="J495" s="101">
        <f t="shared" si="27"/>
        <v>22.976188595514856</v>
      </c>
      <c r="K495" s="101">
        <f t="shared" si="27"/>
        <v>1.6821395957610989</v>
      </c>
      <c r="L495" s="101">
        <f t="shared" si="27"/>
        <v>1.7298366229230553</v>
      </c>
      <c r="M495" s="101">
        <f t="shared" si="27"/>
        <v>8.9922695188698007</v>
      </c>
      <c r="N495" s="101">
        <f t="shared" si="27"/>
        <v>10.765061211402514</v>
      </c>
      <c r="O495" s="101">
        <f t="shared" si="27"/>
        <v>9.5668236773345985</v>
      </c>
      <c r="P495" s="101">
        <f t="shared" si="27"/>
        <v>8.2946603507398446</v>
      </c>
      <c r="Q495" s="101">
        <f t="shared" si="27"/>
        <v>1.4333823408379063</v>
      </c>
      <c r="R495" s="101">
        <f t="shared" si="27"/>
        <v>18.86164143869054</v>
      </c>
      <c r="S495" s="101">
        <f t="shared" si="27"/>
        <v>4.5220045112106328</v>
      </c>
      <c r="T495" s="101">
        <f t="shared" si="27"/>
        <v>16.67545155320699</v>
      </c>
      <c r="U495" s="101">
        <f t="shared" si="27"/>
        <v>25.175841386474122</v>
      </c>
      <c r="V495" s="101">
        <f t="shared" si="27"/>
        <v>20.303326070546316</v>
      </c>
      <c r="W495" s="101">
        <f t="shared" si="27"/>
        <v>1.6051556233304827</v>
      </c>
      <c r="X495" s="101">
        <f t="shared" si="27"/>
        <v>0.14582950685567642</v>
      </c>
      <c r="Y495" s="101">
        <f t="shared" si="27"/>
        <v>1.6848211182540334</v>
      </c>
      <c r="Z495" s="101">
        <f t="shared" si="27"/>
        <v>3.1524164945993429</v>
      </c>
      <c r="AA495" s="101">
        <f t="shared" si="27"/>
        <v>2.098993389704352</v>
      </c>
      <c r="AB495" s="101">
        <f t="shared" si="27"/>
        <v>3.2515756663967195</v>
      </c>
      <c r="AC495" s="101">
        <f t="shared" si="27"/>
        <v>13.963109358800383</v>
      </c>
      <c r="AD495" s="101">
        <f t="shared" si="27"/>
        <v>0.66454176831399592</v>
      </c>
      <c r="AE495" s="101">
        <f t="shared" si="27"/>
        <v>0.73621290748336587</v>
      </c>
      <c r="AF495" s="101">
        <f t="shared" si="27"/>
        <v>0.1690658052196308</v>
      </c>
      <c r="AG495" s="101">
        <f t="shared" si="27"/>
        <v>3.8092146868794541</v>
      </c>
      <c r="AH495" s="101">
        <f t="shared" si="27"/>
        <v>1.0050042185056693</v>
      </c>
      <c r="AI495" s="101">
        <f t="shared" si="27"/>
        <v>0.22841074838566428</v>
      </c>
      <c r="AJ495" s="101">
        <f t="shared" si="27"/>
        <v>0.63264748778303337</v>
      </c>
      <c r="AK495" s="101">
        <f t="shared" si="27"/>
        <v>0.61359363761646279</v>
      </c>
      <c r="AL495" s="101">
        <f t="shared" si="27"/>
        <v>1.0479746362236748</v>
      </c>
      <c r="AM495" s="381">
        <f t="shared" si="25"/>
        <v>211.70003451435664</v>
      </c>
    </row>
    <row r="496" spans="1:39" x14ac:dyDescent="0.2">
      <c r="A496" s="8"/>
      <c r="B496" s="158" t="s">
        <v>180</v>
      </c>
      <c r="C496" s="213" t="s">
        <v>176</v>
      </c>
      <c r="D496" s="158"/>
      <c r="E496" s="101"/>
      <c r="F496" s="101">
        <f t="shared" ref="F496:AL496" si="28">F132*0.44*(1-F301/100)</f>
        <v>195.25431790326479</v>
      </c>
      <c r="G496" s="101">
        <f t="shared" si="28"/>
        <v>33.196600383388287</v>
      </c>
      <c r="H496" s="101">
        <f t="shared" si="28"/>
        <v>78.881323562166486</v>
      </c>
      <c r="I496" s="101">
        <f t="shared" si="28"/>
        <v>220.26803972130602</v>
      </c>
      <c r="J496" s="101">
        <f t="shared" si="28"/>
        <v>54.388223969774153</v>
      </c>
      <c r="K496" s="101">
        <f t="shared" si="28"/>
        <v>11.412805395053997</v>
      </c>
      <c r="L496" s="101">
        <f t="shared" si="28"/>
        <v>42.995893902987063</v>
      </c>
      <c r="M496" s="101">
        <f t="shared" si="28"/>
        <v>110.06144624507425</v>
      </c>
      <c r="N496" s="101">
        <f t="shared" si="28"/>
        <v>178.44091116883823</v>
      </c>
      <c r="O496" s="101">
        <f t="shared" si="28"/>
        <v>71.25042038022481</v>
      </c>
      <c r="P496" s="101">
        <f t="shared" si="28"/>
        <v>102.29951707559206</v>
      </c>
      <c r="Q496" s="101">
        <f t="shared" si="28"/>
        <v>771.1429936704792</v>
      </c>
      <c r="R496" s="101">
        <f t="shared" si="28"/>
        <v>389.61044017061215</v>
      </c>
      <c r="S496" s="101">
        <f t="shared" si="28"/>
        <v>521.60066839401179</v>
      </c>
      <c r="T496" s="101">
        <f t="shared" si="28"/>
        <v>450.49931747194626</v>
      </c>
      <c r="U496" s="101">
        <f t="shared" si="28"/>
        <v>712.04097478563449</v>
      </c>
      <c r="V496" s="101">
        <f t="shared" si="28"/>
        <v>386.96111755755646</v>
      </c>
      <c r="W496" s="101">
        <f t="shared" si="28"/>
        <v>59.357293066773494</v>
      </c>
      <c r="X496" s="101">
        <f t="shared" si="28"/>
        <v>23.12766202381431</v>
      </c>
      <c r="Y496" s="101">
        <f t="shared" si="28"/>
        <v>194.29871162980174</v>
      </c>
      <c r="Z496" s="101">
        <f t="shared" si="28"/>
        <v>20.378045049528421</v>
      </c>
      <c r="AA496" s="101">
        <f t="shared" si="28"/>
        <v>210.3110238104062</v>
      </c>
      <c r="AB496" s="101">
        <f t="shared" si="28"/>
        <v>4.0016606314715721</v>
      </c>
      <c r="AC496" s="101">
        <f t="shared" si="28"/>
        <v>1124.4439720299445</v>
      </c>
      <c r="AD496" s="101">
        <f t="shared" si="28"/>
        <v>164.12318476136124</v>
      </c>
      <c r="AE496" s="101">
        <f t="shared" si="28"/>
        <v>816.90087452920716</v>
      </c>
      <c r="AF496" s="101">
        <f t="shared" si="28"/>
        <v>365.63348015565509</v>
      </c>
      <c r="AG496" s="101">
        <f t="shared" si="28"/>
        <v>151.96571549478847</v>
      </c>
      <c r="AH496" s="101">
        <f t="shared" si="28"/>
        <v>10.812218929807024</v>
      </c>
      <c r="AI496" s="101">
        <f t="shared" si="28"/>
        <v>10.344203614038181</v>
      </c>
      <c r="AJ496" s="101">
        <f t="shared" si="28"/>
        <v>30.143767315063137</v>
      </c>
      <c r="AK496" s="101">
        <f t="shared" si="28"/>
        <v>4.9130688810877556</v>
      </c>
      <c r="AL496" s="101">
        <f t="shared" si="28"/>
        <v>1.7161672423568013</v>
      </c>
      <c r="AM496" s="381">
        <f t="shared" si="25"/>
        <v>7522.7760609230154</v>
      </c>
    </row>
    <row r="497" spans="1:39" x14ac:dyDescent="0.2">
      <c r="A497" s="8"/>
      <c r="B497" s="158" t="s">
        <v>181</v>
      </c>
      <c r="C497" s="213" t="s">
        <v>176</v>
      </c>
      <c r="D497" s="158"/>
      <c r="E497" s="101"/>
      <c r="F497" s="101">
        <f t="shared" ref="F497:AL497" si="29">F133*0.44*(1-F302/100)</f>
        <v>0</v>
      </c>
      <c r="G497" s="101">
        <f t="shared" si="29"/>
        <v>0</v>
      </c>
      <c r="H497" s="101">
        <f t="shared" si="29"/>
        <v>0</v>
      </c>
      <c r="I497" s="101">
        <f t="shared" si="29"/>
        <v>0</v>
      </c>
      <c r="J497" s="101">
        <f t="shared" si="29"/>
        <v>0</v>
      </c>
      <c r="K497" s="101">
        <f t="shared" si="29"/>
        <v>0</v>
      </c>
      <c r="L497" s="101">
        <f t="shared" si="29"/>
        <v>0</v>
      </c>
      <c r="M497" s="101">
        <f t="shared" si="29"/>
        <v>0</v>
      </c>
      <c r="N497" s="101">
        <f t="shared" si="29"/>
        <v>0</v>
      </c>
      <c r="O497" s="101">
        <f t="shared" si="29"/>
        <v>0</v>
      </c>
      <c r="P497" s="101">
        <f t="shared" si="29"/>
        <v>0</v>
      </c>
      <c r="Q497" s="101">
        <f t="shared" si="29"/>
        <v>0</v>
      </c>
      <c r="R497" s="101">
        <f t="shared" si="29"/>
        <v>0</v>
      </c>
      <c r="S497" s="101">
        <f t="shared" si="29"/>
        <v>0</v>
      </c>
      <c r="T497" s="101">
        <f t="shared" si="29"/>
        <v>0</v>
      </c>
      <c r="U497" s="101">
        <f t="shared" si="29"/>
        <v>0</v>
      </c>
      <c r="V497" s="101">
        <f t="shared" si="29"/>
        <v>0</v>
      </c>
      <c r="W497" s="101">
        <f t="shared" si="29"/>
        <v>0</v>
      </c>
      <c r="X497" s="101">
        <f t="shared" si="29"/>
        <v>0</v>
      </c>
      <c r="Y497" s="101">
        <f t="shared" si="29"/>
        <v>0</v>
      </c>
      <c r="Z497" s="101">
        <f t="shared" si="29"/>
        <v>0</v>
      </c>
      <c r="AA497" s="101">
        <f t="shared" si="29"/>
        <v>0</v>
      </c>
      <c r="AB497" s="101">
        <f t="shared" si="29"/>
        <v>0</v>
      </c>
      <c r="AC497" s="101">
        <f t="shared" si="29"/>
        <v>0.77913758911573305</v>
      </c>
      <c r="AD497" s="101">
        <f t="shared" si="29"/>
        <v>0</v>
      </c>
      <c r="AE497" s="101">
        <f t="shared" si="29"/>
        <v>0</v>
      </c>
      <c r="AF497" s="101">
        <f t="shared" si="29"/>
        <v>0</v>
      </c>
      <c r="AG497" s="101">
        <f t="shared" si="29"/>
        <v>0</v>
      </c>
      <c r="AH497" s="101">
        <f t="shared" si="29"/>
        <v>0</v>
      </c>
      <c r="AI497" s="101">
        <f t="shared" si="29"/>
        <v>40.953022769779217</v>
      </c>
      <c r="AJ497" s="101">
        <f t="shared" si="29"/>
        <v>196.77125049833242</v>
      </c>
      <c r="AK497" s="101">
        <f t="shared" si="29"/>
        <v>15.496209198672974</v>
      </c>
      <c r="AL497" s="101">
        <f t="shared" si="29"/>
        <v>0</v>
      </c>
      <c r="AM497" s="381">
        <f t="shared" si="25"/>
        <v>253.99962005590035</v>
      </c>
    </row>
    <row r="498" spans="1:39" x14ac:dyDescent="0.2">
      <c r="A498" s="8"/>
      <c r="B498" s="158" t="s">
        <v>182</v>
      </c>
      <c r="C498" s="213" t="s">
        <v>176</v>
      </c>
      <c r="D498" s="158"/>
      <c r="E498" s="101"/>
      <c r="F498" s="101">
        <f t="shared" ref="F498:AL498" si="30">F134*0.44*(1-F303/100)</f>
        <v>6.0220910454630676</v>
      </c>
      <c r="G498" s="101">
        <f t="shared" si="30"/>
        <v>2.5668324007175842</v>
      </c>
      <c r="H498" s="101">
        <f t="shared" si="30"/>
        <v>3.3205801037728331</v>
      </c>
      <c r="I498" s="101">
        <f t="shared" si="30"/>
        <v>6.6037577365055382</v>
      </c>
      <c r="J498" s="101">
        <f t="shared" si="30"/>
        <v>27.676132266978478</v>
      </c>
      <c r="K498" s="101">
        <f t="shared" si="30"/>
        <v>2.3313733012771407</v>
      </c>
      <c r="L498" s="101">
        <f t="shared" si="30"/>
        <v>10.482822416629039</v>
      </c>
      <c r="M498" s="101">
        <f t="shared" si="30"/>
        <v>8.1022569468270458</v>
      </c>
      <c r="N498" s="101">
        <f t="shared" si="30"/>
        <v>12.162739830952983</v>
      </c>
      <c r="O498" s="101">
        <f t="shared" si="30"/>
        <v>24.552788576241767</v>
      </c>
      <c r="P498" s="101">
        <f t="shared" si="30"/>
        <v>32.977361956496011</v>
      </c>
      <c r="Q498" s="101">
        <f t="shared" si="30"/>
        <v>7.1145718437500118</v>
      </c>
      <c r="R498" s="101">
        <f t="shared" si="30"/>
        <v>117.40655895115931</v>
      </c>
      <c r="S498" s="101">
        <f t="shared" si="30"/>
        <v>41.191580723009153</v>
      </c>
      <c r="T498" s="101">
        <f t="shared" si="30"/>
        <v>151.00826121650903</v>
      </c>
      <c r="U498" s="101">
        <f t="shared" si="30"/>
        <v>129.57000671357829</v>
      </c>
      <c r="V498" s="101">
        <f t="shared" si="30"/>
        <v>243.76734446858569</v>
      </c>
      <c r="W498" s="101">
        <f t="shared" si="30"/>
        <v>10.359329027558921</v>
      </c>
      <c r="X498" s="101">
        <f t="shared" si="30"/>
        <v>2.5267762818567578</v>
      </c>
      <c r="Y498" s="101">
        <f t="shared" si="30"/>
        <v>15.382210922390712</v>
      </c>
      <c r="Z498" s="101">
        <f t="shared" si="30"/>
        <v>13.725401436683635</v>
      </c>
      <c r="AA498" s="101">
        <f t="shared" si="30"/>
        <v>28.770455732976135</v>
      </c>
      <c r="AB498" s="101">
        <f t="shared" si="30"/>
        <v>43.769064694023633</v>
      </c>
      <c r="AC498" s="101">
        <f t="shared" si="30"/>
        <v>182.59872021992874</v>
      </c>
      <c r="AD498" s="101">
        <f t="shared" si="30"/>
        <v>3.6920756550416267</v>
      </c>
      <c r="AE498" s="101">
        <f t="shared" si="30"/>
        <v>19.80477622091805</v>
      </c>
      <c r="AF498" s="101">
        <f t="shared" si="30"/>
        <v>3.1675751132719889</v>
      </c>
      <c r="AG498" s="101">
        <f t="shared" si="30"/>
        <v>43.476799819453305</v>
      </c>
      <c r="AH498" s="101">
        <f t="shared" si="30"/>
        <v>27.651002040834445</v>
      </c>
      <c r="AI498" s="101">
        <f t="shared" si="30"/>
        <v>3.3194020848969723</v>
      </c>
      <c r="AJ498" s="101">
        <f t="shared" si="30"/>
        <v>10.39610909157739</v>
      </c>
      <c r="AK498" s="101">
        <f t="shared" si="30"/>
        <v>5.6432576659792701</v>
      </c>
      <c r="AL498" s="101">
        <f t="shared" si="30"/>
        <v>3.1473425685163581</v>
      </c>
      <c r="AM498" s="381">
        <f t="shared" si="25"/>
        <v>1244.2873590743611</v>
      </c>
    </row>
    <row r="499" spans="1:39" x14ac:dyDescent="0.2">
      <c r="A499" s="8"/>
      <c r="B499" s="158" t="s">
        <v>183</v>
      </c>
      <c r="C499" s="213" t="s">
        <v>176</v>
      </c>
      <c r="D499" s="158"/>
      <c r="E499" s="101"/>
      <c r="F499" s="101">
        <f t="shared" ref="F499:AL499" si="31">F135*0.44*(1-F304/100)</f>
        <v>59.004617515367094</v>
      </c>
      <c r="G499" s="101">
        <f t="shared" si="31"/>
        <v>133.79463820800791</v>
      </c>
      <c r="H499" s="101">
        <f t="shared" si="31"/>
        <v>33.55391353227342</v>
      </c>
      <c r="I499" s="101">
        <f t="shared" si="31"/>
        <v>462.38237439808552</v>
      </c>
      <c r="J499" s="101">
        <f t="shared" si="31"/>
        <v>536.07098750329135</v>
      </c>
      <c r="K499" s="101">
        <f t="shared" si="31"/>
        <v>131.9610179530122</v>
      </c>
      <c r="L499" s="101">
        <f t="shared" si="31"/>
        <v>133.55650600287098</v>
      </c>
      <c r="M499" s="101">
        <f t="shared" si="31"/>
        <v>482.25749286354909</v>
      </c>
      <c r="N499" s="101">
        <f t="shared" si="31"/>
        <v>371.1475158978655</v>
      </c>
      <c r="O499" s="101">
        <f t="shared" si="31"/>
        <v>353.64155482404811</v>
      </c>
      <c r="P499" s="101">
        <f t="shared" si="31"/>
        <v>450.17126490620279</v>
      </c>
      <c r="Q499" s="101">
        <f t="shared" si="31"/>
        <v>63.548886542092959</v>
      </c>
      <c r="R499" s="101">
        <f t="shared" si="31"/>
        <v>711.51394203898633</v>
      </c>
      <c r="S499" s="101">
        <f t="shared" si="31"/>
        <v>394.18595005667981</v>
      </c>
      <c r="T499" s="101">
        <f t="shared" si="31"/>
        <v>900.21418464192391</v>
      </c>
      <c r="U499" s="101">
        <f t="shared" si="31"/>
        <v>678.41855815823465</v>
      </c>
      <c r="V499" s="101">
        <f t="shared" si="31"/>
        <v>660.27084237896531</v>
      </c>
      <c r="W499" s="101">
        <f t="shared" si="31"/>
        <v>69.275274981881353</v>
      </c>
      <c r="X499" s="101">
        <f t="shared" si="31"/>
        <v>13.648473037309381</v>
      </c>
      <c r="Y499" s="101">
        <f t="shared" si="31"/>
        <v>69.361613409501444</v>
      </c>
      <c r="Z499" s="101">
        <f t="shared" si="31"/>
        <v>49.046989953944021</v>
      </c>
      <c r="AA499" s="101">
        <f t="shared" si="31"/>
        <v>97.983665369795261</v>
      </c>
      <c r="AB499" s="101">
        <f t="shared" si="31"/>
        <v>100.61447998286388</v>
      </c>
      <c r="AC499" s="101">
        <f t="shared" si="31"/>
        <v>490.48537737708239</v>
      </c>
      <c r="AD499" s="101">
        <f t="shared" si="31"/>
        <v>11.425599311567884</v>
      </c>
      <c r="AE499" s="101">
        <f t="shared" si="31"/>
        <v>41.069257668338871</v>
      </c>
      <c r="AF499" s="101">
        <f t="shared" si="31"/>
        <v>5.5320161051785695</v>
      </c>
      <c r="AG499" s="101">
        <f t="shared" si="31"/>
        <v>99.84284513540382</v>
      </c>
      <c r="AH499" s="101">
        <f t="shared" si="31"/>
        <v>43.00432217553972</v>
      </c>
      <c r="AI499" s="101">
        <f t="shared" si="31"/>
        <v>6.7447498566234216</v>
      </c>
      <c r="AJ499" s="101">
        <f t="shared" si="31"/>
        <v>29.643182163452956</v>
      </c>
      <c r="AK499" s="101">
        <f t="shared" si="31"/>
        <v>22.888870806272724</v>
      </c>
      <c r="AL499" s="101">
        <f t="shared" si="31"/>
        <v>10.387753333671442</v>
      </c>
      <c r="AM499" s="381">
        <f t="shared" si="25"/>
        <v>7716.6487180898821</v>
      </c>
    </row>
    <row r="500" spans="1:39" x14ac:dyDescent="0.2">
      <c r="A500" s="8"/>
      <c r="B500" s="57" t="s">
        <v>184</v>
      </c>
      <c r="C500" s="213" t="s">
        <v>176</v>
      </c>
      <c r="D500" s="158"/>
      <c r="E500" s="101"/>
      <c r="F500" s="101">
        <f t="shared" ref="F500:AL500" si="32">F136*0.44*(1-F305/100)</f>
        <v>123.50604725797204</v>
      </c>
      <c r="G500" s="101">
        <f t="shared" si="32"/>
        <v>136.65900091274227</v>
      </c>
      <c r="H500" s="101">
        <f t="shared" si="32"/>
        <v>101.27826025910677</v>
      </c>
      <c r="I500" s="101">
        <f t="shared" si="32"/>
        <v>175.78241793915595</v>
      </c>
      <c r="J500" s="101">
        <f t="shared" si="32"/>
        <v>74.620562554511892</v>
      </c>
      <c r="K500" s="101">
        <f t="shared" si="32"/>
        <v>24.674546367221609</v>
      </c>
      <c r="L500" s="101">
        <f t="shared" si="32"/>
        <v>17.959305336014715</v>
      </c>
      <c r="M500" s="101">
        <f t="shared" si="32"/>
        <v>108.56392246436148</v>
      </c>
      <c r="N500" s="101">
        <f t="shared" si="32"/>
        <v>231.82390004445327</v>
      </c>
      <c r="O500" s="101">
        <f t="shared" si="32"/>
        <v>183.08652075869028</v>
      </c>
      <c r="P500" s="101">
        <f t="shared" si="32"/>
        <v>159.6805845244721</v>
      </c>
      <c r="Q500" s="101">
        <f t="shared" si="32"/>
        <v>17.166677881192964</v>
      </c>
      <c r="R500" s="101">
        <f t="shared" si="32"/>
        <v>37.549200171400123</v>
      </c>
      <c r="S500" s="101">
        <f t="shared" si="32"/>
        <v>55.380064010858163</v>
      </c>
      <c r="T500" s="101">
        <f t="shared" si="32"/>
        <v>158.72723588838178</v>
      </c>
      <c r="U500" s="101">
        <f t="shared" si="32"/>
        <v>359.81171030280592</v>
      </c>
      <c r="V500" s="101">
        <f t="shared" si="32"/>
        <v>80.288409864736835</v>
      </c>
      <c r="W500" s="101">
        <f t="shared" si="32"/>
        <v>8.2880453252868467</v>
      </c>
      <c r="X500" s="101">
        <f t="shared" si="32"/>
        <v>1.6424364423987523</v>
      </c>
      <c r="Y500" s="101">
        <f t="shared" si="32"/>
        <v>7.4398483766250258</v>
      </c>
      <c r="Z500" s="101">
        <f t="shared" si="32"/>
        <v>6.8196537810958624</v>
      </c>
      <c r="AA500" s="101">
        <f t="shared" si="32"/>
        <v>9.0298577003326717</v>
      </c>
      <c r="AB500" s="101">
        <f t="shared" si="32"/>
        <v>9.489695041479008</v>
      </c>
      <c r="AC500" s="101">
        <f t="shared" si="32"/>
        <v>76.852134597151931</v>
      </c>
      <c r="AD500" s="101">
        <f t="shared" si="32"/>
        <v>1.3477686314795396</v>
      </c>
      <c r="AE500" s="101">
        <f t="shared" si="32"/>
        <v>3.0800580331061584</v>
      </c>
      <c r="AF500" s="101">
        <f t="shared" si="32"/>
        <v>0.86090860598698227</v>
      </c>
      <c r="AG500" s="101">
        <f t="shared" si="32"/>
        <v>5.8232024861917022</v>
      </c>
      <c r="AH500" s="101">
        <f t="shared" si="32"/>
        <v>0.23850330897519861</v>
      </c>
      <c r="AI500" s="101">
        <f t="shared" si="32"/>
        <v>1.143072794265358</v>
      </c>
      <c r="AJ500" s="101">
        <f t="shared" si="32"/>
        <v>4.4478342374105191</v>
      </c>
      <c r="AK500" s="101">
        <f t="shared" si="32"/>
        <v>1.3278070193182552</v>
      </c>
      <c r="AL500" s="101">
        <f t="shared" si="32"/>
        <v>0</v>
      </c>
      <c r="AM500" s="381">
        <f t="shared" si="25"/>
        <v>2184.3891929191823</v>
      </c>
    </row>
    <row r="501" spans="1:39" x14ac:dyDescent="0.2">
      <c r="A501" s="8"/>
      <c r="B501" s="57" t="s">
        <v>185</v>
      </c>
      <c r="C501" s="213" t="s">
        <v>176</v>
      </c>
      <c r="D501" s="158"/>
      <c r="E501" s="101"/>
      <c r="F501" s="101">
        <f t="shared" ref="F501:AL501" si="33">F137*0.44*(1-F306/100)</f>
        <v>4.7262366762641292</v>
      </c>
      <c r="G501" s="101">
        <f t="shared" si="33"/>
        <v>0.45323815960519764</v>
      </c>
      <c r="H501" s="101">
        <f t="shared" si="33"/>
        <v>0.77744430088724714</v>
      </c>
      <c r="I501" s="101">
        <f t="shared" si="33"/>
        <v>1.2279321231739637</v>
      </c>
      <c r="J501" s="101">
        <f t="shared" si="33"/>
        <v>1.503299287984418</v>
      </c>
      <c r="K501" s="101">
        <f t="shared" si="33"/>
        <v>2.4982426986619472E-2</v>
      </c>
      <c r="L501" s="101">
        <f t="shared" si="33"/>
        <v>0</v>
      </c>
      <c r="M501" s="101">
        <f t="shared" si="33"/>
        <v>6.925403311606706</v>
      </c>
      <c r="N501" s="101">
        <f t="shared" si="33"/>
        <v>19.749747241384672</v>
      </c>
      <c r="O501" s="101">
        <f t="shared" si="33"/>
        <v>16.13974664176979</v>
      </c>
      <c r="P501" s="101">
        <f t="shared" si="33"/>
        <v>5.4241874384331288</v>
      </c>
      <c r="Q501" s="101">
        <f t="shared" si="33"/>
        <v>0.61707829107050816</v>
      </c>
      <c r="R501" s="101">
        <f t="shared" si="33"/>
        <v>13.251088335150492</v>
      </c>
      <c r="S501" s="101">
        <f t="shared" si="33"/>
        <v>86.304040174224355</v>
      </c>
      <c r="T501" s="101">
        <f t="shared" si="33"/>
        <v>67.871524744421023</v>
      </c>
      <c r="U501" s="101">
        <f t="shared" si="33"/>
        <v>124.29745801160099</v>
      </c>
      <c r="V501" s="101">
        <f t="shared" si="33"/>
        <v>28.594620071458738</v>
      </c>
      <c r="W501" s="101">
        <f t="shared" si="33"/>
        <v>2.852656324490721</v>
      </c>
      <c r="X501" s="101">
        <f t="shared" si="33"/>
        <v>0.99299870411038227</v>
      </c>
      <c r="Y501" s="101">
        <f t="shared" si="33"/>
        <v>4.258655171616577</v>
      </c>
      <c r="Z501" s="101">
        <f t="shared" si="33"/>
        <v>9.1872519244334558</v>
      </c>
      <c r="AA501" s="101">
        <f t="shared" si="33"/>
        <v>11.850478217628048</v>
      </c>
      <c r="AB501" s="101">
        <f t="shared" si="33"/>
        <v>34.486750652673877</v>
      </c>
      <c r="AC501" s="101">
        <f t="shared" si="33"/>
        <v>317.84264215543135</v>
      </c>
      <c r="AD501" s="101">
        <f t="shared" si="33"/>
        <v>4.5801484870484295</v>
      </c>
      <c r="AE501" s="101">
        <f t="shared" si="33"/>
        <v>3.5347069690322148</v>
      </c>
      <c r="AF501" s="101">
        <f t="shared" si="33"/>
        <v>3.121539287296911</v>
      </c>
      <c r="AG501" s="101">
        <f t="shared" si="33"/>
        <v>16.686349128526686</v>
      </c>
      <c r="AH501" s="101">
        <f t="shared" si="33"/>
        <v>0.85840514351665431</v>
      </c>
      <c r="AI501" s="101">
        <f t="shared" si="33"/>
        <v>5.3316103149321235</v>
      </c>
      <c r="AJ501" s="101">
        <f t="shared" si="33"/>
        <v>17.85613216993875</v>
      </c>
      <c r="AK501" s="101">
        <f t="shared" si="33"/>
        <v>3.2736928533969816</v>
      </c>
      <c r="AL501" s="101">
        <f t="shared" si="33"/>
        <v>3.7294471039988425E-2</v>
      </c>
      <c r="AM501" s="381">
        <f t="shared" si="25"/>
        <v>814.63933921113505</v>
      </c>
    </row>
    <row r="502" spans="1:39" x14ac:dyDescent="0.2">
      <c r="A502" s="8"/>
      <c r="B502" s="57" t="s">
        <v>186</v>
      </c>
      <c r="C502" s="213" t="s">
        <v>176</v>
      </c>
      <c r="D502" s="158"/>
      <c r="E502" s="101"/>
      <c r="F502" s="101">
        <f t="shared" ref="F502:AL502" si="34">F138*0.44*(1-F307/100)</f>
        <v>5.4578015805904899E-2</v>
      </c>
      <c r="G502" s="101">
        <f t="shared" si="34"/>
        <v>8.7951906002075898E-3</v>
      </c>
      <c r="H502" s="101">
        <f t="shared" si="34"/>
        <v>8.0121542609388995E-3</v>
      </c>
      <c r="I502" s="101">
        <f t="shared" si="34"/>
        <v>1.4465343193331006E-2</v>
      </c>
      <c r="J502" s="101">
        <f t="shared" si="34"/>
        <v>0</v>
      </c>
      <c r="K502" s="101">
        <f t="shared" si="34"/>
        <v>0</v>
      </c>
      <c r="L502" s="101">
        <f t="shared" si="34"/>
        <v>0</v>
      </c>
      <c r="M502" s="101">
        <f t="shared" si="34"/>
        <v>3.0770716288573578E-2</v>
      </c>
      <c r="N502" s="101">
        <f t="shared" si="34"/>
        <v>0.70485050460196119</v>
      </c>
      <c r="O502" s="101">
        <f t="shared" si="34"/>
        <v>4.3760879536361363</v>
      </c>
      <c r="P502" s="101">
        <f t="shared" si="34"/>
        <v>1.3202286026740522</v>
      </c>
      <c r="Q502" s="101">
        <f t="shared" si="34"/>
        <v>1.47167681154236</v>
      </c>
      <c r="R502" s="101">
        <f t="shared" si="34"/>
        <v>2.8168013245043262E-2</v>
      </c>
      <c r="S502" s="101">
        <f t="shared" si="34"/>
        <v>0.21393535401954245</v>
      </c>
      <c r="T502" s="101">
        <f t="shared" si="34"/>
        <v>0.25296077314041321</v>
      </c>
      <c r="U502" s="101">
        <f t="shared" si="34"/>
        <v>1.4876760416418287</v>
      </c>
      <c r="V502" s="101">
        <f t="shared" si="34"/>
        <v>5.273550405060754</v>
      </c>
      <c r="W502" s="101">
        <f t="shared" si="34"/>
        <v>2.5151196030643455</v>
      </c>
      <c r="X502" s="101">
        <f t="shared" si="34"/>
        <v>0.46586222173462477</v>
      </c>
      <c r="Y502" s="101">
        <f t="shared" si="34"/>
        <v>1.7614940898030205</v>
      </c>
      <c r="Z502" s="101">
        <f t="shared" si="34"/>
        <v>1.4611398344764426</v>
      </c>
      <c r="AA502" s="101">
        <f t="shared" si="34"/>
        <v>1.86323437080071</v>
      </c>
      <c r="AB502" s="101">
        <f t="shared" si="34"/>
        <v>2.7986148673208313</v>
      </c>
      <c r="AC502" s="101">
        <f t="shared" si="34"/>
        <v>46.848765257098755</v>
      </c>
      <c r="AD502" s="101">
        <f t="shared" si="34"/>
        <v>0.54763606596155634</v>
      </c>
      <c r="AE502" s="101">
        <f t="shared" si="34"/>
        <v>1.8854437341016137</v>
      </c>
      <c r="AF502" s="101">
        <f t="shared" si="34"/>
        <v>0.48669743993021508</v>
      </c>
      <c r="AG502" s="101">
        <f t="shared" si="34"/>
        <v>0.70726965598243929</v>
      </c>
      <c r="AH502" s="101">
        <f t="shared" si="34"/>
        <v>1.179481120902603E-2</v>
      </c>
      <c r="AI502" s="101">
        <f t="shared" si="34"/>
        <v>5.7129504263180197E-2</v>
      </c>
      <c r="AJ502" s="101">
        <f t="shared" si="34"/>
        <v>0.31719153702049008</v>
      </c>
      <c r="AK502" s="101">
        <f t="shared" si="34"/>
        <v>1.8689859639133388E-2</v>
      </c>
      <c r="AL502" s="101">
        <f t="shared" si="34"/>
        <v>0</v>
      </c>
      <c r="AM502" s="381">
        <f t="shared" si="25"/>
        <v>76.991838732117429</v>
      </c>
    </row>
    <row r="503" spans="1:39" x14ac:dyDescent="0.2">
      <c r="A503" s="8"/>
      <c r="B503" s="57" t="s">
        <v>187</v>
      </c>
      <c r="C503" s="213" t="s">
        <v>176</v>
      </c>
      <c r="D503" s="158"/>
      <c r="E503" s="101"/>
      <c r="F503" s="101">
        <f t="shared" ref="F503:AL503" si="35">F139*0.44*(1-F308/100)</f>
        <v>0.56012095133011741</v>
      </c>
      <c r="G503" s="101">
        <f t="shared" si="35"/>
        <v>0.76397224351053183</v>
      </c>
      <c r="H503" s="101">
        <f t="shared" si="35"/>
        <v>0.60417886364565732</v>
      </c>
      <c r="I503" s="101">
        <f t="shared" si="35"/>
        <v>1.385919623617285</v>
      </c>
      <c r="J503" s="101">
        <f t="shared" si="35"/>
        <v>0.20913028140171594</v>
      </c>
      <c r="K503" s="101">
        <f t="shared" si="35"/>
        <v>3.335185466727536E-2</v>
      </c>
      <c r="L503" s="101">
        <f t="shared" si="35"/>
        <v>1.4020409542364838E-2</v>
      </c>
      <c r="M503" s="101">
        <f t="shared" si="35"/>
        <v>0.26035392988602513</v>
      </c>
      <c r="N503" s="101">
        <f t="shared" si="35"/>
        <v>1.0414349543903298</v>
      </c>
      <c r="O503" s="101">
        <f t="shared" si="35"/>
        <v>2.2338909449585649</v>
      </c>
      <c r="P503" s="101">
        <f t="shared" si="35"/>
        <v>0.29756319228447048</v>
      </c>
      <c r="Q503" s="101">
        <f t="shared" si="35"/>
        <v>0.12932259782230687</v>
      </c>
      <c r="R503" s="101">
        <f t="shared" si="35"/>
        <v>0.95543818467063524</v>
      </c>
      <c r="S503" s="101">
        <f t="shared" si="35"/>
        <v>1.1372095467382695</v>
      </c>
      <c r="T503" s="101">
        <f t="shared" si="35"/>
        <v>2.0830608046923906</v>
      </c>
      <c r="U503" s="101">
        <f t="shared" si="35"/>
        <v>3.1360406502558495</v>
      </c>
      <c r="V503" s="101">
        <f t="shared" si="35"/>
        <v>0.42820706640775225</v>
      </c>
      <c r="W503" s="101">
        <f t="shared" si="35"/>
        <v>9.2958323484369429E-3</v>
      </c>
      <c r="X503" s="101">
        <f t="shared" si="35"/>
        <v>0</v>
      </c>
      <c r="Y503" s="101">
        <f t="shared" si="35"/>
        <v>9.0369311189874325E-3</v>
      </c>
      <c r="Z503" s="101">
        <f t="shared" si="35"/>
        <v>4.8191328358617898E-2</v>
      </c>
      <c r="AA503" s="101">
        <f t="shared" si="35"/>
        <v>7.8348088138453873E-3</v>
      </c>
      <c r="AB503" s="101">
        <f t="shared" si="35"/>
        <v>0.18517791126210717</v>
      </c>
      <c r="AC503" s="101">
        <f t="shared" si="35"/>
        <v>0.60590430011398011</v>
      </c>
      <c r="AD503" s="101">
        <f t="shared" si="35"/>
        <v>4.0422442413220537E-2</v>
      </c>
      <c r="AE503" s="101">
        <f t="shared" si="35"/>
        <v>2.0249100003870108E-2</v>
      </c>
      <c r="AF503" s="101">
        <f t="shared" si="35"/>
        <v>2.2407884319639252E-2</v>
      </c>
      <c r="AG503" s="101">
        <f t="shared" si="35"/>
        <v>5.6834247887754735E-2</v>
      </c>
      <c r="AH503" s="101">
        <f t="shared" si="35"/>
        <v>7.6054956424055032E-3</v>
      </c>
      <c r="AI503" s="101">
        <f t="shared" si="35"/>
        <v>1.5804250279659302E-2</v>
      </c>
      <c r="AJ503" s="101">
        <f t="shared" si="35"/>
        <v>4.6282300211910335E-2</v>
      </c>
      <c r="AK503" s="101">
        <f t="shared" si="35"/>
        <v>3.191188944110229E-3</v>
      </c>
      <c r="AL503" s="101">
        <f t="shared" si="35"/>
        <v>3.7294471039988441E-3</v>
      </c>
      <c r="AM503" s="381">
        <f t="shared" si="25"/>
        <v>16.355183568644083</v>
      </c>
    </row>
    <row r="504" spans="1:39" x14ac:dyDescent="0.2">
      <c r="A504" s="8"/>
      <c r="B504" s="57" t="s">
        <v>188</v>
      </c>
      <c r="C504" s="213" t="s">
        <v>176</v>
      </c>
      <c r="D504" s="158"/>
      <c r="E504" s="101"/>
      <c r="F504" s="101">
        <f t="shared" ref="F504:AL504" si="36">F140*0.44*(1-F309/100)</f>
        <v>36.874633907086952</v>
      </c>
      <c r="G504" s="101">
        <f t="shared" si="36"/>
        <v>8.7929148446397853</v>
      </c>
      <c r="H504" s="101">
        <f t="shared" si="36"/>
        <v>1.1267482131763227</v>
      </c>
      <c r="I504" s="101">
        <f t="shared" si="36"/>
        <v>51.506013011769177</v>
      </c>
      <c r="J504" s="101">
        <f t="shared" si="36"/>
        <v>9.9574016492895119</v>
      </c>
      <c r="K504" s="101">
        <f t="shared" si="36"/>
        <v>5.0976789098261603</v>
      </c>
      <c r="L504" s="101">
        <f t="shared" si="36"/>
        <v>0.51857223137738395</v>
      </c>
      <c r="M504" s="101">
        <f t="shared" si="36"/>
        <v>15.189155078541591</v>
      </c>
      <c r="N504" s="101">
        <f t="shared" si="36"/>
        <v>10.999455349136518</v>
      </c>
      <c r="O504" s="101">
        <f t="shared" si="36"/>
        <v>1.3939594259657155</v>
      </c>
      <c r="P504" s="101">
        <f t="shared" si="36"/>
        <v>1.8234177971077334</v>
      </c>
      <c r="Q504" s="101">
        <f t="shared" si="36"/>
        <v>7.692148023129497E-2</v>
      </c>
      <c r="R504" s="101">
        <f t="shared" si="36"/>
        <v>1.8085344146036868</v>
      </c>
      <c r="S504" s="101">
        <f t="shared" si="36"/>
        <v>1.5750119145155559</v>
      </c>
      <c r="T504" s="101">
        <f t="shared" si="36"/>
        <v>4.0715548956114107</v>
      </c>
      <c r="U504" s="101">
        <f t="shared" si="36"/>
        <v>5.7308319334514497</v>
      </c>
      <c r="V504" s="101">
        <f t="shared" si="36"/>
        <v>1.1751014713817498</v>
      </c>
      <c r="W504" s="101">
        <f t="shared" si="36"/>
        <v>0.19553323008191423</v>
      </c>
      <c r="X504" s="101">
        <f t="shared" si="36"/>
        <v>3.3428375935679049E-3</v>
      </c>
      <c r="Y504" s="101">
        <f t="shared" si="36"/>
        <v>5.6239005587582339E-2</v>
      </c>
      <c r="Z504" s="101">
        <f t="shared" si="36"/>
        <v>0.22444480580244733</v>
      </c>
      <c r="AA504" s="101">
        <f t="shared" si="36"/>
        <v>9.9673887918596202E-2</v>
      </c>
      <c r="AB504" s="101">
        <f t="shared" si="36"/>
        <v>1.2651906980640865E-2</v>
      </c>
      <c r="AC504" s="101">
        <f t="shared" si="36"/>
        <v>8.890819149360361</v>
      </c>
      <c r="AD504" s="101">
        <f t="shared" si="36"/>
        <v>0.15084321364530756</v>
      </c>
      <c r="AE504" s="101">
        <f t="shared" si="36"/>
        <v>0.34718474377264941</v>
      </c>
      <c r="AF504" s="101">
        <f t="shared" si="36"/>
        <v>4.5689389941455778E-2</v>
      </c>
      <c r="AG504" s="101">
        <f t="shared" si="36"/>
        <v>0.53983232927461744</v>
      </c>
      <c r="AH504" s="101">
        <f t="shared" si="36"/>
        <v>9.9338920624800018E-3</v>
      </c>
      <c r="AI504" s="101">
        <f t="shared" si="36"/>
        <v>0.10882406272883047</v>
      </c>
      <c r="AJ504" s="101">
        <f t="shared" si="36"/>
        <v>0.13048453048380626</v>
      </c>
      <c r="AK504" s="101">
        <f t="shared" si="36"/>
        <v>4.3839931043172846E-2</v>
      </c>
      <c r="AL504" s="101">
        <f t="shared" si="36"/>
        <v>1.5290733126395254E-2</v>
      </c>
      <c r="AM504" s="381">
        <f t="shared" si="25"/>
        <v>168.59253417711585</v>
      </c>
    </row>
    <row r="505" spans="1:39" x14ac:dyDescent="0.2">
      <c r="A505" s="8"/>
      <c r="B505" s="57" t="s">
        <v>189</v>
      </c>
      <c r="C505" s="213" t="s">
        <v>176</v>
      </c>
      <c r="D505" s="158"/>
      <c r="E505" s="101"/>
      <c r="F505" s="101">
        <f t="shared" ref="F505:AL505" si="37">F141*0.44*(1-F310/100)</f>
        <v>45.940735855054818</v>
      </c>
      <c r="G505" s="101">
        <f t="shared" si="37"/>
        <v>30.521872981982643</v>
      </c>
      <c r="H505" s="101">
        <f t="shared" si="37"/>
        <v>20.716356124522925</v>
      </c>
      <c r="I505" s="101">
        <f t="shared" si="37"/>
        <v>79.117034207553885</v>
      </c>
      <c r="J505" s="101">
        <f t="shared" si="37"/>
        <v>26.843006599834752</v>
      </c>
      <c r="K505" s="101">
        <f t="shared" si="37"/>
        <v>5.9908059186001132</v>
      </c>
      <c r="L505" s="101">
        <f t="shared" si="37"/>
        <v>0.79447194056831028</v>
      </c>
      <c r="M505" s="101">
        <f t="shared" si="37"/>
        <v>17.964121872494026</v>
      </c>
      <c r="N505" s="101">
        <f t="shared" si="37"/>
        <v>50.499689857908749</v>
      </c>
      <c r="O505" s="101">
        <f t="shared" si="37"/>
        <v>9.6411955558376654</v>
      </c>
      <c r="P505" s="101">
        <f t="shared" si="37"/>
        <v>7.2639487874115964</v>
      </c>
      <c r="Q505" s="101">
        <f t="shared" si="37"/>
        <v>0.2450811120998462</v>
      </c>
      <c r="R505" s="101">
        <f t="shared" si="37"/>
        <v>6.4804131374646454</v>
      </c>
      <c r="S505" s="101">
        <f t="shared" si="37"/>
        <v>15.934548121570066</v>
      </c>
      <c r="T505" s="101">
        <f t="shared" si="37"/>
        <v>20.889493681605103</v>
      </c>
      <c r="U505" s="101">
        <f t="shared" si="37"/>
        <v>39.131237557046148</v>
      </c>
      <c r="V505" s="101">
        <f t="shared" si="37"/>
        <v>6.6721850970151166</v>
      </c>
      <c r="W505" s="101">
        <f t="shared" si="37"/>
        <v>0.18678386199932784</v>
      </c>
      <c r="X505" s="101">
        <f t="shared" si="37"/>
        <v>8.2030286382133638E-2</v>
      </c>
      <c r="Y505" s="101">
        <f t="shared" si="37"/>
        <v>0.78549447460238486</v>
      </c>
      <c r="Z505" s="101">
        <f t="shared" si="37"/>
        <v>2.5984651406258497</v>
      </c>
      <c r="AA505" s="101">
        <f t="shared" si="37"/>
        <v>2.8734161324777965</v>
      </c>
      <c r="AB505" s="101">
        <f t="shared" si="37"/>
        <v>0.13050910420095937</v>
      </c>
      <c r="AC505" s="101">
        <f t="shared" si="37"/>
        <v>22.165163912429332</v>
      </c>
      <c r="AD505" s="101">
        <f t="shared" si="37"/>
        <v>0.2807276253477568</v>
      </c>
      <c r="AE505" s="101">
        <f t="shared" si="37"/>
        <v>0.31368404743757522</v>
      </c>
      <c r="AF505" s="101">
        <f t="shared" si="37"/>
        <v>0.15123690151830013</v>
      </c>
      <c r="AG505" s="101">
        <f t="shared" si="37"/>
        <v>0.49334607850812506</v>
      </c>
      <c r="AH505" s="101">
        <f t="shared" si="37"/>
        <v>4.4724989150079643E-2</v>
      </c>
      <c r="AI505" s="101">
        <f t="shared" si="37"/>
        <v>0.5509229349466529</v>
      </c>
      <c r="AJ505" s="101">
        <f t="shared" si="37"/>
        <v>1.6168300830847135</v>
      </c>
      <c r="AK505" s="101">
        <f t="shared" si="37"/>
        <v>0.7313076468688704</v>
      </c>
      <c r="AL505" s="101">
        <f t="shared" si="37"/>
        <v>0.1407866281759563</v>
      </c>
      <c r="AM505" s="381">
        <f t="shared" si="25"/>
        <v>417.79162825632619</v>
      </c>
    </row>
    <row r="506" spans="1:39" x14ac:dyDescent="0.2">
      <c r="A506" s="8"/>
      <c r="B506" s="57" t="s">
        <v>190</v>
      </c>
      <c r="C506" s="213" t="s">
        <v>176</v>
      </c>
      <c r="D506" s="158"/>
      <c r="E506" s="101"/>
      <c r="F506" s="101">
        <f t="shared" ref="F506:AL506" si="38">F142*0.44*(1-F311/100)</f>
        <v>0.1730855357629644</v>
      </c>
      <c r="G506" s="101">
        <f t="shared" si="38"/>
        <v>6.8712426564121798E-2</v>
      </c>
      <c r="H506" s="101">
        <f t="shared" si="38"/>
        <v>0.17639225848238463</v>
      </c>
      <c r="I506" s="101">
        <f t="shared" si="38"/>
        <v>6.7061297771497733E-2</v>
      </c>
      <c r="J506" s="101">
        <f t="shared" si="38"/>
        <v>0.13097481689429846</v>
      </c>
      <c r="K506" s="101">
        <f t="shared" si="38"/>
        <v>2.5748051323321072E-2</v>
      </c>
      <c r="L506" s="101">
        <f t="shared" si="38"/>
        <v>5.1271873729369512E-2</v>
      </c>
      <c r="M506" s="101">
        <f t="shared" si="38"/>
        <v>2.8058403910553417E-3</v>
      </c>
      <c r="N506" s="101">
        <f t="shared" si="38"/>
        <v>1.6134993177693971E-2</v>
      </c>
      <c r="O506" s="101">
        <f t="shared" si="38"/>
        <v>1.3672949332992764E-2</v>
      </c>
      <c r="P506" s="101">
        <f t="shared" si="38"/>
        <v>4.861609972309288E-2</v>
      </c>
      <c r="Q506" s="101">
        <f t="shared" si="38"/>
        <v>2.34439869783435E-2</v>
      </c>
      <c r="R506" s="101">
        <f t="shared" si="38"/>
        <v>0.59308464308007025</v>
      </c>
      <c r="S506" s="101">
        <f t="shared" si="38"/>
        <v>0.48471895117733138</v>
      </c>
      <c r="T506" s="101">
        <f t="shared" si="38"/>
        <v>1.6684682995181421</v>
      </c>
      <c r="U506" s="101">
        <f t="shared" si="38"/>
        <v>1.4153707282953811</v>
      </c>
      <c r="V506" s="101">
        <f t="shared" si="38"/>
        <v>0.34060572193338862</v>
      </c>
      <c r="W506" s="101">
        <f t="shared" si="38"/>
        <v>3.0708915809213415E-2</v>
      </c>
      <c r="X506" s="101">
        <f t="shared" si="38"/>
        <v>2.4251026638970577E-3</v>
      </c>
      <c r="Y506" s="101">
        <f t="shared" si="38"/>
        <v>6.649191520576074E-2</v>
      </c>
      <c r="Z506" s="101">
        <f t="shared" si="38"/>
        <v>4.1487025102115967E-3</v>
      </c>
      <c r="AA506" s="101">
        <f t="shared" si="38"/>
        <v>5.4788680582434579E-2</v>
      </c>
      <c r="AB506" s="101">
        <f t="shared" si="38"/>
        <v>1.1833742424254529E-2</v>
      </c>
      <c r="AC506" s="101">
        <f t="shared" si="38"/>
        <v>0.22311667324677809</v>
      </c>
      <c r="AD506" s="101">
        <f t="shared" si="38"/>
        <v>2.4134914183249208E-2</v>
      </c>
      <c r="AE506" s="101">
        <f t="shared" si="38"/>
        <v>0.21560099427197602</v>
      </c>
      <c r="AF506" s="101">
        <f t="shared" si="38"/>
        <v>1.3355360136733229E-2</v>
      </c>
      <c r="AG506" s="101">
        <f t="shared" si="38"/>
        <v>0.13238880221149169</v>
      </c>
      <c r="AH506" s="101">
        <f t="shared" si="38"/>
        <v>6.6076114623735789E-3</v>
      </c>
      <c r="AI506" s="101">
        <f t="shared" si="38"/>
        <v>0</v>
      </c>
      <c r="AJ506" s="101">
        <f t="shared" si="38"/>
        <v>0</v>
      </c>
      <c r="AK506" s="101">
        <f t="shared" si="38"/>
        <v>9.2427728564168222E-4</v>
      </c>
      <c r="AL506" s="101">
        <f t="shared" si="38"/>
        <v>0</v>
      </c>
      <c r="AM506" s="381">
        <f t="shared" si="25"/>
        <v>6.0866941661294653</v>
      </c>
    </row>
    <row r="507" spans="1:39" x14ac:dyDescent="0.2">
      <c r="A507" s="8"/>
      <c r="B507" s="57" t="s">
        <v>191</v>
      </c>
      <c r="C507" s="213" t="s">
        <v>176</v>
      </c>
      <c r="D507" s="158"/>
      <c r="E507" s="101"/>
      <c r="F507" s="101">
        <f t="shared" ref="F507:AL507" si="39">F143*0.44*(1-F312/100)</f>
        <v>374.50871772632672</v>
      </c>
      <c r="G507" s="101">
        <f t="shared" si="39"/>
        <v>110.04164803148076</v>
      </c>
      <c r="H507" s="101">
        <f t="shared" si="39"/>
        <v>46.091593878833336</v>
      </c>
      <c r="I507" s="101">
        <f t="shared" si="39"/>
        <v>1325.4071418963858</v>
      </c>
      <c r="J507" s="101">
        <f t="shared" si="39"/>
        <v>96.654963175218271</v>
      </c>
      <c r="K507" s="101">
        <f t="shared" si="39"/>
        <v>68.224317001862531</v>
      </c>
      <c r="L507" s="101">
        <f t="shared" si="39"/>
        <v>0.38671290952632964</v>
      </c>
      <c r="M507" s="101">
        <f t="shared" si="39"/>
        <v>556.12072125236148</v>
      </c>
      <c r="N507" s="101">
        <f t="shared" si="39"/>
        <v>633.79346185420695</v>
      </c>
      <c r="O507" s="101">
        <f t="shared" si="39"/>
        <v>12.943726774977208</v>
      </c>
      <c r="P507" s="101">
        <f t="shared" si="39"/>
        <v>0.64646924227923863</v>
      </c>
      <c r="Q507" s="101">
        <f t="shared" si="39"/>
        <v>63.501387026153289</v>
      </c>
      <c r="R507" s="101">
        <f t="shared" si="39"/>
        <v>0.2217852267405557</v>
      </c>
      <c r="S507" s="101">
        <f t="shared" si="39"/>
        <v>0.12939095181202756</v>
      </c>
      <c r="T507" s="101">
        <f t="shared" si="39"/>
        <v>4.2839050815785962</v>
      </c>
      <c r="U507" s="101">
        <f t="shared" si="39"/>
        <v>190.22893936566351</v>
      </c>
      <c r="V507" s="101">
        <f t="shared" si="39"/>
        <v>48.421840085534384</v>
      </c>
      <c r="W507" s="101">
        <f t="shared" si="39"/>
        <v>2.0604525988340283</v>
      </c>
      <c r="X507" s="101">
        <f t="shared" si="39"/>
        <v>0</v>
      </c>
      <c r="Y507" s="101">
        <f t="shared" si="39"/>
        <v>0</v>
      </c>
      <c r="Z507" s="101">
        <f t="shared" si="39"/>
        <v>0</v>
      </c>
      <c r="AA507" s="101">
        <f t="shared" si="39"/>
        <v>0</v>
      </c>
      <c r="AB507" s="101">
        <f t="shared" si="39"/>
        <v>0</v>
      </c>
      <c r="AC507" s="101">
        <f t="shared" si="39"/>
        <v>0.31317956891437976</v>
      </c>
      <c r="AD507" s="101">
        <f t="shared" si="39"/>
        <v>2.7336526915165471E-2</v>
      </c>
      <c r="AE507" s="101">
        <f t="shared" si="39"/>
        <v>0</v>
      </c>
      <c r="AF507" s="101">
        <f t="shared" si="39"/>
        <v>0.14775127656620529</v>
      </c>
      <c r="AG507" s="101">
        <f t="shared" si="39"/>
        <v>0.19705388232850135</v>
      </c>
      <c r="AH507" s="101">
        <f t="shared" si="39"/>
        <v>0</v>
      </c>
      <c r="AI507" s="101">
        <f t="shared" si="39"/>
        <v>0</v>
      </c>
      <c r="AJ507" s="101">
        <f t="shared" si="39"/>
        <v>0</v>
      </c>
      <c r="AK507" s="101">
        <f t="shared" si="39"/>
        <v>0</v>
      </c>
      <c r="AL507" s="101">
        <f t="shared" si="39"/>
        <v>0</v>
      </c>
      <c r="AM507" s="381">
        <f t="shared" si="25"/>
        <v>3534.3524953344986</v>
      </c>
    </row>
    <row r="508" spans="1:39" x14ac:dyDescent="0.2">
      <c r="A508" s="8"/>
      <c r="B508" s="57" t="s">
        <v>192</v>
      </c>
      <c r="C508" s="213" t="s">
        <v>176</v>
      </c>
      <c r="D508" s="158"/>
      <c r="E508" s="101"/>
      <c r="F508" s="101">
        <f t="shared" ref="F508:AL508" si="40">F144*0.44*(1-F313/100)</f>
        <v>19.92622818301761</v>
      </c>
      <c r="G508" s="101">
        <f t="shared" si="40"/>
        <v>16.441977642821481</v>
      </c>
      <c r="H508" s="101">
        <f t="shared" si="40"/>
        <v>23.95045178655575</v>
      </c>
      <c r="I508" s="101">
        <f t="shared" si="40"/>
        <v>237.4973389584014</v>
      </c>
      <c r="J508" s="101">
        <f t="shared" si="40"/>
        <v>5.1088491000065908</v>
      </c>
      <c r="K508" s="101">
        <f t="shared" si="40"/>
        <v>28.789481353568515</v>
      </c>
      <c r="L508" s="101">
        <f t="shared" si="40"/>
        <v>2.1814747064468394</v>
      </c>
      <c r="M508" s="101">
        <f t="shared" si="40"/>
        <v>259.59532527262684</v>
      </c>
      <c r="N508" s="101">
        <f t="shared" si="40"/>
        <v>71.511756970349637</v>
      </c>
      <c r="O508" s="101">
        <f t="shared" si="40"/>
        <v>3.0380159499257418</v>
      </c>
      <c r="P508" s="101">
        <f t="shared" si="40"/>
        <v>1.3907603731303508</v>
      </c>
      <c r="Q508" s="101">
        <f t="shared" si="40"/>
        <v>6.1409233953313507</v>
      </c>
      <c r="R508" s="101">
        <f t="shared" si="40"/>
        <v>23.504700331840649</v>
      </c>
      <c r="S508" s="101">
        <f t="shared" si="40"/>
        <v>2.5279537622093677</v>
      </c>
      <c r="T508" s="101">
        <f t="shared" si="40"/>
        <v>1.5479622884699098</v>
      </c>
      <c r="U508" s="101">
        <f t="shared" si="40"/>
        <v>21.221254867454043</v>
      </c>
      <c r="V508" s="101">
        <f t="shared" si="40"/>
        <v>4.425762857053396</v>
      </c>
      <c r="W508" s="101">
        <f t="shared" si="40"/>
        <v>0.14896951312723852</v>
      </c>
      <c r="X508" s="101">
        <f t="shared" si="40"/>
        <v>0.61341279625938516</v>
      </c>
      <c r="Y508" s="101">
        <f t="shared" si="40"/>
        <v>1.6497980113258646</v>
      </c>
      <c r="Z508" s="101">
        <f t="shared" si="40"/>
        <v>1.5512242727005285</v>
      </c>
      <c r="AA508" s="101">
        <f t="shared" si="40"/>
        <v>1.4152446115360973</v>
      </c>
      <c r="AB508" s="101">
        <f t="shared" si="40"/>
        <v>0.44506198874443142</v>
      </c>
      <c r="AC508" s="101">
        <f t="shared" si="40"/>
        <v>4.9735356982543202</v>
      </c>
      <c r="AD508" s="101">
        <f t="shared" si="40"/>
        <v>2.072988038750792</v>
      </c>
      <c r="AE508" s="101">
        <f t="shared" si="40"/>
        <v>0.19822350151875748</v>
      </c>
      <c r="AF508" s="101">
        <f t="shared" si="40"/>
        <v>1.0741064633771491</v>
      </c>
      <c r="AG508" s="101">
        <f t="shared" si="40"/>
        <v>0.29320645429027059</v>
      </c>
      <c r="AH508" s="101">
        <f t="shared" si="40"/>
        <v>0.25801149519744437</v>
      </c>
      <c r="AI508" s="101">
        <f t="shared" si="40"/>
        <v>2.1293882064316039</v>
      </c>
      <c r="AJ508" s="101">
        <f t="shared" si="40"/>
        <v>6.9264679753235026</v>
      </c>
      <c r="AK508" s="101">
        <f t="shared" si="40"/>
        <v>2.1254096706540979</v>
      </c>
      <c r="AL508" s="101">
        <f t="shared" si="40"/>
        <v>5.3429667992991083</v>
      </c>
      <c r="AM508" s="381">
        <f t="shared" si="25"/>
        <v>760.01823329599995</v>
      </c>
    </row>
    <row r="509" spans="1:39" x14ac:dyDescent="0.2">
      <c r="A509" s="8"/>
      <c r="B509" s="57" t="s">
        <v>193</v>
      </c>
      <c r="C509" s="213" t="s">
        <v>176</v>
      </c>
      <c r="D509" s="158"/>
      <c r="E509" s="101"/>
      <c r="F509" s="101">
        <f t="shared" ref="F509:AL509" si="41">F145*0.44*(1-F314/100)</f>
        <v>2.1699706103375509E-11</v>
      </c>
      <c r="G509" s="101">
        <f t="shared" si="41"/>
        <v>2.5868207647669375E-11</v>
      </c>
      <c r="H509" s="101">
        <f t="shared" si="41"/>
        <v>1.224164134597234E-11</v>
      </c>
      <c r="I509" s="101">
        <f t="shared" si="41"/>
        <v>1.9572226355012689E-11</v>
      </c>
      <c r="J509" s="101">
        <f t="shared" si="41"/>
        <v>2.3497982443865073E-11</v>
      </c>
      <c r="K509" s="101">
        <f t="shared" si="41"/>
        <v>1.2338828955706758E-11</v>
      </c>
      <c r="L509" s="101">
        <f t="shared" si="41"/>
        <v>2.5317880984813042E-11</v>
      </c>
      <c r="M509" s="101">
        <f t="shared" si="41"/>
        <v>2.200659130239484E-11</v>
      </c>
      <c r="N509" s="101">
        <f t="shared" si="41"/>
        <v>1.427243978566472E-11</v>
      </c>
      <c r="O509" s="101">
        <f t="shared" si="41"/>
        <v>2.1096160976652279E-11</v>
      </c>
      <c r="P509" s="101">
        <f t="shared" si="41"/>
        <v>1.4779176082411567E-11</v>
      </c>
      <c r="Q509" s="101">
        <f t="shared" si="41"/>
        <v>2.0590639157142474E-11</v>
      </c>
      <c r="R509" s="101">
        <f t="shared" si="41"/>
        <v>1.2894489926776495E-11</v>
      </c>
      <c r="S509" s="101">
        <f t="shared" si="41"/>
        <v>1.4762230668799491E-11</v>
      </c>
      <c r="T509" s="101">
        <f t="shared" si="41"/>
        <v>1.7432616324104896E-11</v>
      </c>
      <c r="U509" s="101">
        <f t="shared" si="41"/>
        <v>1.9430122093474647E-11</v>
      </c>
      <c r="V509" s="101">
        <f t="shared" si="41"/>
        <v>2.1232057120716405E-11</v>
      </c>
      <c r="W509" s="101">
        <f t="shared" si="41"/>
        <v>1.397606818032241E-11</v>
      </c>
      <c r="X509" s="101">
        <f t="shared" si="41"/>
        <v>1.1188478264807649E-11</v>
      </c>
      <c r="Y509" s="101">
        <f t="shared" si="41"/>
        <v>1.3005117638406089E-11</v>
      </c>
      <c r="Z509" s="101">
        <f t="shared" si="41"/>
        <v>3.9046611860815009E-11</v>
      </c>
      <c r="AA509" s="101">
        <f t="shared" si="41"/>
        <v>1.6170916024448683E-11</v>
      </c>
      <c r="AB509" s="101">
        <f t="shared" si="41"/>
        <v>1.3949949810508693E-11</v>
      </c>
      <c r="AC509" s="101">
        <f t="shared" si="41"/>
        <v>2.7321384732733689E-11</v>
      </c>
      <c r="AD509" s="101">
        <f t="shared" si="41"/>
        <v>2.0816727775788517E-11</v>
      </c>
      <c r="AE509" s="101">
        <f t="shared" si="41"/>
        <v>2.7765117241012077E-11</v>
      </c>
      <c r="AF509" s="101">
        <f t="shared" si="41"/>
        <v>1.1813675485832132E-11</v>
      </c>
      <c r="AG509" s="101">
        <f t="shared" si="41"/>
        <v>2.0846086062172204E-11</v>
      </c>
      <c r="AH509" s="101">
        <f t="shared" si="41"/>
        <v>2.1152817806718129E-11</v>
      </c>
      <c r="AI509" s="101">
        <f t="shared" si="41"/>
        <v>2.1033071971864922E-11</v>
      </c>
      <c r="AJ509" s="101">
        <f t="shared" si="41"/>
        <v>1.2374946580724686E-10</v>
      </c>
      <c r="AK509" s="101">
        <f t="shared" si="41"/>
        <v>2.2892316672239807E-11</v>
      </c>
      <c r="AL509" s="101">
        <f t="shared" si="41"/>
        <v>1.4625282760779776E-10</v>
      </c>
      <c r="AM509" s="381">
        <f t="shared" si="25"/>
        <v>8.7001363021726697E-10</v>
      </c>
    </row>
    <row r="510" spans="1:39" x14ac:dyDescent="0.2">
      <c r="A510" s="8"/>
      <c r="B510" s="57" t="s">
        <v>194</v>
      </c>
      <c r="C510" s="213" t="s">
        <v>176</v>
      </c>
      <c r="D510" s="158"/>
      <c r="E510" s="101"/>
      <c r="F510" s="101">
        <f t="shared" ref="F510:AL510" si="42">F146*0.44*(1-F315/100)</f>
        <v>3.1310505936560519E-2</v>
      </c>
      <c r="G510" s="101">
        <f t="shared" si="42"/>
        <v>3.8724706848561057E-3</v>
      </c>
      <c r="H510" s="101">
        <f t="shared" si="42"/>
        <v>0.2187281388312281</v>
      </c>
      <c r="I510" s="101">
        <f t="shared" si="42"/>
        <v>2.9329294348608195</v>
      </c>
      <c r="J510" s="101">
        <f t="shared" si="42"/>
        <v>2.3873950162966915E-3</v>
      </c>
      <c r="K510" s="101">
        <f t="shared" si="42"/>
        <v>6.6382899781702333E-4</v>
      </c>
      <c r="L510" s="101">
        <f t="shared" si="42"/>
        <v>4.4217679139975964E-3</v>
      </c>
      <c r="M510" s="101">
        <f t="shared" si="42"/>
        <v>6.3247174472291432</v>
      </c>
      <c r="N510" s="101">
        <f t="shared" si="42"/>
        <v>2.282020397329932E-2</v>
      </c>
      <c r="O510" s="101">
        <f t="shared" si="42"/>
        <v>6.8307259626302422E-2</v>
      </c>
      <c r="P510" s="101">
        <f t="shared" si="42"/>
        <v>1.3604231583859842E-3</v>
      </c>
      <c r="Q510" s="101">
        <f t="shared" si="42"/>
        <v>2.7828248820878049E-3</v>
      </c>
      <c r="R510" s="101">
        <f t="shared" si="42"/>
        <v>2.371746070508145</v>
      </c>
      <c r="S510" s="101">
        <f t="shared" si="42"/>
        <v>7.5702195092670677E-2</v>
      </c>
      <c r="T510" s="101">
        <f t="shared" si="42"/>
        <v>2.1049884211356663E-2</v>
      </c>
      <c r="U510" s="101">
        <f t="shared" si="42"/>
        <v>0.10658393474375517</v>
      </c>
      <c r="V510" s="101">
        <f t="shared" si="42"/>
        <v>0.10988438842255566</v>
      </c>
      <c r="W510" s="101">
        <f t="shared" si="42"/>
        <v>7.8147884033681767E-2</v>
      </c>
      <c r="X510" s="101">
        <f t="shared" si="42"/>
        <v>5.5047313062853631E-4</v>
      </c>
      <c r="Y510" s="101">
        <f t="shared" si="42"/>
        <v>7.9903442770367025E-3</v>
      </c>
      <c r="Z510" s="101">
        <f t="shared" si="42"/>
        <v>1.0776864873584945E-3</v>
      </c>
      <c r="AA510" s="101">
        <f t="shared" si="42"/>
        <v>9.5157755345868251E-3</v>
      </c>
      <c r="AB510" s="101">
        <f t="shared" si="42"/>
        <v>1.164820809177476E-4</v>
      </c>
      <c r="AC510" s="101">
        <f t="shared" si="42"/>
        <v>0.1963710866972867</v>
      </c>
      <c r="AD510" s="101">
        <f t="shared" si="42"/>
        <v>3.9261389421525933E-2</v>
      </c>
      <c r="AE510" s="101">
        <f t="shared" si="42"/>
        <v>6.0218374528169034E-2</v>
      </c>
      <c r="AF510" s="101">
        <f t="shared" si="42"/>
        <v>0.15528190400464903</v>
      </c>
      <c r="AG510" s="101">
        <f t="shared" si="42"/>
        <v>6.7072281905039043E-3</v>
      </c>
      <c r="AH510" s="101">
        <f t="shared" si="42"/>
        <v>4.5372794195410398E-4</v>
      </c>
      <c r="AI510" s="101">
        <f t="shared" si="42"/>
        <v>8.9064543264861986E-3</v>
      </c>
      <c r="AJ510" s="101">
        <f t="shared" si="42"/>
        <v>4.8051917572953962E-2</v>
      </c>
      <c r="AK510" s="101">
        <f t="shared" si="42"/>
        <v>1.5923895477210008E-2</v>
      </c>
      <c r="AL510" s="101">
        <f t="shared" si="42"/>
        <v>9.1700522910089181E-3</v>
      </c>
      <c r="AM510" s="381">
        <f t="shared" si="25"/>
        <v>12.93701285008523</v>
      </c>
    </row>
    <row r="511" spans="1:39" x14ac:dyDescent="0.2">
      <c r="A511" s="8"/>
      <c r="B511" s="57" t="s">
        <v>195</v>
      </c>
      <c r="C511" s="213" t="s">
        <v>176</v>
      </c>
      <c r="D511" s="158"/>
      <c r="E511" s="101"/>
      <c r="F511" s="101">
        <f t="shared" ref="F511:AL511" si="43">F147*0.44*(1-F316/100)</f>
        <v>0.68599714898723052</v>
      </c>
      <c r="G511" s="101">
        <f t="shared" si="43"/>
        <v>5.6992835089345176E-2</v>
      </c>
      <c r="H511" s="101">
        <f t="shared" si="43"/>
        <v>0.86258124395608093</v>
      </c>
      <c r="I511" s="101">
        <f t="shared" si="43"/>
        <v>4.3133257762007187</v>
      </c>
      <c r="J511" s="101">
        <f t="shared" si="43"/>
        <v>5.7023728895649562E-3</v>
      </c>
      <c r="K511" s="101">
        <f t="shared" si="43"/>
        <v>5.364614359217406E-3</v>
      </c>
      <c r="L511" s="101">
        <f t="shared" si="43"/>
        <v>1.1104422599938995E-2</v>
      </c>
      <c r="M511" s="101">
        <f t="shared" si="43"/>
        <v>2.5845998762206275</v>
      </c>
      <c r="N511" s="101">
        <f t="shared" si="43"/>
        <v>0.1635275492772375</v>
      </c>
      <c r="O511" s="101">
        <f t="shared" si="43"/>
        <v>4.5367294180290743E-2</v>
      </c>
      <c r="P511" s="101">
        <f t="shared" si="43"/>
        <v>1.4823513610658806E-3</v>
      </c>
      <c r="Q511" s="101">
        <f t="shared" si="43"/>
        <v>5.040588465668479E-3</v>
      </c>
      <c r="R511" s="101">
        <f t="shared" si="43"/>
        <v>5.968495117764407</v>
      </c>
      <c r="S511" s="101">
        <f t="shared" si="43"/>
        <v>0.27100318533898748</v>
      </c>
      <c r="T511" s="101">
        <f t="shared" si="43"/>
        <v>0.20659611513400769</v>
      </c>
      <c r="U511" s="101">
        <f t="shared" si="43"/>
        <v>0.25742871611034102</v>
      </c>
      <c r="V511" s="101">
        <f t="shared" si="43"/>
        <v>0.17621333486767374</v>
      </c>
      <c r="W511" s="101">
        <f t="shared" si="43"/>
        <v>0.1157197481228425</v>
      </c>
      <c r="X511" s="101">
        <f t="shared" si="43"/>
        <v>0</v>
      </c>
      <c r="Y511" s="101">
        <f t="shared" si="43"/>
        <v>4.1564355972345873E-3</v>
      </c>
      <c r="Z511" s="101">
        <f t="shared" si="43"/>
        <v>3.1364190977199668E-3</v>
      </c>
      <c r="AA511" s="101">
        <f t="shared" si="43"/>
        <v>2.5600581431205326E-2</v>
      </c>
      <c r="AB511" s="101">
        <f t="shared" si="43"/>
        <v>0</v>
      </c>
      <c r="AC511" s="101">
        <f t="shared" si="43"/>
        <v>0.15777826469306377</v>
      </c>
      <c r="AD511" s="101">
        <f t="shared" si="43"/>
        <v>0.24696705624098303</v>
      </c>
      <c r="AE511" s="101">
        <f t="shared" si="43"/>
        <v>0.48046771844847269</v>
      </c>
      <c r="AF511" s="101">
        <f t="shared" si="43"/>
        <v>8.4399851089656225E-2</v>
      </c>
      <c r="AG511" s="101">
        <f t="shared" si="43"/>
        <v>1.0365716294415128E-2</v>
      </c>
      <c r="AH511" s="101">
        <f t="shared" si="43"/>
        <v>2.759913903331549E-3</v>
      </c>
      <c r="AI511" s="101">
        <f t="shared" si="43"/>
        <v>6.982296319820068E-2</v>
      </c>
      <c r="AJ511" s="101">
        <f t="shared" si="43"/>
        <v>0.27732564661068537</v>
      </c>
      <c r="AK511" s="101">
        <f t="shared" si="43"/>
        <v>4.6281968924184035E-2</v>
      </c>
      <c r="AL511" s="101">
        <f t="shared" si="43"/>
        <v>3.0581466252790509E-2</v>
      </c>
      <c r="AM511" s="381">
        <f t="shared" si="25"/>
        <v>17.176186292707193</v>
      </c>
    </row>
    <row r="512" spans="1:39" x14ac:dyDescent="0.2">
      <c r="A512" s="8"/>
      <c r="B512" s="57" t="s">
        <v>196</v>
      </c>
      <c r="C512" s="213" t="s">
        <v>176</v>
      </c>
      <c r="D512" s="158"/>
      <c r="E512" s="101"/>
      <c r="F512" s="101">
        <f t="shared" ref="F512:AL512" si="44">F148*0.44*(1-F317/100)</f>
        <v>0.32347317894179795</v>
      </c>
      <c r="G512" s="101">
        <f t="shared" si="44"/>
        <v>1.6368108389062799E-2</v>
      </c>
      <c r="H512" s="101">
        <f t="shared" si="44"/>
        <v>0.28451471942448342</v>
      </c>
      <c r="I512" s="101">
        <f t="shared" si="44"/>
        <v>3.0784743817046007</v>
      </c>
      <c r="J512" s="101">
        <f t="shared" si="44"/>
        <v>8.2842137105846314E-3</v>
      </c>
      <c r="K512" s="101">
        <f t="shared" si="44"/>
        <v>5.6752443781773231E-3</v>
      </c>
      <c r="L512" s="101">
        <f t="shared" si="44"/>
        <v>2.5309019726468346E-2</v>
      </c>
      <c r="M512" s="101">
        <f t="shared" si="44"/>
        <v>3.6592527007735178</v>
      </c>
      <c r="N512" s="101">
        <f t="shared" si="44"/>
        <v>5.9294851089544088E-3</v>
      </c>
      <c r="O512" s="101">
        <f t="shared" si="44"/>
        <v>0.14111644000502241</v>
      </c>
      <c r="P512" s="101">
        <f t="shared" si="44"/>
        <v>6.8235455972494195E-3</v>
      </c>
      <c r="Q512" s="101">
        <f t="shared" si="44"/>
        <v>1.7649266353544666E-2</v>
      </c>
      <c r="R512" s="101">
        <f t="shared" si="44"/>
        <v>3.9763841066089403</v>
      </c>
      <c r="S512" s="101">
        <f t="shared" si="44"/>
        <v>0.15498496923405866</v>
      </c>
      <c r="T512" s="101">
        <f t="shared" si="44"/>
        <v>0.32324690308216358</v>
      </c>
      <c r="U512" s="101">
        <f t="shared" si="44"/>
        <v>0.22825633079919805</v>
      </c>
      <c r="V512" s="101">
        <f t="shared" si="44"/>
        <v>0.20547535599144501</v>
      </c>
      <c r="W512" s="101">
        <f t="shared" si="44"/>
        <v>0.14162299288825203</v>
      </c>
      <c r="X512" s="101">
        <f t="shared" si="44"/>
        <v>1.0560804634151939E-2</v>
      </c>
      <c r="Y512" s="101">
        <f t="shared" si="44"/>
        <v>4.1239228031385709E-2</v>
      </c>
      <c r="Z512" s="101">
        <f t="shared" si="44"/>
        <v>8.8499145782537213E-3</v>
      </c>
      <c r="AA512" s="101">
        <f t="shared" si="44"/>
        <v>1.9471399985038662E-2</v>
      </c>
      <c r="AB512" s="101">
        <f t="shared" si="44"/>
        <v>1.2192256134384597E-3</v>
      </c>
      <c r="AC512" s="101">
        <f t="shared" si="44"/>
        <v>0.67352267822364087</v>
      </c>
      <c r="AD512" s="101">
        <f t="shared" si="44"/>
        <v>1.4740845356230243</v>
      </c>
      <c r="AE512" s="101">
        <f t="shared" si="44"/>
        <v>0.84779258413982128</v>
      </c>
      <c r="AF512" s="101">
        <f t="shared" si="44"/>
        <v>1.4613835545212464</v>
      </c>
      <c r="AG512" s="101">
        <f t="shared" si="44"/>
        <v>4.7024600939048047E-2</v>
      </c>
      <c r="AH512" s="101">
        <f t="shared" si="44"/>
        <v>5.6065543596706393E-3</v>
      </c>
      <c r="AI512" s="101">
        <f t="shared" si="44"/>
        <v>6.5140475550464233E-2</v>
      </c>
      <c r="AJ512" s="101">
        <f t="shared" si="44"/>
        <v>0.31908181011069559</v>
      </c>
      <c r="AK512" s="101">
        <f t="shared" si="44"/>
        <v>3.6180161884641404E-2</v>
      </c>
      <c r="AL512" s="101">
        <f t="shared" si="44"/>
        <v>3.7294471039988432E-2</v>
      </c>
      <c r="AM512" s="381">
        <f t="shared" si="25"/>
        <v>17.651292961952024</v>
      </c>
    </row>
    <row r="513" spans="1:39" x14ac:dyDescent="0.2">
      <c r="A513" s="8"/>
      <c r="B513" s="57" t="s">
        <v>197</v>
      </c>
      <c r="C513" s="213" t="s">
        <v>176</v>
      </c>
      <c r="D513" s="158"/>
      <c r="E513" s="101"/>
      <c r="F513" s="101">
        <f t="shared" ref="F513:AL513" si="45">F149*0.44*(1-F318/100)</f>
        <v>9.8992974258293898E-2</v>
      </c>
      <c r="G513" s="101">
        <f t="shared" si="45"/>
        <v>1.0400312884745475E-2</v>
      </c>
      <c r="H513" s="101">
        <f t="shared" si="45"/>
        <v>0.14328229113393331</v>
      </c>
      <c r="I513" s="101">
        <f t="shared" si="45"/>
        <v>7.3957082422027587E-2</v>
      </c>
      <c r="J513" s="101">
        <f t="shared" si="45"/>
        <v>0</v>
      </c>
      <c r="K513" s="101">
        <f t="shared" si="45"/>
        <v>0</v>
      </c>
      <c r="L513" s="101">
        <f t="shared" si="45"/>
        <v>4.3040397674182158E-4</v>
      </c>
      <c r="M513" s="101">
        <f t="shared" si="45"/>
        <v>0.74303329955797215</v>
      </c>
      <c r="N513" s="101">
        <f t="shared" si="45"/>
        <v>1.4402361805033632</v>
      </c>
      <c r="O513" s="101">
        <f t="shared" si="45"/>
        <v>0.10707040061285211</v>
      </c>
      <c r="P513" s="101">
        <f t="shared" si="45"/>
        <v>1.9904963827193967E-2</v>
      </c>
      <c r="Q513" s="101">
        <f t="shared" si="45"/>
        <v>7.8759194776069959E-4</v>
      </c>
      <c r="R513" s="101">
        <f t="shared" si="45"/>
        <v>0</v>
      </c>
      <c r="S513" s="101">
        <f t="shared" si="45"/>
        <v>1.004082643399735</v>
      </c>
      <c r="T513" s="101">
        <f t="shared" si="45"/>
        <v>0.24315884879677721</v>
      </c>
      <c r="U513" s="101">
        <f t="shared" si="45"/>
        <v>2.9428080860362442</v>
      </c>
      <c r="V513" s="101">
        <f t="shared" si="45"/>
        <v>1.9734305347306824</v>
      </c>
      <c r="W513" s="101">
        <f t="shared" si="45"/>
        <v>0</v>
      </c>
      <c r="X513" s="101">
        <f t="shared" si="45"/>
        <v>0</v>
      </c>
      <c r="Y513" s="101">
        <f t="shared" si="45"/>
        <v>4.311196497131619E-4</v>
      </c>
      <c r="Z513" s="101">
        <f t="shared" si="45"/>
        <v>6.0604246269171005E-2</v>
      </c>
      <c r="AA513" s="101">
        <f t="shared" si="45"/>
        <v>6.3984271979737342E-2</v>
      </c>
      <c r="AB513" s="101">
        <f t="shared" si="45"/>
        <v>1.2948343414114173E-2</v>
      </c>
      <c r="AC513" s="101">
        <f t="shared" si="45"/>
        <v>2.3732809642589507</v>
      </c>
      <c r="AD513" s="101">
        <f t="shared" si="45"/>
        <v>3.1761122403909338E-3</v>
      </c>
      <c r="AE513" s="101">
        <f t="shared" si="45"/>
        <v>0.13298797030513765</v>
      </c>
      <c r="AF513" s="101">
        <f t="shared" si="45"/>
        <v>1.6654033674264705E-2</v>
      </c>
      <c r="AG513" s="101">
        <f t="shared" si="45"/>
        <v>1.2483157486180264E-2</v>
      </c>
      <c r="AH513" s="101">
        <f t="shared" si="45"/>
        <v>2.3877300740223428E-2</v>
      </c>
      <c r="AI513" s="101">
        <f t="shared" si="45"/>
        <v>9.0642023662751876E-3</v>
      </c>
      <c r="AJ513" s="101">
        <f t="shared" si="45"/>
        <v>0</v>
      </c>
      <c r="AK513" s="101">
        <f t="shared" si="45"/>
        <v>1.3670839393407335</v>
      </c>
      <c r="AL513" s="101">
        <f t="shared" si="45"/>
        <v>2.361983165865934E-2</v>
      </c>
      <c r="AM513" s="381">
        <f t="shared" si="25"/>
        <v>12.901771107471877</v>
      </c>
    </row>
    <row r="514" spans="1:39" x14ac:dyDescent="0.2">
      <c r="A514" s="8"/>
      <c r="B514" s="57" t="s">
        <v>198</v>
      </c>
      <c r="C514" s="213" t="s">
        <v>176</v>
      </c>
      <c r="D514" s="158"/>
      <c r="E514" s="101"/>
      <c r="F514" s="101">
        <f t="shared" ref="F514:AL514" si="46">F150*0.44*(1-F319/100)</f>
        <v>4.6738996976060501E-2</v>
      </c>
      <c r="G514" s="101">
        <f t="shared" si="46"/>
        <v>1.0763114497004038E-2</v>
      </c>
      <c r="H514" s="101">
        <f t="shared" si="46"/>
        <v>0</v>
      </c>
      <c r="I514" s="101">
        <f t="shared" si="46"/>
        <v>4.4918259484754119E-4</v>
      </c>
      <c r="J514" s="101">
        <f t="shared" si="46"/>
        <v>2.5965270600470911E-2</v>
      </c>
      <c r="K514" s="101">
        <f t="shared" si="46"/>
        <v>0</v>
      </c>
      <c r="L514" s="101">
        <f t="shared" si="46"/>
        <v>3.163469229052389E-3</v>
      </c>
      <c r="M514" s="101">
        <f t="shared" si="46"/>
        <v>4.7699286647940811E-4</v>
      </c>
      <c r="N514" s="101">
        <f t="shared" si="46"/>
        <v>2.7823764551158738E-2</v>
      </c>
      <c r="O514" s="101">
        <f t="shared" si="46"/>
        <v>0</v>
      </c>
      <c r="P514" s="101">
        <f t="shared" si="46"/>
        <v>1.2185430679948343E-2</v>
      </c>
      <c r="Q514" s="101">
        <f t="shared" si="46"/>
        <v>1.5629324652228997E-2</v>
      </c>
      <c r="R514" s="101">
        <f t="shared" si="46"/>
        <v>3.6059441080230465E-3</v>
      </c>
      <c r="S514" s="101">
        <f t="shared" si="46"/>
        <v>0.75237184826603498</v>
      </c>
      <c r="T514" s="101">
        <f t="shared" si="46"/>
        <v>0.23419412585210625</v>
      </c>
      <c r="U514" s="101">
        <f t="shared" si="46"/>
        <v>0.23130103093124557</v>
      </c>
      <c r="V514" s="101">
        <f t="shared" si="46"/>
        <v>0.19124669291199695</v>
      </c>
      <c r="W514" s="101">
        <f t="shared" si="46"/>
        <v>3.6886337944915921E-3</v>
      </c>
      <c r="X514" s="101">
        <f t="shared" si="46"/>
        <v>3.5149723316719721E-2</v>
      </c>
      <c r="Y514" s="101">
        <f t="shared" si="46"/>
        <v>8.9982408940131754E-3</v>
      </c>
      <c r="Z514" s="101">
        <f t="shared" si="46"/>
        <v>0.17841080274913951</v>
      </c>
      <c r="AA514" s="101">
        <f t="shared" si="46"/>
        <v>8.9257647053374978</v>
      </c>
      <c r="AB514" s="101">
        <f t="shared" si="46"/>
        <v>0.1818874668505534</v>
      </c>
      <c r="AC514" s="101">
        <f t="shared" si="46"/>
        <v>4.9335781730826982</v>
      </c>
      <c r="AD514" s="101">
        <f t="shared" si="46"/>
        <v>0.23743871951981019</v>
      </c>
      <c r="AE514" s="101">
        <f t="shared" si="46"/>
        <v>0.19639030965291976</v>
      </c>
      <c r="AF514" s="101">
        <f t="shared" si="46"/>
        <v>2.5746724353822546E-2</v>
      </c>
      <c r="AG514" s="101">
        <f t="shared" si="46"/>
        <v>6.7464954416670677</v>
      </c>
      <c r="AH514" s="101">
        <f t="shared" si="46"/>
        <v>0.95979377218692541</v>
      </c>
      <c r="AI514" s="101">
        <f t="shared" si="46"/>
        <v>0.15264331322141525</v>
      </c>
      <c r="AJ514" s="101">
        <f t="shared" si="46"/>
        <v>0.32345016625369144</v>
      </c>
      <c r="AK514" s="101">
        <f t="shared" si="46"/>
        <v>0.33941407775679716</v>
      </c>
      <c r="AL514" s="101">
        <f t="shared" si="46"/>
        <v>0.33111274538336394</v>
      </c>
      <c r="AM514" s="381">
        <f t="shared" si="25"/>
        <v>25.135878204737587</v>
      </c>
    </row>
    <row r="515" spans="1:39" x14ac:dyDescent="0.2">
      <c r="A515" s="8"/>
      <c r="B515" s="57" t="s">
        <v>199</v>
      </c>
      <c r="C515" s="213" t="s">
        <v>176</v>
      </c>
      <c r="D515" s="158"/>
      <c r="E515" s="101"/>
      <c r="F515" s="101">
        <f t="shared" ref="F515:AL515" si="47">F151*0.44*(1-F320/100)</f>
        <v>0.70034282469217224</v>
      </c>
      <c r="G515" s="101">
        <f t="shared" si="47"/>
        <v>0.10249630575197803</v>
      </c>
      <c r="H515" s="101">
        <f t="shared" si="47"/>
        <v>3.4817064234147238E-2</v>
      </c>
      <c r="I515" s="101">
        <f t="shared" si="47"/>
        <v>0.12125141018628029</v>
      </c>
      <c r="J515" s="101">
        <f t="shared" si="47"/>
        <v>5.1123972953556154E-2</v>
      </c>
      <c r="K515" s="101">
        <f t="shared" si="47"/>
        <v>0.12936799453972703</v>
      </c>
      <c r="L515" s="101">
        <f t="shared" si="47"/>
        <v>0.14273968120427749</v>
      </c>
      <c r="M515" s="101">
        <f t="shared" si="47"/>
        <v>1.590840530471429</v>
      </c>
      <c r="N515" s="101">
        <f t="shared" si="47"/>
        <v>0.89580040606138589</v>
      </c>
      <c r="O515" s="101">
        <f t="shared" si="47"/>
        <v>0.22271217143051819</v>
      </c>
      <c r="P515" s="101">
        <f t="shared" si="47"/>
        <v>0.84986950051043864</v>
      </c>
      <c r="Q515" s="101">
        <f t="shared" si="47"/>
        <v>0.33366101222191535</v>
      </c>
      <c r="R515" s="101">
        <f t="shared" si="47"/>
        <v>1.0715089028332587</v>
      </c>
      <c r="S515" s="101">
        <f t="shared" si="47"/>
        <v>2.2973743621665217</v>
      </c>
      <c r="T515" s="101">
        <f t="shared" si="47"/>
        <v>4.7481805432765452</v>
      </c>
      <c r="U515" s="101">
        <f t="shared" si="47"/>
        <v>6.1788516886827898</v>
      </c>
      <c r="V515" s="101">
        <f t="shared" si="47"/>
        <v>0.29292913766881989</v>
      </c>
      <c r="W515" s="101">
        <f t="shared" si="47"/>
        <v>1.7980910517393797E-2</v>
      </c>
      <c r="X515" s="101">
        <f t="shared" si="47"/>
        <v>0.12690167846314476</v>
      </c>
      <c r="Y515" s="101">
        <f t="shared" si="47"/>
        <v>0.54196616888058868</v>
      </c>
      <c r="Z515" s="101">
        <f t="shared" si="47"/>
        <v>3.0726013152946505</v>
      </c>
      <c r="AA515" s="101">
        <f t="shared" si="47"/>
        <v>1.4664724564099492</v>
      </c>
      <c r="AB515" s="101">
        <f t="shared" si="47"/>
        <v>4.7426341868276947E-3</v>
      </c>
      <c r="AC515" s="101">
        <f t="shared" si="47"/>
        <v>12.029122792347495</v>
      </c>
      <c r="AD515" s="101">
        <f t="shared" si="47"/>
        <v>0.41389171251128165</v>
      </c>
      <c r="AE515" s="101">
        <f t="shared" si="47"/>
        <v>0.36242432249830997</v>
      </c>
      <c r="AF515" s="101">
        <f t="shared" si="47"/>
        <v>8.2321530229811229E-2</v>
      </c>
      <c r="AG515" s="101">
        <f t="shared" si="47"/>
        <v>1.0804484713851727</v>
      </c>
      <c r="AH515" s="101">
        <f t="shared" si="47"/>
        <v>4.9995742527068655E-2</v>
      </c>
      <c r="AI515" s="101">
        <f t="shared" si="47"/>
        <v>13.373432386357711</v>
      </c>
      <c r="AJ515" s="101">
        <f t="shared" si="47"/>
        <v>24.691600975580894</v>
      </c>
      <c r="AK515" s="101">
        <f t="shared" si="47"/>
        <v>7.6996870634207415</v>
      </c>
      <c r="AL515" s="101">
        <f t="shared" si="47"/>
        <v>9.481175931178992</v>
      </c>
      <c r="AM515" s="381">
        <f t="shared" si="25"/>
        <v>94.258633600675807</v>
      </c>
    </row>
    <row r="516" spans="1:39" x14ac:dyDescent="0.2">
      <c r="A516" s="8"/>
      <c r="B516" s="57" t="s">
        <v>200</v>
      </c>
      <c r="C516" s="213" t="s">
        <v>176</v>
      </c>
      <c r="D516" s="158"/>
      <c r="E516" s="101"/>
      <c r="F516" s="101">
        <f t="shared" ref="F516:AL516" si="48">F152*0.44*(1-F321/100)</f>
        <v>0.44862731887832136</v>
      </c>
      <c r="G516" s="101">
        <f t="shared" si="48"/>
        <v>9.4102072370309264E-2</v>
      </c>
      <c r="H516" s="101">
        <f t="shared" si="48"/>
        <v>2.447838603540629E-2</v>
      </c>
      <c r="I516" s="101">
        <f t="shared" si="48"/>
        <v>7.1147000023106616E-2</v>
      </c>
      <c r="J516" s="101">
        <f t="shared" si="48"/>
        <v>0.17152352284899308</v>
      </c>
      <c r="K516" s="101">
        <f t="shared" si="48"/>
        <v>0.10121479698221474</v>
      </c>
      <c r="L516" s="101">
        <f t="shared" si="48"/>
        <v>2.3537628865484916</v>
      </c>
      <c r="M516" s="101">
        <f t="shared" si="48"/>
        <v>4.9939579649115906</v>
      </c>
      <c r="N516" s="101">
        <f t="shared" si="48"/>
        <v>0.61495804028891443</v>
      </c>
      <c r="O516" s="101">
        <f t="shared" si="48"/>
        <v>0.13290370453681169</v>
      </c>
      <c r="P516" s="101">
        <f t="shared" si="48"/>
        <v>2.8376018078230213E-2</v>
      </c>
      <c r="Q516" s="101">
        <f t="shared" si="48"/>
        <v>3.3360696179412761</v>
      </c>
      <c r="R516" s="101">
        <f t="shared" si="48"/>
        <v>12.348996911842665</v>
      </c>
      <c r="S516" s="101">
        <f t="shared" si="48"/>
        <v>0.2167796668136534</v>
      </c>
      <c r="T516" s="101">
        <f t="shared" si="48"/>
        <v>0.63213020194408109</v>
      </c>
      <c r="U516" s="101">
        <f t="shared" si="48"/>
        <v>0.28680900372788387</v>
      </c>
      <c r="V516" s="101">
        <f t="shared" si="48"/>
        <v>0.12308541993736108</v>
      </c>
      <c r="W516" s="101">
        <f t="shared" si="48"/>
        <v>1.8951548452517189E-2</v>
      </c>
      <c r="X516" s="101">
        <f t="shared" si="48"/>
        <v>3.0100363075812018E-2</v>
      </c>
      <c r="Y516" s="101">
        <f t="shared" si="48"/>
        <v>0.29057009211549767</v>
      </c>
      <c r="Z516" s="101">
        <f t="shared" si="48"/>
        <v>3.0950296891475007E-2</v>
      </c>
      <c r="AA516" s="101">
        <f t="shared" si="48"/>
        <v>0.13948061907727963</v>
      </c>
      <c r="AB516" s="101">
        <f t="shared" si="48"/>
        <v>4.5351286833963762E-3</v>
      </c>
      <c r="AC516" s="101">
        <f t="shared" si="48"/>
        <v>0.70086865220263395</v>
      </c>
      <c r="AD516" s="101">
        <f t="shared" si="48"/>
        <v>1.8381170626021261E-2</v>
      </c>
      <c r="AE516" s="101">
        <f t="shared" si="48"/>
        <v>0.15922045307444577</v>
      </c>
      <c r="AF516" s="101">
        <f t="shared" si="48"/>
        <v>2.0301801322402526E-2</v>
      </c>
      <c r="AG516" s="101">
        <f t="shared" si="48"/>
        <v>1.4269145909556873E-2</v>
      </c>
      <c r="AH516" s="101">
        <f t="shared" si="48"/>
        <v>5.8550999688995785E-3</v>
      </c>
      <c r="AI516" s="101">
        <f t="shared" si="48"/>
        <v>0.57556685954928755</v>
      </c>
      <c r="AJ516" s="101">
        <f t="shared" si="48"/>
        <v>2.9723012943845202</v>
      </c>
      <c r="AK516" s="101">
        <f t="shared" si="48"/>
        <v>7.946266501684518E-2</v>
      </c>
      <c r="AL516" s="101">
        <f t="shared" si="48"/>
        <v>0.18254546677867275</v>
      </c>
      <c r="AM516" s="381">
        <f t="shared" si="25"/>
        <v>31.222283190838574</v>
      </c>
    </row>
    <row r="517" spans="1:39" x14ac:dyDescent="0.2">
      <c r="A517" s="8"/>
      <c r="B517" s="57" t="s">
        <v>201</v>
      </c>
      <c r="C517" s="213" t="s">
        <v>176</v>
      </c>
      <c r="D517" s="158"/>
      <c r="E517" s="101"/>
      <c r="F517" s="101">
        <f t="shared" ref="F517:AL517" si="49">F153*0.44*(1-F322/100)</f>
        <v>2.6728124749445454</v>
      </c>
      <c r="G517" s="101">
        <f t="shared" si="49"/>
        <v>0.2644118844706525</v>
      </c>
      <c r="H517" s="101">
        <f t="shared" si="49"/>
        <v>0.12429672957046473</v>
      </c>
      <c r="I517" s="101">
        <f t="shared" si="49"/>
        <v>12.467227326694891</v>
      </c>
      <c r="J517" s="101">
        <f t="shared" si="49"/>
        <v>0.74984881736266706</v>
      </c>
      <c r="K517" s="101">
        <f t="shared" si="49"/>
        <v>0.27828131108674109</v>
      </c>
      <c r="L517" s="101">
        <f t="shared" si="49"/>
        <v>3.7211550547632091</v>
      </c>
      <c r="M517" s="101">
        <f t="shared" si="49"/>
        <v>26.97372213217924</v>
      </c>
      <c r="N517" s="101">
        <f t="shared" si="49"/>
        <v>1.0703109545646869</v>
      </c>
      <c r="O517" s="101">
        <f t="shared" si="49"/>
        <v>0.3619658204213021</v>
      </c>
      <c r="P517" s="101">
        <f t="shared" si="49"/>
        <v>8.7884370574060386E-2</v>
      </c>
      <c r="Q517" s="101">
        <f t="shared" si="49"/>
        <v>0.54771717877173676</v>
      </c>
      <c r="R517" s="101">
        <f t="shared" si="49"/>
        <v>5.721852538067508</v>
      </c>
      <c r="S517" s="101">
        <f t="shared" si="49"/>
        <v>0.64657315539734916</v>
      </c>
      <c r="T517" s="101">
        <f t="shared" si="49"/>
        <v>4.7388318669573337</v>
      </c>
      <c r="U517" s="101">
        <f t="shared" si="49"/>
        <v>2.2617866784374279</v>
      </c>
      <c r="V517" s="101">
        <f t="shared" si="49"/>
        <v>0.8256658676932831</v>
      </c>
      <c r="W517" s="101">
        <f t="shared" si="49"/>
        <v>2.9181331557104177E-2</v>
      </c>
      <c r="X517" s="101">
        <f t="shared" si="49"/>
        <v>0.15815249681653551</v>
      </c>
      <c r="Y517" s="101">
        <f t="shared" si="49"/>
        <v>1.8374807162686402</v>
      </c>
      <c r="Z517" s="101">
        <f t="shared" si="49"/>
        <v>0.72362742964936844</v>
      </c>
      <c r="AA517" s="101">
        <f t="shared" si="49"/>
        <v>0.63224238926588239</v>
      </c>
      <c r="AB517" s="101">
        <f t="shared" si="49"/>
        <v>2.2998584755095156E-2</v>
      </c>
      <c r="AC517" s="101">
        <f t="shared" si="49"/>
        <v>3.1945378831132829</v>
      </c>
      <c r="AD517" s="101">
        <f t="shared" si="49"/>
        <v>0.48294704356190477</v>
      </c>
      <c r="AE517" s="101">
        <f t="shared" si="49"/>
        <v>0.30476797416355528</v>
      </c>
      <c r="AF517" s="101">
        <f t="shared" si="49"/>
        <v>0.16292889614662812</v>
      </c>
      <c r="AG517" s="101">
        <f t="shared" si="49"/>
        <v>0.16588272983973526</v>
      </c>
      <c r="AH517" s="101">
        <f t="shared" si="49"/>
        <v>4.098569978229704E-2</v>
      </c>
      <c r="AI517" s="101">
        <f t="shared" si="49"/>
        <v>6.7906766209275888</v>
      </c>
      <c r="AJ517" s="101">
        <f t="shared" si="49"/>
        <v>26.574183036486648</v>
      </c>
      <c r="AK517" s="101">
        <f t="shared" si="49"/>
        <v>1.7882264491570108</v>
      </c>
      <c r="AL517" s="101">
        <f t="shared" si="49"/>
        <v>23.652168158843413</v>
      </c>
      <c r="AM517" s="381">
        <f t="shared" si="25"/>
        <v>130.07533160229178</v>
      </c>
    </row>
    <row r="518" spans="1:39" x14ac:dyDescent="0.2">
      <c r="A518" s="8"/>
      <c r="B518" s="57" t="s">
        <v>202</v>
      </c>
      <c r="C518" s="213" t="s">
        <v>176</v>
      </c>
      <c r="D518" s="158"/>
      <c r="E518" s="101"/>
      <c r="F518" s="101">
        <f t="shared" ref="F518:AL518" si="50">F154*0.44*(1-F323/100)</f>
        <v>1.5051664793161821</v>
      </c>
      <c r="G518" s="101">
        <f t="shared" si="50"/>
        <v>3.3695752671452519</v>
      </c>
      <c r="H518" s="101">
        <f t="shared" si="50"/>
        <v>0.47309873456435581</v>
      </c>
      <c r="I518" s="101">
        <f t="shared" si="50"/>
        <v>4.8505951329816339</v>
      </c>
      <c r="J518" s="101">
        <f t="shared" si="50"/>
        <v>9.9970374586262629</v>
      </c>
      <c r="K518" s="101">
        <f t="shared" si="50"/>
        <v>1.2241046820940025</v>
      </c>
      <c r="L518" s="101">
        <f t="shared" si="50"/>
        <v>2.6890684716821847</v>
      </c>
      <c r="M518" s="101">
        <f t="shared" si="50"/>
        <v>2.1232652496176576</v>
      </c>
      <c r="N518" s="101">
        <f t="shared" si="50"/>
        <v>0.95700990494817673</v>
      </c>
      <c r="O518" s="101">
        <f t="shared" si="50"/>
        <v>0.19170872585520557</v>
      </c>
      <c r="P518" s="101">
        <f t="shared" si="50"/>
        <v>1.5470538549958743</v>
      </c>
      <c r="Q518" s="101">
        <f t="shared" si="50"/>
        <v>2.2466430941378794</v>
      </c>
      <c r="R518" s="101">
        <f t="shared" si="50"/>
        <v>3.6759286297383791</v>
      </c>
      <c r="S518" s="101">
        <f t="shared" si="50"/>
        <v>2.4714786344512758</v>
      </c>
      <c r="T518" s="101">
        <f t="shared" si="50"/>
        <v>29.47180952480559</v>
      </c>
      <c r="U518" s="101">
        <f t="shared" si="50"/>
        <v>11.622160561419422</v>
      </c>
      <c r="V518" s="101">
        <f t="shared" si="50"/>
        <v>5.4919332593773147</v>
      </c>
      <c r="W518" s="101">
        <f t="shared" si="50"/>
        <v>4.9543414690720412E-2</v>
      </c>
      <c r="X518" s="101">
        <f t="shared" si="50"/>
        <v>1.2844803804412379</v>
      </c>
      <c r="Y518" s="101">
        <f t="shared" si="50"/>
        <v>2.2371832530468225</v>
      </c>
      <c r="Z518" s="101">
        <f t="shared" si="50"/>
        <v>30.292718758118827</v>
      </c>
      <c r="AA518" s="101">
        <f t="shared" si="50"/>
        <v>16.422854449107692</v>
      </c>
      <c r="AB518" s="101">
        <f t="shared" si="50"/>
        <v>0.11697869913100176</v>
      </c>
      <c r="AC518" s="101">
        <f t="shared" si="50"/>
        <v>71.94432527111455</v>
      </c>
      <c r="AD518" s="101">
        <f t="shared" si="50"/>
        <v>2.3933782959479553</v>
      </c>
      <c r="AE518" s="101">
        <f t="shared" si="50"/>
        <v>1.8398881179884237</v>
      </c>
      <c r="AF518" s="101">
        <f t="shared" si="50"/>
        <v>0.90024637330348056</v>
      </c>
      <c r="AG518" s="101">
        <f t="shared" si="50"/>
        <v>9.8370741441386862</v>
      </c>
      <c r="AH518" s="101">
        <f t="shared" si="50"/>
        <v>5.9579095381060165</v>
      </c>
      <c r="AI518" s="101">
        <f t="shared" si="50"/>
        <v>41.929921149796861</v>
      </c>
      <c r="AJ518" s="101">
        <f t="shared" si="50"/>
        <v>115.80169349061639</v>
      </c>
      <c r="AK518" s="101">
        <f t="shared" si="50"/>
        <v>21.068053710485245</v>
      </c>
      <c r="AL518" s="101">
        <f t="shared" si="50"/>
        <v>73.317628407033993</v>
      </c>
      <c r="AM518" s="381">
        <f t="shared" si="25"/>
        <v>479.30151511882457</v>
      </c>
    </row>
    <row r="519" spans="1:39" x14ac:dyDescent="0.2">
      <c r="A519" s="8"/>
      <c r="B519" s="57" t="s">
        <v>203</v>
      </c>
      <c r="C519" s="213" t="s">
        <v>176</v>
      </c>
      <c r="D519" s="158"/>
      <c r="E519" s="101"/>
      <c r="F519" s="101">
        <f t="shared" ref="F519:AL519" si="51">F155*0.44*(1-F324/100)</f>
        <v>0</v>
      </c>
      <c r="G519" s="101">
        <f t="shared" si="51"/>
        <v>0</v>
      </c>
      <c r="H519" s="101">
        <f t="shared" si="51"/>
        <v>0</v>
      </c>
      <c r="I519" s="101">
        <f t="shared" si="51"/>
        <v>0</v>
      </c>
      <c r="J519" s="101">
        <f t="shared" si="51"/>
        <v>0</v>
      </c>
      <c r="K519" s="101">
        <f t="shared" si="51"/>
        <v>0</v>
      </c>
      <c r="L519" s="101">
        <f t="shared" si="51"/>
        <v>0</v>
      </c>
      <c r="M519" s="101">
        <f t="shared" si="51"/>
        <v>0</v>
      </c>
      <c r="N519" s="101">
        <f t="shared" si="51"/>
        <v>0</v>
      </c>
      <c r="O519" s="101">
        <f t="shared" si="51"/>
        <v>0</v>
      </c>
      <c r="P519" s="101">
        <f t="shared" si="51"/>
        <v>0</v>
      </c>
      <c r="Q519" s="101">
        <f t="shared" si="51"/>
        <v>0</v>
      </c>
      <c r="R519" s="101">
        <f t="shared" si="51"/>
        <v>0</v>
      </c>
      <c r="S519" s="101">
        <f t="shared" si="51"/>
        <v>1.0960956271583626E-4</v>
      </c>
      <c r="T519" s="101">
        <f t="shared" si="51"/>
        <v>0</v>
      </c>
      <c r="U519" s="101">
        <f t="shared" si="51"/>
        <v>0</v>
      </c>
      <c r="V519" s="101">
        <f t="shared" si="51"/>
        <v>0</v>
      </c>
      <c r="W519" s="101">
        <f t="shared" si="51"/>
        <v>0</v>
      </c>
      <c r="X519" s="101">
        <f t="shared" si="51"/>
        <v>0</v>
      </c>
      <c r="Y519" s="101">
        <f t="shared" si="51"/>
        <v>0</v>
      </c>
      <c r="Z519" s="101">
        <f t="shared" si="51"/>
        <v>0.31002521734838873</v>
      </c>
      <c r="AA519" s="101">
        <f t="shared" si="51"/>
        <v>0.15330513518658093</v>
      </c>
      <c r="AB519" s="101">
        <f t="shared" si="51"/>
        <v>0</v>
      </c>
      <c r="AC519" s="101">
        <f t="shared" si="51"/>
        <v>0.1166821208127041</v>
      </c>
      <c r="AD519" s="101">
        <f t="shared" si="51"/>
        <v>0</v>
      </c>
      <c r="AE519" s="101">
        <f t="shared" si="51"/>
        <v>0</v>
      </c>
      <c r="AF519" s="101">
        <f t="shared" si="51"/>
        <v>0</v>
      </c>
      <c r="AG519" s="101">
        <f t="shared" si="51"/>
        <v>0</v>
      </c>
      <c r="AH519" s="101">
        <f t="shared" si="51"/>
        <v>0</v>
      </c>
      <c r="AI519" s="101">
        <f t="shared" si="51"/>
        <v>1.0379442422819845</v>
      </c>
      <c r="AJ519" s="101">
        <f t="shared" si="51"/>
        <v>5.7943150500194287</v>
      </c>
      <c r="AK519" s="101">
        <f t="shared" si="51"/>
        <v>0.71302298123483598</v>
      </c>
      <c r="AL519" s="101">
        <f t="shared" si="51"/>
        <v>0.43656469040927631</v>
      </c>
      <c r="AM519" s="381">
        <f t="shared" si="25"/>
        <v>8.561969046855916</v>
      </c>
    </row>
    <row r="520" spans="1:39" x14ac:dyDescent="0.2">
      <c r="A520" s="8"/>
      <c r="B520" s="57" t="s">
        <v>204</v>
      </c>
      <c r="C520" s="213" t="s">
        <v>176</v>
      </c>
      <c r="D520" s="158"/>
      <c r="E520" s="101"/>
      <c r="F520" s="101">
        <f t="shared" ref="F520:AL520" si="52">F156*0.44*(1-F325/100)</f>
        <v>0</v>
      </c>
      <c r="G520" s="101">
        <f t="shared" si="52"/>
        <v>0</v>
      </c>
      <c r="H520" s="101">
        <f t="shared" si="52"/>
        <v>0</v>
      </c>
      <c r="I520" s="101">
        <f t="shared" si="52"/>
        <v>0</v>
      </c>
      <c r="J520" s="101">
        <f t="shared" si="52"/>
        <v>0</v>
      </c>
      <c r="K520" s="101">
        <f t="shared" si="52"/>
        <v>0</v>
      </c>
      <c r="L520" s="101">
        <f t="shared" si="52"/>
        <v>0</v>
      </c>
      <c r="M520" s="101">
        <f t="shared" si="52"/>
        <v>0</v>
      </c>
      <c r="N520" s="101">
        <f t="shared" si="52"/>
        <v>0</v>
      </c>
      <c r="O520" s="101">
        <f t="shared" si="52"/>
        <v>0</v>
      </c>
      <c r="P520" s="101">
        <f t="shared" si="52"/>
        <v>0</v>
      </c>
      <c r="Q520" s="101">
        <f t="shared" si="52"/>
        <v>0</v>
      </c>
      <c r="R520" s="101">
        <f t="shared" si="52"/>
        <v>0</v>
      </c>
      <c r="S520" s="101">
        <f t="shared" si="52"/>
        <v>0</v>
      </c>
      <c r="T520" s="101">
        <f t="shared" si="52"/>
        <v>0</v>
      </c>
      <c r="U520" s="101">
        <f t="shared" si="52"/>
        <v>0</v>
      </c>
      <c r="V520" s="101">
        <f t="shared" si="52"/>
        <v>0</v>
      </c>
      <c r="W520" s="101">
        <f t="shared" si="52"/>
        <v>0</v>
      </c>
      <c r="X520" s="101">
        <f t="shared" si="52"/>
        <v>0</v>
      </c>
      <c r="Y520" s="101">
        <f t="shared" si="52"/>
        <v>0</v>
      </c>
      <c r="Z520" s="101">
        <f t="shared" si="52"/>
        <v>0</v>
      </c>
      <c r="AA520" s="101">
        <f t="shared" si="52"/>
        <v>0</v>
      </c>
      <c r="AB520" s="101">
        <f t="shared" si="52"/>
        <v>0</v>
      </c>
      <c r="AC520" s="101">
        <f t="shared" si="52"/>
        <v>0</v>
      </c>
      <c r="AD520" s="101">
        <f t="shared" si="52"/>
        <v>0</v>
      </c>
      <c r="AE520" s="101">
        <f t="shared" si="52"/>
        <v>0</v>
      </c>
      <c r="AF520" s="101">
        <f t="shared" si="52"/>
        <v>0</v>
      </c>
      <c r="AG520" s="101">
        <f t="shared" si="52"/>
        <v>0</v>
      </c>
      <c r="AH520" s="101">
        <f t="shared" si="52"/>
        <v>0</v>
      </c>
      <c r="AI520" s="101">
        <f t="shared" si="52"/>
        <v>0</v>
      </c>
      <c r="AJ520" s="101">
        <f t="shared" si="52"/>
        <v>0.12635439206248938</v>
      </c>
      <c r="AK520" s="101">
        <f t="shared" si="52"/>
        <v>0</v>
      </c>
      <c r="AL520" s="101">
        <f t="shared" si="52"/>
        <v>0</v>
      </c>
      <c r="AM520" s="381">
        <f t="shared" si="25"/>
        <v>0.12635439206248938</v>
      </c>
    </row>
    <row r="521" spans="1:39" x14ac:dyDescent="0.2">
      <c r="A521" s="8"/>
      <c r="B521" s="57" t="s">
        <v>205</v>
      </c>
      <c r="C521" s="213" t="s">
        <v>176</v>
      </c>
      <c r="D521" s="158"/>
      <c r="E521" s="101"/>
      <c r="F521" s="101">
        <f t="shared" ref="F521:AL521" si="53">F157*0.44*(1-F326/100)</f>
        <v>1.0963668010199958</v>
      </c>
      <c r="G521" s="101">
        <f t="shared" si="53"/>
        <v>0.56727039255765366</v>
      </c>
      <c r="H521" s="101">
        <f t="shared" si="53"/>
        <v>2.2562875205795269E-2</v>
      </c>
      <c r="I521" s="101">
        <f t="shared" si="53"/>
        <v>0</v>
      </c>
      <c r="J521" s="101">
        <f t="shared" si="53"/>
        <v>0.24309837737300619</v>
      </c>
      <c r="K521" s="101">
        <f t="shared" si="53"/>
        <v>2.4708504983802781E-3</v>
      </c>
      <c r="L521" s="101">
        <f t="shared" si="53"/>
        <v>0</v>
      </c>
      <c r="M521" s="101">
        <f t="shared" si="53"/>
        <v>0</v>
      </c>
      <c r="N521" s="101">
        <f t="shared" si="53"/>
        <v>10.028977613195595</v>
      </c>
      <c r="O521" s="101">
        <f t="shared" si="53"/>
        <v>0.89027117831533664</v>
      </c>
      <c r="P521" s="101">
        <f t="shared" si="53"/>
        <v>1.6205920793467374</v>
      </c>
      <c r="Q521" s="101">
        <f t="shared" si="53"/>
        <v>1.853157524142823E-2</v>
      </c>
      <c r="R521" s="101">
        <f t="shared" si="53"/>
        <v>0.19370263949127742</v>
      </c>
      <c r="S521" s="101">
        <f t="shared" si="53"/>
        <v>0.36564753671432831</v>
      </c>
      <c r="T521" s="101">
        <f t="shared" si="53"/>
        <v>3.9795852058549217</v>
      </c>
      <c r="U521" s="101">
        <f t="shared" si="53"/>
        <v>0.36417634963273365</v>
      </c>
      <c r="V521" s="101">
        <f t="shared" si="53"/>
        <v>5.8998578724190717E-2</v>
      </c>
      <c r="W521" s="101">
        <f t="shared" si="53"/>
        <v>0.40337553281194283</v>
      </c>
      <c r="X521" s="101">
        <f t="shared" si="53"/>
        <v>0</v>
      </c>
      <c r="Y521" s="101">
        <f t="shared" si="53"/>
        <v>0</v>
      </c>
      <c r="Z521" s="101">
        <f t="shared" si="53"/>
        <v>0</v>
      </c>
      <c r="AA521" s="101">
        <f t="shared" si="53"/>
        <v>2.6657755066303659E-2</v>
      </c>
      <c r="AB521" s="101">
        <f t="shared" si="53"/>
        <v>8.7099999129363666E-3</v>
      </c>
      <c r="AC521" s="101">
        <f t="shared" si="53"/>
        <v>3.2685870321544108</v>
      </c>
      <c r="AD521" s="101">
        <f t="shared" si="53"/>
        <v>0</v>
      </c>
      <c r="AE521" s="101">
        <f t="shared" si="53"/>
        <v>0.48212390769189922</v>
      </c>
      <c r="AF521" s="101">
        <f t="shared" si="53"/>
        <v>0</v>
      </c>
      <c r="AG521" s="101">
        <f t="shared" si="53"/>
        <v>0.14516693181545165</v>
      </c>
      <c r="AH521" s="101">
        <f t="shared" si="53"/>
        <v>4.9973532068371589E-3</v>
      </c>
      <c r="AI521" s="101">
        <f t="shared" si="53"/>
        <v>0</v>
      </c>
      <c r="AJ521" s="101">
        <f t="shared" si="53"/>
        <v>0</v>
      </c>
      <c r="AK521" s="101">
        <f t="shared" si="53"/>
        <v>2.5290286843656931E-2</v>
      </c>
      <c r="AL521" s="101">
        <f t="shared" si="53"/>
        <v>0</v>
      </c>
      <c r="AM521" s="381">
        <f t="shared" si="25"/>
        <v>23.817160852674817</v>
      </c>
    </row>
    <row r="522" spans="1:39" x14ac:dyDescent="0.2">
      <c r="A522" s="8"/>
      <c r="B522" s="57" t="s">
        <v>206</v>
      </c>
      <c r="C522" s="213" t="s">
        <v>176</v>
      </c>
      <c r="D522" s="158"/>
      <c r="E522" s="101"/>
      <c r="F522" s="101">
        <f t="shared" ref="F522:AL522" si="54">F158*0.44*(1-F327/100)</f>
        <v>5.3459558704071677</v>
      </c>
      <c r="G522" s="101">
        <f t="shared" si="54"/>
        <v>54.803249754741806</v>
      </c>
      <c r="H522" s="101">
        <f t="shared" si="54"/>
        <v>0.61238351771676169</v>
      </c>
      <c r="I522" s="101">
        <f t="shared" si="54"/>
        <v>28.647075040664699</v>
      </c>
      <c r="J522" s="101">
        <f t="shared" si="54"/>
        <v>22.898143571524923</v>
      </c>
      <c r="K522" s="101">
        <f t="shared" si="54"/>
        <v>43.216244067729349</v>
      </c>
      <c r="L522" s="101">
        <f t="shared" si="54"/>
        <v>7.6333411169211317E-3</v>
      </c>
      <c r="M522" s="101">
        <f t="shared" si="54"/>
        <v>39.917115021442314</v>
      </c>
      <c r="N522" s="101">
        <f t="shared" si="54"/>
        <v>0.90745956212229517</v>
      </c>
      <c r="O522" s="101">
        <f t="shared" si="54"/>
        <v>1.1708369342042018E-2</v>
      </c>
      <c r="P522" s="101">
        <f t="shared" si="54"/>
        <v>3.325314618542604E-2</v>
      </c>
      <c r="Q522" s="101">
        <f t="shared" si="54"/>
        <v>0</v>
      </c>
      <c r="R522" s="101">
        <f t="shared" si="54"/>
        <v>8.8053248087474993E-3</v>
      </c>
      <c r="S522" s="101">
        <f t="shared" si="54"/>
        <v>0</v>
      </c>
      <c r="T522" s="101">
        <f t="shared" si="54"/>
        <v>0</v>
      </c>
      <c r="U522" s="101">
        <f t="shared" si="54"/>
        <v>7.679027127867348E-2</v>
      </c>
      <c r="V522" s="101">
        <f t="shared" si="54"/>
        <v>0</v>
      </c>
      <c r="W522" s="101">
        <f t="shared" si="54"/>
        <v>0</v>
      </c>
      <c r="X522" s="101">
        <f t="shared" si="54"/>
        <v>0</v>
      </c>
      <c r="Y522" s="101">
        <f t="shared" si="54"/>
        <v>0</v>
      </c>
      <c r="Z522" s="101">
        <f t="shared" si="54"/>
        <v>0</v>
      </c>
      <c r="AA522" s="101">
        <f t="shared" si="54"/>
        <v>0</v>
      </c>
      <c r="AB522" s="101">
        <f t="shared" si="54"/>
        <v>6.2774774147289136E-3</v>
      </c>
      <c r="AC522" s="101">
        <f t="shared" si="54"/>
        <v>0.12909354286216668</v>
      </c>
      <c r="AD522" s="101">
        <f t="shared" si="54"/>
        <v>0</v>
      </c>
      <c r="AE522" s="101">
        <f t="shared" si="54"/>
        <v>0</v>
      </c>
      <c r="AF522" s="101">
        <f t="shared" si="54"/>
        <v>0</v>
      </c>
      <c r="AG522" s="101">
        <f t="shared" si="54"/>
        <v>3.470873329351672E-3</v>
      </c>
      <c r="AH522" s="101">
        <f t="shared" si="54"/>
        <v>0</v>
      </c>
      <c r="AI522" s="101">
        <f t="shared" si="54"/>
        <v>0</v>
      </c>
      <c r="AJ522" s="101">
        <f t="shared" si="54"/>
        <v>0</v>
      </c>
      <c r="AK522" s="101">
        <f t="shared" si="54"/>
        <v>0</v>
      </c>
      <c r="AL522" s="101">
        <f t="shared" si="54"/>
        <v>0</v>
      </c>
      <c r="AM522" s="381">
        <f t="shared" si="25"/>
        <v>196.62465875268737</v>
      </c>
    </row>
    <row r="523" spans="1:39" x14ac:dyDescent="0.2">
      <c r="A523" s="8"/>
      <c r="B523" s="57" t="s">
        <v>207</v>
      </c>
      <c r="C523" s="213" t="s">
        <v>176</v>
      </c>
      <c r="D523" s="158"/>
      <c r="E523" s="101"/>
      <c r="F523" s="101">
        <f t="shared" ref="F523:AL523" si="55">F159*0.44*(1-F328/100)</f>
        <v>5.3966192592320246</v>
      </c>
      <c r="G523" s="101">
        <f t="shared" si="55"/>
        <v>29.054286137160702</v>
      </c>
      <c r="H523" s="101">
        <f t="shared" si="55"/>
        <v>4.2156393403428805</v>
      </c>
      <c r="I523" s="101">
        <f t="shared" si="55"/>
        <v>122.85527682577948</v>
      </c>
      <c r="J523" s="101">
        <f t="shared" si="55"/>
        <v>254.49749538534078</v>
      </c>
      <c r="K523" s="101">
        <f t="shared" si="55"/>
        <v>61.196601859962698</v>
      </c>
      <c r="L523" s="101">
        <f t="shared" si="55"/>
        <v>262.95151190826823</v>
      </c>
      <c r="M523" s="101">
        <f t="shared" si="55"/>
        <v>200.01742530278761</v>
      </c>
      <c r="N523" s="101">
        <f t="shared" si="55"/>
        <v>44.036807993064599</v>
      </c>
      <c r="O523" s="101">
        <f t="shared" si="55"/>
        <v>50.072787612092789</v>
      </c>
      <c r="P523" s="101">
        <f t="shared" si="55"/>
        <v>140.70852662912824</v>
      </c>
      <c r="Q523" s="101">
        <f t="shared" si="55"/>
        <v>34.656241693136906</v>
      </c>
      <c r="R523" s="101">
        <f t="shared" si="55"/>
        <v>479.77900644285523</v>
      </c>
      <c r="S523" s="101">
        <f t="shared" si="55"/>
        <v>141.89371088401424</v>
      </c>
      <c r="T523" s="101">
        <f t="shared" si="55"/>
        <v>468.19908689795642</v>
      </c>
      <c r="U523" s="101">
        <f t="shared" si="55"/>
        <v>70.948486547525604</v>
      </c>
      <c r="V523" s="101">
        <f t="shared" si="55"/>
        <v>180.05439447329687</v>
      </c>
      <c r="W523" s="101">
        <f t="shared" si="55"/>
        <v>13.925985638801638</v>
      </c>
      <c r="X523" s="101">
        <f t="shared" si="55"/>
        <v>4.0646768138437164</v>
      </c>
      <c r="Y523" s="101">
        <f t="shared" si="55"/>
        <v>31.064661892116966</v>
      </c>
      <c r="Z523" s="101">
        <f t="shared" si="55"/>
        <v>4.8596046490555258</v>
      </c>
      <c r="AA523" s="101">
        <f t="shared" si="55"/>
        <v>22.684752624451509</v>
      </c>
      <c r="AB523" s="101">
        <f t="shared" si="55"/>
        <v>23.484850710594852</v>
      </c>
      <c r="AC523" s="101">
        <f t="shared" si="55"/>
        <v>109.06544605194328</v>
      </c>
      <c r="AD523" s="101">
        <f t="shared" si="55"/>
        <v>8.766603732546427</v>
      </c>
      <c r="AE523" s="101">
        <f t="shared" si="55"/>
        <v>106.48422789340819</v>
      </c>
      <c r="AF523" s="101">
        <f t="shared" si="55"/>
        <v>9.8732426648902027</v>
      </c>
      <c r="AG523" s="101">
        <f t="shared" si="55"/>
        <v>45.599799098914765</v>
      </c>
      <c r="AH523" s="101">
        <f t="shared" si="55"/>
        <v>20.656843457040459</v>
      </c>
      <c r="AI523" s="101">
        <f t="shared" si="55"/>
        <v>1.9415123943501191</v>
      </c>
      <c r="AJ523" s="101">
        <f t="shared" si="55"/>
        <v>10.238046992638441</v>
      </c>
      <c r="AK523" s="101">
        <f t="shared" si="55"/>
        <v>0.73707193220694045</v>
      </c>
      <c r="AL523" s="101">
        <f t="shared" si="55"/>
        <v>2.1137848047741215</v>
      </c>
      <c r="AM523" s="381">
        <f t="shared" si="25"/>
        <v>2966.0950165435229</v>
      </c>
    </row>
    <row r="524" spans="1:39" x14ac:dyDescent="0.2">
      <c r="A524" s="8"/>
      <c r="B524" s="57" t="s">
        <v>208</v>
      </c>
      <c r="C524" s="213" t="s">
        <v>176</v>
      </c>
      <c r="D524" s="158"/>
      <c r="E524" s="101"/>
      <c r="F524" s="101">
        <f t="shared" ref="F524:AL524" si="56">F160*0.44*(1-F329/100)</f>
        <v>0.64076811161300129</v>
      </c>
      <c r="G524" s="101">
        <f t="shared" si="56"/>
        <v>0.50781966851154514</v>
      </c>
      <c r="H524" s="101">
        <f t="shared" si="56"/>
        <v>0.27872748081974225</v>
      </c>
      <c r="I524" s="101">
        <f t="shared" si="56"/>
        <v>1.3284662656326114</v>
      </c>
      <c r="J524" s="101">
        <f t="shared" si="56"/>
        <v>1.0085768811412645</v>
      </c>
      <c r="K524" s="101">
        <f t="shared" si="56"/>
        <v>0.25605014321907249</v>
      </c>
      <c r="L524" s="101">
        <f t="shared" si="56"/>
        <v>0.5820109740870214</v>
      </c>
      <c r="M524" s="101">
        <f t="shared" si="56"/>
        <v>0.92366583907075217</v>
      </c>
      <c r="N524" s="101">
        <f t="shared" si="56"/>
        <v>1.203127082860485</v>
      </c>
      <c r="O524" s="101">
        <f t="shared" si="56"/>
        <v>0.82687191115336289</v>
      </c>
      <c r="P524" s="101">
        <f t="shared" si="56"/>
        <v>1.0589421002566142</v>
      </c>
      <c r="Q524" s="101">
        <f t="shared" si="56"/>
        <v>0.34961555617011481</v>
      </c>
      <c r="R524" s="101">
        <f t="shared" si="56"/>
        <v>1.107155339107436</v>
      </c>
      <c r="S524" s="101">
        <f t="shared" si="56"/>
        <v>0.96688754002713784</v>
      </c>
      <c r="T524" s="101">
        <f t="shared" si="56"/>
        <v>1.9485711189461326</v>
      </c>
      <c r="U524" s="101">
        <f t="shared" si="56"/>
        <v>2.3824270751518766</v>
      </c>
      <c r="V524" s="101">
        <f t="shared" si="56"/>
        <v>3.1846065909172192</v>
      </c>
      <c r="W524" s="101">
        <f t="shared" si="56"/>
        <v>0.32688425556669021</v>
      </c>
      <c r="X524" s="101">
        <f t="shared" si="56"/>
        <v>0.14856154767826588</v>
      </c>
      <c r="Y524" s="101">
        <f t="shared" si="56"/>
        <v>0.27165106835720526</v>
      </c>
      <c r="Z524" s="101">
        <f t="shared" si="56"/>
        <v>0.80757734620675581</v>
      </c>
      <c r="AA524" s="101">
        <f t="shared" si="56"/>
        <v>0.53934060036256126</v>
      </c>
      <c r="AB524" s="101">
        <f t="shared" si="56"/>
        <v>0.54214442232958537</v>
      </c>
      <c r="AC524" s="101">
        <f t="shared" si="56"/>
        <v>2.864306597980447</v>
      </c>
      <c r="AD524" s="101">
        <f t="shared" si="56"/>
        <v>0.28427108668173673</v>
      </c>
      <c r="AE524" s="101">
        <f t="shared" si="56"/>
        <v>0.92162135293572955</v>
      </c>
      <c r="AF524" s="101">
        <f t="shared" si="56"/>
        <v>0.12917261194585533</v>
      </c>
      <c r="AG524" s="101">
        <f t="shared" si="56"/>
        <v>0.63568611045120316</v>
      </c>
      <c r="AH524" s="101">
        <f t="shared" si="56"/>
        <v>0.63414224290742316</v>
      </c>
      <c r="AI524" s="101">
        <f t="shared" si="56"/>
        <v>0.29342839681404742</v>
      </c>
      <c r="AJ524" s="101">
        <f t="shared" si="56"/>
        <v>1.3816532382955224</v>
      </c>
      <c r="AK524" s="101">
        <f t="shared" si="56"/>
        <v>0.4386203980723109</v>
      </c>
      <c r="AL524" s="101">
        <f t="shared" si="56"/>
        <v>0.98041322759082516</v>
      </c>
      <c r="AM524" s="381">
        <f t="shared" si="25"/>
        <v>29.753764182861556</v>
      </c>
    </row>
    <row r="525" spans="1:39" x14ac:dyDescent="0.2">
      <c r="A525" s="8"/>
      <c r="B525" s="57" t="s">
        <v>209</v>
      </c>
      <c r="C525" s="213" t="s">
        <v>176</v>
      </c>
      <c r="D525" s="158"/>
      <c r="E525" s="101"/>
      <c r="F525" s="101">
        <f t="shared" ref="F525:AL525" si="57">F161*0.44*(1-F330/100)</f>
        <v>11.273696051240108</v>
      </c>
      <c r="G525" s="101">
        <f t="shared" si="57"/>
        <v>22.051948578031659</v>
      </c>
      <c r="H525" s="101">
        <f t="shared" si="57"/>
        <v>2.397294090587244</v>
      </c>
      <c r="I525" s="101">
        <f t="shared" si="57"/>
        <v>33.366883664085535</v>
      </c>
      <c r="J525" s="101">
        <f t="shared" si="57"/>
        <v>10.974016599392208</v>
      </c>
      <c r="K525" s="101">
        <f t="shared" si="57"/>
        <v>1.5894762241866367</v>
      </c>
      <c r="L525" s="101">
        <f t="shared" si="57"/>
        <v>8.289360959429942</v>
      </c>
      <c r="M525" s="101">
        <f t="shared" si="57"/>
        <v>8.7888983561726342</v>
      </c>
      <c r="N525" s="101">
        <f t="shared" si="57"/>
        <v>307.16880045906294</v>
      </c>
      <c r="O525" s="101">
        <f t="shared" si="57"/>
        <v>46.559409757264049</v>
      </c>
      <c r="P525" s="101">
        <f t="shared" si="57"/>
        <v>29.056601723181078</v>
      </c>
      <c r="Q525" s="101">
        <f t="shared" si="57"/>
        <v>7.5495310791353845</v>
      </c>
      <c r="R525" s="101">
        <f t="shared" si="57"/>
        <v>15.365983258286708</v>
      </c>
      <c r="S525" s="101">
        <f t="shared" si="57"/>
        <v>52.195338237138138</v>
      </c>
      <c r="T525" s="101">
        <f t="shared" si="57"/>
        <v>69.811865590898762</v>
      </c>
      <c r="U525" s="101">
        <f t="shared" si="57"/>
        <v>72.737274591521327</v>
      </c>
      <c r="V525" s="101">
        <f t="shared" si="57"/>
        <v>93.593449265355233</v>
      </c>
      <c r="W525" s="101">
        <f t="shared" si="57"/>
        <v>6.5961849701792774</v>
      </c>
      <c r="X525" s="101">
        <f t="shared" si="57"/>
        <v>4.1087885082505462</v>
      </c>
      <c r="Y525" s="101">
        <f t="shared" si="57"/>
        <v>11.851154042673864</v>
      </c>
      <c r="Z525" s="101">
        <f t="shared" si="57"/>
        <v>113.99586389382594</v>
      </c>
      <c r="AA525" s="101">
        <f t="shared" si="57"/>
        <v>64.279705721500193</v>
      </c>
      <c r="AB525" s="101">
        <f t="shared" si="57"/>
        <v>42.972348882968433</v>
      </c>
      <c r="AC525" s="101">
        <f t="shared" si="57"/>
        <v>244.44330697789042</v>
      </c>
      <c r="AD525" s="101">
        <f t="shared" si="57"/>
        <v>3.9894400092277937</v>
      </c>
      <c r="AE525" s="101">
        <f t="shared" si="57"/>
        <v>14.231965267785908</v>
      </c>
      <c r="AF525" s="101">
        <f t="shared" si="57"/>
        <v>0.44200069407145648</v>
      </c>
      <c r="AG525" s="101">
        <f t="shared" si="57"/>
        <v>54.306158083194411</v>
      </c>
      <c r="AH525" s="101">
        <f t="shared" si="57"/>
        <v>5.4984222126835887</v>
      </c>
      <c r="AI525" s="101">
        <f t="shared" si="57"/>
        <v>20.839110766235176</v>
      </c>
      <c r="AJ525" s="101">
        <f t="shared" si="57"/>
        <v>94.59220138996929</v>
      </c>
      <c r="AK525" s="101">
        <f t="shared" si="57"/>
        <v>17.840313176652401</v>
      </c>
      <c r="AL525" s="101">
        <f t="shared" si="57"/>
        <v>9.9500624964895881</v>
      </c>
      <c r="AM525" s="381">
        <f t="shared" si="25"/>
        <v>1502.7068555785677</v>
      </c>
    </row>
    <row r="526" spans="1:39" x14ac:dyDescent="0.2">
      <c r="A526" s="8"/>
      <c r="B526" s="57" t="s">
        <v>210</v>
      </c>
      <c r="C526" s="213" t="s">
        <v>176</v>
      </c>
      <c r="D526" s="158"/>
      <c r="E526" s="101"/>
      <c r="F526" s="101">
        <f t="shared" ref="F526:AL526" si="58">F162*0.44*(1-F331/100)</f>
        <v>16.768364347514922</v>
      </c>
      <c r="G526" s="101">
        <f t="shared" si="58"/>
        <v>39.937952948854793</v>
      </c>
      <c r="H526" s="101">
        <f t="shared" si="58"/>
        <v>11.152677570892426</v>
      </c>
      <c r="I526" s="101">
        <f t="shared" si="58"/>
        <v>62.467118375993138</v>
      </c>
      <c r="J526" s="101">
        <f t="shared" si="58"/>
        <v>279.86001982559367</v>
      </c>
      <c r="K526" s="101">
        <f t="shared" si="58"/>
        <v>60.314298163477964</v>
      </c>
      <c r="L526" s="101">
        <f t="shared" si="58"/>
        <v>431.06266825372126</v>
      </c>
      <c r="M526" s="101">
        <f t="shared" si="58"/>
        <v>76.053185713701481</v>
      </c>
      <c r="N526" s="101">
        <f t="shared" si="58"/>
        <v>58.95000432436381</v>
      </c>
      <c r="O526" s="101">
        <f t="shared" si="58"/>
        <v>98.049272913712699</v>
      </c>
      <c r="P526" s="101">
        <f t="shared" si="58"/>
        <v>178.42672460890563</v>
      </c>
      <c r="Q526" s="101">
        <f t="shared" si="58"/>
        <v>50.060453005588691</v>
      </c>
      <c r="R526" s="101">
        <f t="shared" si="58"/>
        <v>1442.8859971919035</v>
      </c>
      <c r="S526" s="101">
        <f t="shared" si="58"/>
        <v>698.57983527898637</v>
      </c>
      <c r="T526" s="101">
        <f t="shared" si="58"/>
        <v>1879.4188778124842</v>
      </c>
      <c r="U526" s="101">
        <f t="shared" si="58"/>
        <v>841.77724505396679</v>
      </c>
      <c r="V526" s="101">
        <f t="shared" si="58"/>
        <v>1996.2531372688527</v>
      </c>
      <c r="W526" s="101">
        <f t="shared" si="58"/>
        <v>170.14774308771462</v>
      </c>
      <c r="X526" s="101">
        <f t="shared" si="58"/>
        <v>45.946856303308088</v>
      </c>
      <c r="Y526" s="101">
        <f t="shared" si="58"/>
        <v>131.99700793742218</v>
      </c>
      <c r="Z526" s="101">
        <f t="shared" si="58"/>
        <v>123.36430283511181</v>
      </c>
      <c r="AA526" s="101">
        <f t="shared" si="58"/>
        <v>94.270424437501831</v>
      </c>
      <c r="AB526" s="101">
        <f t="shared" si="58"/>
        <v>603.39754573190726</v>
      </c>
      <c r="AC526" s="101">
        <f t="shared" si="58"/>
        <v>1002.3746103301203</v>
      </c>
      <c r="AD526" s="101">
        <f t="shared" si="58"/>
        <v>25.446104181099326</v>
      </c>
      <c r="AE526" s="101">
        <f t="shared" si="58"/>
        <v>580.7273159433754</v>
      </c>
      <c r="AF526" s="101">
        <f t="shared" si="58"/>
        <v>33.272904534129609</v>
      </c>
      <c r="AG526" s="101">
        <f t="shared" si="58"/>
        <v>407.78764122303642</v>
      </c>
      <c r="AH526" s="101">
        <f t="shared" si="58"/>
        <v>393.35961167257562</v>
      </c>
      <c r="AI526" s="101">
        <f t="shared" si="58"/>
        <v>12.439811655229374</v>
      </c>
      <c r="AJ526" s="101">
        <f t="shared" si="58"/>
        <v>35.613700984098671</v>
      </c>
      <c r="AK526" s="101">
        <f t="shared" si="58"/>
        <v>20.625182385991629</v>
      </c>
      <c r="AL526" s="101">
        <f t="shared" si="58"/>
        <v>5.7531657612113927</v>
      </c>
      <c r="AM526" s="381">
        <f t="shared" si="25"/>
        <v>11908.541761662345</v>
      </c>
    </row>
    <row r="527" spans="1:39" x14ac:dyDescent="0.2">
      <c r="A527" s="8"/>
      <c r="B527" s="58" t="s">
        <v>211</v>
      </c>
      <c r="C527" s="213" t="s">
        <v>176</v>
      </c>
      <c r="D527" s="158"/>
      <c r="E527" s="101"/>
      <c r="F527" s="101">
        <f t="shared" ref="F527:AL527" si="59">F163*0.44*(1-F332/100)</f>
        <v>0</v>
      </c>
      <c r="G527" s="101">
        <f t="shared" si="59"/>
        <v>6.5997174344672782E-9</v>
      </c>
      <c r="H527" s="101">
        <f t="shared" si="59"/>
        <v>0</v>
      </c>
      <c r="I527" s="101">
        <f t="shared" si="59"/>
        <v>0</v>
      </c>
      <c r="J527" s="101">
        <f t="shared" si="59"/>
        <v>792.8580095442378</v>
      </c>
      <c r="K527" s="101">
        <f t="shared" si="59"/>
        <v>393.5637944818651</v>
      </c>
      <c r="L527" s="101">
        <f t="shared" si="59"/>
        <v>539.31896433561838</v>
      </c>
      <c r="M527" s="101">
        <f t="shared" si="59"/>
        <v>0</v>
      </c>
      <c r="N527" s="101">
        <f t="shared" si="59"/>
        <v>0</v>
      </c>
      <c r="O527" s="101">
        <f t="shared" si="59"/>
        <v>0</v>
      </c>
      <c r="P527" s="101">
        <f t="shared" si="59"/>
        <v>1690.6121534172939</v>
      </c>
      <c r="Q527" s="101">
        <f t="shared" si="59"/>
        <v>0</v>
      </c>
      <c r="R527" s="101">
        <f t="shared" si="59"/>
        <v>379.79793934551253</v>
      </c>
      <c r="S527" s="101">
        <f t="shared" si="59"/>
        <v>652.22230782492329</v>
      </c>
      <c r="T527" s="101">
        <f t="shared" si="59"/>
        <v>1037.2462685741289</v>
      </c>
      <c r="U527" s="101">
        <f t="shared" si="59"/>
        <v>0</v>
      </c>
      <c r="V527" s="101">
        <f t="shared" si="59"/>
        <v>4541.8576686572796</v>
      </c>
      <c r="W527" s="101">
        <f t="shared" si="59"/>
        <v>807.19913671619599</v>
      </c>
      <c r="X527" s="101">
        <f t="shared" si="59"/>
        <v>415.22932005763062</v>
      </c>
      <c r="Y527" s="101">
        <f t="shared" si="59"/>
        <v>538.41100398004357</v>
      </c>
      <c r="Z527" s="101">
        <f t="shared" si="59"/>
        <v>414.20329638897329</v>
      </c>
      <c r="AA527" s="101">
        <f t="shared" si="59"/>
        <v>512.68065604028584</v>
      </c>
      <c r="AB527" s="101">
        <f t="shared" si="59"/>
        <v>730.09167491308165</v>
      </c>
      <c r="AC527" s="101">
        <f t="shared" si="59"/>
        <v>992.82457508896857</v>
      </c>
      <c r="AD527" s="101">
        <f t="shared" si="59"/>
        <v>0</v>
      </c>
      <c r="AE527" s="101">
        <f t="shared" si="59"/>
        <v>571.26708559750375</v>
      </c>
      <c r="AF527" s="101">
        <f t="shared" si="59"/>
        <v>0</v>
      </c>
      <c r="AG527" s="101">
        <f t="shared" si="59"/>
        <v>547.24863481192506</v>
      </c>
      <c r="AH527" s="101">
        <f t="shared" si="59"/>
        <v>1051.3205451120357</v>
      </c>
      <c r="AI527" s="101">
        <f t="shared" si="59"/>
        <v>0</v>
      </c>
      <c r="AJ527" s="101">
        <f t="shared" si="59"/>
        <v>0</v>
      </c>
      <c r="AK527" s="101">
        <f t="shared" si="59"/>
        <v>0</v>
      </c>
      <c r="AL527" s="101">
        <f t="shared" si="59"/>
        <v>0</v>
      </c>
      <c r="AM527" s="381">
        <f t="shared" si="25"/>
        <v>16607.953034894104</v>
      </c>
    </row>
    <row r="528" spans="1:39" x14ac:dyDescent="0.2">
      <c r="A528" s="8"/>
      <c r="B528" s="157"/>
      <c r="C528" s="213"/>
      <c r="D528" s="158"/>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381"/>
    </row>
    <row r="529" spans="1:39" x14ac:dyDescent="0.2">
      <c r="A529" s="8"/>
      <c r="B529" s="186" t="s">
        <v>212</v>
      </c>
      <c r="C529" s="214" t="s">
        <v>176</v>
      </c>
      <c r="D529" s="159"/>
      <c r="E529" s="122"/>
      <c r="F529" s="122">
        <f>SUM(F492:F526)</f>
        <v>2092.5335189031211</v>
      </c>
      <c r="G529" s="122">
        <f t="shared" ref="G529:AL529" si="60">SUM(G492:G526)</f>
        <v>1432.8790052308334</v>
      </c>
      <c r="H529" s="122">
        <f t="shared" si="60"/>
        <v>982.81049354460299</v>
      </c>
      <c r="I529" s="122">
        <f t="shared" si="60"/>
        <v>5578.1344212683225</v>
      </c>
      <c r="J529" s="122">
        <f t="shared" si="60"/>
        <v>2351.5831775715797</v>
      </c>
      <c r="K529" s="122">
        <f t="shared" si="60"/>
        <v>816.28134222939048</v>
      </c>
      <c r="L529" s="122">
        <f t="shared" si="60"/>
        <v>1125.0348799586475</v>
      </c>
      <c r="M529" s="122">
        <f t="shared" si="60"/>
        <v>3421.6870315989322</v>
      </c>
      <c r="N529" s="122">
        <f t="shared" si="60"/>
        <v>4091.6971031683511</v>
      </c>
      <c r="O529" s="122">
        <f t="shared" si="60"/>
        <v>1851.5676846357399</v>
      </c>
      <c r="P529" s="122">
        <f t="shared" si="60"/>
        <v>2213.1706293785064</v>
      </c>
      <c r="Q529" s="122">
        <f t="shared" si="60"/>
        <v>1211.1433234236956</v>
      </c>
      <c r="R529" s="122">
        <f t="shared" si="60"/>
        <v>4155.2849047765312</v>
      </c>
      <c r="S529" s="122">
        <f t="shared" si="60"/>
        <v>2840.6967589496389</v>
      </c>
      <c r="T529" s="122">
        <f t="shared" si="60"/>
        <v>5686.4980288523675</v>
      </c>
      <c r="U529" s="122">
        <f t="shared" si="60"/>
        <v>6433.6381726639938</v>
      </c>
      <c r="V529" s="122">
        <f t="shared" si="60"/>
        <v>4791.2199451819233</v>
      </c>
      <c r="W529" s="122">
        <f t="shared" si="60"/>
        <v>454.40184371948897</v>
      </c>
      <c r="X529" s="122">
        <f t="shared" si="60"/>
        <v>113.29173304489365</v>
      </c>
      <c r="Y529" s="122">
        <f t="shared" si="60"/>
        <v>598.95597113492545</v>
      </c>
      <c r="Z529" s="122">
        <f t="shared" si="60"/>
        <v>483.20124846965263</v>
      </c>
      <c r="AA529" s="122">
        <f t="shared" si="60"/>
        <v>769.45191003924742</v>
      </c>
      <c r="AB529" s="122">
        <f t="shared" si="60"/>
        <v>949.38011135474233</v>
      </c>
      <c r="AC529" s="122">
        <f t="shared" si="60"/>
        <v>5627.3895137718846</v>
      </c>
      <c r="AD529" s="122">
        <f t="shared" si="60"/>
        <v>254.10884665013302</v>
      </c>
      <c r="AE529" s="122">
        <f t="shared" si="60"/>
        <v>1642.9041539680629</v>
      </c>
      <c r="AF529" s="122">
        <f t="shared" si="60"/>
        <v>433.25539733140511</v>
      </c>
      <c r="AG529" s="122">
        <f t="shared" si="60"/>
        <v>999.55158931218409</v>
      </c>
      <c r="AH529" s="122">
        <f t="shared" si="60"/>
        <v>540.78925079774956</v>
      </c>
      <c r="AI529" s="122">
        <f t="shared" si="60"/>
        <v>239.79549351691617</v>
      </c>
      <c r="AJ529" s="122">
        <f t="shared" si="60"/>
        <v>761.10231019992693</v>
      </c>
      <c r="AK529" s="122">
        <f t="shared" si="60"/>
        <v>239.72413390531452</v>
      </c>
      <c r="AL529" s="122">
        <f t="shared" si="60"/>
        <v>159.82083779406548</v>
      </c>
      <c r="AM529" s="381">
        <f>SUM(F529:AL529)</f>
        <v>65342.984766346781</v>
      </c>
    </row>
    <row r="530" spans="1:39" x14ac:dyDescent="0.2">
      <c r="A530" s="8"/>
      <c r="B530" s="186" t="s">
        <v>213</v>
      </c>
      <c r="C530" s="214" t="s">
        <v>176</v>
      </c>
      <c r="D530" s="159"/>
      <c r="E530" s="122"/>
      <c r="F530" s="122">
        <f>F527</f>
        <v>0</v>
      </c>
      <c r="G530" s="122">
        <f t="shared" ref="G530:AL530" si="61">G527</f>
        <v>6.5997174344672782E-9</v>
      </c>
      <c r="H530" s="122">
        <f t="shared" si="61"/>
        <v>0</v>
      </c>
      <c r="I530" s="122">
        <f t="shared" si="61"/>
        <v>0</v>
      </c>
      <c r="J530" s="122">
        <f t="shared" si="61"/>
        <v>792.8580095442378</v>
      </c>
      <c r="K530" s="122">
        <f t="shared" si="61"/>
        <v>393.5637944818651</v>
      </c>
      <c r="L530" s="122">
        <f t="shared" si="61"/>
        <v>539.31896433561838</v>
      </c>
      <c r="M530" s="122">
        <f t="shared" si="61"/>
        <v>0</v>
      </c>
      <c r="N530" s="122">
        <f t="shared" si="61"/>
        <v>0</v>
      </c>
      <c r="O530" s="122">
        <f t="shared" si="61"/>
        <v>0</v>
      </c>
      <c r="P530" s="122">
        <f t="shared" si="61"/>
        <v>1690.6121534172939</v>
      </c>
      <c r="Q530" s="122">
        <f t="shared" si="61"/>
        <v>0</v>
      </c>
      <c r="R530" s="122">
        <f t="shared" si="61"/>
        <v>379.79793934551253</v>
      </c>
      <c r="S530" s="122">
        <f t="shared" si="61"/>
        <v>652.22230782492329</v>
      </c>
      <c r="T530" s="122">
        <f t="shared" si="61"/>
        <v>1037.2462685741289</v>
      </c>
      <c r="U530" s="122">
        <f t="shared" si="61"/>
        <v>0</v>
      </c>
      <c r="V530" s="122">
        <f t="shared" si="61"/>
        <v>4541.8576686572796</v>
      </c>
      <c r="W530" s="122">
        <f t="shared" si="61"/>
        <v>807.19913671619599</v>
      </c>
      <c r="X530" s="122">
        <f t="shared" si="61"/>
        <v>415.22932005763062</v>
      </c>
      <c r="Y530" s="122">
        <f t="shared" si="61"/>
        <v>538.41100398004357</v>
      </c>
      <c r="Z530" s="122">
        <f t="shared" si="61"/>
        <v>414.20329638897329</v>
      </c>
      <c r="AA530" s="122">
        <f t="shared" si="61"/>
        <v>512.68065604028584</v>
      </c>
      <c r="AB530" s="122">
        <f t="shared" si="61"/>
        <v>730.09167491308165</v>
      </c>
      <c r="AC530" s="122">
        <f t="shared" si="61"/>
        <v>992.82457508896857</v>
      </c>
      <c r="AD530" s="122">
        <f t="shared" si="61"/>
        <v>0</v>
      </c>
      <c r="AE530" s="122">
        <f t="shared" si="61"/>
        <v>571.26708559750375</v>
      </c>
      <c r="AF530" s="122">
        <f t="shared" si="61"/>
        <v>0</v>
      </c>
      <c r="AG530" s="122">
        <f t="shared" si="61"/>
        <v>547.24863481192506</v>
      </c>
      <c r="AH530" s="122">
        <f t="shared" si="61"/>
        <v>1051.3205451120357</v>
      </c>
      <c r="AI530" s="122">
        <f t="shared" si="61"/>
        <v>0</v>
      </c>
      <c r="AJ530" s="122">
        <f t="shared" si="61"/>
        <v>0</v>
      </c>
      <c r="AK530" s="122">
        <f t="shared" si="61"/>
        <v>0</v>
      </c>
      <c r="AL530" s="122">
        <f t="shared" si="61"/>
        <v>0</v>
      </c>
      <c r="AM530" s="381">
        <f t="shared" si="25"/>
        <v>16607.953034894104</v>
      </c>
    </row>
    <row r="531" spans="1:39" x14ac:dyDescent="0.2">
      <c r="A531" s="8"/>
      <c r="B531" s="186"/>
      <c r="C531" s="214"/>
      <c r="D531" s="159"/>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07"/>
    </row>
    <row r="532" spans="1:39" x14ac:dyDescent="0.2">
      <c r="A532" s="8"/>
      <c r="B532" s="99" t="s">
        <v>920</v>
      </c>
      <c r="C532" s="108"/>
      <c r="D532" s="121"/>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07"/>
    </row>
    <row r="533" spans="1:39" x14ac:dyDescent="0.2">
      <c r="A533" s="8"/>
      <c r="B533" s="117" t="s">
        <v>324</v>
      </c>
      <c r="C533" s="118" t="s">
        <v>176</v>
      </c>
      <c r="D533" s="121"/>
      <c r="E533" s="122"/>
      <c r="F533" s="101">
        <f>SUM(F492:F499)+F621+SUM(F694:F700)</f>
        <v>3597.2388318145913</v>
      </c>
      <c r="G533" s="101">
        <f t="shared" ref="G533:AL533" si="62">SUM(G492:G499)+G621+SUM(G694:G700)</f>
        <v>2106.7852245588201</v>
      </c>
      <c r="H533" s="101">
        <f t="shared" si="62"/>
        <v>2036.2879085166765</v>
      </c>
      <c r="I533" s="101">
        <f t="shared" si="62"/>
        <v>7485.4287872631658</v>
      </c>
      <c r="J533" s="101">
        <f t="shared" si="62"/>
        <v>2541.1636253950055</v>
      </c>
      <c r="K533" s="101">
        <f t="shared" si="62"/>
        <v>1062.959586709052</v>
      </c>
      <c r="L533" s="101">
        <f t="shared" si="62"/>
        <v>559.38940956920919</v>
      </c>
      <c r="M533" s="101">
        <f t="shared" si="62"/>
        <v>3923.4376922821875</v>
      </c>
      <c r="N533" s="101">
        <f t="shared" si="62"/>
        <v>6103.6073450311451</v>
      </c>
      <c r="O533" s="101">
        <f t="shared" si="62"/>
        <v>2889.0743433160578</v>
      </c>
      <c r="P533" s="101">
        <f t="shared" si="62"/>
        <v>3326.5602559551112</v>
      </c>
      <c r="Q533" s="101">
        <f t="shared" si="62"/>
        <v>2410.5830909809133</v>
      </c>
      <c r="R533" s="101">
        <f t="shared" si="62"/>
        <v>3594.1718543380866</v>
      </c>
      <c r="S533" s="101">
        <f t="shared" si="62"/>
        <v>3778.7078480730979</v>
      </c>
      <c r="T533" s="101">
        <f t="shared" si="62"/>
        <v>5736.1966210406808</v>
      </c>
      <c r="U533" s="101">
        <f t="shared" si="62"/>
        <v>10437.216594729125</v>
      </c>
      <c r="V533" s="101">
        <f t="shared" si="62"/>
        <v>4549.1826780411702</v>
      </c>
      <c r="W533" s="101">
        <f t="shared" si="62"/>
        <v>475.81313001690074</v>
      </c>
      <c r="X533" s="101">
        <f t="shared" si="62"/>
        <v>96.120501015669404</v>
      </c>
      <c r="Y533" s="101">
        <f t="shared" si="62"/>
        <v>916.53427567523374</v>
      </c>
      <c r="Z533" s="101">
        <f t="shared" si="62"/>
        <v>316.18130736316874</v>
      </c>
      <c r="AA533" s="101">
        <f t="shared" si="62"/>
        <v>1153.4934626653449</v>
      </c>
      <c r="AB533" s="101">
        <f t="shared" si="62"/>
        <v>318.68572008597073</v>
      </c>
      <c r="AC533" s="101">
        <f t="shared" si="62"/>
        <v>8547.9271141209792</v>
      </c>
      <c r="AD533" s="101">
        <f t="shared" si="62"/>
        <v>521.28353528941841</v>
      </c>
      <c r="AE533" s="101">
        <f t="shared" si="62"/>
        <v>2191.7057910484118</v>
      </c>
      <c r="AF533" s="101">
        <f t="shared" si="62"/>
        <v>1038.7113031410811</v>
      </c>
      <c r="AG533" s="101">
        <f t="shared" si="62"/>
        <v>879.94054783252864</v>
      </c>
      <c r="AH533" s="101">
        <f t="shared" si="62"/>
        <v>169.93903281756457</v>
      </c>
      <c r="AI533" s="101">
        <f t="shared" si="62"/>
        <v>335.62233053601597</v>
      </c>
      <c r="AJ533" s="101">
        <f t="shared" si="62"/>
        <v>891.05007351987933</v>
      </c>
      <c r="AK533" s="101">
        <f t="shared" si="62"/>
        <v>394.59870184257903</v>
      </c>
      <c r="AL533" s="101">
        <f t="shared" si="62"/>
        <v>44.983615614004215</v>
      </c>
      <c r="AM533" s="381">
        <f>SUM(F533:AL533)</f>
        <v>84430.582140198851</v>
      </c>
    </row>
    <row r="534" spans="1:39" x14ac:dyDescent="0.2">
      <c r="A534" s="8"/>
      <c r="B534" s="117" t="s">
        <v>95</v>
      </c>
      <c r="C534" s="118" t="s">
        <v>176</v>
      </c>
      <c r="D534" s="121"/>
      <c r="E534" s="122"/>
      <c r="F534" s="101">
        <f>F500+F622+F701</f>
        <v>618.26729823125254</v>
      </c>
      <c r="G534" s="101">
        <f t="shared" ref="G534:AL542" si="63">G500+G622+G701</f>
        <v>684.48520135501587</v>
      </c>
      <c r="H534" s="101">
        <f t="shared" si="63"/>
        <v>527.08849674786268</v>
      </c>
      <c r="I534" s="101">
        <f t="shared" si="63"/>
        <v>873.22853457232884</v>
      </c>
      <c r="J534" s="101">
        <f t="shared" si="63"/>
        <v>379.95728890567466</v>
      </c>
      <c r="K534" s="101">
        <f t="shared" si="63"/>
        <v>128.58400035395312</v>
      </c>
      <c r="L534" s="101">
        <f t="shared" si="63"/>
        <v>90.141665486521347</v>
      </c>
      <c r="M534" s="101">
        <f t="shared" si="63"/>
        <v>544.52993881936618</v>
      </c>
      <c r="N534" s="101">
        <f t="shared" si="63"/>
        <v>1167.8619872182239</v>
      </c>
      <c r="O534" s="101">
        <f t="shared" si="63"/>
        <v>926.56508731408246</v>
      </c>
      <c r="P534" s="101">
        <f t="shared" si="63"/>
        <v>815.37000968813038</v>
      </c>
      <c r="Q534" s="101">
        <f t="shared" si="63"/>
        <v>85.132811618226114</v>
      </c>
      <c r="R534" s="101">
        <f t="shared" si="63"/>
        <v>192.22751163893815</v>
      </c>
      <c r="S534" s="101">
        <f t="shared" si="63"/>
        <v>279.21735788559113</v>
      </c>
      <c r="T534" s="101">
        <f t="shared" si="63"/>
        <v>799.56962612627615</v>
      </c>
      <c r="U534" s="101">
        <f t="shared" si="63"/>
        <v>1846.5498811246403</v>
      </c>
      <c r="V534" s="101">
        <f t="shared" si="63"/>
        <v>401.94116804211012</v>
      </c>
      <c r="W534" s="101">
        <f t="shared" si="63"/>
        <v>41.513819659040507</v>
      </c>
      <c r="X534" s="101">
        <f t="shared" si="63"/>
        <v>8.0137896536022009</v>
      </c>
      <c r="Y534" s="101">
        <f t="shared" si="63"/>
        <v>37.494819940139358</v>
      </c>
      <c r="Z534" s="101">
        <f t="shared" si="63"/>
        <v>33.897523073869529</v>
      </c>
      <c r="AA534" s="101">
        <f t="shared" si="63"/>
        <v>45.861035600987265</v>
      </c>
      <c r="AB534" s="101">
        <f t="shared" si="63"/>
        <v>48.755848428177195</v>
      </c>
      <c r="AC534" s="101">
        <f t="shared" si="63"/>
        <v>381.50645909232441</v>
      </c>
      <c r="AD534" s="101">
        <f t="shared" si="63"/>
        <v>6.981628386983072</v>
      </c>
      <c r="AE534" s="101">
        <f t="shared" si="63"/>
        <v>15.125584229318056</v>
      </c>
      <c r="AF534" s="101">
        <f t="shared" si="63"/>
        <v>4.4056421756773236</v>
      </c>
      <c r="AG534" s="101">
        <f t="shared" si="63"/>
        <v>29.195070213269844</v>
      </c>
      <c r="AH534" s="101">
        <f t="shared" si="63"/>
        <v>1.222069615241997</v>
      </c>
      <c r="AI534" s="101">
        <f t="shared" si="63"/>
        <v>6.3706825849504218</v>
      </c>
      <c r="AJ534" s="101">
        <f t="shared" si="63"/>
        <v>21.876190898213132</v>
      </c>
      <c r="AK534" s="101">
        <f t="shared" si="63"/>
        <v>7.2305392929171219</v>
      </c>
      <c r="AL534" s="101">
        <f t="shared" si="63"/>
        <v>0</v>
      </c>
      <c r="AM534" s="381">
        <f t="shared" ref="AM534:AM565" si="64">SUM(F534:AL534)</f>
        <v>11050.168567972903</v>
      </c>
    </row>
    <row r="535" spans="1:39" x14ac:dyDescent="0.2">
      <c r="A535" s="8"/>
      <c r="B535" s="117" t="s">
        <v>96</v>
      </c>
      <c r="C535" s="118" t="s">
        <v>176</v>
      </c>
      <c r="D535" s="121"/>
      <c r="E535" s="122"/>
      <c r="F535" s="101">
        <f t="shared" ref="F535:U550" si="65">F501+F623+F702</f>
        <v>14.537930655250378</v>
      </c>
      <c r="G535" s="101">
        <f t="shared" si="65"/>
        <v>1.3879225355375482</v>
      </c>
      <c r="H535" s="101">
        <f t="shared" si="65"/>
        <v>2.4030902739327673</v>
      </c>
      <c r="I535" s="101">
        <f t="shared" si="65"/>
        <v>3.7602156258598853</v>
      </c>
      <c r="J535" s="101">
        <f t="shared" si="65"/>
        <v>4.602676648722217</v>
      </c>
      <c r="K535" s="101">
        <f t="shared" si="65"/>
        <v>7.6430929773937589E-2</v>
      </c>
      <c r="L535" s="101">
        <f t="shared" si="65"/>
        <v>0</v>
      </c>
      <c r="M535" s="101">
        <f t="shared" si="65"/>
        <v>21.13387958379494</v>
      </c>
      <c r="N535" s="101">
        <f t="shared" si="65"/>
        <v>61.068836371868542</v>
      </c>
      <c r="O535" s="101">
        <f t="shared" si="65"/>
        <v>49.888981481091378</v>
      </c>
      <c r="P535" s="101">
        <f t="shared" si="65"/>
        <v>16.706997871706442</v>
      </c>
      <c r="Q535" s="101">
        <f t="shared" si="65"/>
        <v>1.8915511044930491</v>
      </c>
      <c r="R535" s="101">
        <f t="shared" si="65"/>
        <v>40.604020733780409</v>
      </c>
      <c r="S535" s="101">
        <f t="shared" si="65"/>
        <v>266.12681741319068</v>
      </c>
      <c r="T535" s="101">
        <f t="shared" si="65"/>
        <v>209.20319058064158</v>
      </c>
      <c r="U535" s="101">
        <f t="shared" si="65"/>
        <v>382.86251386535287</v>
      </c>
      <c r="V535" s="101">
        <f t="shared" si="63"/>
        <v>88.168782322148886</v>
      </c>
      <c r="W535" s="101">
        <f t="shared" si="63"/>
        <v>8.7663018201657206</v>
      </c>
      <c r="X535" s="101">
        <f t="shared" si="63"/>
        <v>3.0281742816540822</v>
      </c>
      <c r="Y535" s="101">
        <f t="shared" si="63"/>
        <v>13.072739947445326</v>
      </c>
      <c r="Z535" s="101">
        <f t="shared" si="63"/>
        <v>28.250596991136639</v>
      </c>
      <c r="AA535" s="101">
        <f t="shared" si="63"/>
        <v>36.575300695668403</v>
      </c>
      <c r="AB535" s="101">
        <f t="shared" si="63"/>
        <v>106.15914016015073</v>
      </c>
      <c r="AC535" s="101">
        <f t="shared" si="63"/>
        <v>975.15912965963514</v>
      </c>
      <c r="AD535" s="101">
        <f t="shared" si="63"/>
        <v>14.128955381523673</v>
      </c>
      <c r="AE535" s="101">
        <f t="shared" si="63"/>
        <v>10.830800595723343</v>
      </c>
      <c r="AF535" s="101">
        <f t="shared" si="63"/>
        <v>9.6380179589677191</v>
      </c>
      <c r="AG535" s="101">
        <f t="shared" si="63"/>
        <v>51.283775997864971</v>
      </c>
      <c r="AH535" s="101">
        <f t="shared" si="63"/>
        <v>2.6346282762630189</v>
      </c>
      <c r="AI535" s="101">
        <f t="shared" si="63"/>
        <v>16.752169363954042</v>
      </c>
      <c r="AJ535" s="101">
        <f t="shared" si="63"/>
        <v>54.618984058661347</v>
      </c>
      <c r="AK535" s="101">
        <f t="shared" si="63"/>
        <v>10.247646814815148</v>
      </c>
      <c r="AL535" s="101">
        <f t="shared" si="63"/>
        <v>0.11561119666342119</v>
      </c>
      <c r="AM535" s="381">
        <f t="shared" si="64"/>
        <v>2505.6858111974384</v>
      </c>
    </row>
    <row r="536" spans="1:39" x14ac:dyDescent="0.2">
      <c r="A536" s="8"/>
      <c r="B536" s="117" t="s">
        <v>97</v>
      </c>
      <c r="C536" s="118" t="s">
        <v>176</v>
      </c>
      <c r="D536" s="121"/>
      <c r="E536" s="122"/>
      <c r="F536" s="101">
        <f t="shared" si="65"/>
        <v>0.16994768972777435</v>
      </c>
      <c r="G536" s="101">
        <f t="shared" si="63"/>
        <v>2.740636688974174E-2</v>
      </c>
      <c r="H536" s="101">
        <f t="shared" si="63"/>
        <v>2.5286258732276471E-2</v>
      </c>
      <c r="I536" s="101">
        <f t="shared" si="63"/>
        <v>4.5296464894967796E-2</v>
      </c>
      <c r="J536" s="101">
        <f t="shared" si="63"/>
        <v>0</v>
      </c>
      <c r="K536" s="101">
        <f t="shared" si="63"/>
        <v>0</v>
      </c>
      <c r="L536" s="101">
        <f t="shared" si="63"/>
        <v>0</v>
      </c>
      <c r="M536" s="101">
        <f t="shared" si="63"/>
        <v>9.640059791997152E-2</v>
      </c>
      <c r="N536" s="101">
        <f t="shared" si="63"/>
        <v>2.2281693177561555</v>
      </c>
      <c r="O536" s="101">
        <f t="shared" si="63"/>
        <v>13.866155024901483</v>
      </c>
      <c r="P536" s="101">
        <f t="shared" si="63"/>
        <v>4.1997505845019143</v>
      </c>
      <c r="Q536" s="101">
        <f t="shared" si="63"/>
        <v>4.6287714855296676</v>
      </c>
      <c r="R536" s="101">
        <f t="shared" si="63"/>
        <v>8.7032867276441453E-2</v>
      </c>
      <c r="S536" s="101">
        <f t="shared" si="63"/>
        <v>0.67529948031526688</v>
      </c>
      <c r="T536" s="101">
        <f t="shared" si="63"/>
        <v>0.79565538015989401</v>
      </c>
      <c r="U536" s="101">
        <f t="shared" si="63"/>
        <v>4.6951452681076606</v>
      </c>
      <c r="V536" s="101">
        <f t="shared" si="63"/>
        <v>16.687506691470574</v>
      </c>
      <c r="W536" s="101">
        <f t="shared" si="63"/>
        <v>7.9200884272532859</v>
      </c>
      <c r="X536" s="101">
        <f t="shared" si="63"/>
        <v>1.456301133198088</v>
      </c>
      <c r="Y536" s="101">
        <f t="shared" si="63"/>
        <v>5.5699651092527116</v>
      </c>
      <c r="Z536" s="101">
        <f t="shared" si="63"/>
        <v>4.5899402431071294</v>
      </c>
      <c r="AA536" s="101">
        <f t="shared" si="63"/>
        <v>5.9166155048458418</v>
      </c>
      <c r="AB536" s="101">
        <f t="shared" si="63"/>
        <v>8.8913369877585655</v>
      </c>
      <c r="AC536" s="101">
        <f t="shared" si="63"/>
        <v>147.05851074488908</v>
      </c>
      <c r="AD536" s="101">
        <f t="shared" si="63"/>
        <v>1.741748293963149</v>
      </c>
      <c r="AE536" s="101">
        <f t="shared" si="63"/>
        <v>5.9155093208150591</v>
      </c>
      <c r="AF536" s="101">
        <f t="shared" si="63"/>
        <v>1.5526100717735145</v>
      </c>
      <c r="AG536" s="101">
        <f t="shared" si="63"/>
        <v>2.2303475531933556</v>
      </c>
      <c r="AH536" s="101">
        <f t="shared" si="63"/>
        <v>3.6629437322692866E-2</v>
      </c>
      <c r="AI536" s="101">
        <f t="shared" si="63"/>
        <v>0.1859250322726696</v>
      </c>
      <c r="AJ536" s="101">
        <f t="shared" si="63"/>
        <v>0.99148912346686413</v>
      </c>
      <c r="AK536" s="101">
        <f t="shared" si="63"/>
        <v>6.0405753433620223E-2</v>
      </c>
      <c r="AL536" s="101">
        <f t="shared" si="63"/>
        <v>0</v>
      </c>
      <c r="AM536" s="381">
        <f t="shared" si="64"/>
        <v>242.3452462147294</v>
      </c>
    </row>
    <row r="537" spans="1:39" x14ac:dyDescent="0.2">
      <c r="A537" s="8"/>
      <c r="B537" s="117" t="s">
        <v>98</v>
      </c>
      <c r="C537" s="118" t="s">
        <v>176</v>
      </c>
      <c r="D537" s="121"/>
      <c r="E537" s="122"/>
      <c r="F537" s="101">
        <f t="shared" si="65"/>
        <v>1.956374453997749</v>
      </c>
      <c r="G537" s="101">
        <f t="shared" si="63"/>
        <v>2.6663493552718363</v>
      </c>
      <c r="H537" s="101">
        <f t="shared" si="63"/>
        <v>2.1196384209121013</v>
      </c>
      <c r="I537" s="101">
        <f t="shared" si="63"/>
        <v>4.8326386252671742</v>
      </c>
      <c r="J537" s="101">
        <f t="shared" si="63"/>
        <v>0.72617620344123712</v>
      </c>
      <c r="K537" s="101">
        <f t="shared" si="63"/>
        <v>0.11655583126773392</v>
      </c>
      <c r="L537" s="101">
        <f t="shared" si="63"/>
        <v>4.8638782172191856E-2</v>
      </c>
      <c r="M537" s="101">
        <f t="shared" si="63"/>
        <v>0.905125708768311</v>
      </c>
      <c r="N537" s="101">
        <f t="shared" si="63"/>
        <v>3.660813682948004</v>
      </c>
      <c r="O537" s="101">
        <f t="shared" si="63"/>
        <v>7.8042806939691047</v>
      </c>
      <c r="P537" s="101">
        <f t="shared" si="63"/>
        <v>1.0427861327418164</v>
      </c>
      <c r="Q537" s="101">
        <f t="shared" si="63"/>
        <v>0.44731794727562579</v>
      </c>
      <c r="R537" s="101">
        <f t="shared" si="63"/>
        <v>3.4644597623096933</v>
      </c>
      <c r="S537" s="101">
        <f t="shared" si="63"/>
        <v>4.0484775033526432</v>
      </c>
      <c r="T537" s="101">
        <f t="shared" si="63"/>
        <v>7.4267831988286233</v>
      </c>
      <c r="U537" s="101">
        <f t="shared" si="63"/>
        <v>10.976137661954265</v>
      </c>
      <c r="V537" s="101">
        <f t="shared" si="63"/>
        <v>1.5242162850166263</v>
      </c>
      <c r="W537" s="101">
        <f t="shared" si="63"/>
        <v>3.4102738926505026E-2</v>
      </c>
      <c r="X537" s="101">
        <f t="shared" si="63"/>
        <v>0</v>
      </c>
      <c r="Y537" s="101">
        <f t="shared" si="63"/>
        <v>3.1288434707193218E-2</v>
      </c>
      <c r="Z537" s="101">
        <f t="shared" si="63"/>
        <v>0.16726603350714131</v>
      </c>
      <c r="AA537" s="101">
        <f t="shared" si="63"/>
        <v>2.7646364066614759E-2</v>
      </c>
      <c r="AB537" s="101">
        <f t="shared" si="63"/>
        <v>0.64140469808551293</v>
      </c>
      <c r="AC537" s="101">
        <f t="shared" si="63"/>
        <v>2.1065260503235415</v>
      </c>
      <c r="AD537" s="101">
        <f t="shared" si="63"/>
        <v>0.14080504014066372</v>
      </c>
      <c r="AE537" s="101">
        <f t="shared" si="63"/>
        <v>7.0396926359737502E-2</v>
      </c>
      <c r="AF537" s="101">
        <f t="shared" si="63"/>
        <v>7.7984838759881339E-2</v>
      </c>
      <c r="AG537" s="101">
        <f t="shared" si="63"/>
        <v>0.19832850321679424</v>
      </c>
      <c r="AH537" s="101">
        <f t="shared" si="63"/>
        <v>2.6314295873524983E-2</v>
      </c>
      <c r="AI537" s="101">
        <f t="shared" si="63"/>
        <v>5.5104716955440634E-2</v>
      </c>
      <c r="AJ537" s="101">
        <f t="shared" si="63"/>
        <v>0.16077606932731073</v>
      </c>
      <c r="AK537" s="101">
        <f t="shared" si="63"/>
        <v>1.1098689353733926E-2</v>
      </c>
      <c r="AL537" s="101">
        <f t="shared" si="63"/>
        <v>1.2906732300826777E-2</v>
      </c>
      <c r="AM537" s="381">
        <f t="shared" si="64"/>
        <v>57.528720381399161</v>
      </c>
    </row>
    <row r="538" spans="1:39" x14ac:dyDescent="0.2">
      <c r="A538" s="8"/>
      <c r="B538" s="117" t="s">
        <v>99</v>
      </c>
      <c r="C538" s="118" t="s">
        <v>176</v>
      </c>
      <c r="D538" s="121"/>
      <c r="E538" s="122"/>
      <c r="F538" s="101">
        <f t="shared" si="65"/>
        <v>74.884918281504724</v>
      </c>
      <c r="G538" s="101">
        <f t="shared" si="63"/>
        <v>17.837509179280907</v>
      </c>
      <c r="H538" s="101">
        <f t="shared" si="63"/>
        <v>2.3543274637352321</v>
      </c>
      <c r="I538" s="101">
        <f t="shared" si="63"/>
        <v>103.64601132405652</v>
      </c>
      <c r="J538" s="101">
        <f t="shared" si="63"/>
        <v>20.308455683756595</v>
      </c>
      <c r="K538" s="101">
        <f t="shared" si="63"/>
        <v>10.819102038364163</v>
      </c>
      <c r="L538" s="101">
        <f t="shared" si="63"/>
        <v>1.0568871778702829</v>
      </c>
      <c r="M538" s="101">
        <f t="shared" si="63"/>
        <v>31.041787917285536</v>
      </c>
      <c r="N538" s="101">
        <f t="shared" si="63"/>
        <v>22.576520040033479</v>
      </c>
      <c r="O538" s="101">
        <f t="shared" si="63"/>
        <v>2.8205870156259487</v>
      </c>
      <c r="P538" s="101">
        <f t="shared" si="63"/>
        <v>3.8109697910965097</v>
      </c>
      <c r="Q538" s="101">
        <f t="shared" si="63"/>
        <v>0.15416366544472648</v>
      </c>
      <c r="R538" s="101">
        <f t="shared" si="63"/>
        <v>3.7278039301179429</v>
      </c>
      <c r="S538" s="101">
        <f t="shared" si="63"/>
        <v>3.5499583931987702</v>
      </c>
      <c r="T538" s="101">
        <f t="shared" si="63"/>
        <v>8.2589918259389439</v>
      </c>
      <c r="U538" s="101">
        <f t="shared" si="63"/>
        <v>11.566669577907492</v>
      </c>
      <c r="V538" s="101">
        <f t="shared" si="63"/>
        <v>2.3958804193160832</v>
      </c>
      <c r="W538" s="101">
        <f t="shared" si="63"/>
        <v>0.41018163776789085</v>
      </c>
      <c r="X538" s="101">
        <f t="shared" si="63"/>
        <v>6.5317656390274682E-3</v>
      </c>
      <c r="Y538" s="101">
        <f t="shared" si="63"/>
        <v>0.1132433996935487</v>
      </c>
      <c r="Z538" s="101">
        <f t="shared" si="63"/>
        <v>0.44588394239902285</v>
      </c>
      <c r="AA538" s="101">
        <f t="shared" si="63"/>
        <v>0.20141272400525218</v>
      </c>
      <c r="AB538" s="101">
        <f t="shared" si="63"/>
        <v>2.5590877235172945E-2</v>
      </c>
      <c r="AC538" s="101">
        <f t="shared" si="63"/>
        <v>17.465154616827551</v>
      </c>
      <c r="AD538" s="101">
        <f t="shared" si="63"/>
        <v>0.30685204617964057</v>
      </c>
      <c r="AE538" s="101">
        <f t="shared" si="63"/>
        <v>0.67737748388677577</v>
      </c>
      <c r="AF538" s="101">
        <f t="shared" si="63"/>
        <v>9.3009551363914644E-2</v>
      </c>
      <c r="AG538" s="101">
        <f t="shared" si="63"/>
        <v>1.0792974953184908</v>
      </c>
      <c r="AH538" s="101">
        <f t="shared" si="63"/>
        <v>2.022046411706039E-2</v>
      </c>
      <c r="AI538" s="101">
        <f t="shared" si="63"/>
        <v>0.23733363332777838</v>
      </c>
      <c r="AJ538" s="101">
        <f t="shared" si="63"/>
        <v>0.25849347050380894</v>
      </c>
      <c r="AK538" s="101">
        <f t="shared" si="63"/>
        <v>9.5691043921601368E-2</v>
      </c>
      <c r="AL538" s="101">
        <f t="shared" si="63"/>
        <v>3.3179046495882214E-2</v>
      </c>
      <c r="AM538" s="381">
        <f t="shared" si="64"/>
        <v>342.27999692321629</v>
      </c>
    </row>
    <row r="539" spans="1:39" x14ac:dyDescent="0.2">
      <c r="A539" s="8"/>
      <c r="B539" s="117" t="s">
        <v>100</v>
      </c>
      <c r="C539" s="118" t="s">
        <v>176</v>
      </c>
      <c r="D539" s="121"/>
      <c r="E539" s="122"/>
      <c r="F539" s="101">
        <f t="shared" si="65"/>
        <v>87.72133547663573</v>
      </c>
      <c r="G539" s="101">
        <f t="shared" si="63"/>
        <v>58.65424104150906</v>
      </c>
      <c r="H539" s="101">
        <f t="shared" si="63"/>
        <v>42.16747924405594</v>
      </c>
      <c r="I539" s="101">
        <f t="shared" si="63"/>
        <v>151.5679104896432</v>
      </c>
      <c r="J539" s="101">
        <f t="shared" si="63"/>
        <v>52.272300865379577</v>
      </c>
      <c r="K539" s="101">
        <f t="shared" si="63"/>
        <v>12.356125568047025</v>
      </c>
      <c r="L539" s="101">
        <f t="shared" si="63"/>
        <v>1.5233204860442799</v>
      </c>
      <c r="M539" s="101">
        <f t="shared" si="63"/>
        <v>34.831231890703506</v>
      </c>
      <c r="N539" s="101">
        <f t="shared" si="63"/>
        <v>100.32523869994841</v>
      </c>
      <c r="O539" s="101">
        <f t="shared" si="63"/>
        <v>18.90903017386978</v>
      </c>
      <c r="P539" s="101">
        <f t="shared" si="63"/>
        <v>14.504107996513074</v>
      </c>
      <c r="Q539" s="101">
        <f t="shared" si="63"/>
        <v>0.46437143538057712</v>
      </c>
      <c r="R539" s="101">
        <f t="shared" si="63"/>
        <v>13.131544103994386</v>
      </c>
      <c r="S539" s="101">
        <f t="shared" si="63"/>
        <v>31.045103705610209</v>
      </c>
      <c r="T539" s="101">
        <f t="shared" si="63"/>
        <v>40.38315485280561</v>
      </c>
      <c r="U539" s="101">
        <f t="shared" si="63"/>
        <v>76.341488942492447</v>
      </c>
      <c r="V539" s="101">
        <f t="shared" si="63"/>
        <v>12.761911253519388</v>
      </c>
      <c r="W539" s="101">
        <f t="shared" si="63"/>
        <v>0.35650901175661071</v>
      </c>
      <c r="X539" s="101">
        <f t="shared" si="63"/>
        <v>0.15182957277402429</v>
      </c>
      <c r="Y539" s="101">
        <f t="shared" si="63"/>
        <v>1.5227478409313795</v>
      </c>
      <c r="Z539" s="101">
        <f t="shared" si="63"/>
        <v>4.8082246769904167</v>
      </c>
      <c r="AA539" s="101">
        <f t="shared" si="63"/>
        <v>6.0058440692975319</v>
      </c>
      <c r="AB539" s="101">
        <f t="shared" si="63"/>
        <v>0.24864597820525786</v>
      </c>
      <c r="AC539" s="101">
        <f t="shared" si="63"/>
        <v>41.409867290147972</v>
      </c>
      <c r="AD539" s="101">
        <f t="shared" si="63"/>
        <v>0.57807696435084277</v>
      </c>
      <c r="AE539" s="101">
        <f t="shared" si="63"/>
        <v>0.75376753153526244</v>
      </c>
      <c r="AF539" s="101">
        <f t="shared" si="63"/>
        <v>0.32044855563668095</v>
      </c>
      <c r="AG539" s="101">
        <f t="shared" si="63"/>
        <v>1.2552436119590722</v>
      </c>
      <c r="AH539" s="101">
        <f t="shared" si="63"/>
        <v>8.7636252627556935E-2</v>
      </c>
      <c r="AI539" s="101">
        <f t="shared" si="63"/>
        <v>1.1792722361875447</v>
      </c>
      <c r="AJ539" s="101">
        <f t="shared" si="63"/>
        <v>2.955812392317406</v>
      </c>
      <c r="AK539" s="101">
        <f t="shared" si="63"/>
        <v>1.6342278416818261</v>
      </c>
      <c r="AL539" s="101">
        <f t="shared" si="63"/>
        <v>0.29784981735174537</v>
      </c>
      <c r="AM539" s="381">
        <f t="shared" si="64"/>
        <v>812.5258998699037</v>
      </c>
    </row>
    <row r="540" spans="1:39" x14ac:dyDescent="0.2">
      <c r="A540" s="8"/>
      <c r="B540" s="117" t="s">
        <v>101</v>
      </c>
      <c r="C540" s="118" t="s">
        <v>176</v>
      </c>
      <c r="D540" s="121"/>
      <c r="E540" s="122"/>
      <c r="F540" s="101">
        <f t="shared" si="65"/>
        <v>0.33488947286262138</v>
      </c>
      <c r="G540" s="101">
        <f t="shared" si="63"/>
        <v>0.14069858096643592</v>
      </c>
      <c r="H540" s="101">
        <f t="shared" si="63"/>
        <v>0.3645197617861522</v>
      </c>
      <c r="I540" s="101">
        <f t="shared" si="63"/>
        <v>0.12959224712044989</v>
      </c>
      <c r="J540" s="101">
        <f t="shared" si="63"/>
        <v>0.2566254239811398</v>
      </c>
      <c r="K540" s="101">
        <f t="shared" si="63"/>
        <v>5.6707411599660459E-2</v>
      </c>
      <c r="L540" s="101">
        <f t="shared" si="63"/>
        <v>0.10039561687085438</v>
      </c>
      <c r="M540" s="101">
        <f t="shared" si="63"/>
        <v>5.4367588979722208E-3</v>
      </c>
      <c r="N540" s="101">
        <f t="shared" si="63"/>
        <v>3.2298411279559715E-2</v>
      </c>
      <c r="O540" s="101">
        <f t="shared" si="63"/>
        <v>2.7350684038255049E-2</v>
      </c>
      <c r="P540" s="101">
        <f t="shared" si="63"/>
        <v>9.9563773193553792E-2</v>
      </c>
      <c r="Q540" s="101">
        <f t="shared" si="63"/>
        <v>4.5501368050314496E-2</v>
      </c>
      <c r="R540" s="101">
        <f t="shared" si="63"/>
        <v>1.2299936457424461</v>
      </c>
      <c r="S540" s="101">
        <f t="shared" si="63"/>
        <v>0.97710204719997762</v>
      </c>
      <c r="T540" s="101">
        <f t="shared" si="63"/>
        <v>3.3118377858811017</v>
      </c>
      <c r="U540" s="101">
        <f t="shared" si="63"/>
        <v>2.8483606832668462</v>
      </c>
      <c r="V540" s="101">
        <f t="shared" si="63"/>
        <v>0.67137492992206504</v>
      </c>
      <c r="W540" s="101">
        <f t="shared" si="63"/>
        <v>6.0828582090442833E-2</v>
      </c>
      <c r="X540" s="101">
        <f t="shared" si="63"/>
        <v>4.6489398481944126E-3</v>
      </c>
      <c r="Y540" s="101">
        <f t="shared" si="63"/>
        <v>0.13335694735359935</v>
      </c>
      <c r="Z540" s="101">
        <f t="shared" si="63"/>
        <v>8.0548571380193897E-3</v>
      </c>
      <c r="AA540" s="101">
        <f t="shared" si="63"/>
        <v>0.10804037353529117</v>
      </c>
      <c r="AB540" s="101">
        <f t="shared" si="63"/>
        <v>2.2812755614085543E-2</v>
      </c>
      <c r="AC540" s="101">
        <f t="shared" si="63"/>
        <v>0.42612721244709972</v>
      </c>
      <c r="AD540" s="101">
        <f t="shared" si="63"/>
        <v>4.9343546637120005E-2</v>
      </c>
      <c r="AE540" s="101">
        <f t="shared" si="63"/>
        <v>0.4144175355530122</v>
      </c>
      <c r="AF540" s="101">
        <f t="shared" si="63"/>
        <v>2.7141417648218806E-2</v>
      </c>
      <c r="AG540" s="101">
        <f t="shared" si="63"/>
        <v>0.26376942119149555</v>
      </c>
      <c r="AH540" s="101">
        <f t="shared" si="63"/>
        <v>1.334955070971402E-2</v>
      </c>
      <c r="AI540" s="101">
        <f t="shared" si="63"/>
        <v>0</v>
      </c>
      <c r="AJ540" s="101">
        <f t="shared" si="63"/>
        <v>0</v>
      </c>
      <c r="AK540" s="101">
        <f t="shared" si="63"/>
        <v>1.9960720636327265E-3</v>
      </c>
      <c r="AL540" s="101">
        <f t="shared" si="63"/>
        <v>0</v>
      </c>
      <c r="AM540" s="381">
        <f t="shared" si="64"/>
        <v>12.16613581448933</v>
      </c>
    </row>
    <row r="541" spans="1:39" x14ac:dyDescent="0.2">
      <c r="A541" s="8"/>
      <c r="B541" s="117" t="s">
        <v>102</v>
      </c>
      <c r="C541" s="118" t="s">
        <v>176</v>
      </c>
      <c r="D541" s="121"/>
      <c r="E541" s="122"/>
      <c r="F541" s="101">
        <f t="shared" si="65"/>
        <v>506.76874500103628</v>
      </c>
      <c r="G541" s="101">
        <f t="shared" si="63"/>
        <v>147.99858986657748</v>
      </c>
      <c r="H541" s="101">
        <f t="shared" si="63"/>
        <v>64.046555479624232</v>
      </c>
      <c r="I541" s="101">
        <f t="shared" si="63"/>
        <v>1784.5043004666259</v>
      </c>
      <c r="J541" s="101">
        <f t="shared" si="63"/>
        <v>130.07542162964961</v>
      </c>
      <c r="K541" s="101">
        <f t="shared" si="63"/>
        <v>97.097586425569276</v>
      </c>
      <c r="L541" s="101">
        <f t="shared" si="63"/>
        <v>0.52387935100950178</v>
      </c>
      <c r="M541" s="101">
        <f t="shared" si="63"/>
        <v>756.17110868945588</v>
      </c>
      <c r="N541" s="101">
        <f t="shared" si="63"/>
        <v>884.17712718549967</v>
      </c>
      <c r="O541" s="101">
        <f t="shared" si="63"/>
        <v>17.889772892678085</v>
      </c>
      <c r="P541" s="101">
        <f t="shared" si="63"/>
        <v>0.8923161978117693</v>
      </c>
      <c r="Q541" s="101">
        <f t="shared" si="63"/>
        <v>85.400253135118305</v>
      </c>
      <c r="R541" s="101">
        <f t="shared" si="63"/>
        <v>0.30530567587410956</v>
      </c>
      <c r="S541" s="101">
        <f t="shared" si="63"/>
        <v>0.17618526385648481</v>
      </c>
      <c r="T541" s="101">
        <f t="shared" si="63"/>
        <v>5.8176330071441518</v>
      </c>
      <c r="U541" s="101">
        <f t="shared" si="63"/>
        <v>262.33469509052424</v>
      </c>
      <c r="V541" s="101">
        <f t="shared" si="63"/>
        <v>65.881034096758356</v>
      </c>
      <c r="W541" s="101">
        <f t="shared" si="63"/>
        <v>2.8143660496660448</v>
      </c>
      <c r="X541" s="101">
        <f t="shared" si="63"/>
        <v>0</v>
      </c>
      <c r="Y541" s="101">
        <f t="shared" si="63"/>
        <v>0</v>
      </c>
      <c r="Z541" s="101">
        <f t="shared" si="63"/>
        <v>0</v>
      </c>
      <c r="AA541" s="101">
        <f t="shared" si="63"/>
        <v>0</v>
      </c>
      <c r="AB541" s="101">
        <f t="shared" si="63"/>
        <v>0</v>
      </c>
      <c r="AC541" s="101">
        <f t="shared" si="63"/>
        <v>0.42170318359831871</v>
      </c>
      <c r="AD541" s="101">
        <f t="shared" si="63"/>
        <v>3.9158353954170957E-2</v>
      </c>
      <c r="AE541" s="101">
        <f t="shared" si="63"/>
        <v>0</v>
      </c>
      <c r="AF541" s="101">
        <f t="shared" si="63"/>
        <v>0.21076894084381637</v>
      </c>
      <c r="AG541" s="101">
        <f t="shared" si="63"/>
        <v>0.27281083284209906</v>
      </c>
      <c r="AH541" s="101">
        <f t="shared" si="63"/>
        <v>0</v>
      </c>
      <c r="AI541" s="101">
        <f t="shared" si="63"/>
        <v>0</v>
      </c>
      <c r="AJ541" s="101">
        <f t="shared" si="63"/>
        <v>0</v>
      </c>
      <c r="AK541" s="101">
        <f t="shared" si="63"/>
        <v>0</v>
      </c>
      <c r="AL541" s="101">
        <f t="shared" si="63"/>
        <v>0</v>
      </c>
      <c r="AM541" s="381">
        <f t="shared" si="64"/>
        <v>4813.8193168157177</v>
      </c>
    </row>
    <row r="542" spans="1:39" x14ac:dyDescent="0.2">
      <c r="A542" s="8"/>
      <c r="B542" s="117" t="s">
        <v>103</v>
      </c>
      <c r="C542" s="118" t="s">
        <v>176</v>
      </c>
      <c r="D542" s="121"/>
      <c r="E542" s="122"/>
      <c r="F542" s="101">
        <f>F508+F630+F709</f>
        <v>23.672879208200431</v>
      </c>
      <c r="G542" s="101">
        <f t="shared" si="63"/>
        <v>19.521208496243748</v>
      </c>
      <c r="H542" s="101">
        <f t="shared" si="63"/>
        <v>28.536545499422857</v>
      </c>
      <c r="I542" s="101">
        <f t="shared" si="63"/>
        <v>282.16940047719726</v>
      </c>
      <c r="J542" s="101">
        <f t="shared" si="63"/>
        <v>6.0670406221290429</v>
      </c>
      <c r="K542" s="101">
        <f t="shared" si="63"/>
        <v>34.306022868797207</v>
      </c>
      <c r="L542" s="101">
        <f t="shared" si="63"/>
        <v>2.5897446349279982</v>
      </c>
      <c r="M542" s="101">
        <f t="shared" si="63"/>
        <v>308.56009038013491</v>
      </c>
      <c r="N542" s="101">
        <f t="shared" si="63"/>
        <v>85.224972075204661</v>
      </c>
      <c r="O542" s="101">
        <f t="shared" si="63"/>
        <v>3.6115640656985244</v>
      </c>
      <c r="P542" s="101">
        <f t="shared" si="63"/>
        <v>1.6557149826586852</v>
      </c>
      <c r="Q542" s="101">
        <f t="shared" si="63"/>
        <v>7.2915583566337183</v>
      </c>
      <c r="R542" s="101">
        <f t="shared" si="63"/>
        <v>27.958619515722425</v>
      </c>
      <c r="S542" s="101">
        <f t="shared" si="63"/>
        <v>3.0001813444596417</v>
      </c>
      <c r="T542" s="101">
        <f t="shared" si="63"/>
        <v>1.8383074912789223</v>
      </c>
      <c r="U542" s="101">
        <f t="shared" ref="U542:AL550" si="66">U508+U630+U709</f>
        <v>25.22468066509234</v>
      </c>
      <c r="V542" s="101">
        <f t="shared" si="66"/>
        <v>5.2568144617608912</v>
      </c>
      <c r="W542" s="101">
        <f t="shared" si="66"/>
        <v>0.17687937730251319</v>
      </c>
      <c r="X542" s="101">
        <f t="shared" si="66"/>
        <v>0.72686048423801142</v>
      </c>
      <c r="Y542" s="101">
        <f t="shared" si="66"/>
        <v>1.9590006888194404</v>
      </c>
      <c r="Z542" s="101">
        <f t="shared" si="66"/>
        <v>1.8408692103216324</v>
      </c>
      <c r="AA542" s="101">
        <f t="shared" si="66"/>
        <v>1.6807656960667441</v>
      </c>
      <c r="AB542" s="101">
        <f t="shared" si="66"/>
        <v>0.52924410367211749</v>
      </c>
      <c r="AC542" s="101">
        <f t="shared" si="66"/>
        <v>5.8959838525684116</v>
      </c>
      <c r="AD542" s="101">
        <f t="shared" si="66"/>
        <v>2.466970448262984</v>
      </c>
      <c r="AE542" s="101">
        <f t="shared" si="66"/>
        <v>0.23494377763737148</v>
      </c>
      <c r="AF542" s="101">
        <f t="shared" si="66"/>
        <v>1.2779453587677101</v>
      </c>
      <c r="AG542" s="101">
        <f t="shared" si="66"/>
        <v>0.34812040888636642</v>
      </c>
      <c r="AH542" s="101">
        <f t="shared" si="66"/>
        <v>0.30691545185632163</v>
      </c>
      <c r="AI542" s="101">
        <f t="shared" si="66"/>
        <v>2.5516757357160742</v>
      </c>
      <c r="AJ542" s="101">
        <f t="shared" si="66"/>
        <v>8.2163727540945182</v>
      </c>
      <c r="AK542" s="101">
        <f t="shared" si="66"/>
        <v>2.538901040005062</v>
      </c>
      <c r="AL542" s="101">
        <f t="shared" si="66"/>
        <v>6.41459914932567</v>
      </c>
      <c r="AM542" s="381">
        <f t="shared" si="64"/>
        <v>903.65139268310406</v>
      </c>
    </row>
    <row r="543" spans="1:39" x14ac:dyDescent="0.2">
      <c r="A543" s="8"/>
      <c r="B543" s="117" t="s">
        <v>104</v>
      </c>
      <c r="C543" s="118" t="s">
        <v>176</v>
      </c>
      <c r="D543" s="121"/>
      <c r="E543" s="122"/>
      <c r="F543" s="101">
        <f t="shared" si="65"/>
        <v>2.7964412815113224E-11</v>
      </c>
      <c r="G543" s="101">
        <f t="shared" si="65"/>
        <v>3.3756284133076315E-11</v>
      </c>
      <c r="H543" s="101">
        <f t="shared" si="65"/>
        <v>1.6366827658897109E-11</v>
      </c>
      <c r="I543" s="101">
        <f t="shared" si="65"/>
        <v>2.5482785405083365E-11</v>
      </c>
      <c r="J543" s="101">
        <f t="shared" si="65"/>
        <v>3.0276057053298578E-11</v>
      </c>
      <c r="K543" s="101">
        <f t="shared" si="65"/>
        <v>1.6177150270762027E-11</v>
      </c>
      <c r="L543" s="101">
        <f t="shared" si="65"/>
        <v>3.3729338418223185E-11</v>
      </c>
      <c r="M543" s="101">
        <f t="shared" si="65"/>
        <v>2.8359662648001471E-11</v>
      </c>
      <c r="N543" s="101">
        <f t="shared" si="65"/>
        <v>1.8382483545561083E-11</v>
      </c>
      <c r="O543" s="101">
        <f t="shared" si="65"/>
        <v>2.7226753299969962E-11</v>
      </c>
      <c r="P543" s="101">
        <f t="shared" si="65"/>
        <v>1.940454632909168E-11</v>
      </c>
      <c r="Q543" s="101">
        <f t="shared" si="65"/>
        <v>2.6789057857660916E-11</v>
      </c>
      <c r="R543" s="101">
        <f t="shared" si="65"/>
        <v>1.7099902273179159E-11</v>
      </c>
      <c r="S543" s="101">
        <f t="shared" si="65"/>
        <v>1.9758972032566391E-11</v>
      </c>
      <c r="T543" s="101">
        <f t="shared" si="65"/>
        <v>2.2482468860675278E-11</v>
      </c>
      <c r="U543" s="101">
        <f t="shared" si="66"/>
        <v>2.5204579415337364E-11</v>
      </c>
      <c r="V543" s="101">
        <f t="shared" si="66"/>
        <v>2.7227470497877829E-11</v>
      </c>
      <c r="W543" s="101">
        <f t="shared" si="66"/>
        <v>1.7744212061393258E-11</v>
      </c>
      <c r="X543" s="101">
        <f t="shared" si="66"/>
        <v>1.4104028952288007E-11</v>
      </c>
      <c r="Y543" s="101">
        <f t="shared" si="66"/>
        <v>1.7041336013878177E-11</v>
      </c>
      <c r="Z543" s="101">
        <f t="shared" si="66"/>
        <v>4.9304466688090244E-11</v>
      </c>
      <c r="AA543" s="101">
        <f t="shared" si="66"/>
        <v>2.0989459870399298E-11</v>
      </c>
      <c r="AB543" s="101">
        <f t="shared" si="66"/>
        <v>1.8076697924300137E-11</v>
      </c>
      <c r="AC543" s="101">
        <f t="shared" si="66"/>
        <v>3.4377410259913745E-11</v>
      </c>
      <c r="AD543" s="101">
        <f t="shared" si="66"/>
        <v>2.7099168424461563E-11</v>
      </c>
      <c r="AE543" s="101">
        <f t="shared" si="66"/>
        <v>3.5017010225150612E-11</v>
      </c>
      <c r="AF543" s="101">
        <f t="shared" si="66"/>
        <v>1.5191843905731482E-11</v>
      </c>
      <c r="AG543" s="101">
        <f t="shared" si="66"/>
        <v>2.6779023319251564E-11</v>
      </c>
      <c r="AH543" s="101">
        <f t="shared" si="66"/>
        <v>2.7192502816155738E-11</v>
      </c>
      <c r="AI543" s="101">
        <f t="shared" si="66"/>
        <v>3.2491563818821035E-11</v>
      </c>
      <c r="AJ543" s="101">
        <f t="shared" si="66"/>
        <v>1.5539623385309772E-10</v>
      </c>
      <c r="AK543" s="101">
        <f t="shared" si="66"/>
        <v>3.3319778766180807E-11</v>
      </c>
      <c r="AL543" s="101">
        <f t="shared" si="66"/>
        <v>2.0750145072690063E-10</v>
      </c>
      <c r="AM543" s="381">
        <f t="shared" si="64"/>
        <v>1.1473149401403892E-9</v>
      </c>
    </row>
    <row r="544" spans="1:39" x14ac:dyDescent="0.2">
      <c r="A544" s="8"/>
      <c r="B544" s="117" t="s">
        <v>105</v>
      </c>
      <c r="C544" s="118" t="s">
        <v>176</v>
      </c>
      <c r="D544" s="121"/>
      <c r="E544" s="122"/>
      <c r="F544" s="101">
        <f t="shared" si="65"/>
        <v>5.7538753420018095E-2</v>
      </c>
      <c r="G544" s="101">
        <f t="shared" si="65"/>
        <v>7.1099697657513753E-3</v>
      </c>
      <c r="H544" s="101">
        <f t="shared" si="65"/>
        <v>0.40256960886495469</v>
      </c>
      <c r="I544" s="101">
        <f t="shared" si="65"/>
        <v>5.3811915542199582</v>
      </c>
      <c r="J544" s="101">
        <f t="shared" si="65"/>
        <v>4.4076576524242437E-3</v>
      </c>
      <c r="K544" s="101">
        <f t="shared" si="65"/>
        <v>1.2755743681331757E-3</v>
      </c>
      <c r="L544" s="101">
        <f t="shared" si="65"/>
        <v>8.2385272129943694E-3</v>
      </c>
      <c r="M544" s="101">
        <f t="shared" si="65"/>
        <v>11.616757728782725</v>
      </c>
      <c r="N544" s="101">
        <f t="shared" si="65"/>
        <v>4.2522973509748839E-2</v>
      </c>
      <c r="O544" s="101">
        <f t="shared" si="65"/>
        <v>0.12676441872391983</v>
      </c>
      <c r="P544" s="101">
        <f t="shared" si="65"/>
        <v>2.5325852764533862E-3</v>
      </c>
      <c r="Q544" s="101">
        <f t="shared" si="65"/>
        <v>5.1208787662269158E-3</v>
      </c>
      <c r="R544" s="101">
        <f t="shared" si="65"/>
        <v>4.5070483858068595</v>
      </c>
      <c r="S544" s="101">
        <f t="shared" si="65"/>
        <v>0.13968213097738524</v>
      </c>
      <c r="T544" s="101">
        <f t="shared" si="65"/>
        <v>3.8834832718226159E-2</v>
      </c>
      <c r="U544" s="101">
        <f t="shared" si="65"/>
        <v>0.19625774898548823</v>
      </c>
      <c r="V544" s="101">
        <f t="shared" si="66"/>
        <v>0.20305325732657545</v>
      </c>
      <c r="W544" s="101">
        <f t="shared" si="66"/>
        <v>0.14322257283106829</v>
      </c>
      <c r="X544" s="101">
        <f t="shared" si="66"/>
        <v>1.0078116284195724E-3</v>
      </c>
      <c r="Y544" s="101">
        <f t="shared" si="66"/>
        <v>1.4933684532274226E-2</v>
      </c>
      <c r="Z544" s="101">
        <f t="shared" si="66"/>
        <v>1.9871979305097912E-3</v>
      </c>
      <c r="AA544" s="101">
        <f t="shared" si="66"/>
        <v>1.7754271260026371E-2</v>
      </c>
      <c r="AB544" s="101">
        <f t="shared" si="66"/>
        <v>2.1434464048287143E-4</v>
      </c>
      <c r="AC544" s="101">
        <f t="shared" si="66"/>
        <v>0.359602372428663</v>
      </c>
      <c r="AD544" s="101">
        <f t="shared" si="66"/>
        <v>7.3820276894569437E-2</v>
      </c>
      <c r="AE544" s="101">
        <f t="shared" si="66"/>
        <v>0.11110011878777264</v>
      </c>
      <c r="AF544" s="101">
        <f t="shared" si="66"/>
        <v>0.29344306595274267</v>
      </c>
      <c r="AG544" s="101">
        <f t="shared" si="66"/>
        <v>1.2321944149989364E-2</v>
      </c>
      <c r="AH544" s="101">
        <f t="shared" si="66"/>
        <v>8.584746110219826E-4</v>
      </c>
      <c r="AI544" s="101">
        <f t="shared" si="66"/>
        <v>1.735635428109128E-2</v>
      </c>
      <c r="AJ544" s="101">
        <f t="shared" si="66"/>
        <v>8.8293434693749132E-2</v>
      </c>
      <c r="AK544" s="101">
        <f t="shared" si="66"/>
        <v>3.1217545403045055E-2</v>
      </c>
      <c r="AL544" s="101">
        <f t="shared" si="66"/>
        <v>1.7294982770938275E-2</v>
      </c>
      <c r="AM544" s="381">
        <f t="shared" si="64"/>
        <v>23.925335039174204</v>
      </c>
    </row>
    <row r="545" spans="1:39" x14ac:dyDescent="0.2">
      <c r="A545" s="8"/>
      <c r="B545" s="117" t="s">
        <v>106</v>
      </c>
      <c r="C545" s="118" t="s">
        <v>176</v>
      </c>
      <c r="D545" s="121"/>
      <c r="E545" s="122"/>
      <c r="F545" s="101">
        <f t="shared" si="65"/>
        <v>1.2903778007186693</v>
      </c>
      <c r="G545" s="101">
        <f t="shared" si="65"/>
        <v>0.10609377144049648</v>
      </c>
      <c r="H545" s="101">
        <f t="shared" si="65"/>
        <v>1.6696503104120741</v>
      </c>
      <c r="I545" s="101">
        <f t="shared" si="65"/>
        <v>8.1955234824396044</v>
      </c>
      <c r="J545" s="101">
        <f t="shared" si="65"/>
        <v>1.0738894242347238E-2</v>
      </c>
      <c r="K545" s="101">
        <f t="shared" si="65"/>
        <v>1.0297562257203905E-2</v>
      </c>
      <c r="L545" s="101">
        <f t="shared" si="65"/>
        <v>2.131063143507363E-2</v>
      </c>
      <c r="M545" s="101">
        <f t="shared" si="65"/>
        <v>4.8911713279189355</v>
      </c>
      <c r="N545" s="101">
        <f t="shared" si="65"/>
        <v>0.31148744502560188</v>
      </c>
      <c r="O545" s="101">
        <f t="shared" si="65"/>
        <v>8.5981990251235568E-2</v>
      </c>
      <c r="P545" s="101">
        <f t="shared" si="65"/>
        <v>2.8309152939619085E-3</v>
      </c>
      <c r="Q545" s="101">
        <f t="shared" si="65"/>
        <v>9.3787754412292135E-3</v>
      </c>
      <c r="R545" s="101">
        <f t="shared" si="65"/>
        <v>11.553595747755658</v>
      </c>
      <c r="S545" s="101">
        <f t="shared" si="65"/>
        <v>0.51138392477956529</v>
      </c>
      <c r="T545" s="101">
        <f t="shared" si="65"/>
        <v>0.38813736579316116</v>
      </c>
      <c r="U545" s="101">
        <f t="shared" si="65"/>
        <v>0.48954918294734062</v>
      </c>
      <c r="V545" s="101">
        <f t="shared" si="66"/>
        <v>0.3383773424409951</v>
      </c>
      <c r="W545" s="101">
        <f t="shared" si="66"/>
        <v>0.22168658740660768</v>
      </c>
      <c r="X545" s="101">
        <f t="shared" si="66"/>
        <v>0</v>
      </c>
      <c r="Y545" s="101">
        <f t="shared" si="66"/>
        <v>7.9806495821801975E-3</v>
      </c>
      <c r="Z545" s="101">
        <f t="shared" si="66"/>
        <v>5.8332708949631945E-3</v>
      </c>
      <c r="AA545" s="101">
        <f t="shared" si="66"/>
        <v>4.8724476558651988E-2</v>
      </c>
      <c r="AB545" s="101">
        <f t="shared" si="66"/>
        <v>0</v>
      </c>
      <c r="AC545" s="101">
        <f t="shared" si="66"/>
        <v>0.29508547995564793</v>
      </c>
      <c r="AD545" s="101">
        <f t="shared" si="66"/>
        <v>0.4734966650174966</v>
      </c>
      <c r="AE545" s="101">
        <f t="shared" si="66"/>
        <v>0.88746670877815392</v>
      </c>
      <c r="AF545" s="101">
        <f t="shared" si="66"/>
        <v>0.15917524920088738</v>
      </c>
      <c r="AG545" s="101">
        <f t="shared" si="66"/>
        <v>1.9361769129440994E-2</v>
      </c>
      <c r="AH545" s="101">
        <f t="shared" si="66"/>
        <v>5.3995307570293433E-3</v>
      </c>
      <c r="AI545" s="101">
        <f t="shared" si="66"/>
        <v>0.13844418719018739</v>
      </c>
      <c r="AJ545" s="101">
        <f t="shared" si="66"/>
        <v>0.51773677805846663</v>
      </c>
      <c r="AK545" s="101">
        <f t="shared" si="66"/>
        <v>0.10009946797339012</v>
      </c>
      <c r="AL545" s="101">
        <f t="shared" si="66"/>
        <v>6.6971486199924574E-2</v>
      </c>
      <c r="AM545" s="381">
        <f t="shared" si="64"/>
        <v>32.83334877729618</v>
      </c>
    </row>
    <row r="546" spans="1:39" x14ac:dyDescent="0.2">
      <c r="A546" s="8"/>
      <c r="B546" s="117" t="s">
        <v>107</v>
      </c>
      <c r="C546" s="118" t="s">
        <v>176</v>
      </c>
      <c r="D546" s="121"/>
      <c r="E546" s="122"/>
      <c r="F546" s="101">
        <f t="shared" si="65"/>
        <v>0.60471253088998211</v>
      </c>
      <c r="G546" s="101">
        <f t="shared" si="65"/>
        <v>3.0407613012326785E-2</v>
      </c>
      <c r="H546" s="101">
        <f t="shared" si="65"/>
        <v>0.53906534205504919</v>
      </c>
      <c r="I546" s="101">
        <f t="shared" si="65"/>
        <v>5.7641704354648597</v>
      </c>
      <c r="J546" s="101">
        <f t="shared" si="65"/>
        <v>1.5434539857596494E-2</v>
      </c>
      <c r="K546" s="101">
        <f t="shared" si="65"/>
        <v>1.0718116094713622E-2</v>
      </c>
      <c r="L546" s="101">
        <f t="shared" si="65"/>
        <v>4.7289370552475493E-2</v>
      </c>
      <c r="M546" s="101">
        <f t="shared" si="65"/>
        <v>6.8340599121295496</v>
      </c>
      <c r="N546" s="101">
        <f t="shared" si="65"/>
        <v>1.1118714702948274E-2</v>
      </c>
      <c r="O546" s="101">
        <f t="shared" si="65"/>
        <v>0.27078953758105961</v>
      </c>
      <c r="P546" s="101">
        <f t="shared" si="65"/>
        <v>1.3093251884589974E-2</v>
      </c>
      <c r="Q546" s="101">
        <f t="shared" si="65"/>
        <v>3.3131069965164357E-2</v>
      </c>
      <c r="R546" s="101">
        <f t="shared" si="65"/>
        <v>7.6354141905428401</v>
      </c>
      <c r="S546" s="101">
        <f t="shared" si="65"/>
        <v>0.28920049945381399</v>
      </c>
      <c r="T546" s="101">
        <f t="shared" si="65"/>
        <v>0.60203312139842413</v>
      </c>
      <c r="U546" s="101">
        <f t="shared" si="65"/>
        <v>0.42669042007559554</v>
      </c>
      <c r="V546" s="101">
        <f t="shared" si="66"/>
        <v>0.38735653259999059</v>
      </c>
      <c r="W546" s="101">
        <f t="shared" si="66"/>
        <v>0.26626369985061066</v>
      </c>
      <c r="X546" s="101">
        <f t="shared" si="66"/>
        <v>1.9749070011538895E-2</v>
      </c>
      <c r="Y546" s="101">
        <f t="shared" si="66"/>
        <v>7.7571801881779215E-2</v>
      </c>
      <c r="Z546" s="101">
        <f t="shared" si="66"/>
        <v>1.6438408438576382E-2</v>
      </c>
      <c r="AA546" s="101">
        <f t="shared" si="66"/>
        <v>3.6899674211417557E-2</v>
      </c>
      <c r="AB546" s="101">
        <f t="shared" si="66"/>
        <v>2.2789220490303627E-3</v>
      </c>
      <c r="AC546" s="101">
        <f t="shared" si="66"/>
        <v>1.2629744999715922</v>
      </c>
      <c r="AD546" s="101">
        <f t="shared" si="66"/>
        <v>2.809599972994417</v>
      </c>
      <c r="AE546" s="101">
        <f t="shared" si="66"/>
        <v>1.5843015244719174</v>
      </c>
      <c r="AF546" s="101">
        <f t="shared" si="66"/>
        <v>2.8114453430116546</v>
      </c>
      <c r="AG546" s="101">
        <f t="shared" si="66"/>
        <v>8.885256497761912E-2</v>
      </c>
      <c r="AH546" s="101">
        <f t="shared" si="66"/>
        <v>1.0620097475377014E-2</v>
      </c>
      <c r="AI546" s="101">
        <f t="shared" si="66"/>
        <v>0.13043580855552389</v>
      </c>
      <c r="AJ546" s="101">
        <f t="shared" si="66"/>
        <v>0.59623743097958337</v>
      </c>
      <c r="AK546" s="101">
        <f t="shared" si="66"/>
        <v>7.0763589797060114E-2</v>
      </c>
      <c r="AL546" s="101">
        <f t="shared" si="66"/>
        <v>7.3245599924913501E-2</v>
      </c>
      <c r="AM546" s="381">
        <f t="shared" si="64"/>
        <v>33.372363206863596</v>
      </c>
    </row>
    <row r="547" spans="1:39" x14ac:dyDescent="0.2">
      <c r="A547" s="8"/>
      <c r="B547" s="117" t="s">
        <v>108</v>
      </c>
      <c r="C547" s="118" t="s">
        <v>176</v>
      </c>
      <c r="D547" s="121"/>
      <c r="E547" s="122"/>
      <c r="F547" s="101">
        <f t="shared" si="65"/>
        <v>0.19180535677855307</v>
      </c>
      <c r="G547" s="101">
        <f t="shared" si="65"/>
        <v>1.9850718554282634E-2</v>
      </c>
      <c r="H547" s="101">
        <f t="shared" si="65"/>
        <v>0.27929194177628219</v>
      </c>
      <c r="I547" s="101">
        <f t="shared" si="65"/>
        <v>0.14079855355776222</v>
      </c>
      <c r="J547" s="101">
        <f t="shared" si="65"/>
        <v>0</v>
      </c>
      <c r="K547" s="101">
        <f t="shared" si="65"/>
        <v>0</v>
      </c>
      <c r="L547" s="101">
        <f t="shared" si="65"/>
        <v>8.1736079608275055E-4</v>
      </c>
      <c r="M547" s="101">
        <f t="shared" si="65"/>
        <v>1.4492576582023762</v>
      </c>
      <c r="N547" s="101">
        <f t="shared" si="65"/>
        <v>2.7729671754300331</v>
      </c>
      <c r="O547" s="101">
        <f t="shared" si="65"/>
        <v>0.2035354373068913</v>
      </c>
      <c r="P547" s="101">
        <f t="shared" si="65"/>
        <v>3.9105197094601564E-2</v>
      </c>
      <c r="Q547" s="101">
        <f t="shared" si="65"/>
        <v>1.4830066395365321E-3</v>
      </c>
      <c r="R547" s="101">
        <f t="shared" si="65"/>
        <v>0</v>
      </c>
      <c r="S547" s="101">
        <f t="shared" si="65"/>
        <v>1.9244562709614361</v>
      </c>
      <c r="T547" s="101">
        <f t="shared" si="65"/>
        <v>0.46638351475305739</v>
      </c>
      <c r="U547" s="101">
        <f t="shared" si="65"/>
        <v>5.67793567278874</v>
      </c>
      <c r="V547" s="101">
        <f t="shared" si="66"/>
        <v>3.6952548046945655</v>
      </c>
      <c r="W547" s="101">
        <f t="shared" si="66"/>
        <v>0</v>
      </c>
      <c r="X547" s="101">
        <f t="shared" si="66"/>
        <v>0</v>
      </c>
      <c r="Y547" s="101">
        <f t="shared" si="66"/>
        <v>8.3452377719840502E-4</v>
      </c>
      <c r="Z547" s="101">
        <f t="shared" si="66"/>
        <v>0.11427292040500858</v>
      </c>
      <c r="AA547" s="101">
        <f t="shared" si="66"/>
        <v>0.12214711185272889</v>
      </c>
      <c r="AB547" s="101">
        <f t="shared" si="66"/>
        <v>2.4975283232436089E-2</v>
      </c>
      <c r="AC547" s="101">
        <f t="shared" si="66"/>
        <v>4.44576610882394</v>
      </c>
      <c r="AD547" s="101">
        <f t="shared" si="66"/>
        <v>6.2088963869437316E-3</v>
      </c>
      <c r="AE547" s="101">
        <f t="shared" si="66"/>
        <v>0.24836093003526319</v>
      </c>
      <c r="AF547" s="101">
        <f t="shared" si="66"/>
        <v>3.3678723829012554E-2</v>
      </c>
      <c r="AG547" s="101">
        <f t="shared" si="66"/>
        <v>2.3617293135978268E-2</v>
      </c>
      <c r="AH547" s="101">
        <f t="shared" si="66"/>
        <v>4.5217122069696698E-2</v>
      </c>
      <c r="AI547" s="101">
        <f t="shared" si="66"/>
        <v>1.8246952372984737E-2</v>
      </c>
      <c r="AJ547" s="101">
        <f t="shared" si="66"/>
        <v>0</v>
      </c>
      <c r="AK547" s="101">
        <f t="shared" si="66"/>
        <v>2.788869960493042</v>
      </c>
      <c r="AL547" s="101">
        <f t="shared" si="66"/>
        <v>4.7227647500909339E-2</v>
      </c>
      <c r="AM547" s="381">
        <f t="shared" si="64"/>
        <v>24.782366143249345</v>
      </c>
    </row>
    <row r="548" spans="1:39" x14ac:dyDescent="0.2">
      <c r="A548" s="8"/>
      <c r="B548" s="117" t="s">
        <v>109</v>
      </c>
      <c r="C548" s="118" t="s">
        <v>176</v>
      </c>
      <c r="D548" s="121"/>
      <c r="E548" s="122"/>
      <c r="F548" s="101">
        <f t="shared" si="65"/>
        <v>8.7603641033626278E-2</v>
      </c>
      <c r="G548" s="101">
        <f t="shared" si="65"/>
        <v>2.0102129257060182E-2</v>
      </c>
      <c r="H548" s="101">
        <f t="shared" si="65"/>
        <v>0</v>
      </c>
      <c r="I548" s="101">
        <f t="shared" si="65"/>
        <v>8.3596096196765328E-4</v>
      </c>
      <c r="J548" s="101">
        <f t="shared" si="65"/>
        <v>4.915237202609922E-2</v>
      </c>
      <c r="K548" s="101">
        <f t="shared" si="65"/>
        <v>0</v>
      </c>
      <c r="L548" s="101">
        <f t="shared" si="65"/>
        <v>5.8993136337987815E-3</v>
      </c>
      <c r="M548" s="101">
        <f t="shared" si="65"/>
        <v>8.8707542189701567E-4</v>
      </c>
      <c r="N548" s="101">
        <f t="shared" si="65"/>
        <v>5.2854313092279011E-2</v>
      </c>
      <c r="O548" s="101">
        <f t="shared" si="65"/>
        <v>0</v>
      </c>
      <c r="P548" s="101">
        <f t="shared" si="65"/>
        <v>2.336459408806368E-2</v>
      </c>
      <c r="Q548" s="101">
        <f t="shared" si="65"/>
        <v>2.9159258789805451E-2</v>
      </c>
      <c r="R548" s="101">
        <f t="shared" si="65"/>
        <v>6.6846012383994843E-3</v>
      </c>
      <c r="S548" s="101">
        <f t="shared" si="65"/>
        <v>1.4458137263755577</v>
      </c>
      <c r="T548" s="101">
        <f t="shared" si="65"/>
        <v>0.43974453140526343</v>
      </c>
      <c r="U548" s="101">
        <f t="shared" si="65"/>
        <v>0.43760182497792111</v>
      </c>
      <c r="V548" s="101">
        <f t="shared" si="66"/>
        <v>0.35987817535155903</v>
      </c>
      <c r="W548" s="101">
        <f t="shared" si="66"/>
        <v>6.9892912488541984E-3</v>
      </c>
      <c r="X548" s="101">
        <f t="shared" si="66"/>
        <v>6.5291644180623193E-2</v>
      </c>
      <c r="Y548" s="101">
        <f t="shared" si="66"/>
        <v>1.69327394505745E-2</v>
      </c>
      <c r="Z548" s="101">
        <f t="shared" si="66"/>
        <v>0.32921668894118006</v>
      </c>
      <c r="AA548" s="101">
        <f t="shared" si="66"/>
        <v>16.919897164963039</v>
      </c>
      <c r="AB548" s="101">
        <f t="shared" si="66"/>
        <v>0.33753382180539981</v>
      </c>
      <c r="AC548" s="101">
        <f t="shared" si="66"/>
        <v>9.2735986271899975</v>
      </c>
      <c r="AD548" s="101">
        <f t="shared" si="66"/>
        <v>0.45503905540364276</v>
      </c>
      <c r="AE548" s="101">
        <f t="shared" si="66"/>
        <v>0.36548349378688072</v>
      </c>
      <c r="AF548" s="101">
        <f t="shared" si="66"/>
        <v>5.0363972614985743E-2</v>
      </c>
      <c r="AG548" s="101">
        <f t="shared" si="66"/>
        <v>12.698027529554862</v>
      </c>
      <c r="AH548" s="101">
        <f t="shared" si="66"/>
        <v>1.8242900275980338</v>
      </c>
      <c r="AI548" s="101">
        <f t="shared" si="66"/>
        <v>0.32433233655688376</v>
      </c>
      <c r="AJ548" s="101">
        <f t="shared" si="66"/>
        <v>0.5976628899929366</v>
      </c>
      <c r="AK548" s="101">
        <f t="shared" si="66"/>
        <v>0.63952556738269817</v>
      </c>
      <c r="AL548" s="101">
        <f t="shared" si="66"/>
        <v>0.62507861603036929</v>
      </c>
      <c r="AM548" s="381">
        <f t="shared" si="64"/>
        <v>47.488844984354266</v>
      </c>
    </row>
    <row r="549" spans="1:39" x14ac:dyDescent="0.2">
      <c r="A549" s="8"/>
      <c r="B549" s="117" t="s">
        <v>110</v>
      </c>
      <c r="C549" s="118" t="s">
        <v>176</v>
      </c>
      <c r="D549" s="121"/>
      <c r="E549" s="122"/>
      <c r="F549" s="101">
        <f t="shared" si="65"/>
        <v>0.84029886452448121</v>
      </c>
      <c r="G549" s="101">
        <f t="shared" si="65"/>
        <v>0.12297909867099384</v>
      </c>
      <c r="H549" s="101">
        <f t="shared" si="65"/>
        <v>4.1774882972334754E-2</v>
      </c>
      <c r="I549" s="101">
        <f t="shared" si="65"/>
        <v>0.14548221058209157</v>
      </c>
      <c r="J549" s="101">
        <f t="shared" si="65"/>
        <v>6.1340553380747273E-2</v>
      </c>
      <c r="K549" s="101">
        <f t="shared" si="65"/>
        <v>0.15522080770274641</v>
      </c>
      <c r="L549" s="101">
        <f t="shared" si="65"/>
        <v>0.17126468325175007</v>
      </c>
      <c r="M549" s="101">
        <f t="shared" si="65"/>
        <v>1.9087530338905554</v>
      </c>
      <c r="N549" s="101">
        <f t="shared" si="65"/>
        <v>1.0748165577120179</v>
      </c>
      <c r="O549" s="101">
        <f t="shared" si="65"/>
        <v>0.26721882222624815</v>
      </c>
      <c r="P549" s="101">
        <f t="shared" si="65"/>
        <v>1.0197068508366651</v>
      </c>
      <c r="Q549" s="101">
        <f t="shared" si="65"/>
        <v>0.40033960486337555</v>
      </c>
      <c r="R549" s="101">
        <f t="shared" si="65"/>
        <v>1.2856385224970572</v>
      </c>
      <c r="S549" s="101">
        <f t="shared" si="65"/>
        <v>2.7564801121003897</v>
      </c>
      <c r="T549" s="101">
        <f t="shared" si="65"/>
        <v>5.697053754818187</v>
      </c>
      <c r="U549" s="101">
        <f t="shared" si="65"/>
        <v>7.4136292612799206</v>
      </c>
      <c r="V549" s="101">
        <f t="shared" si="66"/>
        <v>0.3514678998495292</v>
      </c>
      <c r="W549" s="101">
        <f t="shared" si="66"/>
        <v>2.1574203601676719E-2</v>
      </c>
      <c r="X549" s="101">
        <f t="shared" si="66"/>
        <v>0.15226162467745952</v>
      </c>
      <c r="Y549" s="101">
        <f t="shared" si="66"/>
        <v>0.65027232415954828</v>
      </c>
      <c r="Z549" s="101">
        <f t="shared" si="66"/>
        <v>3.6866278990055603</v>
      </c>
      <c r="AA549" s="101">
        <f t="shared" si="66"/>
        <v>1.7595313274171682</v>
      </c>
      <c r="AB549" s="101">
        <f t="shared" si="66"/>
        <v>5.6903990182207709E-3</v>
      </c>
      <c r="AC549" s="101">
        <f t="shared" si="66"/>
        <v>14.433014614061392</v>
      </c>
      <c r="AD549" s="101">
        <f t="shared" si="66"/>
        <v>0.49660355442663573</v>
      </c>
      <c r="AE549" s="101">
        <f t="shared" si="66"/>
        <v>0.43485095575191113</v>
      </c>
      <c r="AF549" s="101">
        <f t="shared" si="66"/>
        <v>9.8772609555089083E-2</v>
      </c>
      <c r="AG549" s="101">
        <f t="shared" si="66"/>
        <v>1.2963645684257978</v>
      </c>
      <c r="AH549" s="101">
        <f t="shared" si="66"/>
        <v>5.9986858143395314E-2</v>
      </c>
      <c r="AI549" s="101">
        <f t="shared" si="66"/>
        <v>16.045970134684687</v>
      </c>
      <c r="AJ549" s="101">
        <f t="shared" si="66"/>
        <v>29.62595393504872</v>
      </c>
      <c r="AK549" s="101">
        <f t="shared" si="66"/>
        <v>9.2383873561210805</v>
      </c>
      <c r="AL549" s="101">
        <f t="shared" si="66"/>
        <v>11.375887763008583</v>
      </c>
      <c r="AM549" s="381">
        <f t="shared" si="64"/>
        <v>113.09521564826602</v>
      </c>
    </row>
    <row r="550" spans="1:39" x14ac:dyDescent="0.2">
      <c r="A550" s="8"/>
      <c r="B550" s="117" t="s">
        <v>111</v>
      </c>
      <c r="C550" s="118" t="s">
        <v>176</v>
      </c>
      <c r="D550" s="121"/>
      <c r="E550" s="122"/>
      <c r="F550" s="101">
        <f t="shared" si="65"/>
        <v>0.98791562069440086</v>
      </c>
      <c r="G550" s="101">
        <f t="shared" si="65"/>
        <v>0.20616427255972947</v>
      </c>
      <c r="H550" s="101">
        <f t="shared" si="65"/>
        <v>6.4277606733052522E-2</v>
      </c>
      <c r="I550" s="101">
        <f t="shared" si="65"/>
        <v>0.17885174973793155</v>
      </c>
      <c r="J550" s="101">
        <f t="shared" si="65"/>
        <v>0.4422739412886687</v>
      </c>
      <c r="K550" s="101">
        <f t="shared" si="65"/>
        <v>0.29673868850990986</v>
      </c>
      <c r="L550" s="101">
        <f t="shared" si="65"/>
        <v>6.3631303489645337</v>
      </c>
      <c r="M550" s="101">
        <f t="shared" si="65"/>
        <v>11.308632046235132</v>
      </c>
      <c r="N550" s="101">
        <f t="shared" si="65"/>
        <v>1.4667270575819855</v>
      </c>
      <c r="O550" s="101">
        <f t="shared" si="65"/>
        <v>0.26920607470804181</v>
      </c>
      <c r="P550" s="101">
        <f t="shared" si="65"/>
        <v>9.2520597111461961E-2</v>
      </c>
      <c r="Q550" s="101">
        <f t="shared" si="65"/>
        <v>8.6197503554027186</v>
      </c>
      <c r="R550" s="101">
        <f t="shared" si="65"/>
        <v>37.788612291159751</v>
      </c>
      <c r="S550" s="101">
        <f t="shared" si="65"/>
        <v>0.4934968633363544</v>
      </c>
      <c r="T550" s="101">
        <f t="shared" si="65"/>
        <v>1.4857670244917325</v>
      </c>
      <c r="U550" s="101">
        <f t="shared" si="65"/>
        <v>0.6465595399631443</v>
      </c>
      <c r="V550" s="101">
        <f t="shared" si="66"/>
        <v>0.22828906879822469</v>
      </c>
      <c r="W550" s="101">
        <f t="shared" si="66"/>
        <v>4.4914376467892259E-2</v>
      </c>
      <c r="X550" s="101">
        <f t="shared" si="66"/>
        <v>5.7357328685118517E-2</v>
      </c>
      <c r="Y550" s="101">
        <f t="shared" si="66"/>
        <v>0.57384427576706787</v>
      </c>
      <c r="Z550" s="101">
        <f t="shared" si="66"/>
        <v>5.5911341741990833E-2</v>
      </c>
      <c r="AA550" s="101">
        <f t="shared" si="66"/>
        <v>0.28704230928032171</v>
      </c>
      <c r="AB550" s="101">
        <f t="shared" si="66"/>
        <v>9.6908864840101229E-3</v>
      </c>
      <c r="AC550" s="101">
        <f t="shared" si="66"/>
        <v>1.1562717381082059</v>
      </c>
      <c r="AD550" s="101">
        <f t="shared" si="66"/>
        <v>4.2805325000933307E-2</v>
      </c>
      <c r="AE550" s="101">
        <f t="shared" si="66"/>
        <v>0.25582913647869798</v>
      </c>
      <c r="AF550" s="101">
        <f t="shared" si="66"/>
        <v>4.8596373487089048E-2</v>
      </c>
      <c r="AG550" s="101">
        <f t="shared" si="66"/>
        <v>3.1273964959357248E-2</v>
      </c>
      <c r="AH550" s="101">
        <f t="shared" si="66"/>
        <v>1.3905377485420312E-2</v>
      </c>
      <c r="AI550" s="101">
        <f t="shared" si="66"/>
        <v>2.0020498090102108</v>
      </c>
      <c r="AJ550" s="101">
        <f t="shared" si="66"/>
        <v>5.1876424303137085</v>
      </c>
      <c r="AK550" s="101">
        <f t="shared" si="66"/>
        <v>0.39954987552055976</v>
      </c>
      <c r="AL550" s="101">
        <f t="shared" si="66"/>
        <v>0.46178323173041147</v>
      </c>
      <c r="AM550" s="381">
        <f t="shared" si="64"/>
        <v>81.567380927797757</v>
      </c>
    </row>
    <row r="551" spans="1:39" x14ac:dyDescent="0.2">
      <c r="A551" s="8"/>
      <c r="B551" s="117" t="s">
        <v>112</v>
      </c>
      <c r="C551" s="118" t="s">
        <v>176</v>
      </c>
      <c r="D551" s="121"/>
      <c r="E551" s="122"/>
      <c r="F551" s="101">
        <f t="shared" ref="F551:AL558" si="67">F517+F639+F718</f>
        <v>3.645932052892789</v>
      </c>
      <c r="G551" s="101">
        <f t="shared" si="67"/>
        <v>0.35735949715317589</v>
      </c>
      <c r="H551" s="101">
        <f t="shared" si="67"/>
        <v>0.17964617423237395</v>
      </c>
      <c r="I551" s="101">
        <f t="shared" si="67"/>
        <v>17.917541989569138</v>
      </c>
      <c r="J551" s="101">
        <f t="shared" si="67"/>
        <v>1.0585475961447028</v>
      </c>
      <c r="K551" s="101">
        <f t="shared" si="67"/>
        <v>0.40627357467335201</v>
      </c>
      <c r="L551" s="101">
        <f t="shared" si="67"/>
        <v>5.0726877223650959</v>
      </c>
      <c r="M551" s="101">
        <f t="shared" si="67"/>
        <v>38.525848548318869</v>
      </c>
      <c r="N551" s="101">
        <f t="shared" si="67"/>
        <v>1.4887474050340588</v>
      </c>
      <c r="O551" s="101">
        <f t="shared" si="67"/>
        <v>0.50576018321921479</v>
      </c>
      <c r="P551" s="101">
        <f t="shared" si="67"/>
        <v>0.12173171383004899</v>
      </c>
      <c r="Q551" s="101">
        <f t="shared" si="67"/>
        <v>0.71396181941767944</v>
      </c>
      <c r="R551" s="101">
        <f t="shared" si="67"/>
        <v>7.9191058795255103</v>
      </c>
      <c r="S551" s="101">
        <f t="shared" si="67"/>
        <v>0.86837590363181993</v>
      </c>
      <c r="T551" s="101">
        <f t="shared" si="67"/>
        <v>6.3467459187838129</v>
      </c>
      <c r="U551" s="101">
        <f t="shared" si="67"/>
        <v>2.9580919538028811</v>
      </c>
      <c r="V551" s="101">
        <f t="shared" si="67"/>
        <v>1.1268059345989583</v>
      </c>
      <c r="W551" s="101">
        <f t="shared" si="67"/>
        <v>4.1421756092029263E-2</v>
      </c>
      <c r="X551" s="101">
        <f t="shared" si="67"/>
        <v>0.20525865608178148</v>
      </c>
      <c r="Y551" s="101">
        <f t="shared" si="67"/>
        <v>2.5285176725531704</v>
      </c>
      <c r="Z551" s="101">
        <f t="shared" si="67"/>
        <v>0.96483306276274594</v>
      </c>
      <c r="AA551" s="101">
        <f t="shared" si="67"/>
        <v>0.83456192648742</v>
      </c>
      <c r="AB551" s="101">
        <f t="shared" si="67"/>
        <v>3.073382038094976E-2</v>
      </c>
      <c r="AC551" s="101">
        <f t="shared" si="67"/>
        <v>4.2025106875597089</v>
      </c>
      <c r="AD551" s="101">
        <f t="shared" si="67"/>
        <v>0.65785487012226851</v>
      </c>
      <c r="AE551" s="101">
        <f t="shared" si="67"/>
        <v>0.40662995411930197</v>
      </c>
      <c r="AF551" s="101">
        <f t="shared" si="67"/>
        <v>0.21146307816435345</v>
      </c>
      <c r="AG551" s="101">
        <f t="shared" si="67"/>
        <v>0.21129477526823415</v>
      </c>
      <c r="AH551" s="101">
        <f t="shared" si="67"/>
        <v>5.9170529444691276E-2</v>
      </c>
      <c r="AI551" s="101">
        <f t="shared" si="67"/>
        <v>11.125995797734641</v>
      </c>
      <c r="AJ551" s="101">
        <f t="shared" si="67"/>
        <v>34.948456634493439</v>
      </c>
      <c r="AK551" s="101">
        <f t="shared" si="67"/>
        <v>2.661590728016856</v>
      </c>
      <c r="AL551" s="101">
        <f t="shared" si="67"/>
        <v>40.051583371349125</v>
      </c>
      <c r="AM551" s="381">
        <f t="shared" si="64"/>
        <v>188.35504118782416</v>
      </c>
    </row>
    <row r="552" spans="1:39" x14ac:dyDescent="0.2">
      <c r="A552" s="8"/>
      <c r="B552" s="117" t="s">
        <v>113</v>
      </c>
      <c r="C552" s="118" t="s">
        <v>176</v>
      </c>
      <c r="D552" s="121"/>
      <c r="E552" s="122"/>
      <c r="F552" s="101">
        <f t="shared" si="67"/>
        <v>1.8725466749306223</v>
      </c>
      <c r="G552" s="101">
        <f t="shared" si="67"/>
        <v>4.2638028815004851</v>
      </c>
      <c r="H552" s="101">
        <f t="shared" si="67"/>
        <v>0.62118722053954023</v>
      </c>
      <c r="I552" s="101">
        <f t="shared" si="67"/>
        <v>6.2154345764794678</v>
      </c>
      <c r="J552" s="101">
        <f t="shared" si="67"/>
        <v>12.778662054863565</v>
      </c>
      <c r="K552" s="101">
        <f t="shared" si="67"/>
        <v>1.587289693447284</v>
      </c>
      <c r="L552" s="101">
        <f t="shared" si="67"/>
        <v>3.4342796722828979</v>
      </c>
      <c r="M552" s="101">
        <f t="shared" si="67"/>
        <v>2.7509271498800456</v>
      </c>
      <c r="N552" s="101">
        <f t="shared" si="67"/>
        <v>1.232329766595416</v>
      </c>
      <c r="O552" s="101">
        <f t="shared" si="67"/>
        <v>0.2465549628723657</v>
      </c>
      <c r="P552" s="101">
        <f t="shared" si="67"/>
        <v>1.9267957954508237</v>
      </c>
      <c r="Q552" s="101">
        <f t="shared" si="67"/>
        <v>2.8350802738803447</v>
      </c>
      <c r="R552" s="101">
        <f t="shared" si="67"/>
        <v>4.725431916742977</v>
      </c>
      <c r="S552" s="101">
        <f t="shared" si="67"/>
        <v>3.2119222839785735</v>
      </c>
      <c r="T552" s="101">
        <f t="shared" si="67"/>
        <v>39.205063409955926</v>
      </c>
      <c r="U552" s="101">
        <f t="shared" si="67"/>
        <v>15.211832295307294</v>
      </c>
      <c r="V552" s="101">
        <f t="shared" si="67"/>
        <v>7.0063725787222726</v>
      </c>
      <c r="W552" s="101">
        <f t="shared" si="67"/>
        <v>6.290900355945396E-2</v>
      </c>
      <c r="X552" s="101">
        <f t="shared" si="67"/>
        <v>1.605030540839395</v>
      </c>
      <c r="Y552" s="101">
        <f t="shared" si="67"/>
        <v>2.8020795972642243</v>
      </c>
      <c r="Z552" s="101">
        <f t="shared" si="67"/>
        <v>39.20965623711735</v>
      </c>
      <c r="AA552" s="101">
        <f t="shared" si="67"/>
        <v>21.033697401554946</v>
      </c>
      <c r="AB552" s="101">
        <f t="shared" si="67"/>
        <v>0.14649230477875924</v>
      </c>
      <c r="AC552" s="101">
        <f t="shared" si="67"/>
        <v>91.372741315597295</v>
      </c>
      <c r="AD552" s="101">
        <f t="shared" si="67"/>
        <v>3.1227140549536396</v>
      </c>
      <c r="AE552" s="101">
        <f t="shared" si="67"/>
        <v>2.3158154915114508</v>
      </c>
      <c r="AF552" s="101">
        <f t="shared" si="67"/>
        <v>1.1758116819299644</v>
      </c>
      <c r="AG552" s="101">
        <f t="shared" si="67"/>
        <v>12.795789841910747</v>
      </c>
      <c r="AH552" s="101">
        <f t="shared" si="67"/>
        <v>8.0862310174232626</v>
      </c>
      <c r="AI552" s="101">
        <f t="shared" si="67"/>
        <v>62.266627973934469</v>
      </c>
      <c r="AJ552" s="101">
        <f t="shared" si="67"/>
        <v>148.71779855981572</v>
      </c>
      <c r="AK552" s="101">
        <f t="shared" si="67"/>
        <v>29.839068769296912</v>
      </c>
      <c r="AL552" s="101">
        <f t="shared" si="67"/>
        <v>118.38696998275249</v>
      </c>
      <c r="AM552" s="381">
        <f t="shared" si="64"/>
        <v>652.06494698166989</v>
      </c>
    </row>
    <row r="553" spans="1:39" x14ac:dyDescent="0.2">
      <c r="A553" s="8"/>
      <c r="B553" s="117" t="s">
        <v>114</v>
      </c>
      <c r="C553" s="118" t="s">
        <v>176</v>
      </c>
      <c r="D553" s="121"/>
      <c r="E553" s="122"/>
      <c r="F553" s="101">
        <f t="shared" si="67"/>
        <v>0</v>
      </c>
      <c r="G553" s="101">
        <f t="shared" si="67"/>
        <v>0</v>
      </c>
      <c r="H553" s="101">
        <f t="shared" si="67"/>
        <v>0</v>
      </c>
      <c r="I553" s="101">
        <f t="shared" si="67"/>
        <v>0</v>
      </c>
      <c r="J553" s="101">
        <f t="shared" si="67"/>
        <v>0</v>
      </c>
      <c r="K553" s="101">
        <f t="shared" si="67"/>
        <v>0</v>
      </c>
      <c r="L553" s="101">
        <f t="shared" si="67"/>
        <v>0</v>
      </c>
      <c r="M553" s="101">
        <f t="shared" si="67"/>
        <v>0</v>
      </c>
      <c r="N553" s="101">
        <f t="shared" si="67"/>
        <v>0</v>
      </c>
      <c r="O553" s="101">
        <f t="shared" si="67"/>
        <v>0</v>
      </c>
      <c r="P553" s="101">
        <f t="shared" si="67"/>
        <v>0</v>
      </c>
      <c r="Q553" s="101">
        <f t="shared" si="67"/>
        <v>0</v>
      </c>
      <c r="R553" s="101">
        <f t="shared" si="67"/>
        <v>0</v>
      </c>
      <c r="S553" s="101">
        <f t="shared" si="67"/>
        <v>1.3151386413022185E-4</v>
      </c>
      <c r="T553" s="101">
        <f t="shared" si="67"/>
        <v>0</v>
      </c>
      <c r="U553" s="101">
        <f t="shared" si="67"/>
        <v>0</v>
      </c>
      <c r="V553" s="101">
        <f t="shared" si="67"/>
        <v>0</v>
      </c>
      <c r="W553" s="101">
        <f t="shared" si="67"/>
        <v>0</v>
      </c>
      <c r="X553" s="101">
        <f t="shared" si="67"/>
        <v>0</v>
      </c>
      <c r="Y553" s="101">
        <f t="shared" si="67"/>
        <v>0</v>
      </c>
      <c r="Z553" s="101">
        <f t="shared" si="67"/>
        <v>0.3830034121024099</v>
      </c>
      <c r="AA553" s="101">
        <f t="shared" si="67"/>
        <v>0.19325612678043372</v>
      </c>
      <c r="AB553" s="101">
        <f t="shared" si="67"/>
        <v>0</v>
      </c>
      <c r="AC553" s="101">
        <f t="shared" si="67"/>
        <v>0.14567024172658005</v>
      </c>
      <c r="AD553" s="101">
        <f t="shared" si="67"/>
        <v>0</v>
      </c>
      <c r="AE553" s="101">
        <f t="shared" si="67"/>
        <v>0</v>
      </c>
      <c r="AF553" s="101">
        <f t="shared" si="67"/>
        <v>0</v>
      </c>
      <c r="AG553" s="101">
        <f t="shared" si="67"/>
        <v>0</v>
      </c>
      <c r="AH553" s="101">
        <f t="shared" si="67"/>
        <v>0</v>
      </c>
      <c r="AI553" s="101">
        <f t="shared" si="67"/>
        <v>1.407005401232829</v>
      </c>
      <c r="AJ553" s="101">
        <f t="shared" si="67"/>
        <v>7.2150925698492072</v>
      </c>
      <c r="AK553" s="101">
        <f t="shared" si="67"/>
        <v>0.99765765028087117</v>
      </c>
      <c r="AL553" s="101">
        <f t="shared" si="67"/>
        <v>0.58038683088349241</v>
      </c>
      <c r="AM553" s="381">
        <f t="shared" si="64"/>
        <v>10.922203746719953</v>
      </c>
    </row>
    <row r="554" spans="1:39" x14ac:dyDescent="0.2">
      <c r="A554" s="8"/>
      <c r="B554" s="117" t="s">
        <v>115</v>
      </c>
      <c r="C554" s="118" t="s">
        <v>176</v>
      </c>
      <c r="D554" s="121"/>
      <c r="E554" s="122"/>
      <c r="F554" s="101">
        <f t="shared" si="67"/>
        <v>0</v>
      </c>
      <c r="G554" s="101">
        <f t="shared" si="67"/>
        <v>0</v>
      </c>
      <c r="H554" s="101">
        <f t="shared" si="67"/>
        <v>0</v>
      </c>
      <c r="I554" s="101">
        <f t="shared" si="67"/>
        <v>0</v>
      </c>
      <c r="J554" s="101">
        <f t="shared" si="67"/>
        <v>0</v>
      </c>
      <c r="K554" s="101">
        <f t="shared" si="67"/>
        <v>0</v>
      </c>
      <c r="L554" s="101">
        <f t="shared" si="67"/>
        <v>0</v>
      </c>
      <c r="M554" s="101">
        <f t="shared" si="67"/>
        <v>0</v>
      </c>
      <c r="N554" s="101">
        <f t="shared" si="67"/>
        <v>0</v>
      </c>
      <c r="O554" s="101">
        <f t="shared" si="67"/>
        <v>0</v>
      </c>
      <c r="P554" s="101">
        <f t="shared" si="67"/>
        <v>0</v>
      </c>
      <c r="Q554" s="101">
        <f t="shared" si="67"/>
        <v>0</v>
      </c>
      <c r="R554" s="101">
        <f t="shared" si="67"/>
        <v>0</v>
      </c>
      <c r="S554" s="101">
        <f t="shared" si="67"/>
        <v>0</v>
      </c>
      <c r="T554" s="101">
        <f t="shared" si="67"/>
        <v>0</v>
      </c>
      <c r="U554" s="101">
        <f t="shared" si="67"/>
        <v>0</v>
      </c>
      <c r="V554" s="101">
        <f t="shared" si="67"/>
        <v>0</v>
      </c>
      <c r="W554" s="101">
        <f t="shared" si="67"/>
        <v>0</v>
      </c>
      <c r="X554" s="101">
        <f t="shared" si="67"/>
        <v>0</v>
      </c>
      <c r="Y554" s="101">
        <f t="shared" si="67"/>
        <v>0</v>
      </c>
      <c r="Z554" s="101">
        <f t="shared" si="67"/>
        <v>0</v>
      </c>
      <c r="AA554" s="101">
        <f t="shared" si="67"/>
        <v>0</v>
      </c>
      <c r="AB554" s="101">
        <f t="shared" si="67"/>
        <v>0</v>
      </c>
      <c r="AC554" s="101">
        <f t="shared" si="67"/>
        <v>0</v>
      </c>
      <c r="AD554" s="101">
        <f t="shared" si="67"/>
        <v>0</v>
      </c>
      <c r="AE554" s="101">
        <f t="shared" si="67"/>
        <v>0</v>
      </c>
      <c r="AF554" s="101">
        <f t="shared" si="67"/>
        <v>0</v>
      </c>
      <c r="AG554" s="101">
        <f t="shared" si="67"/>
        <v>0</v>
      </c>
      <c r="AH554" s="101">
        <f t="shared" si="67"/>
        <v>0</v>
      </c>
      <c r="AI554" s="101">
        <f t="shared" si="67"/>
        <v>0</v>
      </c>
      <c r="AJ554" s="101">
        <f t="shared" si="67"/>
        <v>0.15899638599612737</v>
      </c>
      <c r="AK554" s="101">
        <f t="shared" si="67"/>
        <v>0</v>
      </c>
      <c r="AL554" s="101">
        <f t="shared" si="67"/>
        <v>0</v>
      </c>
      <c r="AM554" s="381">
        <f t="shared" si="64"/>
        <v>0.15899638599612737</v>
      </c>
    </row>
    <row r="555" spans="1:39" x14ac:dyDescent="0.2">
      <c r="A555" s="8"/>
      <c r="B555" s="117" t="s">
        <v>116</v>
      </c>
      <c r="C555" s="118" t="s">
        <v>176</v>
      </c>
      <c r="D555" s="121"/>
      <c r="E555" s="122"/>
      <c r="F555" s="101">
        <f t="shared" si="67"/>
        <v>1.3356895421339245</v>
      </c>
      <c r="G555" s="101">
        <f t="shared" si="67"/>
        <v>0.69009756120810306</v>
      </c>
      <c r="H555" s="101">
        <f t="shared" si="67"/>
        <v>2.7688803634418457E-2</v>
      </c>
      <c r="I555" s="101">
        <f t="shared" si="67"/>
        <v>0</v>
      </c>
      <c r="J555" s="101">
        <f t="shared" si="67"/>
        <v>0.29598184869243427</v>
      </c>
      <c r="K555" s="101">
        <f t="shared" si="67"/>
        <v>3.0411742549125501E-3</v>
      </c>
      <c r="L555" s="101">
        <f t="shared" si="67"/>
        <v>0</v>
      </c>
      <c r="M555" s="101">
        <f t="shared" si="67"/>
        <v>0</v>
      </c>
      <c r="N555" s="101">
        <f t="shared" si="67"/>
        <v>12.274526762600056</v>
      </c>
      <c r="O555" s="101">
        <f t="shared" si="67"/>
        <v>1.0870281646489164</v>
      </c>
      <c r="P555" s="101">
        <f t="shared" si="67"/>
        <v>1.983568739494824</v>
      </c>
      <c r="Q555" s="101">
        <f t="shared" si="67"/>
        <v>2.2520583609180224E-2</v>
      </c>
      <c r="R555" s="101">
        <f t="shared" si="67"/>
        <v>0.23678217187885092</v>
      </c>
      <c r="S555" s="101">
        <f t="shared" si="67"/>
        <v>0.44647298063309743</v>
      </c>
      <c r="T555" s="101">
        <f t="shared" si="67"/>
        <v>4.8518285233969163</v>
      </c>
      <c r="U555" s="101">
        <f t="shared" si="67"/>
        <v>0.44447245901663684</v>
      </c>
      <c r="V555" s="101">
        <f t="shared" si="67"/>
        <v>7.1870652945569283E-2</v>
      </c>
      <c r="W555" s="101">
        <f t="shared" si="67"/>
        <v>0.49137514738583504</v>
      </c>
      <c r="X555" s="101">
        <f t="shared" si="67"/>
        <v>0</v>
      </c>
      <c r="Y555" s="101">
        <f t="shared" si="67"/>
        <v>0</v>
      </c>
      <c r="Z555" s="101">
        <f t="shared" si="67"/>
        <v>0</v>
      </c>
      <c r="AA555" s="101">
        <f t="shared" si="67"/>
        <v>3.2503099406495962E-2</v>
      </c>
      <c r="AB555" s="101">
        <f t="shared" si="67"/>
        <v>1.0621800309107258E-2</v>
      </c>
      <c r="AC555" s="101">
        <f t="shared" si="67"/>
        <v>3.9677366443225193</v>
      </c>
      <c r="AD555" s="101">
        <f t="shared" si="67"/>
        <v>0</v>
      </c>
      <c r="AE555" s="101">
        <f t="shared" si="67"/>
        <v>0.58385044017709631</v>
      </c>
      <c r="AF555" s="101">
        <f t="shared" si="67"/>
        <v>0</v>
      </c>
      <c r="AG555" s="101">
        <f t="shared" si="67"/>
        <v>0.17666746417125209</v>
      </c>
      <c r="AH555" s="101">
        <f t="shared" si="67"/>
        <v>6.0865940457055442E-3</v>
      </c>
      <c r="AI555" s="101">
        <f t="shared" si="67"/>
        <v>0</v>
      </c>
      <c r="AJ555" s="101">
        <f t="shared" si="67"/>
        <v>0</v>
      </c>
      <c r="AK555" s="101">
        <f t="shared" si="67"/>
        <v>3.1655778954676035E-2</v>
      </c>
      <c r="AL555" s="101">
        <f t="shared" si="67"/>
        <v>0</v>
      </c>
      <c r="AM555" s="381">
        <f t="shared" si="64"/>
        <v>29.072066936920525</v>
      </c>
    </row>
    <row r="556" spans="1:39" x14ac:dyDescent="0.2">
      <c r="A556" s="8"/>
      <c r="B556" s="117" t="s">
        <v>117</v>
      </c>
      <c r="C556" s="118" t="s">
        <v>176</v>
      </c>
      <c r="D556" s="121"/>
      <c r="E556" s="122"/>
      <c r="F556" s="101">
        <f t="shared" si="67"/>
        <v>6.5129091305657703</v>
      </c>
      <c r="G556" s="101">
        <f t="shared" si="67"/>
        <v>66.669421669459254</v>
      </c>
      <c r="H556" s="101">
        <f t="shared" si="67"/>
        <v>0.75150736846953992</v>
      </c>
      <c r="I556" s="101">
        <f t="shared" si="67"/>
        <v>34.873664979241539</v>
      </c>
      <c r="J556" s="101">
        <f t="shared" si="67"/>
        <v>27.879391623933138</v>
      </c>
      <c r="K556" s="101">
        <f t="shared" si="67"/>
        <v>53.191453282564474</v>
      </c>
      <c r="L556" s="101">
        <f t="shared" si="67"/>
        <v>9.2878021678243008E-3</v>
      </c>
      <c r="M556" s="101">
        <f t="shared" si="67"/>
        <v>48.645773893830842</v>
      </c>
      <c r="N556" s="101">
        <f t="shared" si="67"/>
        <v>1.110645283183384</v>
      </c>
      <c r="O556" s="101">
        <f t="shared" si="67"/>
        <v>1.4296011762388559E-2</v>
      </c>
      <c r="P556" s="101">
        <f t="shared" si="67"/>
        <v>4.0701112947467422E-2</v>
      </c>
      <c r="Q556" s="101">
        <f t="shared" si="67"/>
        <v>0</v>
      </c>
      <c r="R556" s="101">
        <f t="shared" si="67"/>
        <v>1.0763632017558786E-2</v>
      </c>
      <c r="S556" s="101">
        <f t="shared" si="67"/>
        <v>0</v>
      </c>
      <c r="T556" s="101">
        <f t="shared" si="67"/>
        <v>0</v>
      </c>
      <c r="U556" s="101">
        <f t="shared" si="67"/>
        <v>9.3721519088780431E-2</v>
      </c>
      <c r="V556" s="101">
        <f t="shared" si="67"/>
        <v>0</v>
      </c>
      <c r="W556" s="101">
        <f t="shared" si="67"/>
        <v>0</v>
      </c>
      <c r="X556" s="101">
        <f t="shared" si="67"/>
        <v>0</v>
      </c>
      <c r="Y556" s="101">
        <f t="shared" si="67"/>
        <v>0</v>
      </c>
      <c r="Z556" s="101">
        <f t="shared" si="67"/>
        <v>0</v>
      </c>
      <c r="AA556" s="101">
        <f t="shared" si="67"/>
        <v>0</v>
      </c>
      <c r="AB556" s="101">
        <f t="shared" si="67"/>
        <v>7.6553515741313565E-3</v>
      </c>
      <c r="AC556" s="101">
        <f t="shared" si="67"/>
        <v>0.15670660610252377</v>
      </c>
      <c r="AD556" s="101">
        <f t="shared" si="67"/>
        <v>0</v>
      </c>
      <c r="AE556" s="101">
        <f t="shared" si="67"/>
        <v>0</v>
      </c>
      <c r="AF556" s="101">
        <f t="shared" si="67"/>
        <v>0</v>
      </c>
      <c r="AG556" s="101">
        <f t="shared" si="67"/>
        <v>4.2240363000557854E-3</v>
      </c>
      <c r="AH556" s="101">
        <f t="shared" si="67"/>
        <v>0</v>
      </c>
      <c r="AI556" s="101">
        <f t="shared" si="67"/>
        <v>0</v>
      </c>
      <c r="AJ556" s="101">
        <f t="shared" si="67"/>
        <v>0</v>
      </c>
      <c r="AK556" s="101">
        <f t="shared" si="67"/>
        <v>0</v>
      </c>
      <c r="AL556" s="101">
        <f t="shared" si="67"/>
        <v>0</v>
      </c>
      <c r="AM556" s="381">
        <f t="shared" si="64"/>
        <v>239.97212330320863</v>
      </c>
    </row>
    <row r="557" spans="1:39" x14ac:dyDescent="0.2">
      <c r="A557" s="8"/>
      <c r="B557" s="117" t="s">
        <v>118</v>
      </c>
      <c r="C557" s="118" t="s">
        <v>176</v>
      </c>
      <c r="D557" s="121"/>
      <c r="E557" s="122"/>
      <c r="F557" s="101">
        <f t="shared" si="67"/>
        <v>13.992078504084942</v>
      </c>
      <c r="G557" s="101">
        <f t="shared" si="67"/>
        <v>70.061861214764136</v>
      </c>
      <c r="H557" s="101">
        <f t="shared" si="67"/>
        <v>11.630580573182922</v>
      </c>
      <c r="I557" s="101">
        <f t="shared" si="67"/>
        <v>303.09394772039497</v>
      </c>
      <c r="J557" s="101">
        <f t="shared" si="67"/>
        <v>610.78865873523353</v>
      </c>
      <c r="K557" s="101">
        <f t="shared" si="67"/>
        <v>165.55427788684966</v>
      </c>
      <c r="L557" s="101">
        <f t="shared" si="67"/>
        <v>514.59232121579407</v>
      </c>
      <c r="M557" s="101">
        <f t="shared" si="67"/>
        <v>471.74467629212523</v>
      </c>
      <c r="N557" s="101">
        <f t="shared" si="67"/>
        <v>118.23394894153817</v>
      </c>
      <c r="O557" s="101">
        <f t="shared" si="67"/>
        <v>138.13299129238135</v>
      </c>
      <c r="P557" s="101">
        <f t="shared" si="67"/>
        <v>387.35596395437688</v>
      </c>
      <c r="Q557" s="101">
        <f t="shared" si="67"/>
        <v>87.968567683089987</v>
      </c>
      <c r="R557" s="101">
        <f t="shared" si="67"/>
        <v>1260.7978154966254</v>
      </c>
      <c r="S557" s="101">
        <f t="shared" si="67"/>
        <v>389.39530421988911</v>
      </c>
      <c r="T557" s="101">
        <f t="shared" si="67"/>
        <v>1294.5288653291095</v>
      </c>
      <c r="U557" s="101">
        <f t="shared" si="67"/>
        <v>187.51727909081359</v>
      </c>
      <c r="V557" s="101">
        <f t="shared" si="67"/>
        <v>494.8496342014289</v>
      </c>
      <c r="W557" s="101">
        <f t="shared" si="67"/>
        <v>38.082245209260698</v>
      </c>
      <c r="X557" s="101">
        <f t="shared" si="67"/>
        <v>9.8577077292854067</v>
      </c>
      <c r="Y557" s="101">
        <f t="shared" si="67"/>
        <v>87.276827911951273</v>
      </c>
      <c r="Z557" s="101">
        <f t="shared" si="67"/>
        <v>10.12940764769046</v>
      </c>
      <c r="AA557" s="101">
        <f t="shared" si="67"/>
        <v>61.411067903161609</v>
      </c>
      <c r="AB557" s="101">
        <f t="shared" si="67"/>
        <v>60.582753118093954</v>
      </c>
      <c r="AC557" s="101">
        <f t="shared" si="67"/>
        <v>286.27668444394334</v>
      </c>
      <c r="AD557" s="101">
        <f t="shared" si="67"/>
        <v>25.046251981471087</v>
      </c>
      <c r="AE557" s="101">
        <f t="shared" si="67"/>
        <v>269.51864788868926</v>
      </c>
      <c r="AF557" s="101">
        <f t="shared" si="67"/>
        <v>28.602647258884016</v>
      </c>
      <c r="AG557" s="101">
        <f t="shared" si="67"/>
        <v>115.7016431305712</v>
      </c>
      <c r="AH557" s="101">
        <f t="shared" si="67"/>
        <v>50.953020717774081</v>
      </c>
      <c r="AI557" s="101">
        <f t="shared" si="67"/>
        <v>5.7846481925987154</v>
      </c>
      <c r="AJ557" s="101">
        <f t="shared" si="67"/>
        <v>24.708908865513624</v>
      </c>
      <c r="AK557" s="101">
        <f t="shared" si="67"/>
        <v>2.2128634680143024</v>
      </c>
      <c r="AL557" s="101">
        <f t="shared" si="67"/>
        <v>5.4507463224816703</v>
      </c>
      <c r="AM557" s="381">
        <f t="shared" si="64"/>
        <v>7601.8348441410662</v>
      </c>
    </row>
    <row r="558" spans="1:39" x14ac:dyDescent="0.2">
      <c r="A558" s="8"/>
      <c r="B558" s="117" t="s">
        <v>924</v>
      </c>
      <c r="C558" s="118" t="s">
        <v>176</v>
      </c>
      <c r="D558" s="121"/>
      <c r="E558" s="122"/>
      <c r="F558" s="101">
        <f t="shared" si="67"/>
        <v>0.9829902033553235</v>
      </c>
      <c r="G558" s="101">
        <f t="shared" si="67"/>
        <v>0.7771360292073527</v>
      </c>
      <c r="H558" s="101">
        <f t="shared" si="67"/>
        <v>0.46696609852317017</v>
      </c>
      <c r="I558" s="101">
        <f t="shared" si="67"/>
        <v>2.1760241211431617</v>
      </c>
      <c r="J558" s="101">
        <f t="shared" si="67"/>
        <v>1.6737874362880971</v>
      </c>
      <c r="K558" s="101">
        <f t="shared" si="67"/>
        <v>0.45508044599816477</v>
      </c>
      <c r="L558" s="101">
        <f t="shared" si="67"/>
        <v>0.99010622331766518</v>
      </c>
      <c r="M558" s="101">
        <f t="shared" si="67"/>
        <v>1.4361835647996029</v>
      </c>
      <c r="N558" s="101">
        <f t="shared" si="67"/>
        <v>1.9190849755632475</v>
      </c>
      <c r="O558" s="101">
        <f t="shared" si="67"/>
        <v>1.2198373250247583</v>
      </c>
      <c r="P558" s="101">
        <f t="shared" si="67"/>
        <v>1.9981102915055435</v>
      </c>
      <c r="Q558" s="101">
        <f t="shared" si="67"/>
        <v>0.58082353615898996</v>
      </c>
      <c r="R558" s="101">
        <f t="shared" si="67"/>
        <v>2.0151013243347906</v>
      </c>
      <c r="S558" s="101">
        <f t="shared" si="67"/>
        <v>1.507264337416117</v>
      </c>
      <c r="T558" s="101">
        <f t="shared" si="67"/>
        <v>3.0856083271895547</v>
      </c>
      <c r="U558" s="101">
        <f t="shared" si="67"/>
        <v>3.6963187087653231</v>
      </c>
      <c r="V558" s="101">
        <f t="shared" si="67"/>
        <v>4.5167046317638233</v>
      </c>
      <c r="W558" s="101">
        <f t="shared" si="67"/>
        <v>0.51975859810461478</v>
      </c>
      <c r="X558" s="101">
        <f t="shared" si="67"/>
        <v>0.2132201831453083</v>
      </c>
      <c r="Y558" s="101">
        <f t="shared" si="67"/>
        <v>0.39616223108500359</v>
      </c>
      <c r="Z558" s="101">
        <f t="shared" si="67"/>
        <v>1.132397297319951</v>
      </c>
      <c r="AA558" s="101">
        <f t="shared" si="67"/>
        <v>0.8014771512089176</v>
      </c>
      <c r="AB558" s="101">
        <f t="shared" si="67"/>
        <v>0.81990436017234791</v>
      </c>
      <c r="AC558" s="101">
        <f t="shared" si="67"/>
        <v>3.8667445040453923</v>
      </c>
      <c r="AD558" s="101">
        <f t="shared" ref="G558:AL561" si="68">AD524+AD646+AD725</f>
        <v>0.44809814873562015</v>
      </c>
      <c r="AE558" s="101">
        <f t="shared" si="68"/>
        <v>1.2309538222151599</v>
      </c>
      <c r="AF558" s="101">
        <f t="shared" si="68"/>
        <v>0.20641160822069943</v>
      </c>
      <c r="AG558" s="101">
        <f t="shared" si="68"/>
        <v>0.97299753273265166</v>
      </c>
      <c r="AH558" s="101">
        <f t="shared" si="68"/>
        <v>1.0093589167150334</v>
      </c>
      <c r="AI558" s="101">
        <f t="shared" si="68"/>
        <v>0.57497826384297568</v>
      </c>
      <c r="AJ558" s="101">
        <f t="shared" si="68"/>
        <v>1.9092082282388105</v>
      </c>
      <c r="AK558" s="101">
        <f t="shared" si="68"/>
        <v>1.0860685114560122</v>
      </c>
      <c r="AL558" s="101">
        <f t="shared" si="68"/>
        <v>1.6110956187417083</v>
      </c>
      <c r="AM558" s="381">
        <f t="shared" si="64"/>
        <v>46.295962556334885</v>
      </c>
    </row>
    <row r="559" spans="1:39" x14ac:dyDescent="0.2">
      <c r="A559" s="8"/>
      <c r="B559" s="117" t="s">
        <v>120</v>
      </c>
      <c r="C559" s="118" t="s">
        <v>176</v>
      </c>
      <c r="D559" s="121"/>
      <c r="E559" s="122"/>
      <c r="F559" s="101">
        <f>F525+F647+F726</f>
        <v>17.693872957980489</v>
      </c>
      <c r="G559" s="101">
        <f t="shared" si="68"/>
        <v>34.364720098189984</v>
      </c>
      <c r="H559" s="101">
        <f t="shared" si="68"/>
        <v>3.9465882686316966</v>
      </c>
      <c r="I559" s="101">
        <f t="shared" si="68"/>
        <v>51.983146512083991</v>
      </c>
      <c r="J559" s="101">
        <f t="shared" si="68"/>
        <v>17.223357634354628</v>
      </c>
      <c r="K559" s="101">
        <f t="shared" si="68"/>
        <v>2.9271696829519724</v>
      </c>
      <c r="L559" s="101">
        <f t="shared" si="68"/>
        <v>13.317002367970357</v>
      </c>
      <c r="M559" s="101">
        <f t="shared" si="68"/>
        <v>13.893607561279438</v>
      </c>
      <c r="N559" s="101">
        <f t="shared" si="68"/>
        <v>526.34567556008926</v>
      </c>
      <c r="O559" s="101">
        <f t="shared" si="68"/>
        <v>75.521457956098175</v>
      </c>
      <c r="P559" s="101">
        <f t="shared" si="68"/>
        <v>50.782526509502873</v>
      </c>
      <c r="Q559" s="101">
        <f t="shared" si="68"/>
        <v>11.818774173629123</v>
      </c>
      <c r="R559" s="101">
        <f t="shared" si="68"/>
        <v>26.448461877168619</v>
      </c>
      <c r="S559" s="101">
        <f t="shared" si="68"/>
        <v>85.854950461517049</v>
      </c>
      <c r="T559" s="101">
        <f t="shared" si="68"/>
        <v>113.02284991795847</v>
      </c>
      <c r="U559" s="101">
        <f t="shared" si="68"/>
        <v>113.90773722132661</v>
      </c>
      <c r="V559" s="101">
        <f t="shared" si="68"/>
        <v>149.88854345417795</v>
      </c>
      <c r="W559" s="101">
        <f t="shared" si="68"/>
        <v>10.358899409740683</v>
      </c>
      <c r="X559" s="101">
        <f t="shared" si="68"/>
        <v>5.7503618270210275</v>
      </c>
      <c r="Y559" s="101">
        <f t="shared" si="68"/>
        <v>19.290405708475078</v>
      </c>
      <c r="Z559" s="101">
        <f t="shared" si="68"/>
        <v>173.33643159943364</v>
      </c>
      <c r="AA559" s="101">
        <f t="shared" si="68"/>
        <v>107.14897049588458</v>
      </c>
      <c r="AB559" s="101">
        <f t="shared" si="68"/>
        <v>71.908239576274994</v>
      </c>
      <c r="AC559" s="101">
        <f t="shared" si="68"/>
        <v>356.99343679554943</v>
      </c>
      <c r="AD559" s="101">
        <f t="shared" si="68"/>
        <v>7.1206282561593461</v>
      </c>
      <c r="AE559" s="101">
        <f t="shared" si="68"/>
        <v>21.302991384086518</v>
      </c>
      <c r="AF559" s="101">
        <f t="shared" si="68"/>
        <v>0.82934737885650334</v>
      </c>
      <c r="AG559" s="101">
        <f t="shared" si="68"/>
        <v>88.395449357871456</v>
      </c>
      <c r="AH559" s="101">
        <f t="shared" si="68"/>
        <v>9.3996666388972194</v>
      </c>
      <c r="AI559" s="101">
        <f t="shared" si="68"/>
        <v>48.756867396524967</v>
      </c>
      <c r="AJ559" s="101">
        <f t="shared" si="68"/>
        <v>139.32628842753485</v>
      </c>
      <c r="AK559" s="101">
        <f t="shared" si="68"/>
        <v>37.591381675500656</v>
      </c>
      <c r="AL559" s="101">
        <f t="shared" si="68"/>
        <v>22.466745616923188</v>
      </c>
      <c r="AM559" s="381">
        <f t="shared" si="64"/>
        <v>2428.916553759645</v>
      </c>
    </row>
    <row r="560" spans="1:39" x14ac:dyDescent="0.2">
      <c r="A560" s="8"/>
      <c r="B560" s="117" t="s">
        <v>127</v>
      </c>
      <c r="C560" s="118" t="s">
        <v>176</v>
      </c>
      <c r="D560" s="121"/>
      <c r="E560" s="122"/>
      <c r="F560" s="101">
        <f>F526+F648+F727</f>
        <v>23.713756123451283</v>
      </c>
      <c r="G560" s="101">
        <f t="shared" si="68"/>
        <v>56.118042485421057</v>
      </c>
      <c r="H560" s="101">
        <f t="shared" si="68"/>
        <v>16.584168840296133</v>
      </c>
      <c r="I560" s="101">
        <f t="shared" si="68"/>
        <v>89.032086428751526</v>
      </c>
      <c r="J560" s="101">
        <f t="shared" si="68"/>
        <v>402.41738701427329</v>
      </c>
      <c r="K560" s="101">
        <f t="shared" si="68"/>
        <v>98.612270085644667</v>
      </c>
      <c r="L560" s="101">
        <f t="shared" si="68"/>
        <v>639.67216118254805</v>
      </c>
      <c r="M560" s="101">
        <f t="shared" si="68"/>
        <v>109.05934976768079</v>
      </c>
      <c r="N560" s="101">
        <f t="shared" si="68"/>
        <v>84.869912769499251</v>
      </c>
      <c r="O560" s="101">
        <f t="shared" si="68"/>
        <v>141.62743907265983</v>
      </c>
      <c r="P560" s="101">
        <f t="shared" si="68"/>
        <v>269.18820999776869</v>
      </c>
      <c r="Q560" s="101">
        <f t="shared" si="68"/>
        <v>69.432380156767181</v>
      </c>
      <c r="R560" s="101">
        <f t="shared" si="68"/>
        <v>2373.5571826052405</v>
      </c>
      <c r="S560" s="101">
        <f t="shared" si="68"/>
        <v>1045.8839708601006</v>
      </c>
      <c r="T560" s="101">
        <f t="shared" si="68"/>
        <v>2801.6008043227198</v>
      </c>
      <c r="U560" s="101">
        <f t="shared" si="68"/>
        <v>1208.6354846943289</v>
      </c>
      <c r="V560" s="101">
        <f t="shared" si="68"/>
        <v>2856.1179859189774</v>
      </c>
      <c r="W560" s="101">
        <f t="shared" si="68"/>
        <v>244.17865934346568</v>
      </c>
      <c r="X560" s="101">
        <f t="shared" si="68"/>
        <v>60.727971582202088</v>
      </c>
      <c r="Y560" s="101">
        <f t="shared" si="68"/>
        <v>197.65627127800443</v>
      </c>
      <c r="Z560" s="101">
        <f t="shared" si="68"/>
        <v>169.19811267717259</v>
      </c>
      <c r="AA560" s="101">
        <f t="shared" si="68"/>
        <v>139.78335094673869</v>
      </c>
      <c r="AB560" s="101">
        <f t="shared" si="68"/>
        <v>898.085483577373</v>
      </c>
      <c r="AC560" s="101">
        <f t="shared" si="68"/>
        <v>1368.6070975251332</v>
      </c>
      <c r="AD560" s="101">
        <f t="shared" si="68"/>
        <v>38.691482970715754</v>
      </c>
      <c r="AE560" s="101">
        <f t="shared" si="68"/>
        <v>831.25853278810212</v>
      </c>
      <c r="AF560" s="101">
        <f t="shared" si="68"/>
        <v>54.778981943207185</v>
      </c>
      <c r="AG560" s="101">
        <f t="shared" si="68"/>
        <v>577.6851839996267</v>
      </c>
      <c r="AH560" s="101">
        <f t="shared" si="68"/>
        <v>609.01505429129486</v>
      </c>
      <c r="AI560" s="101">
        <f t="shared" si="68"/>
        <v>22.280692694527517</v>
      </c>
      <c r="AJ560" s="101">
        <f t="shared" si="68"/>
        <v>47.279693833983629</v>
      </c>
      <c r="AK560" s="101">
        <f t="shared" si="68"/>
        <v>30.534453452325167</v>
      </c>
      <c r="AL560" s="101">
        <f t="shared" si="68"/>
        <v>9.9591378260776615</v>
      </c>
      <c r="AM560" s="381">
        <f t="shared" si="64"/>
        <v>17585.842753056084</v>
      </c>
    </row>
    <row r="561" spans="1:39" x14ac:dyDescent="0.2">
      <c r="A561" s="8"/>
      <c r="B561" s="61" t="s">
        <v>128</v>
      </c>
      <c r="C561" s="118" t="s">
        <v>176</v>
      </c>
      <c r="D561" s="121"/>
      <c r="E561" s="122"/>
      <c r="F561" s="101">
        <f>F527+F649+F728</f>
        <v>0</v>
      </c>
      <c r="G561" s="101">
        <f t="shared" si="68"/>
        <v>1.3398616853962785E-8</v>
      </c>
      <c r="H561" s="101">
        <f t="shared" si="68"/>
        <v>0</v>
      </c>
      <c r="I561" s="101">
        <f t="shared" si="68"/>
        <v>0</v>
      </c>
      <c r="J561" s="101">
        <f t="shared" si="68"/>
        <v>1081.9440116542496</v>
      </c>
      <c r="K561" s="101">
        <f t="shared" si="68"/>
        <v>530.46437053521811</v>
      </c>
      <c r="L561" s="101">
        <f t="shared" si="68"/>
        <v>760.17959702118912</v>
      </c>
      <c r="M561" s="101">
        <f t="shared" si="68"/>
        <v>0</v>
      </c>
      <c r="N561" s="101">
        <f t="shared" si="68"/>
        <v>0</v>
      </c>
      <c r="O561" s="101">
        <f t="shared" si="68"/>
        <v>0</v>
      </c>
      <c r="P561" s="101">
        <f t="shared" si="68"/>
        <v>2287.5126596268897</v>
      </c>
      <c r="Q561" s="101">
        <f t="shared" si="68"/>
        <v>0</v>
      </c>
      <c r="R561" s="101">
        <f t="shared" si="68"/>
        <v>560.44033356523312</v>
      </c>
      <c r="S561" s="101">
        <f t="shared" si="68"/>
        <v>894.20771626937767</v>
      </c>
      <c r="T561" s="101">
        <f t="shared" si="68"/>
        <v>1500.9295563686601</v>
      </c>
      <c r="U561" s="101">
        <f t="shared" si="68"/>
        <v>0</v>
      </c>
      <c r="V561" s="101">
        <f t="shared" si="68"/>
        <v>6266.8558609488346</v>
      </c>
      <c r="W561" s="101">
        <f t="shared" si="68"/>
        <v>1136.4483154380714</v>
      </c>
      <c r="X561" s="101">
        <f t="shared" si="68"/>
        <v>594.2975512819504</v>
      </c>
      <c r="Y561" s="101">
        <f t="shared" si="68"/>
        <v>758.15468738973334</v>
      </c>
      <c r="Z561" s="101">
        <f t="shared" si="68"/>
        <v>551.37718287538405</v>
      </c>
      <c r="AA561" s="101">
        <f t="shared" si="68"/>
        <v>725.37253731727628</v>
      </c>
      <c r="AB561" s="101">
        <f t="shared" si="68"/>
        <v>1043.3402375245471</v>
      </c>
      <c r="AC561" s="101">
        <f t="shared" si="68"/>
        <v>1351.4243932733193</v>
      </c>
      <c r="AD561" s="101">
        <f t="shared" si="68"/>
        <v>0</v>
      </c>
      <c r="AE561" s="101">
        <f t="shared" si="68"/>
        <v>816.44533898394559</v>
      </c>
      <c r="AF561" s="101">
        <f t="shared" si="68"/>
        <v>0</v>
      </c>
      <c r="AG561" s="101">
        <f t="shared" si="68"/>
        <v>762.19050291437009</v>
      </c>
      <c r="AH561" s="101">
        <f t="shared" si="68"/>
        <v>1499.9729699510272</v>
      </c>
      <c r="AI561" s="101">
        <f t="shared" si="68"/>
        <v>0</v>
      </c>
      <c r="AJ561" s="101">
        <f t="shared" si="68"/>
        <v>0</v>
      </c>
      <c r="AK561" s="101">
        <f t="shared" si="68"/>
        <v>0</v>
      </c>
      <c r="AL561" s="101">
        <f t="shared" si="68"/>
        <v>0</v>
      </c>
      <c r="AM561" s="381">
        <f t="shared" si="64"/>
        <v>23121.557822952676</v>
      </c>
    </row>
    <row r="562" spans="1:39" x14ac:dyDescent="0.2">
      <c r="A562" s="8"/>
      <c r="B562" s="61" t="s">
        <v>921</v>
      </c>
      <c r="C562" s="118" t="s">
        <v>176</v>
      </c>
      <c r="D562" s="121"/>
      <c r="E562" s="122"/>
      <c r="F562" s="101">
        <f>F650+F729</f>
        <v>0.1011127602668257</v>
      </c>
      <c r="G562" s="101">
        <f t="shared" ref="G562:AL562" si="69">G650+G729</f>
        <v>6.3851620922239685E-2</v>
      </c>
      <c r="H562" s="101">
        <f t="shared" si="69"/>
        <v>4.7342964296087107E-2</v>
      </c>
      <c r="I562" s="101">
        <f t="shared" si="69"/>
        <v>0.2541192581603075</v>
      </c>
      <c r="J562" s="101">
        <f t="shared" si="69"/>
        <v>9.0226908673444836E-2</v>
      </c>
      <c r="K562" s="101">
        <f t="shared" si="69"/>
        <v>3.4136542402609563E-2</v>
      </c>
      <c r="L562" s="101">
        <f t="shared" si="69"/>
        <v>4.9159450649817332E-2</v>
      </c>
      <c r="M562" s="101">
        <f t="shared" si="69"/>
        <v>0.14653203201896053</v>
      </c>
      <c r="N562" s="101">
        <f t="shared" si="69"/>
        <v>0.17066903934057107</v>
      </c>
      <c r="O562" s="101">
        <f t="shared" si="69"/>
        <v>7.2568336002721362E-2</v>
      </c>
      <c r="P562" s="101">
        <f t="shared" si="69"/>
        <v>8.6697138137456067E-2</v>
      </c>
      <c r="Q562" s="101">
        <f t="shared" si="69"/>
        <v>5.7002245290123335E-2</v>
      </c>
      <c r="R562" s="101">
        <f t="shared" si="69"/>
        <v>0.17142024897396296</v>
      </c>
      <c r="S562" s="101">
        <f t="shared" si="69"/>
        <v>0.11971576805231296</v>
      </c>
      <c r="T562" s="101">
        <f t="shared" si="69"/>
        <v>0.23582359893097721</v>
      </c>
      <c r="U562" s="101">
        <f t="shared" si="69"/>
        <v>0.28412411699571183</v>
      </c>
      <c r="V562" s="101">
        <f t="shared" si="69"/>
        <v>0.2018677826768801</v>
      </c>
      <c r="W562" s="101">
        <f t="shared" si="69"/>
        <v>1.8926519188371418E-2</v>
      </c>
      <c r="X562" s="101">
        <f t="shared" si="69"/>
        <v>4.7767235749666863E-3</v>
      </c>
      <c r="Y562" s="101">
        <f t="shared" si="69"/>
        <v>2.5887160184137503E-2</v>
      </c>
      <c r="Z562" s="101">
        <f t="shared" si="69"/>
        <v>1.5992418470226706E-2</v>
      </c>
      <c r="AA562" s="101">
        <f t="shared" si="69"/>
        <v>3.0351761690638274E-2</v>
      </c>
      <c r="AB562" s="101">
        <f t="shared" si="69"/>
        <v>4.0289664124445512E-2</v>
      </c>
      <c r="AC562" s="101">
        <f t="shared" si="69"/>
        <v>0.24461720736480491</v>
      </c>
      <c r="AD562" s="101">
        <f t="shared" si="69"/>
        <v>1.1934690366466867E-2</v>
      </c>
      <c r="AE562" s="101">
        <f t="shared" si="69"/>
        <v>7.9380146551596892E-2</v>
      </c>
      <c r="AF562" s="101">
        <f t="shared" si="69"/>
        <v>2.136406902660775E-2</v>
      </c>
      <c r="AG562" s="101">
        <f t="shared" si="69"/>
        <v>4.2270129304679299E-2</v>
      </c>
      <c r="AH562" s="101">
        <f t="shared" si="69"/>
        <v>2.4614325320476312E-2</v>
      </c>
      <c r="AI562" s="101">
        <f t="shared" si="69"/>
        <v>1.055868443258878E-2</v>
      </c>
      <c r="AJ562" s="101">
        <f t="shared" si="69"/>
        <v>3.1547312860221138E-2</v>
      </c>
      <c r="AK562" s="101">
        <f t="shared" si="69"/>
        <v>9.9140963470577305E-3</v>
      </c>
      <c r="AL562" s="101">
        <f t="shared" si="69"/>
        <v>6.9523228636747597E-3</v>
      </c>
      <c r="AM562" s="381">
        <f t="shared" si="64"/>
        <v>2.8057470434619698</v>
      </c>
    </row>
    <row r="563" spans="1:39" x14ac:dyDescent="0.2">
      <c r="A563" s="8"/>
      <c r="B563" s="157"/>
      <c r="C563" s="118"/>
      <c r="D563" s="121"/>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381"/>
    </row>
    <row r="564" spans="1:39" x14ac:dyDescent="0.2">
      <c r="A564" s="8"/>
      <c r="B564" s="186" t="s">
        <v>922</v>
      </c>
      <c r="C564" s="120" t="s">
        <v>176</v>
      </c>
      <c r="D564" s="121"/>
      <c r="E564" s="122"/>
      <c r="F564" s="122">
        <f>SUM(F533:F560,F562)</f>
        <v>4999.464290802809</v>
      </c>
      <c r="G564" s="122">
        <f t="shared" ref="G564:AL564" si="70">SUM(G533:G560,G562)</f>
        <v>3273.3833519672316</v>
      </c>
      <c r="H564" s="122">
        <f t="shared" si="70"/>
        <v>2742.6461536713769</v>
      </c>
      <c r="I564" s="122">
        <f t="shared" si="70"/>
        <v>11214.665507088974</v>
      </c>
      <c r="J564" s="122">
        <f t="shared" si="70"/>
        <v>4210.2189601886748</v>
      </c>
      <c r="K564" s="122">
        <f t="shared" si="70"/>
        <v>1669.6173612541602</v>
      </c>
      <c r="L564" s="122">
        <f t="shared" si="70"/>
        <v>1839.1288969776019</v>
      </c>
      <c r="M564" s="122">
        <f t="shared" si="70"/>
        <v>6344.9251102210574</v>
      </c>
      <c r="N564" s="122">
        <f t="shared" si="70"/>
        <v>9184.1413427744264</v>
      </c>
      <c r="O564" s="122">
        <f t="shared" si="70"/>
        <v>4290.1085822475061</v>
      </c>
      <c r="P564" s="122">
        <f t="shared" si="70"/>
        <v>4899.5199322180861</v>
      </c>
      <c r="Q564" s="122">
        <f t="shared" si="70"/>
        <v>2778.5668645188034</v>
      </c>
      <c r="R564" s="122">
        <f t="shared" si="70"/>
        <v>7615.567205103368</v>
      </c>
      <c r="S564" s="122">
        <f t="shared" si="70"/>
        <v>5902.3729529669608</v>
      </c>
      <c r="T564" s="122">
        <f t="shared" si="70"/>
        <v>11084.797344783081</v>
      </c>
      <c r="U564" s="122">
        <f t="shared" si="70"/>
        <v>14608.653453318948</v>
      </c>
      <c r="V564" s="122">
        <f t="shared" si="70"/>
        <v>8663.8148287795757</v>
      </c>
      <c r="W564" s="122">
        <f t="shared" si="70"/>
        <v>832.32505303909227</v>
      </c>
      <c r="X564" s="122">
        <f t="shared" si="70"/>
        <v>188.16863156797027</v>
      </c>
      <c r="Y564" s="122">
        <f t="shared" si="70"/>
        <v>1287.7499595422612</v>
      </c>
      <c r="Z564" s="122">
        <f t="shared" si="70"/>
        <v>788.76978847111479</v>
      </c>
      <c r="AA564" s="122">
        <f t="shared" si="70"/>
        <v>1600.3313568422955</v>
      </c>
      <c r="AB564" s="122">
        <f t="shared" si="70"/>
        <v>1515.9723013051989</v>
      </c>
      <c r="AC564" s="122">
        <f t="shared" si="70"/>
        <v>12266.436835235661</v>
      </c>
      <c r="AD564" s="122">
        <f t="shared" si="70"/>
        <v>627.17361247008978</v>
      </c>
      <c r="AE564" s="122">
        <f t="shared" si="70"/>
        <v>3356.3127832328178</v>
      </c>
      <c r="AF564" s="122">
        <f t="shared" si="70"/>
        <v>1145.6363743664751</v>
      </c>
      <c r="AG564" s="122">
        <f t="shared" si="70"/>
        <v>1776.222651772388</v>
      </c>
      <c r="AH564" s="122">
        <f t="shared" si="70"/>
        <v>854.80027668065895</v>
      </c>
      <c r="AI564" s="122">
        <f t="shared" si="70"/>
        <v>533.8387038268927</v>
      </c>
      <c r="AJ564" s="122">
        <f t="shared" si="70"/>
        <v>1421.0377100039923</v>
      </c>
      <c r="AK564" s="122">
        <f t="shared" si="70"/>
        <v>534.65227588368737</v>
      </c>
      <c r="AL564" s="122">
        <f t="shared" si="70"/>
        <v>263.03886877558836</v>
      </c>
      <c r="AM564" s="381">
        <f t="shared" si="64"/>
        <v>134314.05932189879</v>
      </c>
    </row>
    <row r="565" spans="1:39" x14ac:dyDescent="0.2">
      <c r="A565" s="8"/>
      <c r="B565" s="186" t="s">
        <v>923</v>
      </c>
      <c r="C565" s="120" t="s">
        <v>176</v>
      </c>
      <c r="D565" s="121"/>
      <c r="E565" s="122"/>
      <c r="F565" s="122">
        <f>F561</f>
        <v>0</v>
      </c>
      <c r="G565" s="122">
        <f t="shared" ref="G565:AL565" si="71">G561</f>
        <v>1.3398616853962785E-8</v>
      </c>
      <c r="H565" s="122">
        <f t="shared" si="71"/>
        <v>0</v>
      </c>
      <c r="I565" s="122">
        <f t="shared" si="71"/>
        <v>0</v>
      </c>
      <c r="J565" s="122">
        <f t="shared" si="71"/>
        <v>1081.9440116542496</v>
      </c>
      <c r="K565" s="122">
        <f t="shared" si="71"/>
        <v>530.46437053521811</v>
      </c>
      <c r="L565" s="122">
        <f t="shared" si="71"/>
        <v>760.17959702118912</v>
      </c>
      <c r="M565" s="122">
        <f t="shared" si="71"/>
        <v>0</v>
      </c>
      <c r="N565" s="122">
        <f t="shared" si="71"/>
        <v>0</v>
      </c>
      <c r="O565" s="122">
        <f t="shared" si="71"/>
        <v>0</v>
      </c>
      <c r="P565" s="122">
        <f t="shared" si="71"/>
        <v>2287.5126596268897</v>
      </c>
      <c r="Q565" s="122">
        <f t="shared" si="71"/>
        <v>0</v>
      </c>
      <c r="R565" s="122">
        <f t="shared" si="71"/>
        <v>560.44033356523312</v>
      </c>
      <c r="S565" s="122">
        <f t="shared" si="71"/>
        <v>894.20771626937767</v>
      </c>
      <c r="T565" s="122">
        <f t="shared" si="71"/>
        <v>1500.9295563686601</v>
      </c>
      <c r="U565" s="122">
        <f t="shared" si="71"/>
        <v>0</v>
      </c>
      <c r="V565" s="122">
        <f t="shared" si="71"/>
        <v>6266.8558609488346</v>
      </c>
      <c r="W565" s="122">
        <f t="shared" si="71"/>
        <v>1136.4483154380714</v>
      </c>
      <c r="X565" s="122">
        <f t="shared" si="71"/>
        <v>594.2975512819504</v>
      </c>
      <c r="Y565" s="122">
        <f t="shared" si="71"/>
        <v>758.15468738973334</v>
      </c>
      <c r="Z565" s="122">
        <f t="shared" si="71"/>
        <v>551.37718287538405</v>
      </c>
      <c r="AA565" s="122">
        <f t="shared" si="71"/>
        <v>725.37253731727628</v>
      </c>
      <c r="AB565" s="122">
        <f t="shared" si="71"/>
        <v>1043.3402375245471</v>
      </c>
      <c r="AC565" s="122">
        <f t="shared" si="71"/>
        <v>1351.4243932733193</v>
      </c>
      <c r="AD565" s="122">
        <f t="shared" si="71"/>
        <v>0</v>
      </c>
      <c r="AE565" s="122">
        <f t="shared" si="71"/>
        <v>816.44533898394559</v>
      </c>
      <c r="AF565" s="122">
        <f t="shared" si="71"/>
        <v>0</v>
      </c>
      <c r="AG565" s="122">
        <f t="shared" si="71"/>
        <v>762.19050291437009</v>
      </c>
      <c r="AH565" s="122">
        <f t="shared" si="71"/>
        <v>1499.9729699510272</v>
      </c>
      <c r="AI565" s="122">
        <f t="shared" si="71"/>
        <v>0</v>
      </c>
      <c r="AJ565" s="122">
        <f t="shared" si="71"/>
        <v>0</v>
      </c>
      <c r="AK565" s="122">
        <f t="shared" si="71"/>
        <v>0</v>
      </c>
      <c r="AL565" s="122">
        <f t="shared" si="71"/>
        <v>0</v>
      </c>
      <c r="AM565" s="381">
        <f t="shared" si="64"/>
        <v>23121.557822952676</v>
      </c>
    </row>
    <row r="566" spans="1:39" x14ac:dyDescent="0.2">
      <c r="A566" s="8"/>
      <c r="B566" s="186"/>
      <c r="C566" s="214"/>
      <c r="D566" s="159"/>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07"/>
    </row>
    <row r="567" spans="1:39" x14ac:dyDescent="0.2">
      <c r="A567" s="8"/>
      <c r="B567" s="280" t="s">
        <v>910</v>
      </c>
      <c r="C567" s="120"/>
      <c r="D567" s="121"/>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07"/>
    </row>
    <row r="568" spans="1:39" x14ac:dyDescent="0.2">
      <c r="A568" s="8"/>
      <c r="B568" s="281" t="s">
        <v>86</v>
      </c>
      <c r="C568" s="123" t="s">
        <v>216</v>
      </c>
      <c r="D568" s="282" t="s">
        <v>917</v>
      </c>
      <c r="E568" s="122"/>
      <c r="F568" s="116">
        <v>0.34399999999999997</v>
      </c>
      <c r="G568" s="116">
        <v>0.34399999999999997</v>
      </c>
      <c r="H568" s="116">
        <v>0.34399999999999997</v>
      </c>
      <c r="I568" s="116">
        <v>0.34399999999999997</v>
      </c>
      <c r="J568" s="116">
        <v>0.34399999999999997</v>
      </c>
      <c r="K568" s="116">
        <v>0.34399999999999997</v>
      </c>
      <c r="L568" s="116">
        <v>0.34399999999999997</v>
      </c>
      <c r="M568" s="116">
        <v>0.34399999999999997</v>
      </c>
      <c r="N568" s="116">
        <v>0.34399999999999997</v>
      </c>
      <c r="O568" s="116">
        <v>0.34399999999999997</v>
      </c>
      <c r="P568" s="116">
        <v>0.34399999999999997</v>
      </c>
      <c r="Q568" s="116">
        <v>0.34399999999999997</v>
      </c>
      <c r="R568" s="116">
        <v>0.34399999999999997</v>
      </c>
      <c r="S568" s="116">
        <v>0.34399999999999997</v>
      </c>
      <c r="T568" s="116">
        <v>0.34399999999999997</v>
      </c>
      <c r="U568" s="116">
        <v>0.34399999999999997</v>
      </c>
      <c r="V568" s="116">
        <v>0.34399999999999997</v>
      </c>
      <c r="W568" s="116">
        <v>0.34399999999999997</v>
      </c>
      <c r="X568" s="116">
        <v>0.34399999999999997</v>
      </c>
      <c r="Y568" s="116">
        <v>0.34399999999999997</v>
      </c>
      <c r="Z568" s="116">
        <v>0.34399999999999997</v>
      </c>
      <c r="AA568" s="116">
        <v>0.34399999999999997</v>
      </c>
      <c r="AB568" s="116">
        <v>0.34399999999999997</v>
      </c>
      <c r="AC568" s="116">
        <v>0.34399999999999997</v>
      </c>
      <c r="AD568" s="116">
        <v>0.34399999999999997</v>
      </c>
      <c r="AE568" s="116">
        <v>0.34399999999999997</v>
      </c>
      <c r="AF568" s="116">
        <v>0.34399999999999997</v>
      </c>
      <c r="AG568" s="116">
        <v>0.34399999999999997</v>
      </c>
      <c r="AH568" s="116">
        <v>0.34399999999999997</v>
      </c>
      <c r="AI568" s="116">
        <v>0.34399999999999997</v>
      </c>
      <c r="AJ568" s="116">
        <v>0.34399999999999997</v>
      </c>
      <c r="AK568" s="116">
        <v>0.34399999999999997</v>
      </c>
      <c r="AL568" s="116">
        <v>0.34399999999999997</v>
      </c>
      <c r="AM568" s="385">
        <f t="shared" ref="AM568:AM573" si="72">AVERAGE(F568:AL568)</f>
        <v>0.34399999999999992</v>
      </c>
    </row>
    <row r="569" spans="1:39" x14ac:dyDescent="0.2">
      <c r="A569" s="8"/>
      <c r="B569" s="281" t="s">
        <v>911</v>
      </c>
      <c r="C569" s="123" t="s">
        <v>216</v>
      </c>
      <c r="D569" s="282" t="s">
        <v>917</v>
      </c>
      <c r="E569" s="122"/>
      <c r="F569" s="116">
        <v>0.34399999999999997</v>
      </c>
      <c r="G569" s="116">
        <v>0.34399999999999997</v>
      </c>
      <c r="H569" s="116">
        <v>0.34399999999999997</v>
      </c>
      <c r="I569" s="116">
        <v>0.34399999999999997</v>
      </c>
      <c r="J569" s="116">
        <v>0.34399999999999997</v>
      </c>
      <c r="K569" s="116">
        <v>0.34399999999999997</v>
      </c>
      <c r="L569" s="116">
        <v>0.34399999999999997</v>
      </c>
      <c r="M569" s="116">
        <v>0.34399999999999997</v>
      </c>
      <c r="N569" s="116">
        <v>0.34399999999999997</v>
      </c>
      <c r="O569" s="116">
        <v>0.34399999999999997</v>
      </c>
      <c r="P569" s="116">
        <v>0.34399999999999997</v>
      </c>
      <c r="Q569" s="116">
        <v>0.34399999999999997</v>
      </c>
      <c r="R569" s="116">
        <v>0.34399999999999997</v>
      </c>
      <c r="S569" s="116">
        <v>0.34399999999999997</v>
      </c>
      <c r="T569" s="116">
        <v>0.34399999999999997</v>
      </c>
      <c r="U569" s="116">
        <v>0.34399999999999997</v>
      </c>
      <c r="V569" s="116">
        <v>0.34399999999999997</v>
      </c>
      <c r="W569" s="116">
        <v>0.34399999999999997</v>
      </c>
      <c r="X569" s="116">
        <v>0.34399999999999997</v>
      </c>
      <c r="Y569" s="116">
        <v>0.34399999999999997</v>
      </c>
      <c r="Z569" s="116">
        <v>0.34399999999999997</v>
      </c>
      <c r="AA569" s="116">
        <v>0.34399999999999997</v>
      </c>
      <c r="AB569" s="116">
        <v>0.34399999999999997</v>
      </c>
      <c r="AC569" s="116">
        <v>0.34399999999999997</v>
      </c>
      <c r="AD569" s="116">
        <v>0.34399999999999997</v>
      </c>
      <c r="AE569" s="116">
        <v>0.34399999999999997</v>
      </c>
      <c r="AF569" s="116">
        <v>0.34399999999999997</v>
      </c>
      <c r="AG569" s="116">
        <v>0.34399999999999997</v>
      </c>
      <c r="AH569" s="116">
        <v>0.34399999999999997</v>
      </c>
      <c r="AI569" s="116">
        <v>0.34399999999999997</v>
      </c>
      <c r="AJ569" s="116">
        <v>0.34399999999999997</v>
      </c>
      <c r="AK569" s="116">
        <v>0.34399999999999997</v>
      </c>
      <c r="AL569" s="116">
        <v>0.34399999999999997</v>
      </c>
      <c r="AM569" s="385">
        <f t="shared" si="72"/>
        <v>0.34399999999999992</v>
      </c>
    </row>
    <row r="570" spans="1:39" x14ac:dyDescent="0.2">
      <c r="A570" s="8"/>
      <c r="B570" s="281" t="s">
        <v>912</v>
      </c>
      <c r="C570" s="123" t="s">
        <v>216</v>
      </c>
      <c r="D570" s="282" t="s">
        <v>917</v>
      </c>
      <c r="E570" s="122"/>
      <c r="F570" s="116">
        <v>0.378</v>
      </c>
      <c r="G570" s="116">
        <v>0.378</v>
      </c>
      <c r="H570" s="116">
        <v>0.378</v>
      </c>
      <c r="I570" s="116">
        <v>0.378</v>
      </c>
      <c r="J570" s="116">
        <v>0.378</v>
      </c>
      <c r="K570" s="116">
        <v>0.378</v>
      </c>
      <c r="L570" s="116">
        <v>0.378</v>
      </c>
      <c r="M570" s="116">
        <v>0.378</v>
      </c>
      <c r="N570" s="116">
        <v>0.378</v>
      </c>
      <c r="O570" s="116">
        <v>0.378</v>
      </c>
      <c r="P570" s="116">
        <v>0.378</v>
      </c>
      <c r="Q570" s="116">
        <v>0.378</v>
      </c>
      <c r="R570" s="116">
        <v>0.378</v>
      </c>
      <c r="S570" s="116">
        <v>0.378</v>
      </c>
      <c r="T570" s="116">
        <v>0.378</v>
      </c>
      <c r="U570" s="116">
        <v>0.378</v>
      </c>
      <c r="V570" s="116">
        <v>0.378</v>
      </c>
      <c r="W570" s="116">
        <v>0.378</v>
      </c>
      <c r="X570" s="116">
        <v>0.378</v>
      </c>
      <c r="Y570" s="116">
        <v>0.378</v>
      </c>
      <c r="Z570" s="116">
        <v>0.378</v>
      </c>
      <c r="AA570" s="116">
        <v>0.378</v>
      </c>
      <c r="AB570" s="116">
        <v>0.378</v>
      </c>
      <c r="AC570" s="116">
        <v>0.378</v>
      </c>
      <c r="AD570" s="116">
        <v>0.378</v>
      </c>
      <c r="AE570" s="116">
        <v>0.378</v>
      </c>
      <c r="AF570" s="116">
        <v>0.378</v>
      </c>
      <c r="AG570" s="116">
        <v>0.378</v>
      </c>
      <c r="AH570" s="116">
        <v>0.378</v>
      </c>
      <c r="AI570" s="116">
        <v>0.378</v>
      </c>
      <c r="AJ570" s="116">
        <v>0.378</v>
      </c>
      <c r="AK570" s="116">
        <v>0.378</v>
      </c>
      <c r="AL570" s="116">
        <v>0.378</v>
      </c>
      <c r="AM570" s="385">
        <f t="shared" si="72"/>
        <v>0.37800000000000006</v>
      </c>
    </row>
    <row r="571" spans="1:39" x14ac:dyDescent="0.2">
      <c r="A571" s="8"/>
      <c r="B571" s="281" t="s">
        <v>913</v>
      </c>
      <c r="C571" s="123" t="s">
        <v>216</v>
      </c>
      <c r="D571" s="282" t="s">
        <v>917</v>
      </c>
      <c r="E571" s="122"/>
      <c r="F571" s="116">
        <v>0.35699999999999998</v>
      </c>
      <c r="G571" s="116">
        <v>0.35699999999999998</v>
      </c>
      <c r="H571" s="116">
        <v>0.35699999999999998</v>
      </c>
      <c r="I571" s="116">
        <v>0.35699999999999998</v>
      </c>
      <c r="J571" s="116">
        <v>0.35699999999999998</v>
      </c>
      <c r="K571" s="116">
        <v>0.35699999999999998</v>
      </c>
      <c r="L571" s="116">
        <v>0.35699999999999998</v>
      </c>
      <c r="M571" s="116">
        <v>0.35699999999999998</v>
      </c>
      <c r="N571" s="116">
        <v>0.35699999999999998</v>
      </c>
      <c r="O571" s="116">
        <v>0.35699999999999998</v>
      </c>
      <c r="P571" s="116">
        <v>0.35699999999999998</v>
      </c>
      <c r="Q571" s="116">
        <v>0.35699999999999998</v>
      </c>
      <c r="R571" s="116">
        <v>0.35699999999999998</v>
      </c>
      <c r="S571" s="116">
        <v>0.35699999999999998</v>
      </c>
      <c r="T571" s="116">
        <v>0.35699999999999998</v>
      </c>
      <c r="U571" s="116">
        <v>0.35699999999999998</v>
      </c>
      <c r="V571" s="116">
        <v>0.35699999999999998</v>
      </c>
      <c r="W571" s="116">
        <v>0.35699999999999998</v>
      </c>
      <c r="X571" s="116">
        <v>0.35699999999999998</v>
      </c>
      <c r="Y571" s="116">
        <v>0.35699999999999998</v>
      </c>
      <c r="Z571" s="116">
        <v>0.35699999999999998</v>
      </c>
      <c r="AA571" s="116">
        <v>0.35699999999999998</v>
      </c>
      <c r="AB571" s="116">
        <v>0.35699999999999998</v>
      </c>
      <c r="AC571" s="116">
        <v>0.35699999999999998</v>
      </c>
      <c r="AD571" s="116">
        <v>0.35699999999999998</v>
      </c>
      <c r="AE571" s="116">
        <v>0.35699999999999998</v>
      </c>
      <c r="AF571" s="116">
        <v>0.35699999999999998</v>
      </c>
      <c r="AG571" s="116">
        <v>0.35699999999999998</v>
      </c>
      <c r="AH571" s="116">
        <v>0.35699999999999998</v>
      </c>
      <c r="AI571" s="116">
        <v>0.35699999999999998</v>
      </c>
      <c r="AJ571" s="116">
        <v>0.35699999999999998</v>
      </c>
      <c r="AK571" s="116">
        <v>0.35699999999999998</v>
      </c>
      <c r="AL571" s="116">
        <v>0.35699999999999998</v>
      </c>
      <c r="AM571" s="385">
        <f t="shared" si="72"/>
        <v>0.35699999999999987</v>
      </c>
    </row>
    <row r="572" spans="1:39" x14ac:dyDescent="0.2">
      <c r="A572" s="8"/>
      <c r="B572" s="281" t="s">
        <v>914</v>
      </c>
      <c r="C572" s="123" t="s">
        <v>216</v>
      </c>
      <c r="D572" s="282" t="s">
        <v>917</v>
      </c>
      <c r="E572" s="122"/>
      <c r="F572" s="116">
        <v>0.36899999999999999</v>
      </c>
      <c r="G572" s="116">
        <v>0.36899999999999999</v>
      </c>
      <c r="H572" s="116">
        <v>0.36899999999999999</v>
      </c>
      <c r="I572" s="116">
        <v>0.36899999999999999</v>
      </c>
      <c r="J572" s="116">
        <v>0.36899999999999999</v>
      </c>
      <c r="K572" s="116">
        <v>0.36899999999999999</v>
      </c>
      <c r="L572" s="116">
        <v>0.36899999999999999</v>
      </c>
      <c r="M572" s="116">
        <v>0.36899999999999999</v>
      </c>
      <c r="N572" s="116">
        <v>0.36899999999999999</v>
      </c>
      <c r="O572" s="116">
        <v>0.36899999999999999</v>
      </c>
      <c r="P572" s="116">
        <v>0.36899999999999999</v>
      </c>
      <c r="Q572" s="116">
        <v>0.36899999999999999</v>
      </c>
      <c r="R572" s="116">
        <v>0.36899999999999999</v>
      </c>
      <c r="S572" s="116">
        <v>0.36899999999999999</v>
      </c>
      <c r="T572" s="116">
        <v>0.36899999999999999</v>
      </c>
      <c r="U572" s="116">
        <v>0.36899999999999999</v>
      </c>
      <c r="V572" s="116">
        <v>0.36899999999999999</v>
      </c>
      <c r="W572" s="116">
        <v>0.36899999999999999</v>
      </c>
      <c r="X572" s="116">
        <v>0.36899999999999999</v>
      </c>
      <c r="Y572" s="116">
        <v>0.36899999999999999</v>
      </c>
      <c r="Z572" s="116">
        <v>0.36899999999999999</v>
      </c>
      <c r="AA572" s="116">
        <v>0.36899999999999999</v>
      </c>
      <c r="AB572" s="116">
        <v>0.36899999999999999</v>
      </c>
      <c r="AC572" s="116">
        <v>0.36899999999999999</v>
      </c>
      <c r="AD572" s="116">
        <v>0.36899999999999999</v>
      </c>
      <c r="AE572" s="116">
        <v>0.36899999999999999</v>
      </c>
      <c r="AF572" s="116">
        <v>0.36899999999999999</v>
      </c>
      <c r="AG572" s="116">
        <v>0.36899999999999999</v>
      </c>
      <c r="AH572" s="116">
        <v>0.36899999999999999</v>
      </c>
      <c r="AI572" s="116">
        <v>0.36899999999999999</v>
      </c>
      <c r="AJ572" s="116">
        <v>0.36899999999999999</v>
      </c>
      <c r="AK572" s="116">
        <v>0.36899999999999999</v>
      </c>
      <c r="AL572" s="116">
        <v>0.36899999999999999</v>
      </c>
      <c r="AM572" s="385">
        <f t="shared" si="72"/>
        <v>0.36899999999999983</v>
      </c>
    </row>
    <row r="573" spans="1:39" x14ac:dyDescent="0.2">
      <c r="A573" s="8"/>
      <c r="B573" s="281" t="s">
        <v>915</v>
      </c>
      <c r="C573" s="123" t="s">
        <v>216</v>
      </c>
      <c r="D573" s="282" t="s">
        <v>917</v>
      </c>
      <c r="E573" s="122"/>
      <c r="F573" s="116">
        <v>0.38</v>
      </c>
      <c r="G573" s="116">
        <v>0.38</v>
      </c>
      <c r="H573" s="116">
        <v>0.38</v>
      </c>
      <c r="I573" s="116">
        <v>0.38</v>
      </c>
      <c r="J573" s="116">
        <v>0.38</v>
      </c>
      <c r="K573" s="116">
        <v>0.38</v>
      </c>
      <c r="L573" s="116">
        <v>0.38</v>
      </c>
      <c r="M573" s="116">
        <v>0.38</v>
      </c>
      <c r="N573" s="116">
        <v>0.38</v>
      </c>
      <c r="O573" s="116">
        <v>0.38</v>
      </c>
      <c r="P573" s="116">
        <v>0.38</v>
      </c>
      <c r="Q573" s="116">
        <v>0.38</v>
      </c>
      <c r="R573" s="116">
        <v>0.38</v>
      </c>
      <c r="S573" s="116">
        <v>0.38</v>
      </c>
      <c r="T573" s="116">
        <v>0.38</v>
      </c>
      <c r="U573" s="116">
        <v>0.38</v>
      </c>
      <c r="V573" s="116">
        <v>0.38</v>
      </c>
      <c r="W573" s="116">
        <v>0.38</v>
      </c>
      <c r="X573" s="116">
        <v>0.38</v>
      </c>
      <c r="Y573" s="116">
        <v>0.38</v>
      </c>
      <c r="Z573" s="116">
        <v>0.38</v>
      </c>
      <c r="AA573" s="116">
        <v>0.38</v>
      </c>
      <c r="AB573" s="116">
        <v>0.38</v>
      </c>
      <c r="AC573" s="116">
        <v>0.38</v>
      </c>
      <c r="AD573" s="116">
        <v>0.38</v>
      </c>
      <c r="AE573" s="116">
        <v>0.38</v>
      </c>
      <c r="AF573" s="116">
        <v>0.38</v>
      </c>
      <c r="AG573" s="116">
        <v>0.38</v>
      </c>
      <c r="AH573" s="116">
        <v>0.38</v>
      </c>
      <c r="AI573" s="116">
        <v>0.38</v>
      </c>
      <c r="AJ573" s="116">
        <v>0.38</v>
      </c>
      <c r="AK573" s="116">
        <v>0.38</v>
      </c>
      <c r="AL573" s="116">
        <v>0.38</v>
      </c>
      <c r="AM573" s="385">
        <f t="shared" si="72"/>
        <v>0.38000000000000023</v>
      </c>
    </row>
    <row r="574" spans="1:39" x14ac:dyDescent="0.2">
      <c r="A574" s="8"/>
      <c r="B574" s="186"/>
      <c r="C574" s="120"/>
      <c r="D574" s="121"/>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07"/>
    </row>
    <row r="575" spans="1:39" x14ac:dyDescent="0.2">
      <c r="A575" s="8"/>
      <c r="B575" s="280" t="s">
        <v>916</v>
      </c>
      <c r="C575" s="120"/>
      <c r="D575" s="121"/>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c r="AJ575" s="122"/>
      <c r="AK575" s="122"/>
      <c r="AL575" s="122"/>
      <c r="AM575" s="107"/>
    </row>
    <row r="576" spans="1:39" x14ac:dyDescent="0.2">
      <c r="A576" s="8"/>
      <c r="B576" s="281" t="s">
        <v>86</v>
      </c>
      <c r="C576" s="123" t="s">
        <v>216</v>
      </c>
      <c r="D576" s="282" t="s">
        <v>917</v>
      </c>
      <c r="E576" s="122"/>
      <c r="F576" s="116">
        <v>1.4999999999999999E-2</v>
      </c>
      <c r="G576" s="116">
        <v>1.4999999999999999E-2</v>
      </c>
      <c r="H576" s="116">
        <v>1.4999999999999999E-2</v>
      </c>
      <c r="I576" s="116">
        <v>1.4999999999999999E-2</v>
      </c>
      <c r="J576" s="116">
        <v>1.4999999999999999E-2</v>
      </c>
      <c r="K576" s="116">
        <v>1.4999999999999999E-2</v>
      </c>
      <c r="L576" s="116">
        <v>1.4999999999999999E-2</v>
      </c>
      <c r="M576" s="116">
        <v>1.4999999999999999E-2</v>
      </c>
      <c r="N576" s="116">
        <v>1.4999999999999999E-2</v>
      </c>
      <c r="O576" s="116">
        <v>1.4999999999999999E-2</v>
      </c>
      <c r="P576" s="116">
        <v>1.4999999999999999E-2</v>
      </c>
      <c r="Q576" s="116">
        <v>1.4999999999999999E-2</v>
      </c>
      <c r="R576" s="116">
        <v>1.4999999999999999E-2</v>
      </c>
      <c r="S576" s="116">
        <v>1.4999999999999999E-2</v>
      </c>
      <c r="T576" s="116">
        <v>1.4999999999999999E-2</v>
      </c>
      <c r="U576" s="116">
        <v>1.4999999999999999E-2</v>
      </c>
      <c r="V576" s="116">
        <v>1.4999999999999999E-2</v>
      </c>
      <c r="W576" s="116">
        <v>1.4999999999999999E-2</v>
      </c>
      <c r="X576" s="116">
        <v>1.4999999999999999E-2</v>
      </c>
      <c r="Y576" s="116">
        <v>1.4999999999999999E-2</v>
      </c>
      <c r="Z576" s="116">
        <v>1.4999999999999999E-2</v>
      </c>
      <c r="AA576" s="116">
        <v>1.4999999999999999E-2</v>
      </c>
      <c r="AB576" s="116">
        <v>1.4999999999999999E-2</v>
      </c>
      <c r="AC576" s="116">
        <v>1.4999999999999999E-2</v>
      </c>
      <c r="AD576" s="116">
        <v>1.4999999999999999E-2</v>
      </c>
      <c r="AE576" s="116">
        <v>1.4999999999999999E-2</v>
      </c>
      <c r="AF576" s="116">
        <v>1.4999999999999999E-2</v>
      </c>
      <c r="AG576" s="116">
        <v>1.4999999999999999E-2</v>
      </c>
      <c r="AH576" s="116">
        <v>1.4999999999999999E-2</v>
      </c>
      <c r="AI576" s="116">
        <v>1.4999999999999999E-2</v>
      </c>
      <c r="AJ576" s="116">
        <v>1.4999999999999999E-2</v>
      </c>
      <c r="AK576" s="116">
        <v>1.4999999999999999E-2</v>
      </c>
      <c r="AL576" s="116">
        <v>1.4999999999999999E-2</v>
      </c>
      <c r="AM576" s="385">
        <f t="shared" ref="AM576:AM581" si="73">AVERAGE(F576:AL576)</f>
        <v>1.500000000000001E-2</v>
      </c>
    </row>
    <row r="577" spans="1:39" x14ac:dyDescent="0.2">
      <c r="A577" s="8"/>
      <c r="B577" s="281" t="s">
        <v>911</v>
      </c>
      <c r="C577" s="123" t="s">
        <v>216</v>
      </c>
      <c r="D577" s="282" t="s">
        <v>917</v>
      </c>
      <c r="E577" s="122"/>
      <c r="F577" s="116">
        <v>1.4999999999999999E-2</v>
      </c>
      <c r="G577" s="116">
        <v>1.4999999999999999E-2</v>
      </c>
      <c r="H577" s="116">
        <v>1.4999999999999999E-2</v>
      </c>
      <c r="I577" s="116">
        <v>1.4999999999999999E-2</v>
      </c>
      <c r="J577" s="116">
        <v>1.4999999999999999E-2</v>
      </c>
      <c r="K577" s="116">
        <v>1.4999999999999999E-2</v>
      </c>
      <c r="L577" s="116">
        <v>1.4999999999999999E-2</v>
      </c>
      <c r="M577" s="116">
        <v>1.4999999999999999E-2</v>
      </c>
      <c r="N577" s="116">
        <v>1.4999999999999999E-2</v>
      </c>
      <c r="O577" s="116">
        <v>1.4999999999999999E-2</v>
      </c>
      <c r="P577" s="116">
        <v>1.4999999999999999E-2</v>
      </c>
      <c r="Q577" s="116">
        <v>1.4999999999999999E-2</v>
      </c>
      <c r="R577" s="116">
        <v>1.4999999999999999E-2</v>
      </c>
      <c r="S577" s="116">
        <v>1.4999999999999999E-2</v>
      </c>
      <c r="T577" s="116">
        <v>1.4999999999999999E-2</v>
      </c>
      <c r="U577" s="116">
        <v>1.4999999999999999E-2</v>
      </c>
      <c r="V577" s="116">
        <v>1.4999999999999999E-2</v>
      </c>
      <c r="W577" s="116">
        <v>1.4999999999999999E-2</v>
      </c>
      <c r="X577" s="116">
        <v>1.4999999999999999E-2</v>
      </c>
      <c r="Y577" s="116">
        <v>1.4999999999999999E-2</v>
      </c>
      <c r="Z577" s="116">
        <v>1.4999999999999999E-2</v>
      </c>
      <c r="AA577" s="116">
        <v>1.4999999999999999E-2</v>
      </c>
      <c r="AB577" s="116">
        <v>1.4999999999999999E-2</v>
      </c>
      <c r="AC577" s="116">
        <v>1.4999999999999999E-2</v>
      </c>
      <c r="AD577" s="116">
        <v>1.4999999999999999E-2</v>
      </c>
      <c r="AE577" s="116">
        <v>1.4999999999999999E-2</v>
      </c>
      <c r="AF577" s="116">
        <v>1.4999999999999999E-2</v>
      </c>
      <c r="AG577" s="116">
        <v>1.4999999999999999E-2</v>
      </c>
      <c r="AH577" s="116">
        <v>1.4999999999999999E-2</v>
      </c>
      <c r="AI577" s="116">
        <v>1.4999999999999999E-2</v>
      </c>
      <c r="AJ577" s="116">
        <v>1.4999999999999999E-2</v>
      </c>
      <c r="AK577" s="116">
        <v>1.4999999999999999E-2</v>
      </c>
      <c r="AL577" s="116">
        <v>1.4999999999999999E-2</v>
      </c>
      <c r="AM577" s="385">
        <f t="shared" si="73"/>
        <v>1.500000000000001E-2</v>
      </c>
    </row>
    <row r="578" spans="1:39" x14ac:dyDescent="0.2">
      <c r="A578" s="8"/>
      <c r="B578" s="281" t="s">
        <v>912</v>
      </c>
      <c r="C578" s="123" t="s">
        <v>216</v>
      </c>
      <c r="D578" s="282" t="s">
        <v>917</v>
      </c>
      <c r="E578" s="122"/>
      <c r="F578" s="116">
        <v>2.8000000000000001E-2</v>
      </c>
      <c r="G578" s="116">
        <v>2.8000000000000001E-2</v>
      </c>
      <c r="H578" s="116">
        <v>2.8000000000000001E-2</v>
      </c>
      <c r="I578" s="116">
        <v>2.8000000000000001E-2</v>
      </c>
      <c r="J578" s="116">
        <v>2.8000000000000001E-2</v>
      </c>
      <c r="K578" s="116">
        <v>2.8000000000000001E-2</v>
      </c>
      <c r="L578" s="116">
        <v>2.8000000000000001E-2</v>
      </c>
      <c r="M578" s="116">
        <v>2.8000000000000001E-2</v>
      </c>
      <c r="N578" s="116">
        <v>2.8000000000000001E-2</v>
      </c>
      <c r="O578" s="116">
        <v>2.8000000000000001E-2</v>
      </c>
      <c r="P578" s="116">
        <v>2.8000000000000001E-2</v>
      </c>
      <c r="Q578" s="116">
        <v>2.8000000000000001E-2</v>
      </c>
      <c r="R578" s="116">
        <v>2.8000000000000001E-2</v>
      </c>
      <c r="S578" s="116">
        <v>2.8000000000000001E-2</v>
      </c>
      <c r="T578" s="116">
        <v>2.8000000000000001E-2</v>
      </c>
      <c r="U578" s="116">
        <v>2.8000000000000001E-2</v>
      </c>
      <c r="V578" s="116">
        <v>2.8000000000000001E-2</v>
      </c>
      <c r="W578" s="116">
        <v>2.8000000000000001E-2</v>
      </c>
      <c r="X578" s="116">
        <v>2.8000000000000001E-2</v>
      </c>
      <c r="Y578" s="116">
        <v>2.8000000000000001E-2</v>
      </c>
      <c r="Z578" s="116">
        <v>2.8000000000000001E-2</v>
      </c>
      <c r="AA578" s="116">
        <v>2.8000000000000001E-2</v>
      </c>
      <c r="AB578" s="116">
        <v>2.8000000000000001E-2</v>
      </c>
      <c r="AC578" s="116">
        <v>2.8000000000000001E-2</v>
      </c>
      <c r="AD578" s="116">
        <v>2.8000000000000001E-2</v>
      </c>
      <c r="AE578" s="116">
        <v>2.8000000000000001E-2</v>
      </c>
      <c r="AF578" s="116">
        <v>2.8000000000000001E-2</v>
      </c>
      <c r="AG578" s="116">
        <v>2.8000000000000001E-2</v>
      </c>
      <c r="AH578" s="116">
        <v>2.8000000000000001E-2</v>
      </c>
      <c r="AI578" s="116">
        <v>2.8000000000000001E-2</v>
      </c>
      <c r="AJ578" s="116">
        <v>2.8000000000000001E-2</v>
      </c>
      <c r="AK578" s="116">
        <v>2.8000000000000001E-2</v>
      </c>
      <c r="AL578" s="116">
        <v>2.8000000000000001E-2</v>
      </c>
      <c r="AM578" s="385">
        <f t="shared" si="73"/>
        <v>2.8000000000000018E-2</v>
      </c>
    </row>
    <row r="579" spans="1:39" x14ac:dyDescent="0.2">
      <c r="A579" s="8"/>
      <c r="B579" s="281" t="s">
        <v>913</v>
      </c>
      <c r="C579" s="123" t="s">
        <v>216</v>
      </c>
      <c r="D579" s="282" t="s">
        <v>917</v>
      </c>
      <c r="E579" s="122"/>
      <c r="F579" s="116">
        <v>2.9000000000000001E-2</v>
      </c>
      <c r="G579" s="116">
        <v>2.9000000000000001E-2</v>
      </c>
      <c r="H579" s="116">
        <v>2.9000000000000001E-2</v>
      </c>
      <c r="I579" s="116">
        <v>2.9000000000000001E-2</v>
      </c>
      <c r="J579" s="116">
        <v>2.9000000000000001E-2</v>
      </c>
      <c r="K579" s="116">
        <v>2.9000000000000001E-2</v>
      </c>
      <c r="L579" s="116">
        <v>2.9000000000000001E-2</v>
      </c>
      <c r="M579" s="116">
        <v>2.9000000000000001E-2</v>
      </c>
      <c r="N579" s="116">
        <v>2.9000000000000001E-2</v>
      </c>
      <c r="O579" s="116">
        <v>2.9000000000000001E-2</v>
      </c>
      <c r="P579" s="116">
        <v>2.9000000000000001E-2</v>
      </c>
      <c r="Q579" s="116">
        <v>2.9000000000000001E-2</v>
      </c>
      <c r="R579" s="116">
        <v>2.9000000000000001E-2</v>
      </c>
      <c r="S579" s="116">
        <v>2.9000000000000001E-2</v>
      </c>
      <c r="T579" s="116">
        <v>2.9000000000000001E-2</v>
      </c>
      <c r="U579" s="116">
        <v>2.9000000000000001E-2</v>
      </c>
      <c r="V579" s="116">
        <v>2.9000000000000001E-2</v>
      </c>
      <c r="W579" s="116">
        <v>2.9000000000000001E-2</v>
      </c>
      <c r="X579" s="116">
        <v>2.9000000000000001E-2</v>
      </c>
      <c r="Y579" s="116">
        <v>2.9000000000000001E-2</v>
      </c>
      <c r="Z579" s="116">
        <v>2.9000000000000001E-2</v>
      </c>
      <c r="AA579" s="116">
        <v>2.9000000000000001E-2</v>
      </c>
      <c r="AB579" s="116">
        <v>2.9000000000000001E-2</v>
      </c>
      <c r="AC579" s="116">
        <v>2.9000000000000001E-2</v>
      </c>
      <c r="AD579" s="116">
        <v>2.9000000000000001E-2</v>
      </c>
      <c r="AE579" s="116">
        <v>2.9000000000000001E-2</v>
      </c>
      <c r="AF579" s="116">
        <v>2.9000000000000001E-2</v>
      </c>
      <c r="AG579" s="116">
        <v>2.9000000000000001E-2</v>
      </c>
      <c r="AH579" s="116">
        <v>2.9000000000000001E-2</v>
      </c>
      <c r="AI579" s="116">
        <v>2.9000000000000001E-2</v>
      </c>
      <c r="AJ579" s="116">
        <v>2.9000000000000001E-2</v>
      </c>
      <c r="AK579" s="116">
        <v>2.9000000000000001E-2</v>
      </c>
      <c r="AL579" s="116">
        <v>2.9000000000000001E-2</v>
      </c>
      <c r="AM579" s="385">
        <f t="shared" si="73"/>
        <v>2.9000000000000019E-2</v>
      </c>
    </row>
    <row r="580" spans="1:39" x14ac:dyDescent="0.2">
      <c r="A580" s="8"/>
      <c r="B580" s="281" t="s">
        <v>914</v>
      </c>
      <c r="C580" s="123" t="s">
        <v>216</v>
      </c>
      <c r="D580" s="282" t="s">
        <v>917</v>
      </c>
      <c r="E580" s="122"/>
      <c r="F580" s="116">
        <v>1.4999999999999999E-2</v>
      </c>
      <c r="G580" s="116">
        <v>1.4999999999999999E-2</v>
      </c>
      <c r="H580" s="116">
        <v>1.4999999999999999E-2</v>
      </c>
      <c r="I580" s="116">
        <v>1.4999999999999999E-2</v>
      </c>
      <c r="J580" s="116">
        <v>1.4999999999999999E-2</v>
      </c>
      <c r="K580" s="116">
        <v>1.4999999999999999E-2</v>
      </c>
      <c r="L580" s="116">
        <v>1.4999999999999999E-2</v>
      </c>
      <c r="M580" s="116">
        <v>1.4999999999999999E-2</v>
      </c>
      <c r="N580" s="116">
        <v>1.4999999999999999E-2</v>
      </c>
      <c r="O580" s="116">
        <v>1.4999999999999999E-2</v>
      </c>
      <c r="P580" s="116">
        <v>1.4999999999999999E-2</v>
      </c>
      <c r="Q580" s="116">
        <v>1.4999999999999999E-2</v>
      </c>
      <c r="R580" s="116">
        <v>1.4999999999999999E-2</v>
      </c>
      <c r="S580" s="116">
        <v>1.4999999999999999E-2</v>
      </c>
      <c r="T580" s="116">
        <v>1.4999999999999999E-2</v>
      </c>
      <c r="U580" s="116">
        <v>1.4999999999999999E-2</v>
      </c>
      <c r="V580" s="116">
        <v>1.4999999999999999E-2</v>
      </c>
      <c r="W580" s="116">
        <v>1.4999999999999999E-2</v>
      </c>
      <c r="X580" s="116">
        <v>1.4999999999999999E-2</v>
      </c>
      <c r="Y580" s="116">
        <v>1.4999999999999999E-2</v>
      </c>
      <c r="Z580" s="116">
        <v>1.4999999999999999E-2</v>
      </c>
      <c r="AA580" s="116">
        <v>1.4999999999999999E-2</v>
      </c>
      <c r="AB580" s="116">
        <v>1.4999999999999999E-2</v>
      </c>
      <c r="AC580" s="116">
        <v>1.4999999999999999E-2</v>
      </c>
      <c r="AD580" s="116">
        <v>1.4999999999999999E-2</v>
      </c>
      <c r="AE580" s="116">
        <v>1.4999999999999999E-2</v>
      </c>
      <c r="AF580" s="116">
        <v>1.4999999999999999E-2</v>
      </c>
      <c r="AG580" s="116">
        <v>1.4999999999999999E-2</v>
      </c>
      <c r="AH580" s="116">
        <v>1.4999999999999999E-2</v>
      </c>
      <c r="AI580" s="116">
        <v>1.4999999999999999E-2</v>
      </c>
      <c r="AJ580" s="116">
        <v>1.4999999999999999E-2</v>
      </c>
      <c r="AK580" s="116">
        <v>1.4999999999999999E-2</v>
      </c>
      <c r="AL580" s="116">
        <v>1.4999999999999999E-2</v>
      </c>
      <c r="AM580" s="385">
        <f t="shared" si="73"/>
        <v>1.500000000000001E-2</v>
      </c>
    </row>
    <row r="581" spans="1:39" x14ac:dyDescent="0.2">
      <c r="A581" s="8"/>
      <c r="B581" s="281" t="s">
        <v>915</v>
      </c>
      <c r="C581" s="123" t="s">
        <v>216</v>
      </c>
      <c r="D581" s="282" t="s">
        <v>917</v>
      </c>
      <c r="E581" s="122"/>
      <c r="F581" s="116">
        <v>1.4999999999999999E-2</v>
      </c>
      <c r="G581" s="116">
        <v>1.4999999999999999E-2</v>
      </c>
      <c r="H581" s="116">
        <v>1.4999999999999999E-2</v>
      </c>
      <c r="I581" s="116">
        <v>1.4999999999999999E-2</v>
      </c>
      <c r="J581" s="116">
        <v>1.4999999999999999E-2</v>
      </c>
      <c r="K581" s="116">
        <v>1.4999999999999999E-2</v>
      </c>
      <c r="L581" s="116">
        <v>1.4999999999999999E-2</v>
      </c>
      <c r="M581" s="116">
        <v>1.4999999999999999E-2</v>
      </c>
      <c r="N581" s="116">
        <v>1.4999999999999999E-2</v>
      </c>
      <c r="O581" s="116">
        <v>1.4999999999999999E-2</v>
      </c>
      <c r="P581" s="116">
        <v>1.4999999999999999E-2</v>
      </c>
      <c r="Q581" s="116">
        <v>1.4999999999999999E-2</v>
      </c>
      <c r="R581" s="116">
        <v>1.4999999999999999E-2</v>
      </c>
      <c r="S581" s="116">
        <v>1.4999999999999999E-2</v>
      </c>
      <c r="T581" s="116">
        <v>1.4999999999999999E-2</v>
      </c>
      <c r="U581" s="116">
        <v>1.4999999999999999E-2</v>
      </c>
      <c r="V581" s="116">
        <v>1.4999999999999999E-2</v>
      </c>
      <c r="W581" s="116">
        <v>1.4999999999999999E-2</v>
      </c>
      <c r="X581" s="116">
        <v>1.4999999999999999E-2</v>
      </c>
      <c r="Y581" s="116">
        <v>1.4999999999999999E-2</v>
      </c>
      <c r="Z581" s="116">
        <v>1.4999999999999999E-2</v>
      </c>
      <c r="AA581" s="116">
        <v>1.4999999999999999E-2</v>
      </c>
      <c r="AB581" s="116">
        <v>1.4999999999999999E-2</v>
      </c>
      <c r="AC581" s="116">
        <v>1.4999999999999999E-2</v>
      </c>
      <c r="AD581" s="116">
        <v>1.4999999999999999E-2</v>
      </c>
      <c r="AE581" s="116">
        <v>1.4999999999999999E-2</v>
      </c>
      <c r="AF581" s="116">
        <v>1.4999999999999999E-2</v>
      </c>
      <c r="AG581" s="116">
        <v>1.4999999999999999E-2</v>
      </c>
      <c r="AH581" s="116">
        <v>1.4999999999999999E-2</v>
      </c>
      <c r="AI581" s="116">
        <v>1.4999999999999999E-2</v>
      </c>
      <c r="AJ581" s="116">
        <v>1.4999999999999999E-2</v>
      </c>
      <c r="AK581" s="116">
        <v>1.4999999999999999E-2</v>
      </c>
      <c r="AL581" s="116">
        <v>1.4999999999999999E-2</v>
      </c>
      <c r="AM581" s="385">
        <f t="shared" si="73"/>
        <v>1.500000000000001E-2</v>
      </c>
    </row>
    <row r="582" spans="1:39" x14ac:dyDescent="0.2">
      <c r="A582" s="8"/>
      <c r="B582" s="281"/>
      <c r="C582" s="123"/>
      <c r="D582" s="282"/>
      <c r="E582" s="122"/>
      <c r="F582" s="116"/>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07"/>
    </row>
    <row r="583" spans="1:39" x14ac:dyDescent="0.2">
      <c r="A583" s="8"/>
      <c r="B583" s="99" t="s">
        <v>214</v>
      </c>
      <c r="C583" s="213"/>
      <c r="D583" s="158"/>
      <c r="E583" s="115"/>
      <c r="F583" s="158"/>
      <c r="G583" s="158"/>
      <c r="H583" s="158"/>
      <c r="I583" s="158"/>
      <c r="J583" s="158"/>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8"/>
      <c r="AI583" s="158"/>
      <c r="AJ583" s="158"/>
      <c r="AK583" s="158"/>
      <c r="AL583" s="158"/>
      <c r="AM583" s="107"/>
    </row>
    <row r="584" spans="1:39" x14ac:dyDescent="0.2">
      <c r="A584" s="8"/>
      <c r="B584" s="117" t="s">
        <v>215</v>
      </c>
      <c r="C584" s="118" t="s">
        <v>216</v>
      </c>
      <c r="D584" s="107" t="s">
        <v>908</v>
      </c>
      <c r="E584" s="131"/>
      <c r="F584" s="279">
        <f t="shared" ref="F584:AL584" si="74">F576*F166*(1-F297/100)+F568</f>
        <v>0.37950699571846203</v>
      </c>
      <c r="G584" s="279">
        <f t="shared" si="74"/>
        <v>0.39896281328037753</v>
      </c>
      <c r="H584" s="279">
        <f t="shared" si="74"/>
        <v>0.36434175937175378</v>
      </c>
      <c r="I584" s="279">
        <f t="shared" si="74"/>
        <v>0.39705108918333132</v>
      </c>
      <c r="J584" s="279">
        <f t="shared" si="74"/>
        <v>0.40333167967769323</v>
      </c>
      <c r="K584" s="279">
        <f t="shared" si="74"/>
        <v>0.36894501674834668</v>
      </c>
      <c r="L584" s="279">
        <f t="shared" si="74"/>
        <v>0.45637057075184029</v>
      </c>
      <c r="M584" s="279">
        <f t="shared" si="74"/>
        <v>0.40389017481675771</v>
      </c>
      <c r="N584" s="279">
        <f t="shared" si="74"/>
        <v>0.36880919681956464</v>
      </c>
      <c r="O584" s="279">
        <f t="shared" si="74"/>
        <v>0.3629308987554139</v>
      </c>
      <c r="P584" s="279">
        <f t="shared" si="74"/>
        <v>0.36661397764484155</v>
      </c>
      <c r="Q584" s="279">
        <f t="shared" si="74"/>
        <v>0.37613052417231368</v>
      </c>
      <c r="R584" s="279">
        <f t="shared" si="74"/>
        <v>0.38611663561569137</v>
      </c>
      <c r="S584" s="279">
        <f t="shared" si="74"/>
        <v>0.363633234495088</v>
      </c>
      <c r="T584" s="279">
        <f t="shared" si="74"/>
        <v>0.36072500984881251</v>
      </c>
      <c r="U584" s="279">
        <f t="shared" si="74"/>
        <v>0.38347013629185756</v>
      </c>
      <c r="V584" s="279">
        <f t="shared" si="74"/>
        <v>0.36201692211793229</v>
      </c>
      <c r="W584" s="279">
        <f t="shared" si="74"/>
        <v>0.3650236364109487</v>
      </c>
      <c r="X584" s="279">
        <f t="shared" si="74"/>
        <v>0.39106654555137355</v>
      </c>
      <c r="Y584" s="279">
        <f t="shared" si="74"/>
        <v>0.35686294385705497</v>
      </c>
      <c r="Z584" s="279">
        <f t="shared" si="74"/>
        <v>0.40299485171900085</v>
      </c>
      <c r="AA584" s="279">
        <f t="shared" si="74"/>
        <v>0.36875461939056436</v>
      </c>
      <c r="AB584" s="279">
        <f t="shared" si="74"/>
        <v>0.38210687480349637</v>
      </c>
      <c r="AC584" s="279">
        <f t="shared" si="74"/>
        <v>0.36766126416619677</v>
      </c>
      <c r="AD584" s="279">
        <f t="shared" si="74"/>
        <v>0.35412133522656647</v>
      </c>
      <c r="AE584" s="279">
        <f t="shared" si="74"/>
        <v>0.37702864436490002</v>
      </c>
      <c r="AF584" s="279">
        <f t="shared" si="74"/>
        <v>0.35259851903124872</v>
      </c>
      <c r="AG584" s="279">
        <f t="shared" si="74"/>
        <v>0.380226361276642</v>
      </c>
      <c r="AH584" s="279">
        <f t="shared" si="74"/>
        <v>0.39392608947212254</v>
      </c>
      <c r="AI584" s="279">
        <f t="shared" si="74"/>
        <v>0.36027338453792174</v>
      </c>
      <c r="AJ584" s="279">
        <f t="shared" si="74"/>
        <v>0.36887069283793239</v>
      </c>
      <c r="AK584" s="279">
        <f t="shared" si="74"/>
        <v>0.3583274420133315</v>
      </c>
      <c r="AL584" s="279">
        <f t="shared" si="74"/>
        <v>0.41169772009178263</v>
      </c>
      <c r="AM584" s="384">
        <f>AVERAGE(F584:AL584)</f>
        <v>0.37861780485033819</v>
      </c>
    </row>
    <row r="585" spans="1:39" x14ac:dyDescent="0.2">
      <c r="A585" s="8"/>
      <c r="B585" s="111" t="s">
        <v>217</v>
      </c>
      <c r="C585" s="128" t="s">
        <v>216</v>
      </c>
      <c r="D585" s="107" t="s">
        <v>908</v>
      </c>
      <c r="E585" s="115"/>
      <c r="F585" s="279">
        <f t="shared" ref="F585:AL585" si="75">F577*F167*(1-F298/100)+F569</f>
        <v>0.40139906473486653</v>
      </c>
      <c r="G585" s="279">
        <f t="shared" si="75"/>
        <v>0.42592295568678917</v>
      </c>
      <c r="H585" s="279">
        <f t="shared" si="75"/>
        <v>0.36371410405597343</v>
      </c>
      <c r="I585" s="279">
        <f t="shared" si="75"/>
        <v>0.38142769094029721</v>
      </c>
      <c r="J585" s="279">
        <f t="shared" si="75"/>
        <v>0.40535255633252593</v>
      </c>
      <c r="K585" s="279">
        <f t="shared" si="75"/>
        <v>0.38010418068307805</v>
      </c>
      <c r="L585" s="279">
        <f t="shared" si="75"/>
        <v>0.40678232358548894</v>
      </c>
      <c r="M585" s="279">
        <f t="shared" si="75"/>
        <v>0.40866304734427794</v>
      </c>
      <c r="N585" s="279">
        <f t="shared" si="75"/>
        <v>0.36288433811797344</v>
      </c>
      <c r="O585" s="279">
        <f t="shared" si="75"/>
        <v>0.36724129528388166</v>
      </c>
      <c r="P585" s="279">
        <f t="shared" si="75"/>
        <v>0.36434111222990384</v>
      </c>
      <c r="Q585" s="279">
        <f t="shared" si="75"/>
        <v>0.36196747863813628</v>
      </c>
      <c r="R585" s="279">
        <f t="shared" si="75"/>
        <v>0.38246820876157073</v>
      </c>
      <c r="S585" s="279">
        <f t="shared" si="75"/>
        <v>0.37510196714108002</v>
      </c>
      <c r="T585" s="279">
        <f t="shared" si="75"/>
        <v>0.35838946022555196</v>
      </c>
      <c r="U585" s="279">
        <f t="shared" si="75"/>
        <v>0.37722321799899</v>
      </c>
      <c r="V585" s="279">
        <f t="shared" si="75"/>
        <v>0.35719888716406717</v>
      </c>
      <c r="W585" s="279">
        <f t="shared" si="75"/>
        <v>0.35901854336832201</v>
      </c>
      <c r="X585" s="279">
        <f t="shared" si="75"/>
        <v>0.37345793180615988</v>
      </c>
      <c r="Y585" s="279">
        <f t="shared" si="75"/>
        <v>0.35280038364919619</v>
      </c>
      <c r="Z585" s="279">
        <f t="shared" si="75"/>
        <v>0.40763887458980064</v>
      </c>
      <c r="AA585" s="279">
        <f t="shared" si="75"/>
        <v>0.35951673805455492</v>
      </c>
      <c r="AB585" s="279">
        <f t="shared" si="75"/>
        <v>0.3708432670915025</v>
      </c>
      <c r="AC585" s="279">
        <f t="shared" si="75"/>
        <v>0.36534460819138642</v>
      </c>
      <c r="AD585" s="279">
        <f t="shared" si="75"/>
        <v>0.35124499923655256</v>
      </c>
      <c r="AE585" s="279">
        <f t="shared" si="75"/>
        <v>0.51782093171842547</v>
      </c>
      <c r="AF585" s="279">
        <f t="shared" si="75"/>
        <v>0.35404442497492949</v>
      </c>
      <c r="AG585" s="279">
        <f t="shared" si="75"/>
        <v>0.3767613879292937</v>
      </c>
      <c r="AH585" s="279">
        <f t="shared" si="75"/>
        <v>0.390541492851115</v>
      </c>
      <c r="AI585" s="279">
        <f t="shared" si="75"/>
        <v>0.36221416543340207</v>
      </c>
      <c r="AJ585" s="279">
        <f t="shared" si="75"/>
        <v>0.70180600713787245</v>
      </c>
      <c r="AK585" s="279">
        <f t="shared" si="75"/>
        <v>0.35781364089458301</v>
      </c>
      <c r="AL585" s="279">
        <f t="shared" si="75"/>
        <v>0.41259075100899034</v>
      </c>
      <c r="AM585" s="384">
        <f t="shared" ref="AM585:AM618" si="76">AVERAGE(F585:AL585)</f>
        <v>0.39071636475334964</v>
      </c>
    </row>
    <row r="586" spans="1:39" x14ac:dyDescent="0.2">
      <c r="A586" s="8"/>
      <c r="B586" s="117" t="s">
        <v>218</v>
      </c>
      <c r="C586" s="118" t="s">
        <v>216</v>
      </c>
      <c r="D586" s="107" t="s">
        <v>908</v>
      </c>
      <c r="E586" s="131"/>
      <c r="F586" s="279">
        <f t="shared" ref="F586:AL586" si="77">F578*F168*(1-F299/100)+F570</f>
        <v>0.44535619161258871</v>
      </c>
      <c r="G586" s="279">
        <f t="shared" si="77"/>
        <v>0.49402883963401867</v>
      </c>
      <c r="H586" s="279">
        <f t="shared" si="77"/>
        <v>0.41438489355222313</v>
      </c>
      <c r="I586" s="279">
        <f t="shared" si="77"/>
        <v>0.47719138600332711</v>
      </c>
      <c r="J586" s="279">
        <f t="shared" si="77"/>
        <v>0.47222463469602999</v>
      </c>
      <c r="K586" s="279">
        <f t="shared" si="77"/>
        <v>0.42665961494183685</v>
      </c>
      <c r="L586" s="279">
        <f t="shared" si="77"/>
        <v>0.52720651958906284</v>
      </c>
      <c r="M586" s="279">
        <f t="shared" si="77"/>
        <v>0.52378797574562408</v>
      </c>
      <c r="N586" s="279">
        <f t="shared" si="77"/>
        <v>0.41902935720996537</v>
      </c>
      <c r="O586" s="279">
        <f t="shared" si="77"/>
        <v>0.40910805899351677</v>
      </c>
      <c r="P586" s="279">
        <f t="shared" si="77"/>
        <v>0.41371454246852885</v>
      </c>
      <c r="Q586" s="279">
        <f t="shared" si="77"/>
        <v>0.4338285675915694</v>
      </c>
      <c r="R586" s="279">
        <f t="shared" si="77"/>
        <v>0.4413083313682522</v>
      </c>
      <c r="S586" s="279">
        <f t="shared" si="77"/>
        <v>0.40916198405795079</v>
      </c>
      <c r="T586" s="279">
        <f t="shared" si="77"/>
        <v>0.4012112101964157</v>
      </c>
      <c r="U586" s="279">
        <f t="shared" si="77"/>
        <v>0.43629359134436152</v>
      </c>
      <c r="V586" s="279">
        <f t="shared" si="77"/>
        <v>0.4094030050692406</v>
      </c>
      <c r="W586" s="279">
        <f t="shared" si="77"/>
        <v>0.41173338543805438</v>
      </c>
      <c r="X586" s="279">
        <f t="shared" si="77"/>
        <v>0.45810101117158059</v>
      </c>
      <c r="Y586" s="279">
        <f t="shared" si="77"/>
        <v>0.40053740902383433</v>
      </c>
      <c r="Z586" s="279">
        <f t="shared" si="77"/>
        <v>0.48224221167741371</v>
      </c>
      <c r="AA586" s="279">
        <f t="shared" si="77"/>
        <v>0.42087633352372295</v>
      </c>
      <c r="AB586" s="279">
        <f t="shared" si="77"/>
        <v>0.467373898831</v>
      </c>
      <c r="AC586" s="279">
        <f t="shared" si="77"/>
        <v>0.41010378315098356</v>
      </c>
      <c r="AD586" s="279">
        <f t="shared" si="77"/>
        <v>0.40028710204864237</v>
      </c>
      <c r="AE586" s="279">
        <f t="shared" si="77"/>
        <v>0.43669452925574254</v>
      </c>
      <c r="AF586" s="279">
        <f t="shared" si="77"/>
        <v>0.38843223583985059</v>
      </c>
      <c r="AG586" s="279">
        <f t="shared" si="77"/>
        <v>0.44089075052929161</v>
      </c>
      <c r="AH586" s="279">
        <f t="shared" si="77"/>
        <v>0.46651807745427559</v>
      </c>
      <c r="AI586" s="279">
        <f t="shared" si="77"/>
        <v>0.39379774180942034</v>
      </c>
      <c r="AJ586" s="279">
        <f t="shared" si="77"/>
        <v>0.40975081010951131</v>
      </c>
      <c r="AK586" s="279">
        <f t="shared" si="77"/>
        <v>0.39191314882831546</v>
      </c>
      <c r="AL586" s="279">
        <f t="shared" si="77"/>
        <v>0.43095293414093289</v>
      </c>
      <c r="AM586" s="384">
        <f t="shared" si="76"/>
        <v>0.43527588081536617</v>
      </c>
    </row>
    <row r="587" spans="1:39" x14ac:dyDescent="0.2">
      <c r="A587" s="8"/>
      <c r="B587" s="117" t="s">
        <v>219</v>
      </c>
      <c r="C587" s="118" t="s">
        <v>216</v>
      </c>
      <c r="D587" s="107" t="s">
        <v>908</v>
      </c>
      <c r="E587" s="131"/>
      <c r="F587" s="279">
        <f t="shared" ref="F587:AL587" si="78">F579*F169*(1-F300/100)+F571</f>
        <v>0.42926846388630224</v>
      </c>
      <c r="G587" s="279">
        <f t="shared" si="78"/>
        <v>0.47032169263824231</v>
      </c>
      <c r="H587" s="279">
        <f t="shared" si="78"/>
        <v>0.38910669255900449</v>
      </c>
      <c r="I587" s="279">
        <f t="shared" si="78"/>
        <v>0.41829889650909036</v>
      </c>
      <c r="J587" s="279">
        <f t="shared" si="78"/>
        <v>0.44724179185781077</v>
      </c>
      <c r="K587" s="279">
        <f t="shared" si="78"/>
        <v>0.39624023731494068</v>
      </c>
      <c r="L587" s="279">
        <f t="shared" si="78"/>
        <v>0.53767962135680791</v>
      </c>
      <c r="M587" s="279">
        <f t="shared" si="78"/>
        <v>0.45376992780382519</v>
      </c>
      <c r="N587" s="279">
        <f t="shared" si="78"/>
        <v>0.37584701132839465</v>
      </c>
      <c r="O587" s="279">
        <f t="shared" si="78"/>
        <v>0.37431176050437198</v>
      </c>
      <c r="P587" s="279">
        <f t="shared" si="78"/>
        <v>0.379143882997451</v>
      </c>
      <c r="Q587" s="279">
        <f t="shared" si="78"/>
        <v>0.39050932622162748</v>
      </c>
      <c r="R587" s="279">
        <f t="shared" si="78"/>
        <v>0.41450005672083801</v>
      </c>
      <c r="S587" s="279">
        <f t="shared" si="78"/>
        <v>0.38687924280318597</v>
      </c>
      <c r="T587" s="279">
        <f t="shared" si="78"/>
        <v>0.38642373366020366</v>
      </c>
      <c r="U587" s="279">
        <f t="shared" si="78"/>
        <v>0.40403743383247986</v>
      </c>
      <c r="V587" s="279">
        <f t="shared" si="78"/>
        <v>0.37902310073718526</v>
      </c>
      <c r="W587" s="279">
        <f t="shared" si="78"/>
        <v>0.3841307671784574</v>
      </c>
      <c r="X587" s="279">
        <f t="shared" si="78"/>
        <v>0.39755472821468563</v>
      </c>
      <c r="Y587" s="279">
        <f t="shared" si="78"/>
        <v>0.37426282992100385</v>
      </c>
      <c r="Z587" s="279">
        <f t="shared" si="78"/>
        <v>0.43370330184554251</v>
      </c>
      <c r="AA587" s="279">
        <f t="shared" si="78"/>
        <v>0.38822696770581783</v>
      </c>
      <c r="AB587" s="279">
        <f t="shared" si="78"/>
        <v>0.41166303172968743</v>
      </c>
      <c r="AC587" s="279">
        <f t="shared" si="78"/>
        <v>0.38768859793220434</v>
      </c>
      <c r="AD587" s="279">
        <f t="shared" si="78"/>
        <v>0.38251061858839441</v>
      </c>
      <c r="AE587" s="279">
        <f t="shared" si="78"/>
        <v>0.40961957680389832</v>
      </c>
      <c r="AF587" s="279">
        <f t="shared" si="78"/>
        <v>0.36867601331243388</v>
      </c>
      <c r="AG587" s="279">
        <f t="shared" si="78"/>
        <v>0.40545566540986439</v>
      </c>
      <c r="AH587" s="279">
        <f t="shared" si="78"/>
        <v>0.46087907492456348</v>
      </c>
      <c r="AI587" s="279">
        <f t="shared" si="78"/>
        <v>0.36936741186622746</v>
      </c>
      <c r="AJ587" s="279">
        <f t="shared" si="78"/>
        <v>0.37919331187851968</v>
      </c>
      <c r="AK587" s="279">
        <f t="shared" si="78"/>
        <v>0.36793127458405217</v>
      </c>
      <c r="AL587" s="279">
        <f t="shared" si="78"/>
        <v>0.40675042545369489</v>
      </c>
      <c r="AM587" s="384">
        <f t="shared" si="76"/>
        <v>0.40485504454790328</v>
      </c>
    </row>
    <row r="588" spans="1:39" x14ac:dyDescent="0.2">
      <c r="A588" s="8"/>
      <c r="B588" s="117" t="s">
        <v>220</v>
      </c>
      <c r="C588" s="118" t="s">
        <v>216</v>
      </c>
      <c r="D588" s="107" t="s">
        <v>908</v>
      </c>
      <c r="E588" s="102"/>
      <c r="F588" s="279">
        <f t="shared" ref="F588:AL588" si="79">F580*F170*(1-F301/100)+F572</f>
        <v>0.41242414830543916</v>
      </c>
      <c r="G588" s="279">
        <f t="shared" si="79"/>
        <v>0.44266498128145554</v>
      </c>
      <c r="H588" s="279">
        <f t="shared" si="79"/>
        <v>0.39649182919609405</v>
      </c>
      <c r="I588" s="279">
        <f t="shared" si="79"/>
        <v>0.43313016623752948</v>
      </c>
      <c r="J588" s="279">
        <f t="shared" si="79"/>
        <v>0.44775439695151853</v>
      </c>
      <c r="K588" s="279">
        <f t="shared" si="79"/>
        <v>0.39486792131770254</v>
      </c>
      <c r="L588" s="279">
        <f t="shared" si="79"/>
        <v>0.5423482771224476</v>
      </c>
      <c r="M588" s="279">
        <f t="shared" si="79"/>
        <v>0.44533832855935052</v>
      </c>
      <c r="N588" s="279">
        <f t="shared" si="79"/>
        <v>0.39628414373889986</v>
      </c>
      <c r="O588" s="279">
        <f t="shared" si="79"/>
        <v>0.39333593204159767</v>
      </c>
      <c r="P588" s="279">
        <f t="shared" si="79"/>
        <v>0.3954756678701114</v>
      </c>
      <c r="Q588" s="279">
        <f t="shared" si="79"/>
        <v>0.41845118396584791</v>
      </c>
      <c r="R588" s="279">
        <f t="shared" si="79"/>
        <v>0.41132909794123973</v>
      </c>
      <c r="S588" s="279">
        <f t="shared" si="79"/>
        <v>0.39433760272864976</v>
      </c>
      <c r="T588" s="279">
        <f t="shared" si="79"/>
        <v>0.38620407216420799</v>
      </c>
      <c r="U588" s="279">
        <f t="shared" si="79"/>
        <v>0.40804357254464113</v>
      </c>
      <c r="V588" s="279">
        <f t="shared" si="79"/>
        <v>0.39001603421310049</v>
      </c>
      <c r="W588" s="279">
        <f t="shared" si="79"/>
        <v>0.39057286913518968</v>
      </c>
      <c r="X588" s="279">
        <f t="shared" si="79"/>
        <v>0.42948649118782073</v>
      </c>
      <c r="Y588" s="279">
        <f t="shared" si="79"/>
        <v>0.38590312353258083</v>
      </c>
      <c r="Z588" s="279">
        <f t="shared" si="79"/>
        <v>0.5214583862570249</v>
      </c>
      <c r="AA588" s="279">
        <f t="shared" si="79"/>
        <v>0.40315415185023312</v>
      </c>
      <c r="AB588" s="279">
        <f t="shared" si="79"/>
        <v>0.41965164842489566</v>
      </c>
      <c r="AC588" s="279">
        <f t="shared" si="79"/>
        <v>0.40616057283512907</v>
      </c>
      <c r="AD588" s="279">
        <f t="shared" si="79"/>
        <v>0.38795799939872133</v>
      </c>
      <c r="AE588" s="279">
        <f t="shared" si="79"/>
        <v>0.41825786286474209</v>
      </c>
      <c r="AF588" s="279">
        <f t="shared" si="79"/>
        <v>0.38219297765616356</v>
      </c>
      <c r="AG588" s="279">
        <f t="shared" si="79"/>
        <v>0.42323774208062992</v>
      </c>
      <c r="AH588" s="279">
        <f t="shared" si="79"/>
        <v>0.44075840610847528</v>
      </c>
      <c r="AI588" s="279">
        <f t="shared" si="79"/>
        <v>0.39815113915337685</v>
      </c>
      <c r="AJ588" s="279">
        <f t="shared" si="79"/>
        <v>0.44081020534998266</v>
      </c>
      <c r="AK588" s="279">
        <f t="shared" si="79"/>
        <v>0.38417519531088812</v>
      </c>
      <c r="AL588" s="279">
        <f t="shared" si="79"/>
        <v>0.46264538571716474</v>
      </c>
      <c r="AM588" s="384">
        <f t="shared" si="76"/>
        <v>0.418274894334632</v>
      </c>
    </row>
    <row r="589" spans="1:39" x14ac:dyDescent="0.2">
      <c r="A589" s="8"/>
      <c r="B589" s="117" t="s">
        <v>221</v>
      </c>
      <c r="C589" s="118" t="s">
        <v>216</v>
      </c>
      <c r="D589" s="107" t="s">
        <v>909</v>
      </c>
      <c r="E589" s="102"/>
      <c r="F589" s="279">
        <f t="shared" ref="F589:AL589" si="80">F341/(F380+F341)</f>
        <v>0.49389244618942024</v>
      </c>
      <c r="G589" s="279">
        <f t="shared" si="80"/>
        <v>0.49389244618942024</v>
      </c>
      <c r="H589" s="279">
        <f t="shared" si="80"/>
        <v>0.49389244618942024</v>
      </c>
      <c r="I589" s="279">
        <f t="shared" si="80"/>
        <v>0.49389244618942024</v>
      </c>
      <c r="J589" s="279">
        <f t="shared" si="80"/>
        <v>0.49389244618942024</v>
      </c>
      <c r="K589" s="279">
        <f t="shared" si="80"/>
        <v>0.49389244618942024</v>
      </c>
      <c r="L589" s="279">
        <f t="shared" si="80"/>
        <v>0.49389244618942024</v>
      </c>
      <c r="M589" s="279">
        <f t="shared" si="80"/>
        <v>0.49389244618942024</v>
      </c>
      <c r="N589" s="279">
        <f t="shared" si="80"/>
        <v>0.49389244618942024</v>
      </c>
      <c r="O589" s="279">
        <f t="shared" si="80"/>
        <v>0.49389244618942024</v>
      </c>
      <c r="P589" s="279">
        <f t="shared" si="80"/>
        <v>0.49389244618942024</v>
      </c>
      <c r="Q589" s="279">
        <f t="shared" si="80"/>
        <v>0.49389244618942024</v>
      </c>
      <c r="R589" s="279">
        <f t="shared" si="80"/>
        <v>0.49389244618942024</v>
      </c>
      <c r="S589" s="279">
        <f t="shared" si="80"/>
        <v>0.49389244618942024</v>
      </c>
      <c r="T589" s="279">
        <f t="shared" si="80"/>
        <v>0.49389244618942024</v>
      </c>
      <c r="U589" s="279">
        <f t="shared" si="80"/>
        <v>0.49389244618942024</v>
      </c>
      <c r="V589" s="279">
        <f t="shared" si="80"/>
        <v>0.49389244618942024</v>
      </c>
      <c r="W589" s="279">
        <f t="shared" si="80"/>
        <v>0.49389244618942024</v>
      </c>
      <c r="X589" s="279">
        <f t="shared" si="80"/>
        <v>0.49389244618942024</v>
      </c>
      <c r="Y589" s="279">
        <f t="shared" si="80"/>
        <v>0.49389244618942024</v>
      </c>
      <c r="Z589" s="279">
        <f t="shared" si="80"/>
        <v>0.49389244618942024</v>
      </c>
      <c r="AA589" s="279">
        <f t="shared" si="80"/>
        <v>0.49389244618942024</v>
      </c>
      <c r="AB589" s="279">
        <f t="shared" si="80"/>
        <v>0.49389244618942024</v>
      </c>
      <c r="AC589" s="279">
        <f t="shared" si="80"/>
        <v>0.49389244618942024</v>
      </c>
      <c r="AD589" s="279">
        <f t="shared" si="80"/>
        <v>0.49389244618942024</v>
      </c>
      <c r="AE589" s="279">
        <f t="shared" si="80"/>
        <v>0.49389244618942024</v>
      </c>
      <c r="AF589" s="279">
        <f t="shared" si="80"/>
        <v>0.49389244618942024</v>
      </c>
      <c r="AG589" s="279">
        <f t="shared" si="80"/>
        <v>0.49389244618942024</v>
      </c>
      <c r="AH589" s="279">
        <f t="shared" si="80"/>
        <v>0.49389244618942024</v>
      </c>
      <c r="AI589" s="279">
        <f t="shared" si="80"/>
        <v>0.49389244618942024</v>
      </c>
      <c r="AJ589" s="279">
        <f t="shared" si="80"/>
        <v>0.49389244618942024</v>
      </c>
      <c r="AK589" s="279">
        <f t="shared" si="80"/>
        <v>0.49389244618942024</v>
      </c>
      <c r="AL589" s="279">
        <f t="shared" si="80"/>
        <v>0.49389244618942024</v>
      </c>
      <c r="AM589" s="384">
        <f t="shared" si="76"/>
        <v>0.49389244618942019</v>
      </c>
    </row>
    <row r="590" spans="1:39" x14ac:dyDescent="0.2">
      <c r="A590" s="8"/>
      <c r="B590" s="117" t="s">
        <v>222</v>
      </c>
      <c r="C590" s="118" t="s">
        <v>216</v>
      </c>
      <c r="D590" s="107" t="s">
        <v>908</v>
      </c>
      <c r="E590" s="102"/>
      <c r="F590" s="279">
        <f t="shared" ref="F590:AL590" si="81">F581*F172*(1-F303/100)+F573</f>
        <v>0.41040176806758488</v>
      </c>
      <c r="G590" s="279">
        <f t="shared" si="81"/>
        <v>0.46510310311932013</v>
      </c>
      <c r="H590" s="279">
        <f t="shared" si="81"/>
        <v>0.40422341482795321</v>
      </c>
      <c r="I590" s="279">
        <f t="shared" si="81"/>
        <v>0.42403993826261704</v>
      </c>
      <c r="J590" s="279">
        <f t="shared" si="81"/>
        <v>0.4259398244938768</v>
      </c>
      <c r="K590" s="279">
        <f t="shared" si="81"/>
        <v>0.40844639092599544</v>
      </c>
      <c r="L590" s="279">
        <f t="shared" si="81"/>
        <v>0.50392512741918805</v>
      </c>
      <c r="M590" s="279">
        <f t="shared" si="81"/>
        <v>0.44806518109163151</v>
      </c>
      <c r="N590" s="279">
        <f t="shared" si="81"/>
        <v>0.39336438173657656</v>
      </c>
      <c r="O590" s="279">
        <f t="shared" si="81"/>
        <v>0.39589700075561068</v>
      </c>
      <c r="P590" s="279">
        <f t="shared" si="81"/>
        <v>0.39876289919082819</v>
      </c>
      <c r="Q590" s="279">
        <f t="shared" si="81"/>
        <v>0.40797290666695935</v>
      </c>
      <c r="R590" s="279">
        <f t="shared" si="81"/>
        <v>0.41800447782093691</v>
      </c>
      <c r="S590" s="279">
        <f t="shared" si="81"/>
        <v>0.3932964613349888</v>
      </c>
      <c r="T590" s="279">
        <f t="shared" si="81"/>
        <v>0.39181632513441617</v>
      </c>
      <c r="U590" s="279">
        <f t="shared" si="81"/>
        <v>0.40314163721054708</v>
      </c>
      <c r="V590" s="279">
        <f t="shared" si="81"/>
        <v>0.39318449472146427</v>
      </c>
      <c r="W590" s="279">
        <f t="shared" si="81"/>
        <v>0.39843757022212628</v>
      </c>
      <c r="X590" s="279">
        <f t="shared" si="81"/>
        <v>0.43564931630766374</v>
      </c>
      <c r="Y590" s="279">
        <f t="shared" si="81"/>
        <v>0.39018402166789135</v>
      </c>
      <c r="Z590" s="279">
        <f t="shared" si="81"/>
        <v>0.4459076524648134</v>
      </c>
      <c r="AA590" s="279">
        <f t="shared" si="81"/>
        <v>0.4012479931270449</v>
      </c>
      <c r="AB590" s="279">
        <f t="shared" si="81"/>
        <v>0.41098205888850881</v>
      </c>
      <c r="AC590" s="279">
        <f t="shared" si="81"/>
        <v>0.39650955886438405</v>
      </c>
      <c r="AD590" s="279">
        <f t="shared" si="81"/>
        <v>0.3909543511730591</v>
      </c>
      <c r="AE590" s="279">
        <f t="shared" si="81"/>
        <v>0.40546335264351197</v>
      </c>
      <c r="AF590" s="279">
        <f t="shared" si="81"/>
        <v>0.38646578022795136</v>
      </c>
      <c r="AG590" s="279">
        <f t="shared" si="81"/>
        <v>0.41166963144304536</v>
      </c>
      <c r="AH590" s="279">
        <f t="shared" si="81"/>
        <v>0.43034911457920799</v>
      </c>
      <c r="AI590" s="279">
        <f t="shared" si="81"/>
        <v>0.39118672451293557</v>
      </c>
      <c r="AJ590" s="279">
        <f t="shared" si="81"/>
        <v>0.40665185825334044</v>
      </c>
      <c r="AK590" s="279">
        <f t="shared" si="81"/>
        <v>0.39285154720223792</v>
      </c>
      <c r="AL590" s="279">
        <f t="shared" si="81"/>
        <v>0.44939687283860114</v>
      </c>
      <c r="AM590" s="384">
        <f t="shared" si="76"/>
        <v>0.41301493143020662</v>
      </c>
    </row>
    <row r="591" spans="1:39" x14ac:dyDescent="0.2">
      <c r="A591" s="8"/>
      <c r="B591" s="117" t="s">
        <v>223</v>
      </c>
      <c r="C591" s="118" t="s">
        <v>216</v>
      </c>
      <c r="D591" s="107" t="s">
        <v>909</v>
      </c>
      <c r="E591" s="102"/>
      <c r="F591" s="279">
        <f t="shared" ref="F591:AL591" si="82">F344/(F383+F344)</f>
        <v>0.21297612576828198</v>
      </c>
      <c r="G591" s="279">
        <f t="shared" si="82"/>
        <v>0.21297612576828198</v>
      </c>
      <c r="H591" s="279">
        <f t="shared" si="82"/>
        <v>0.21297612576828198</v>
      </c>
      <c r="I591" s="279">
        <f t="shared" si="82"/>
        <v>0.21297612576828198</v>
      </c>
      <c r="J591" s="279">
        <f t="shared" si="82"/>
        <v>0.21297612576828198</v>
      </c>
      <c r="K591" s="279">
        <f t="shared" si="82"/>
        <v>0.21297612576828198</v>
      </c>
      <c r="L591" s="279">
        <f t="shared" si="82"/>
        <v>0.21297612576828198</v>
      </c>
      <c r="M591" s="279">
        <f t="shared" si="82"/>
        <v>0.21297612576828198</v>
      </c>
      <c r="N591" s="279">
        <f t="shared" si="82"/>
        <v>0.21297612576828198</v>
      </c>
      <c r="O591" s="279">
        <f t="shared" si="82"/>
        <v>0.21297612576828198</v>
      </c>
      <c r="P591" s="279">
        <f t="shared" si="82"/>
        <v>0.21297612576828198</v>
      </c>
      <c r="Q591" s="279">
        <f t="shared" si="82"/>
        <v>0.21297612576828198</v>
      </c>
      <c r="R591" s="279">
        <f t="shared" si="82"/>
        <v>0.21297612576828198</v>
      </c>
      <c r="S591" s="279">
        <f t="shared" si="82"/>
        <v>0.21297612576828198</v>
      </c>
      <c r="T591" s="279">
        <f t="shared" si="82"/>
        <v>0.21297612576828198</v>
      </c>
      <c r="U591" s="279">
        <f t="shared" si="82"/>
        <v>0.21297612576828198</v>
      </c>
      <c r="V591" s="279">
        <f t="shared" si="82"/>
        <v>0.21297612576828198</v>
      </c>
      <c r="W591" s="279">
        <f t="shared" si="82"/>
        <v>0.21297612576828198</v>
      </c>
      <c r="X591" s="279">
        <f t="shared" si="82"/>
        <v>0.21297612576828198</v>
      </c>
      <c r="Y591" s="279">
        <f t="shared" si="82"/>
        <v>0.21297612576828198</v>
      </c>
      <c r="Z591" s="279">
        <f t="shared" si="82"/>
        <v>0.21297612576828198</v>
      </c>
      <c r="AA591" s="279">
        <f t="shared" si="82"/>
        <v>0.21297612576828198</v>
      </c>
      <c r="AB591" s="279">
        <f t="shared" si="82"/>
        <v>0.21297612576828198</v>
      </c>
      <c r="AC591" s="279">
        <f t="shared" si="82"/>
        <v>0.21297612576828198</v>
      </c>
      <c r="AD591" s="279">
        <f t="shared" si="82"/>
        <v>0.21297612576828198</v>
      </c>
      <c r="AE591" s="279">
        <f t="shared" si="82"/>
        <v>0.21297612576828198</v>
      </c>
      <c r="AF591" s="279">
        <f t="shared" si="82"/>
        <v>0.21297612576828198</v>
      </c>
      <c r="AG591" s="279">
        <f t="shared" si="82"/>
        <v>0.21297612576828198</v>
      </c>
      <c r="AH591" s="279">
        <f t="shared" si="82"/>
        <v>0.21297612576828198</v>
      </c>
      <c r="AI591" s="279">
        <f t="shared" si="82"/>
        <v>0.21297612576828198</v>
      </c>
      <c r="AJ591" s="279">
        <f t="shared" si="82"/>
        <v>0.21297612576828198</v>
      </c>
      <c r="AK591" s="279">
        <f t="shared" si="82"/>
        <v>0.21297612576828198</v>
      </c>
      <c r="AL591" s="279">
        <f t="shared" si="82"/>
        <v>0.21297612576828198</v>
      </c>
      <c r="AM591" s="384">
        <f t="shared" si="76"/>
        <v>0.21297612576828209</v>
      </c>
    </row>
    <row r="592" spans="1:39" x14ac:dyDescent="0.2">
      <c r="A592" s="8"/>
      <c r="B592" s="117" t="s">
        <v>224</v>
      </c>
      <c r="C592" s="118" t="s">
        <v>216</v>
      </c>
      <c r="D592" s="107" t="s">
        <v>909</v>
      </c>
      <c r="E592" s="102"/>
      <c r="F592" s="279">
        <f t="shared" ref="F592:AL592" si="83">F345/(F384+F345)</f>
        <v>0.32883503863811708</v>
      </c>
      <c r="G592" s="279">
        <f t="shared" si="83"/>
        <v>0.32883503863811708</v>
      </c>
      <c r="H592" s="279">
        <f t="shared" si="83"/>
        <v>0.32883503863811708</v>
      </c>
      <c r="I592" s="279">
        <f t="shared" si="83"/>
        <v>0.32883503863811708</v>
      </c>
      <c r="J592" s="279">
        <f t="shared" si="83"/>
        <v>0.32883503863811708</v>
      </c>
      <c r="K592" s="279">
        <f t="shared" si="83"/>
        <v>0.32883503863811708</v>
      </c>
      <c r="L592" s="279">
        <f t="shared" si="83"/>
        <v>0.32883503863811708</v>
      </c>
      <c r="M592" s="279">
        <f t="shared" si="83"/>
        <v>0.32883503863811708</v>
      </c>
      <c r="N592" s="279">
        <f t="shared" si="83"/>
        <v>0.32883503863811708</v>
      </c>
      <c r="O592" s="279">
        <f t="shared" si="83"/>
        <v>0.32883503863811708</v>
      </c>
      <c r="P592" s="279">
        <f t="shared" si="83"/>
        <v>0.32883503863811708</v>
      </c>
      <c r="Q592" s="279">
        <f t="shared" si="83"/>
        <v>0.32883503863811708</v>
      </c>
      <c r="R592" s="279">
        <f t="shared" si="83"/>
        <v>0.32883503863811708</v>
      </c>
      <c r="S592" s="279">
        <f t="shared" si="83"/>
        <v>0.32883503863811708</v>
      </c>
      <c r="T592" s="279">
        <f t="shared" si="83"/>
        <v>0.32883503863811708</v>
      </c>
      <c r="U592" s="279">
        <f t="shared" si="83"/>
        <v>0.32883503863811708</v>
      </c>
      <c r="V592" s="279">
        <f t="shared" si="83"/>
        <v>0.32883503863811708</v>
      </c>
      <c r="W592" s="279">
        <f t="shared" si="83"/>
        <v>0.32883503863811708</v>
      </c>
      <c r="X592" s="279">
        <f t="shared" si="83"/>
        <v>0.32883503863811708</v>
      </c>
      <c r="Y592" s="279">
        <f t="shared" si="83"/>
        <v>0.32883503863811708</v>
      </c>
      <c r="Z592" s="279">
        <f t="shared" si="83"/>
        <v>0.32883503863811708</v>
      </c>
      <c r="AA592" s="279">
        <f t="shared" si="83"/>
        <v>0.32883503863811708</v>
      </c>
      <c r="AB592" s="279">
        <f t="shared" si="83"/>
        <v>0.32883503863811708</v>
      </c>
      <c r="AC592" s="279">
        <f t="shared" si="83"/>
        <v>0.32883503863811708</v>
      </c>
      <c r="AD592" s="279">
        <f t="shared" si="83"/>
        <v>0.32883503863811708</v>
      </c>
      <c r="AE592" s="279">
        <f t="shared" si="83"/>
        <v>0.32883503863811708</v>
      </c>
      <c r="AF592" s="279">
        <f t="shared" si="83"/>
        <v>0.32883503863811708</v>
      </c>
      <c r="AG592" s="279">
        <f t="shared" si="83"/>
        <v>0.32883503863811708</v>
      </c>
      <c r="AH592" s="279">
        <f t="shared" si="83"/>
        <v>0.32883503863811708</v>
      </c>
      <c r="AI592" s="279">
        <f t="shared" si="83"/>
        <v>0.32883503863811708</v>
      </c>
      <c r="AJ592" s="279">
        <f t="shared" si="83"/>
        <v>0.32883503863811708</v>
      </c>
      <c r="AK592" s="279">
        <f t="shared" si="83"/>
        <v>0.32883503863811708</v>
      </c>
      <c r="AL592" s="279">
        <f t="shared" si="83"/>
        <v>0.32883503863811708</v>
      </c>
      <c r="AM592" s="384">
        <f t="shared" si="76"/>
        <v>0.32883503863811703</v>
      </c>
    </row>
    <row r="593" spans="1:39" x14ac:dyDescent="0.2">
      <c r="A593" s="8"/>
      <c r="B593" s="117" t="s">
        <v>225</v>
      </c>
      <c r="C593" s="118" t="s">
        <v>216</v>
      </c>
      <c r="D593" s="107" t="s">
        <v>909</v>
      </c>
      <c r="E593" s="102"/>
      <c r="F593" s="279">
        <f t="shared" ref="F593:AL593" si="84">F346/(F385+F346)</f>
        <v>0.32457914192609383</v>
      </c>
      <c r="G593" s="279">
        <f t="shared" si="84"/>
        <v>0.32457914192609383</v>
      </c>
      <c r="H593" s="279">
        <f t="shared" si="84"/>
        <v>0.32457914192609383</v>
      </c>
      <c r="I593" s="279">
        <f t="shared" si="84"/>
        <v>0.32457914192609383</v>
      </c>
      <c r="J593" s="279">
        <f t="shared" si="84"/>
        <v>0.32457914192609383</v>
      </c>
      <c r="K593" s="279">
        <f t="shared" si="84"/>
        <v>0.32457914192609383</v>
      </c>
      <c r="L593" s="279">
        <f t="shared" si="84"/>
        <v>0.32457914192609383</v>
      </c>
      <c r="M593" s="279">
        <f t="shared" si="84"/>
        <v>0.32457914192609383</v>
      </c>
      <c r="N593" s="279">
        <f t="shared" si="84"/>
        <v>0.32457914192609383</v>
      </c>
      <c r="O593" s="279">
        <f t="shared" si="84"/>
        <v>0.32457914192609383</v>
      </c>
      <c r="P593" s="279">
        <f t="shared" si="84"/>
        <v>0.32457914192609383</v>
      </c>
      <c r="Q593" s="279">
        <f t="shared" si="84"/>
        <v>0.32457914192609383</v>
      </c>
      <c r="R593" s="279">
        <f t="shared" si="84"/>
        <v>0.32457914192609383</v>
      </c>
      <c r="S593" s="279">
        <f t="shared" si="84"/>
        <v>0.32457914192609383</v>
      </c>
      <c r="T593" s="279">
        <f t="shared" si="84"/>
        <v>0.32457914192609383</v>
      </c>
      <c r="U593" s="279">
        <f t="shared" si="84"/>
        <v>0.32457914192609383</v>
      </c>
      <c r="V593" s="279">
        <f t="shared" si="84"/>
        <v>0.32457914192609383</v>
      </c>
      <c r="W593" s="279">
        <f t="shared" si="84"/>
        <v>0.32457914192609383</v>
      </c>
      <c r="X593" s="279">
        <f t="shared" si="84"/>
        <v>0.32457914192609383</v>
      </c>
      <c r="Y593" s="279">
        <f t="shared" si="84"/>
        <v>0.32457914192609383</v>
      </c>
      <c r="Z593" s="279">
        <f t="shared" si="84"/>
        <v>0.32457914192609383</v>
      </c>
      <c r="AA593" s="279">
        <f t="shared" si="84"/>
        <v>0.32457914192609383</v>
      </c>
      <c r="AB593" s="279">
        <f t="shared" si="84"/>
        <v>0.32457914192609383</v>
      </c>
      <c r="AC593" s="279">
        <f t="shared" si="84"/>
        <v>0.32457914192609383</v>
      </c>
      <c r="AD593" s="279">
        <f t="shared" si="84"/>
        <v>0.32457914192609383</v>
      </c>
      <c r="AE593" s="279">
        <f t="shared" si="84"/>
        <v>0.32457914192609383</v>
      </c>
      <c r="AF593" s="279">
        <f t="shared" si="84"/>
        <v>0.32457914192609383</v>
      </c>
      <c r="AG593" s="279">
        <f t="shared" si="84"/>
        <v>0.32457914192609383</v>
      </c>
      <c r="AH593" s="279">
        <f t="shared" si="84"/>
        <v>0.32457914192609383</v>
      </c>
      <c r="AI593" s="279">
        <f t="shared" si="84"/>
        <v>0.32457914192609383</v>
      </c>
      <c r="AJ593" s="279">
        <f t="shared" si="84"/>
        <v>0.32457914192609383</v>
      </c>
      <c r="AK593" s="279">
        <f t="shared" si="84"/>
        <v>0.32457914192609383</v>
      </c>
      <c r="AL593" s="279">
        <f t="shared" si="84"/>
        <v>0.32457914192609383</v>
      </c>
      <c r="AM593" s="384">
        <f t="shared" si="76"/>
        <v>0.32457914192609388</v>
      </c>
    </row>
    <row r="594" spans="1:39" x14ac:dyDescent="0.2">
      <c r="A594" s="8"/>
      <c r="B594" s="117" t="s">
        <v>226</v>
      </c>
      <c r="C594" s="118" t="s">
        <v>216</v>
      </c>
      <c r="D594" s="107" t="s">
        <v>909</v>
      </c>
      <c r="E594" s="102"/>
      <c r="F594" s="279">
        <f t="shared" ref="F594:AL594" si="85">F347/(F386+F347)</f>
        <v>0.28940097856117553</v>
      </c>
      <c r="G594" s="279">
        <f t="shared" si="85"/>
        <v>0.28940097856117553</v>
      </c>
      <c r="H594" s="279">
        <f t="shared" si="85"/>
        <v>0.28940097856117553</v>
      </c>
      <c r="I594" s="279">
        <f t="shared" si="85"/>
        <v>0.28940097856117553</v>
      </c>
      <c r="J594" s="279">
        <f t="shared" si="85"/>
        <v>0.28940097856117553</v>
      </c>
      <c r="K594" s="279">
        <f t="shared" si="85"/>
        <v>0.28940097856117553</v>
      </c>
      <c r="L594" s="279">
        <f t="shared" si="85"/>
        <v>0.28940097856117553</v>
      </c>
      <c r="M594" s="279">
        <f t="shared" si="85"/>
        <v>0.28940097856117553</v>
      </c>
      <c r="N594" s="279">
        <f t="shared" si="85"/>
        <v>0.28940097856117553</v>
      </c>
      <c r="O594" s="279">
        <f t="shared" si="85"/>
        <v>0.28940097856117553</v>
      </c>
      <c r="P594" s="279">
        <f t="shared" si="85"/>
        <v>0.28940097856117553</v>
      </c>
      <c r="Q594" s="279">
        <f t="shared" si="85"/>
        <v>0.28940097856117553</v>
      </c>
      <c r="R594" s="279">
        <f t="shared" si="85"/>
        <v>0.28940097856117553</v>
      </c>
      <c r="S594" s="279">
        <f t="shared" si="85"/>
        <v>0.28940097856117553</v>
      </c>
      <c r="T594" s="279">
        <f t="shared" si="85"/>
        <v>0.28940097856117553</v>
      </c>
      <c r="U594" s="279">
        <f t="shared" si="85"/>
        <v>0.28940097856117553</v>
      </c>
      <c r="V594" s="279">
        <f t="shared" si="85"/>
        <v>0.28940097856117553</v>
      </c>
      <c r="W594" s="279">
        <f t="shared" si="85"/>
        <v>0.28940097856117553</v>
      </c>
      <c r="X594" s="279">
        <f t="shared" si="85"/>
        <v>0.28940097856117553</v>
      </c>
      <c r="Y594" s="279">
        <f t="shared" si="85"/>
        <v>0.28940097856117553</v>
      </c>
      <c r="Z594" s="279">
        <f t="shared" si="85"/>
        <v>0.28940097856117553</v>
      </c>
      <c r="AA594" s="279">
        <f t="shared" si="85"/>
        <v>0.28940097856117553</v>
      </c>
      <c r="AB594" s="279">
        <f t="shared" si="85"/>
        <v>0.28940097856117553</v>
      </c>
      <c r="AC594" s="279">
        <f t="shared" si="85"/>
        <v>0.28940097856117553</v>
      </c>
      <c r="AD594" s="279">
        <f t="shared" si="85"/>
        <v>0.28940097856117553</v>
      </c>
      <c r="AE594" s="279">
        <f t="shared" si="85"/>
        <v>0.28940097856117553</v>
      </c>
      <c r="AF594" s="279">
        <f t="shared" si="85"/>
        <v>0.28940097856117553</v>
      </c>
      <c r="AG594" s="279">
        <f t="shared" si="85"/>
        <v>0.28940097856117553</v>
      </c>
      <c r="AH594" s="279">
        <f t="shared" si="85"/>
        <v>0.28940097856117553</v>
      </c>
      <c r="AI594" s="279">
        <f t="shared" si="85"/>
        <v>0.28940097856117553</v>
      </c>
      <c r="AJ594" s="279">
        <f t="shared" si="85"/>
        <v>0.28940097856117553</v>
      </c>
      <c r="AK594" s="279">
        <f t="shared" si="85"/>
        <v>0.28940097856117553</v>
      </c>
      <c r="AL594" s="279">
        <f t="shared" si="85"/>
        <v>0.28940097856117553</v>
      </c>
      <c r="AM594" s="384">
        <f t="shared" si="76"/>
        <v>0.28940097856117569</v>
      </c>
    </row>
    <row r="595" spans="1:39" x14ac:dyDescent="0.2">
      <c r="A595" s="8"/>
      <c r="B595" s="117" t="s">
        <v>227</v>
      </c>
      <c r="C595" s="118" t="s">
        <v>216</v>
      </c>
      <c r="D595" s="107" t="s">
        <v>909</v>
      </c>
      <c r="E595" s="102"/>
      <c r="F595" s="279">
        <f t="shared" ref="F595:AL595" si="86">F348/(F387+F348)</f>
        <v>0.53062576724224442</v>
      </c>
      <c r="G595" s="279">
        <f t="shared" si="86"/>
        <v>0.53062576724224442</v>
      </c>
      <c r="H595" s="279">
        <f t="shared" si="86"/>
        <v>0.53062576724224442</v>
      </c>
      <c r="I595" s="279">
        <f t="shared" si="86"/>
        <v>0.53062576724224442</v>
      </c>
      <c r="J595" s="279">
        <f t="shared" si="86"/>
        <v>0.53062576724224442</v>
      </c>
      <c r="K595" s="279">
        <f t="shared" si="86"/>
        <v>0.53062576724224442</v>
      </c>
      <c r="L595" s="279">
        <f t="shared" si="86"/>
        <v>0.53062576724224442</v>
      </c>
      <c r="M595" s="279">
        <f t="shared" si="86"/>
        <v>0.53062576724224442</v>
      </c>
      <c r="N595" s="279">
        <f t="shared" si="86"/>
        <v>0.53062576724224442</v>
      </c>
      <c r="O595" s="279">
        <f t="shared" si="86"/>
        <v>0.53062576724224442</v>
      </c>
      <c r="P595" s="279">
        <f t="shared" si="86"/>
        <v>0.53062576724224442</v>
      </c>
      <c r="Q595" s="279">
        <f t="shared" si="86"/>
        <v>0.53062576724224442</v>
      </c>
      <c r="R595" s="279">
        <f t="shared" si="86"/>
        <v>0.53062576724224442</v>
      </c>
      <c r="S595" s="279">
        <f t="shared" si="86"/>
        <v>0.53062576724224442</v>
      </c>
      <c r="T595" s="279">
        <f t="shared" si="86"/>
        <v>0.53062576724224442</v>
      </c>
      <c r="U595" s="279">
        <f t="shared" si="86"/>
        <v>0.53062576724224442</v>
      </c>
      <c r="V595" s="279">
        <f t="shared" si="86"/>
        <v>0.53062576724224442</v>
      </c>
      <c r="W595" s="279">
        <f t="shared" si="86"/>
        <v>0.53062576724224442</v>
      </c>
      <c r="X595" s="279">
        <f t="shared" si="86"/>
        <v>0.53062576724224442</v>
      </c>
      <c r="Y595" s="279">
        <f t="shared" si="86"/>
        <v>0.53062576724224442</v>
      </c>
      <c r="Z595" s="279">
        <f t="shared" si="86"/>
        <v>0.53062576724224442</v>
      </c>
      <c r="AA595" s="279">
        <f t="shared" si="86"/>
        <v>0.53062576724224442</v>
      </c>
      <c r="AB595" s="279">
        <f t="shared" si="86"/>
        <v>0.53062576724224442</v>
      </c>
      <c r="AC595" s="279">
        <f t="shared" si="86"/>
        <v>0.53062576724224442</v>
      </c>
      <c r="AD595" s="279">
        <f t="shared" si="86"/>
        <v>0.53062576724224442</v>
      </c>
      <c r="AE595" s="279">
        <f t="shared" si="86"/>
        <v>0.53062576724224442</v>
      </c>
      <c r="AF595" s="279">
        <f t="shared" si="86"/>
        <v>0.53062576724224442</v>
      </c>
      <c r="AG595" s="279">
        <f t="shared" si="86"/>
        <v>0.53062576724224442</v>
      </c>
      <c r="AH595" s="279">
        <f t="shared" si="86"/>
        <v>0.53062576724224442</v>
      </c>
      <c r="AI595" s="279">
        <f t="shared" si="86"/>
        <v>0.53062576724224442</v>
      </c>
      <c r="AJ595" s="279">
        <f t="shared" si="86"/>
        <v>0.53062576724224442</v>
      </c>
      <c r="AK595" s="279">
        <f t="shared" si="86"/>
        <v>0.53062576724224442</v>
      </c>
      <c r="AL595" s="279">
        <f t="shared" si="86"/>
        <v>0.53062576724224442</v>
      </c>
      <c r="AM595" s="384">
        <f t="shared" si="76"/>
        <v>0.53062576724224408</v>
      </c>
    </row>
    <row r="596" spans="1:39" x14ac:dyDescent="0.2">
      <c r="A596" s="8"/>
      <c r="B596" s="117" t="s">
        <v>228</v>
      </c>
      <c r="C596" s="118" t="s">
        <v>216</v>
      </c>
      <c r="D596" s="107" t="s">
        <v>909</v>
      </c>
      <c r="E596" s="102"/>
      <c r="F596" s="279">
        <f t="shared" ref="F596:AL596" si="87">F349/(F388+F349)</f>
        <v>0.57062965376318231</v>
      </c>
      <c r="G596" s="279">
        <f t="shared" si="87"/>
        <v>0.57062965376318231</v>
      </c>
      <c r="H596" s="279">
        <f t="shared" si="87"/>
        <v>0.57062965376318231</v>
      </c>
      <c r="I596" s="279">
        <f t="shared" si="87"/>
        <v>0.57062965376318231</v>
      </c>
      <c r="J596" s="279">
        <f t="shared" si="87"/>
        <v>0.57062965376318231</v>
      </c>
      <c r="K596" s="279">
        <f t="shared" si="87"/>
        <v>0.57062965376318231</v>
      </c>
      <c r="L596" s="279">
        <f t="shared" si="87"/>
        <v>0.57062965376318231</v>
      </c>
      <c r="M596" s="279">
        <f t="shared" si="87"/>
        <v>0.57062965376318231</v>
      </c>
      <c r="N596" s="279">
        <f t="shared" si="87"/>
        <v>0.57062965376318231</v>
      </c>
      <c r="O596" s="279">
        <f t="shared" si="87"/>
        <v>0.57062965376318231</v>
      </c>
      <c r="P596" s="279">
        <f t="shared" si="87"/>
        <v>0.57062965376318231</v>
      </c>
      <c r="Q596" s="279">
        <f t="shared" si="87"/>
        <v>0.57062965376318231</v>
      </c>
      <c r="R596" s="279">
        <f t="shared" si="87"/>
        <v>0.57062965376318231</v>
      </c>
      <c r="S596" s="279">
        <f t="shared" si="87"/>
        <v>0.57062965376318231</v>
      </c>
      <c r="T596" s="279">
        <f t="shared" si="87"/>
        <v>0.57062965376318231</v>
      </c>
      <c r="U596" s="279">
        <f t="shared" si="87"/>
        <v>0.57062965376318231</v>
      </c>
      <c r="V596" s="279">
        <f t="shared" si="87"/>
        <v>0.57062965376318231</v>
      </c>
      <c r="W596" s="279">
        <f t="shared" si="87"/>
        <v>0.57062965376318231</v>
      </c>
      <c r="X596" s="279">
        <f t="shared" si="87"/>
        <v>0.57062965376318231</v>
      </c>
      <c r="Y596" s="279">
        <f t="shared" si="87"/>
        <v>0.57062965376318231</v>
      </c>
      <c r="Z596" s="279">
        <f t="shared" si="87"/>
        <v>0.57062965376318231</v>
      </c>
      <c r="AA596" s="279">
        <f t="shared" si="87"/>
        <v>0.57062965376318231</v>
      </c>
      <c r="AB596" s="279">
        <f t="shared" si="87"/>
        <v>0.57062965376318231</v>
      </c>
      <c r="AC596" s="279">
        <f t="shared" si="87"/>
        <v>0.57062965376318231</v>
      </c>
      <c r="AD596" s="279">
        <f t="shared" si="87"/>
        <v>0.57062965376318231</v>
      </c>
      <c r="AE596" s="279">
        <f t="shared" si="87"/>
        <v>0.57062965376318231</v>
      </c>
      <c r="AF596" s="279">
        <f t="shared" si="87"/>
        <v>0.57062965376318231</v>
      </c>
      <c r="AG596" s="279">
        <f t="shared" si="87"/>
        <v>0.57062965376318231</v>
      </c>
      <c r="AH596" s="279">
        <f t="shared" si="87"/>
        <v>0.57062965376318231</v>
      </c>
      <c r="AI596" s="279">
        <f t="shared" si="87"/>
        <v>0.57062965376318231</v>
      </c>
      <c r="AJ596" s="279">
        <f t="shared" si="87"/>
        <v>0.57062965376318231</v>
      </c>
      <c r="AK596" s="279">
        <f t="shared" si="87"/>
        <v>0.57062965376318231</v>
      </c>
      <c r="AL596" s="279">
        <f t="shared" si="87"/>
        <v>0.57062965376318231</v>
      </c>
      <c r="AM596" s="384">
        <f t="shared" si="76"/>
        <v>0.57062965376318231</v>
      </c>
    </row>
    <row r="597" spans="1:39" x14ac:dyDescent="0.2">
      <c r="A597" s="8"/>
      <c r="B597" s="117" t="s">
        <v>229</v>
      </c>
      <c r="C597" s="118" t="s">
        <v>216</v>
      </c>
      <c r="D597" s="107" t="s">
        <v>909</v>
      </c>
      <c r="E597" s="102"/>
      <c r="F597" s="279">
        <f t="shared" ref="F597:AL597" si="88">F350/(F389+F350)</f>
        <v>0.5517521092337494</v>
      </c>
      <c r="G597" s="279">
        <f t="shared" si="88"/>
        <v>0.5517521092337494</v>
      </c>
      <c r="H597" s="279">
        <f t="shared" si="88"/>
        <v>0.5517521092337494</v>
      </c>
      <c r="I597" s="279">
        <f t="shared" si="88"/>
        <v>0.5517521092337494</v>
      </c>
      <c r="J597" s="279">
        <f t="shared" si="88"/>
        <v>0.5517521092337494</v>
      </c>
      <c r="K597" s="279">
        <f t="shared" si="88"/>
        <v>0.5517521092337494</v>
      </c>
      <c r="L597" s="279">
        <f t="shared" si="88"/>
        <v>0.5517521092337494</v>
      </c>
      <c r="M597" s="279">
        <f t="shared" si="88"/>
        <v>0.5517521092337494</v>
      </c>
      <c r="N597" s="279">
        <f t="shared" si="88"/>
        <v>0.5517521092337494</v>
      </c>
      <c r="O597" s="279">
        <f t="shared" si="88"/>
        <v>0.5517521092337494</v>
      </c>
      <c r="P597" s="279">
        <f t="shared" si="88"/>
        <v>0.5517521092337494</v>
      </c>
      <c r="Q597" s="279">
        <f t="shared" si="88"/>
        <v>0.5517521092337494</v>
      </c>
      <c r="R597" s="279">
        <f t="shared" si="88"/>
        <v>0.5517521092337494</v>
      </c>
      <c r="S597" s="279">
        <f t="shared" si="88"/>
        <v>0.5517521092337494</v>
      </c>
      <c r="T597" s="279">
        <f t="shared" si="88"/>
        <v>0.5517521092337494</v>
      </c>
      <c r="U597" s="279">
        <f t="shared" si="88"/>
        <v>0.5517521092337494</v>
      </c>
      <c r="V597" s="279">
        <f t="shared" si="88"/>
        <v>0.5517521092337494</v>
      </c>
      <c r="W597" s="279">
        <f t="shared" si="88"/>
        <v>0.5517521092337494</v>
      </c>
      <c r="X597" s="279">
        <f t="shared" si="88"/>
        <v>0.5517521092337494</v>
      </c>
      <c r="Y597" s="279">
        <f t="shared" si="88"/>
        <v>0.5517521092337494</v>
      </c>
      <c r="Z597" s="279">
        <f t="shared" si="88"/>
        <v>0.5517521092337494</v>
      </c>
      <c r="AA597" s="279">
        <f t="shared" si="88"/>
        <v>0.5517521092337494</v>
      </c>
      <c r="AB597" s="279">
        <f t="shared" si="88"/>
        <v>0.5517521092337494</v>
      </c>
      <c r="AC597" s="279">
        <f t="shared" si="88"/>
        <v>0.5517521092337494</v>
      </c>
      <c r="AD597" s="279">
        <f t="shared" si="88"/>
        <v>0.5517521092337494</v>
      </c>
      <c r="AE597" s="279">
        <f t="shared" si="88"/>
        <v>0.5517521092337494</v>
      </c>
      <c r="AF597" s="279">
        <f t="shared" si="88"/>
        <v>0.5517521092337494</v>
      </c>
      <c r="AG597" s="279">
        <f t="shared" si="88"/>
        <v>0.5517521092337494</v>
      </c>
      <c r="AH597" s="279">
        <f t="shared" si="88"/>
        <v>0.5517521092337494</v>
      </c>
      <c r="AI597" s="279">
        <f t="shared" si="88"/>
        <v>0.5517521092337494</v>
      </c>
      <c r="AJ597" s="279">
        <f t="shared" si="88"/>
        <v>0.5517521092337494</v>
      </c>
      <c r="AK597" s="279">
        <f t="shared" si="88"/>
        <v>0.5517521092337494</v>
      </c>
      <c r="AL597" s="279">
        <f t="shared" si="88"/>
        <v>0.5517521092337494</v>
      </c>
      <c r="AM597" s="384">
        <f t="shared" si="76"/>
        <v>0.55175210923374951</v>
      </c>
    </row>
    <row r="598" spans="1:39" x14ac:dyDescent="0.2">
      <c r="A598" s="8"/>
      <c r="B598" s="117" t="s">
        <v>230</v>
      </c>
      <c r="C598" s="118" t="s">
        <v>216</v>
      </c>
      <c r="D598" s="107" t="s">
        <v>909</v>
      </c>
      <c r="E598" s="102"/>
      <c r="F598" s="279">
        <f t="shared" ref="F598:AL598" si="89">F351/(F390+F351)</f>
        <v>0.79645409473086992</v>
      </c>
      <c r="G598" s="279">
        <f t="shared" si="89"/>
        <v>0.79645409473086992</v>
      </c>
      <c r="H598" s="279">
        <f t="shared" si="89"/>
        <v>0.79645409473086992</v>
      </c>
      <c r="I598" s="279">
        <f t="shared" si="89"/>
        <v>0.79645409473086992</v>
      </c>
      <c r="J598" s="279">
        <f t="shared" si="89"/>
        <v>0.79645409473086992</v>
      </c>
      <c r="K598" s="279">
        <f t="shared" si="89"/>
        <v>0.79645409473086992</v>
      </c>
      <c r="L598" s="279">
        <f t="shared" si="89"/>
        <v>0.79645409473086992</v>
      </c>
      <c r="M598" s="279">
        <f t="shared" si="89"/>
        <v>0.79645409473086992</v>
      </c>
      <c r="N598" s="279">
        <f t="shared" si="89"/>
        <v>0.79645409473086992</v>
      </c>
      <c r="O598" s="279">
        <f t="shared" si="89"/>
        <v>0.79645409473086992</v>
      </c>
      <c r="P598" s="279">
        <f t="shared" si="89"/>
        <v>0.79645409473086992</v>
      </c>
      <c r="Q598" s="279">
        <f t="shared" si="89"/>
        <v>0.79645409473086992</v>
      </c>
      <c r="R598" s="279">
        <f t="shared" si="89"/>
        <v>0.79645409473086992</v>
      </c>
      <c r="S598" s="279">
        <f t="shared" si="89"/>
        <v>0.79645409473086992</v>
      </c>
      <c r="T598" s="279">
        <f t="shared" si="89"/>
        <v>0.79645409473086992</v>
      </c>
      <c r="U598" s="279">
        <f t="shared" si="89"/>
        <v>0.79645409473086992</v>
      </c>
      <c r="V598" s="279">
        <f t="shared" si="89"/>
        <v>0.79645409473086992</v>
      </c>
      <c r="W598" s="279">
        <f t="shared" si="89"/>
        <v>0.79645409473086992</v>
      </c>
      <c r="X598" s="279">
        <f t="shared" si="89"/>
        <v>0.79645409473086992</v>
      </c>
      <c r="Y598" s="279">
        <f t="shared" si="89"/>
        <v>0.79645409473086992</v>
      </c>
      <c r="Z598" s="279">
        <f t="shared" si="89"/>
        <v>0.79645409473086992</v>
      </c>
      <c r="AA598" s="279">
        <f t="shared" si="89"/>
        <v>0.79645409473086992</v>
      </c>
      <c r="AB598" s="279">
        <f t="shared" si="89"/>
        <v>0.79645409473086992</v>
      </c>
      <c r="AC598" s="279">
        <f t="shared" si="89"/>
        <v>0.79645409473086992</v>
      </c>
      <c r="AD598" s="279">
        <f t="shared" si="89"/>
        <v>0.79645409473086992</v>
      </c>
      <c r="AE598" s="279">
        <f t="shared" si="89"/>
        <v>0.79645409473086992</v>
      </c>
      <c r="AF598" s="279">
        <f t="shared" si="89"/>
        <v>0.79645409473086992</v>
      </c>
      <c r="AG598" s="279">
        <f t="shared" si="89"/>
        <v>0.79645409473086992</v>
      </c>
      <c r="AH598" s="279">
        <f t="shared" si="89"/>
        <v>0.79645409473086992</v>
      </c>
      <c r="AI598" s="279">
        <f t="shared" si="89"/>
        <v>0.79645409473086992</v>
      </c>
      <c r="AJ598" s="279">
        <f t="shared" si="89"/>
        <v>0.79645409473086992</v>
      </c>
      <c r="AK598" s="279">
        <f t="shared" si="89"/>
        <v>0.79645409473086992</v>
      </c>
      <c r="AL598" s="279">
        <f t="shared" si="89"/>
        <v>0.79645409473086992</v>
      </c>
      <c r="AM598" s="384">
        <f t="shared" si="76"/>
        <v>0.79645409473086948</v>
      </c>
    </row>
    <row r="599" spans="1:39" x14ac:dyDescent="0.2">
      <c r="A599" s="8"/>
      <c r="B599" s="117" t="s">
        <v>231</v>
      </c>
      <c r="C599" s="118" t="s">
        <v>216</v>
      </c>
      <c r="D599" s="107" t="s">
        <v>909</v>
      </c>
      <c r="E599" s="102"/>
      <c r="F599" s="279">
        <f t="shared" ref="F599:AL599" si="90">F352/(F391+F352)</f>
        <v>0.84622279705796888</v>
      </c>
      <c r="G599" s="279">
        <f t="shared" si="90"/>
        <v>0.84622279705796888</v>
      </c>
      <c r="H599" s="279">
        <f t="shared" si="90"/>
        <v>0.84622279705796888</v>
      </c>
      <c r="I599" s="279">
        <f t="shared" si="90"/>
        <v>0.84622279705796888</v>
      </c>
      <c r="J599" s="279">
        <f t="shared" si="90"/>
        <v>0.84622279705796888</v>
      </c>
      <c r="K599" s="279">
        <f t="shared" si="90"/>
        <v>0.84622279705796888</v>
      </c>
      <c r="L599" s="279">
        <f t="shared" si="90"/>
        <v>0.84622279705796888</v>
      </c>
      <c r="M599" s="279">
        <f t="shared" si="90"/>
        <v>0.84622279705796888</v>
      </c>
      <c r="N599" s="279">
        <f t="shared" si="90"/>
        <v>0.84622279705796888</v>
      </c>
      <c r="O599" s="279">
        <f t="shared" si="90"/>
        <v>0.84622279705796888</v>
      </c>
      <c r="P599" s="279">
        <f t="shared" si="90"/>
        <v>0.84622279705796888</v>
      </c>
      <c r="Q599" s="279">
        <f t="shared" si="90"/>
        <v>0.84622279705796888</v>
      </c>
      <c r="R599" s="279">
        <f t="shared" si="90"/>
        <v>0.84622279705796888</v>
      </c>
      <c r="S599" s="279">
        <f t="shared" si="90"/>
        <v>0.84622279705796888</v>
      </c>
      <c r="T599" s="279">
        <f t="shared" si="90"/>
        <v>0.84622279705796888</v>
      </c>
      <c r="U599" s="279">
        <f t="shared" si="90"/>
        <v>0.84622279705796888</v>
      </c>
      <c r="V599" s="279">
        <f t="shared" si="90"/>
        <v>0.84622279705796888</v>
      </c>
      <c r="W599" s="279">
        <f t="shared" si="90"/>
        <v>0.84622279705796888</v>
      </c>
      <c r="X599" s="279">
        <f t="shared" si="90"/>
        <v>0.84622279705796888</v>
      </c>
      <c r="Y599" s="279">
        <f t="shared" si="90"/>
        <v>0.84622279705796888</v>
      </c>
      <c r="Z599" s="279">
        <f t="shared" si="90"/>
        <v>0.84622279705796888</v>
      </c>
      <c r="AA599" s="279">
        <f t="shared" si="90"/>
        <v>0.84622279705796888</v>
      </c>
      <c r="AB599" s="279">
        <f t="shared" si="90"/>
        <v>0.84622279705796888</v>
      </c>
      <c r="AC599" s="279">
        <f t="shared" si="90"/>
        <v>0.84622279705796888</v>
      </c>
      <c r="AD599" s="279">
        <f t="shared" si="90"/>
        <v>0.84622279705796888</v>
      </c>
      <c r="AE599" s="279">
        <f t="shared" si="90"/>
        <v>0.84622279705796888</v>
      </c>
      <c r="AF599" s="279">
        <f t="shared" si="90"/>
        <v>0.84622279705796888</v>
      </c>
      <c r="AG599" s="279">
        <f t="shared" si="90"/>
        <v>0.84622279705796888</v>
      </c>
      <c r="AH599" s="279">
        <f t="shared" si="90"/>
        <v>0.84622279705796888</v>
      </c>
      <c r="AI599" s="279">
        <f t="shared" si="90"/>
        <v>0.84622279705796888</v>
      </c>
      <c r="AJ599" s="279">
        <f t="shared" si="90"/>
        <v>0.84622279705796888</v>
      </c>
      <c r="AK599" s="279">
        <f t="shared" si="90"/>
        <v>0.84622279705796888</v>
      </c>
      <c r="AL599" s="279">
        <f t="shared" si="90"/>
        <v>0.84622279705796888</v>
      </c>
      <c r="AM599" s="384">
        <f t="shared" si="76"/>
        <v>0.84622279705796888</v>
      </c>
    </row>
    <row r="600" spans="1:39" x14ac:dyDescent="0.2">
      <c r="A600" s="8"/>
      <c r="B600" s="117" t="s">
        <v>232</v>
      </c>
      <c r="C600" s="118" t="s">
        <v>216</v>
      </c>
      <c r="D600" s="107" t="s">
        <v>909</v>
      </c>
      <c r="E600" s="102"/>
      <c r="F600" s="279">
        <f t="shared" ref="F600:AL600" si="91">F353/(F392+F353)</f>
        <v>0.81628973168434682</v>
      </c>
      <c r="G600" s="279">
        <f t="shared" si="91"/>
        <v>0.81628973168434682</v>
      </c>
      <c r="H600" s="279">
        <f t="shared" si="91"/>
        <v>0.81628973168434682</v>
      </c>
      <c r="I600" s="279">
        <f t="shared" si="91"/>
        <v>0.81628973168434682</v>
      </c>
      <c r="J600" s="279">
        <f t="shared" si="91"/>
        <v>0.81628973168434682</v>
      </c>
      <c r="K600" s="279">
        <f t="shared" si="91"/>
        <v>0.81628973168434682</v>
      </c>
      <c r="L600" s="279">
        <f t="shared" si="91"/>
        <v>0.81628973168434682</v>
      </c>
      <c r="M600" s="279">
        <f t="shared" si="91"/>
        <v>0.81628973168434682</v>
      </c>
      <c r="N600" s="279">
        <f t="shared" si="91"/>
        <v>0.81628973168434682</v>
      </c>
      <c r="O600" s="279">
        <f t="shared" si="91"/>
        <v>0.81628973168434682</v>
      </c>
      <c r="P600" s="279">
        <f t="shared" si="91"/>
        <v>0.81628973168434682</v>
      </c>
      <c r="Q600" s="279">
        <f t="shared" si="91"/>
        <v>0.81628973168434682</v>
      </c>
      <c r="R600" s="279">
        <f t="shared" si="91"/>
        <v>0.81628973168434682</v>
      </c>
      <c r="S600" s="279">
        <f t="shared" si="91"/>
        <v>0.81628973168434682</v>
      </c>
      <c r="T600" s="279">
        <f t="shared" si="91"/>
        <v>0.81628973168434682</v>
      </c>
      <c r="U600" s="279">
        <f t="shared" si="91"/>
        <v>0.81628973168434682</v>
      </c>
      <c r="V600" s="279">
        <f t="shared" si="91"/>
        <v>0.81628973168434682</v>
      </c>
      <c r="W600" s="279">
        <f t="shared" si="91"/>
        <v>0.81628973168434682</v>
      </c>
      <c r="X600" s="279">
        <f t="shared" si="91"/>
        <v>0.81628973168434682</v>
      </c>
      <c r="Y600" s="279">
        <f t="shared" si="91"/>
        <v>0.81628973168434682</v>
      </c>
      <c r="Z600" s="279">
        <f t="shared" si="91"/>
        <v>0.81628973168434682</v>
      </c>
      <c r="AA600" s="279">
        <f t="shared" si="91"/>
        <v>0.81628973168434682</v>
      </c>
      <c r="AB600" s="279">
        <f t="shared" si="91"/>
        <v>0.81628973168434682</v>
      </c>
      <c r="AC600" s="279">
        <f t="shared" si="91"/>
        <v>0.81628973168434682</v>
      </c>
      <c r="AD600" s="279">
        <f t="shared" si="91"/>
        <v>0.81628973168434682</v>
      </c>
      <c r="AE600" s="279">
        <f t="shared" si="91"/>
        <v>0.81628973168434682</v>
      </c>
      <c r="AF600" s="279">
        <f t="shared" si="91"/>
        <v>0.81628973168434682</v>
      </c>
      <c r="AG600" s="279">
        <f t="shared" si="91"/>
        <v>0.81628973168434682</v>
      </c>
      <c r="AH600" s="279">
        <f t="shared" si="91"/>
        <v>0.81628973168434682</v>
      </c>
      <c r="AI600" s="279">
        <f t="shared" si="91"/>
        <v>0.81628973168434682</v>
      </c>
      <c r="AJ600" s="279">
        <f t="shared" si="91"/>
        <v>0.81628973168434682</v>
      </c>
      <c r="AK600" s="279">
        <f t="shared" si="91"/>
        <v>0.81628973168434682</v>
      </c>
      <c r="AL600" s="279">
        <f t="shared" si="91"/>
        <v>0.81628973168434682</v>
      </c>
      <c r="AM600" s="384">
        <f t="shared" si="76"/>
        <v>0.81628973168434649</v>
      </c>
    </row>
    <row r="601" spans="1:39" x14ac:dyDescent="0.2">
      <c r="A601" s="8"/>
      <c r="B601" s="117" t="s">
        <v>233</v>
      </c>
      <c r="C601" s="118" t="s">
        <v>216</v>
      </c>
      <c r="D601" s="107" t="s">
        <v>909</v>
      </c>
      <c r="E601" s="102"/>
      <c r="F601" s="279">
        <f t="shared" ref="F601:AL601" si="92">F354/(F393+F354)</f>
        <v>0.5517521092337494</v>
      </c>
      <c r="G601" s="279">
        <f t="shared" si="92"/>
        <v>0.5517521092337494</v>
      </c>
      <c r="H601" s="279">
        <f t="shared" si="92"/>
        <v>0.5517521092337494</v>
      </c>
      <c r="I601" s="279">
        <f t="shared" si="92"/>
        <v>0.5517521092337494</v>
      </c>
      <c r="J601" s="279">
        <f t="shared" si="92"/>
        <v>0.5517521092337494</v>
      </c>
      <c r="K601" s="279">
        <f t="shared" si="92"/>
        <v>0.5517521092337494</v>
      </c>
      <c r="L601" s="279">
        <f t="shared" si="92"/>
        <v>0.5517521092337494</v>
      </c>
      <c r="M601" s="279">
        <f t="shared" si="92"/>
        <v>0.5517521092337494</v>
      </c>
      <c r="N601" s="279">
        <f t="shared" si="92"/>
        <v>0.5517521092337494</v>
      </c>
      <c r="O601" s="279">
        <f t="shared" si="92"/>
        <v>0.5517521092337494</v>
      </c>
      <c r="P601" s="279">
        <f t="shared" si="92"/>
        <v>0.5517521092337494</v>
      </c>
      <c r="Q601" s="279">
        <f t="shared" si="92"/>
        <v>0.5517521092337494</v>
      </c>
      <c r="R601" s="279">
        <f t="shared" si="92"/>
        <v>0.5517521092337494</v>
      </c>
      <c r="S601" s="279">
        <f t="shared" si="92"/>
        <v>0.5517521092337494</v>
      </c>
      <c r="T601" s="279">
        <f t="shared" si="92"/>
        <v>0.5517521092337494</v>
      </c>
      <c r="U601" s="279">
        <f t="shared" si="92"/>
        <v>0.5517521092337494</v>
      </c>
      <c r="V601" s="279">
        <f t="shared" si="92"/>
        <v>0.5517521092337494</v>
      </c>
      <c r="W601" s="279">
        <f t="shared" si="92"/>
        <v>0.5517521092337494</v>
      </c>
      <c r="X601" s="279">
        <f t="shared" si="92"/>
        <v>0.5517521092337494</v>
      </c>
      <c r="Y601" s="279">
        <f t="shared" si="92"/>
        <v>0.5517521092337494</v>
      </c>
      <c r="Z601" s="279">
        <f t="shared" si="92"/>
        <v>0.5517521092337494</v>
      </c>
      <c r="AA601" s="279">
        <f t="shared" si="92"/>
        <v>0.5517521092337494</v>
      </c>
      <c r="AB601" s="279">
        <f t="shared" si="92"/>
        <v>0.5517521092337494</v>
      </c>
      <c r="AC601" s="279">
        <f t="shared" si="92"/>
        <v>0.5517521092337494</v>
      </c>
      <c r="AD601" s="279">
        <f t="shared" si="92"/>
        <v>0.5517521092337494</v>
      </c>
      <c r="AE601" s="279">
        <f t="shared" si="92"/>
        <v>0.5517521092337494</v>
      </c>
      <c r="AF601" s="279">
        <f t="shared" si="92"/>
        <v>0.5517521092337494</v>
      </c>
      <c r="AG601" s="279">
        <f t="shared" si="92"/>
        <v>0.5517521092337494</v>
      </c>
      <c r="AH601" s="279">
        <f t="shared" si="92"/>
        <v>0.5517521092337494</v>
      </c>
      <c r="AI601" s="279">
        <f t="shared" si="92"/>
        <v>0.5517521092337494</v>
      </c>
      <c r="AJ601" s="279">
        <f t="shared" si="92"/>
        <v>0.5517521092337494</v>
      </c>
      <c r="AK601" s="279">
        <f t="shared" si="92"/>
        <v>0.5517521092337494</v>
      </c>
      <c r="AL601" s="279">
        <f t="shared" si="92"/>
        <v>0.5517521092337494</v>
      </c>
      <c r="AM601" s="384">
        <f t="shared" si="76"/>
        <v>0.55175210923374951</v>
      </c>
    </row>
    <row r="602" spans="1:39" x14ac:dyDescent="0.2">
      <c r="A602" s="8"/>
      <c r="B602" s="117" t="s">
        <v>234</v>
      </c>
      <c r="C602" s="118" t="s">
        <v>216</v>
      </c>
      <c r="D602" s="107" t="s">
        <v>909</v>
      </c>
      <c r="E602" s="102"/>
      <c r="F602" s="279">
        <f t="shared" ref="F602:AL602" si="93">F355/(F394+F355)</f>
        <v>0.5517521092337494</v>
      </c>
      <c r="G602" s="279">
        <f t="shared" si="93"/>
        <v>0.5517521092337494</v>
      </c>
      <c r="H602" s="279">
        <f t="shared" si="93"/>
        <v>0.5517521092337494</v>
      </c>
      <c r="I602" s="279">
        <f t="shared" si="93"/>
        <v>0.5517521092337494</v>
      </c>
      <c r="J602" s="279">
        <f t="shared" si="93"/>
        <v>0.5517521092337494</v>
      </c>
      <c r="K602" s="279">
        <f t="shared" si="93"/>
        <v>0.5517521092337494</v>
      </c>
      <c r="L602" s="279">
        <f t="shared" si="93"/>
        <v>0.5517521092337494</v>
      </c>
      <c r="M602" s="279">
        <f t="shared" si="93"/>
        <v>0.5517521092337494</v>
      </c>
      <c r="N602" s="279">
        <f t="shared" si="93"/>
        <v>0.5517521092337494</v>
      </c>
      <c r="O602" s="279">
        <f t="shared" si="93"/>
        <v>0.5517521092337494</v>
      </c>
      <c r="P602" s="279">
        <f t="shared" si="93"/>
        <v>0.5517521092337494</v>
      </c>
      <c r="Q602" s="279">
        <f t="shared" si="93"/>
        <v>0.5517521092337494</v>
      </c>
      <c r="R602" s="279">
        <f t="shared" si="93"/>
        <v>0.5517521092337494</v>
      </c>
      <c r="S602" s="279">
        <f t="shared" si="93"/>
        <v>0.5517521092337494</v>
      </c>
      <c r="T602" s="279">
        <f t="shared" si="93"/>
        <v>0.5517521092337494</v>
      </c>
      <c r="U602" s="279">
        <f t="shared" si="93"/>
        <v>0.5517521092337494</v>
      </c>
      <c r="V602" s="279">
        <f t="shared" si="93"/>
        <v>0.5517521092337494</v>
      </c>
      <c r="W602" s="279">
        <f t="shared" si="93"/>
        <v>0.5517521092337494</v>
      </c>
      <c r="X602" s="279">
        <f t="shared" si="93"/>
        <v>0.5517521092337494</v>
      </c>
      <c r="Y602" s="279">
        <f t="shared" si="93"/>
        <v>0.5517521092337494</v>
      </c>
      <c r="Z602" s="279">
        <f t="shared" si="93"/>
        <v>0.5517521092337494</v>
      </c>
      <c r="AA602" s="279">
        <f t="shared" si="93"/>
        <v>0.5517521092337494</v>
      </c>
      <c r="AB602" s="279">
        <f t="shared" si="93"/>
        <v>0.5517521092337494</v>
      </c>
      <c r="AC602" s="279">
        <f t="shared" si="93"/>
        <v>0.5517521092337494</v>
      </c>
      <c r="AD602" s="279">
        <f t="shared" si="93"/>
        <v>0.5517521092337494</v>
      </c>
      <c r="AE602" s="279">
        <f t="shared" si="93"/>
        <v>0.5517521092337494</v>
      </c>
      <c r="AF602" s="279">
        <f t="shared" si="93"/>
        <v>0.5517521092337494</v>
      </c>
      <c r="AG602" s="279">
        <f t="shared" si="93"/>
        <v>0.5517521092337494</v>
      </c>
      <c r="AH602" s="279">
        <f t="shared" si="93"/>
        <v>0.5517521092337494</v>
      </c>
      <c r="AI602" s="279">
        <f t="shared" si="93"/>
        <v>0.5517521092337494</v>
      </c>
      <c r="AJ602" s="279">
        <f t="shared" si="93"/>
        <v>0.5517521092337494</v>
      </c>
      <c r="AK602" s="279">
        <f t="shared" si="93"/>
        <v>0.5517521092337494</v>
      </c>
      <c r="AL602" s="279">
        <f t="shared" si="93"/>
        <v>0.5517521092337494</v>
      </c>
      <c r="AM602" s="384">
        <f t="shared" si="76"/>
        <v>0.55175210923374951</v>
      </c>
    </row>
    <row r="603" spans="1:39" x14ac:dyDescent="0.2">
      <c r="A603" s="8"/>
      <c r="B603" s="117" t="s">
        <v>235</v>
      </c>
      <c r="C603" s="118" t="s">
        <v>216</v>
      </c>
      <c r="D603" s="107" t="s">
        <v>909</v>
      </c>
      <c r="E603" s="102"/>
      <c r="F603" s="279">
        <f t="shared" ref="F603:AL603" si="94">F356/(F395+F356)</f>
        <v>0.5517521092337494</v>
      </c>
      <c r="G603" s="279">
        <f t="shared" si="94"/>
        <v>0.5517521092337494</v>
      </c>
      <c r="H603" s="279">
        <f t="shared" si="94"/>
        <v>0.5517521092337494</v>
      </c>
      <c r="I603" s="279">
        <f t="shared" si="94"/>
        <v>0.5517521092337494</v>
      </c>
      <c r="J603" s="279">
        <f t="shared" si="94"/>
        <v>0.5517521092337494</v>
      </c>
      <c r="K603" s="279">
        <f t="shared" si="94"/>
        <v>0.5517521092337494</v>
      </c>
      <c r="L603" s="279">
        <f t="shared" si="94"/>
        <v>0.5517521092337494</v>
      </c>
      <c r="M603" s="279">
        <f t="shared" si="94"/>
        <v>0.5517521092337494</v>
      </c>
      <c r="N603" s="279">
        <f t="shared" si="94"/>
        <v>0.5517521092337494</v>
      </c>
      <c r="O603" s="279">
        <f t="shared" si="94"/>
        <v>0.5517521092337494</v>
      </c>
      <c r="P603" s="279">
        <f t="shared" si="94"/>
        <v>0.5517521092337494</v>
      </c>
      <c r="Q603" s="279">
        <f t="shared" si="94"/>
        <v>0.5517521092337494</v>
      </c>
      <c r="R603" s="279">
        <f t="shared" si="94"/>
        <v>0.5517521092337494</v>
      </c>
      <c r="S603" s="279">
        <f t="shared" si="94"/>
        <v>0.5517521092337494</v>
      </c>
      <c r="T603" s="279">
        <f t="shared" si="94"/>
        <v>0.5517521092337494</v>
      </c>
      <c r="U603" s="279">
        <f t="shared" si="94"/>
        <v>0.5517521092337494</v>
      </c>
      <c r="V603" s="279">
        <f t="shared" si="94"/>
        <v>0.5517521092337494</v>
      </c>
      <c r="W603" s="279">
        <f t="shared" si="94"/>
        <v>0.5517521092337494</v>
      </c>
      <c r="X603" s="279">
        <f t="shared" si="94"/>
        <v>0.5517521092337494</v>
      </c>
      <c r="Y603" s="279">
        <f t="shared" si="94"/>
        <v>0.5517521092337494</v>
      </c>
      <c r="Z603" s="279">
        <f t="shared" si="94"/>
        <v>0.5517521092337494</v>
      </c>
      <c r="AA603" s="279">
        <f t="shared" si="94"/>
        <v>0.5517521092337494</v>
      </c>
      <c r="AB603" s="279">
        <f t="shared" si="94"/>
        <v>0.5517521092337494</v>
      </c>
      <c r="AC603" s="279">
        <f t="shared" si="94"/>
        <v>0.5517521092337494</v>
      </c>
      <c r="AD603" s="279">
        <f t="shared" si="94"/>
        <v>0.5517521092337494</v>
      </c>
      <c r="AE603" s="279">
        <f t="shared" si="94"/>
        <v>0.5517521092337494</v>
      </c>
      <c r="AF603" s="279">
        <f t="shared" si="94"/>
        <v>0.5517521092337494</v>
      </c>
      <c r="AG603" s="279">
        <f t="shared" si="94"/>
        <v>0.5517521092337494</v>
      </c>
      <c r="AH603" s="279">
        <f t="shared" si="94"/>
        <v>0.5517521092337494</v>
      </c>
      <c r="AI603" s="279">
        <f t="shared" si="94"/>
        <v>0.5517521092337494</v>
      </c>
      <c r="AJ603" s="279">
        <f t="shared" si="94"/>
        <v>0.5517521092337494</v>
      </c>
      <c r="AK603" s="279">
        <f t="shared" si="94"/>
        <v>0.5517521092337494</v>
      </c>
      <c r="AL603" s="279">
        <f t="shared" si="94"/>
        <v>0.5517521092337494</v>
      </c>
      <c r="AM603" s="384">
        <f t="shared" si="76"/>
        <v>0.55175210923374951</v>
      </c>
    </row>
    <row r="604" spans="1:39" x14ac:dyDescent="0.2">
      <c r="A604" s="8"/>
      <c r="B604" s="117" t="s">
        <v>236</v>
      </c>
      <c r="C604" s="118" t="s">
        <v>216</v>
      </c>
      <c r="D604" s="107" t="s">
        <v>909</v>
      </c>
      <c r="E604" s="102"/>
      <c r="F604" s="279">
        <f t="shared" ref="F604:AL604" si="95">F357/(F396+F357)</f>
        <v>0.5517521092337494</v>
      </c>
      <c r="G604" s="279">
        <f t="shared" si="95"/>
        <v>0.5517521092337494</v>
      </c>
      <c r="H604" s="279">
        <f t="shared" si="95"/>
        <v>0.5517521092337494</v>
      </c>
      <c r="I604" s="279">
        <f t="shared" si="95"/>
        <v>0.5517521092337494</v>
      </c>
      <c r="J604" s="279">
        <f t="shared" si="95"/>
        <v>0.5517521092337494</v>
      </c>
      <c r="K604" s="279">
        <f t="shared" si="95"/>
        <v>0.5517521092337494</v>
      </c>
      <c r="L604" s="279">
        <f t="shared" si="95"/>
        <v>0.5517521092337494</v>
      </c>
      <c r="M604" s="279">
        <f t="shared" si="95"/>
        <v>0.5517521092337494</v>
      </c>
      <c r="N604" s="279">
        <f t="shared" si="95"/>
        <v>0.5517521092337494</v>
      </c>
      <c r="O604" s="279">
        <f t="shared" si="95"/>
        <v>0.5517521092337494</v>
      </c>
      <c r="P604" s="279">
        <f t="shared" si="95"/>
        <v>0.5517521092337494</v>
      </c>
      <c r="Q604" s="279">
        <f t="shared" si="95"/>
        <v>0.5517521092337494</v>
      </c>
      <c r="R604" s="279">
        <f t="shared" si="95"/>
        <v>0.5517521092337494</v>
      </c>
      <c r="S604" s="279">
        <f t="shared" si="95"/>
        <v>0.5517521092337494</v>
      </c>
      <c r="T604" s="279">
        <f t="shared" si="95"/>
        <v>0.5517521092337494</v>
      </c>
      <c r="U604" s="279">
        <f t="shared" si="95"/>
        <v>0.5517521092337494</v>
      </c>
      <c r="V604" s="279">
        <f t="shared" si="95"/>
        <v>0.5517521092337494</v>
      </c>
      <c r="W604" s="279">
        <f t="shared" si="95"/>
        <v>0.5517521092337494</v>
      </c>
      <c r="X604" s="279">
        <f t="shared" si="95"/>
        <v>0.5517521092337494</v>
      </c>
      <c r="Y604" s="279">
        <f t="shared" si="95"/>
        <v>0.5517521092337494</v>
      </c>
      <c r="Z604" s="279">
        <f t="shared" si="95"/>
        <v>0.5517521092337494</v>
      </c>
      <c r="AA604" s="279">
        <f t="shared" si="95"/>
        <v>0.5517521092337494</v>
      </c>
      <c r="AB604" s="279">
        <f t="shared" si="95"/>
        <v>0.5517521092337494</v>
      </c>
      <c r="AC604" s="279">
        <f t="shared" si="95"/>
        <v>0.5517521092337494</v>
      </c>
      <c r="AD604" s="279">
        <f t="shared" si="95"/>
        <v>0.5517521092337494</v>
      </c>
      <c r="AE604" s="279">
        <f t="shared" si="95"/>
        <v>0.5517521092337494</v>
      </c>
      <c r="AF604" s="279">
        <f t="shared" si="95"/>
        <v>0.5517521092337494</v>
      </c>
      <c r="AG604" s="279">
        <f t="shared" si="95"/>
        <v>0.5517521092337494</v>
      </c>
      <c r="AH604" s="279">
        <f t="shared" si="95"/>
        <v>0.5517521092337494</v>
      </c>
      <c r="AI604" s="279">
        <f t="shared" si="95"/>
        <v>0.5517521092337494</v>
      </c>
      <c r="AJ604" s="279">
        <f t="shared" si="95"/>
        <v>0.5517521092337494</v>
      </c>
      <c r="AK604" s="279">
        <f t="shared" si="95"/>
        <v>0.5517521092337494</v>
      </c>
      <c r="AL604" s="279">
        <f t="shared" si="95"/>
        <v>0.5517521092337494</v>
      </c>
      <c r="AM604" s="384">
        <f t="shared" si="76"/>
        <v>0.55175210923374951</v>
      </c>
    </row>
    <row r="605" spans="1:39" x14ac:dyDescent="0.2">
      <c r="A605" s="8"/>
      <c r="B605" s="117" t="s">
        <v>237</v>
      </c>
      <c r="C605" s="118" t="s">
        <v>216</v>
      </c>
      <c r="D605" s="107" t="s">
        <v>909</v>
      </c>
      <c r="E605" s="102"/>
      <c r="F605" s="279">
        <f t="shared" ref="F605:AL605" si="96">F358/(F397+F358)</f>
        <v>0.5517521092337494</v>
      </c>
      <c r="G605" s="279">
        <f t="shared" si="96"/>
        <v>0.5517521092337494</v>
      </c>
      <c r="H605" s="279">
        <f t="shared" si="96"/>
        <v>0.5517521092337494</v>
      </c>
      <c r="I605" s="279">
        <f t="shared" si="96"/>
        <v>0.5517521092337494</v>
      </c>
      <c r="J605" s="279">
        <f t="shared" si="96"/>
        <v>0.5517521092337494</v>
      </c>
      <c r="K605" s="279">
        <f t="shared" si="96"/>
        <v>0.5517521092337494</v>
      </c>
      <c r="L605" s="279">
        <f t="shared" si="96"/>
        <v>0.5517521092337494</v>
      </c>
      <c r="M605" s="279">
        <f t="shared" si="96"/>
        <v>0.5517521092337494</v>
      </c>
      <c r="N605" s="279">
        <f t="shared" si="96"/>
        <v>0.5517521092337494</v>
      </c>
      <c r="O605" s="279">
        <f t="shared" si="96"/>
        <v>0.5517521092337494</v>
      </c>
      <c r="P605" s="279">
        <f t="shared" si="96"/>
        <v>0.5517521092337494</v>
      </c>
      <c r="Q605" s="279">
        <f t="shared" si="96"/>
        <v>0.5517521092337494</v>
      </c>
      <c r="R605" s="279">
        <f t="shared" si="96"/>
        <v>0.5517521092337494</v>
      </c>
      <c r="S605" s="279">
        <f t="shared" si="96"/>
        <v>0.5517521092337494</v>
      </c>
      <c r="T605" s="279">
        <f t="shared" si="96"/>
        <v>0.5517521092337494</v>
      </c>
      <c r="U605" s="279">
        <f t="shared" si="96"/>
        <v>0.5517521092337494</v>
      </c>
      <c r="V605" s="279">
        <f t="shared" si="96"/>
        <v>0.5517521092337494</v>
      </c>
      <c r="W605" s="279">
        <f t="shared" si="96"/>
        <v>0.5517521092337494</v>
      </c>
      <c r="X605" s="279">
        <f t="shared" si="96"/>
        <v>0.5517521092337494</v>
      </c>
      <c r="Y605" s="279">
        <f t="shared" si="96"/>
        <v>0.5517521092337494</v>
      </c>
      <c r="Z605" s="279">
        <f t="shared" si="96"/>
        <v>0.5517521092337494</v>
      </c>
      <c r="AA605" s="279">
        <f t="shared" si="96"/>
        <v>0.5517521092337494</v>
      </c>
      <c r="AB605" s="279">
        <f t="shared" si="96"/>
        <v>0.5517521092337494</v>
      </c>
      <c r="AC605" s="279">
        <f t="shared" si="96"/>
        <v>0.5517521092337494</v>
      </c>
      <c r="AD605" s="279">
        <f t="shared" si="96"/>
        <v>0.5517521092337494</v>
      </c>
      <c r="AE605" s="279">
        <f t="shared" si="96"/>
        <v>0.5517521092337494</v>
      </c>
      <c r="AF605" s="279">
        <f t="shared" si="96"/>
        <v>0.5517521092337494</v>
      </c>
      <c r="AG605" s="279">
        <f t="shared" si="96"/>
        <v>0.5517521092337494</v>
      </c>
      <c r="AH605" s="279">
        <f t="shared" si="96"/>
        <v>0.5517521092337494</v>
      </c>
      <c r="AI605" s="279">
        <f t="shared" si="96"/>
        <v>0.5517521092337494</v>
      </c>
      <c r="AJ605" s="279">
        <f t="shared" si="96"/>
        <v>0.5517521092337494</v>
      </c>
      <c r="AK605" s="279">
        <f t="shared" si="96"/>
        <v>0.5517521092337494</v>
      </c>
      <c r="AL605" s="279">
        <f t="shared" si="96"/>
        <v>0.5517521092337494</v>
      </c>
      <c r="AM605" s="384">
        <f t="shared" si="76"/>
        <v>0.55175210923374951</v>
      </c>
    </row>
    <row r="606" spans="1:39" x14ac:dyDescent="0.2">
      <c r="A606" s="8"/>
      <c r="B606" s="117" t="s">
        <v>238</v>
      </c>
      <c r="C606" s="118" t="s">
        <v>216</v>
      </c>
      <c r="D606" s="107" t="s">
        <v>909</v>
      </c>
      <c r="E606" s="102"/>
      <c r="F606" s="279">
        <f t="shared" ref="F606:AL606" si="97">F359/(F398+F359)</f>
        <v>0.83344492567949735</v>
      </c>
      <c r="G606" s="279">
        <f t="shared" si="97"/>
        <v>0.83344492567949735</v>
      </c>
      <c r="H606" s="279">
        <f t="shared" si="97"/>
        <v>0.83344492567949735</v>
      </c>
      <c r="I606" s="279">
        <f t="shared" si="97"/>
        <v>0.83344492567949735</v>
      </c>
      <c r="J606" s="279">
        <f t="shared" si="97"/>
        <v>0.83344492567949735</v>
      </c>
      <c r="K606" s="279">
        <f t="shared" si="97"/>
        <v>0.83344492567949735</v>
      </c>
      <c r="L606" s="279">
        <f t="shared" si="97"/>
        <v>0.83344492567949735</v>
      </c>
      <c r="M606" s="279">
        <f t="shared" si="97"/>
        <v>0.83344492567949735</v>
      </c>
      <c r="N606" s="279">
        <f t="shared" si="97"/>
        <v>0.83344492567949735</v>
      </c>
      <c r="O606" s="279">
        <f t="shared" si="97"/>
        <v>0.83344492567949735</v>
      </c>
      <c r="P606" s="279">
        <f t="shared" si="97"/>
        <v>0.83344492567949735</v>
      </c>
      <c r="Q606" s="279">
        <f t="shared" si="97"/>
        <v>0.83344492567949735</v>
      </c>
      <c r="R606" s="279">
        <f t="shared" si="97"/>
        <v>0.83344492567949735</v>
      </c>
      <c r="S606" s="279">
        <f t="shared" si="97"/>
        <v>0.83344492567949735</v>
      </c>
      <c r="T606" s="279">
        <f t="shared" si="97"/>
        <v>0.83344492567949735</v>
      </c>
      <c r="U606" s="279">
        <f t="shared" si="97"/>
        <v>0.83344492567949735</v>
      </c>
      <c r="V606" s="279">
        <f t="shared" si="97"/>
        <v>0.83344492567949735</v>
      </c>
      <c r="W606" s="279">
        <f t="shared" si="97"/>
        <v>0.83344492567949735</v>
      </c>
      <c r="X606" s="279">
        <f t="shared" si="97"/>
        <v>0.83344492567949735</v>
      </c>
      <c r="Y606" s="279">
        <f t="shared" si="97"/>
        <v>0.83344492567949735</v>
      </c>
      <c r="Z606" s="279">
        <f t="shared" si="97"/>
        <v>0.83344492567949735</v>
      </c>
      <c r="AA606" s="279">
        <f t="shared" si="97"/>
        <v>0.83344492567949735</v>
      </c>
      <c r="AB606" s="279">
        <f t="shared" si="97"/>
        <v>0.83344492567949735</v>
      </c>
      <c r="AC606" s="279">
        <f t="shared" si="97"/>
        <v>0.83344492567949735</v>
      </c>
      <c r="AD606" s="279">
        <f t="shared" si="97"/>
        <v>0.83344492567949735</v>
      </c>
      <c r="AE606" s="279">
        <f t="shared" si="97"/>
        <v>0.83344492567949735</v>
      </c>
      <c r="AF606" s="279">
        <f t="shared" si="97"/>
        <v>0.83344492567949735</v>
      </c>
      <c r="AG606" s="279">
        <f t="shared" si="97"/>
        <v>0.83344492567949735</v>
      </c>
      <c r="AH606" s="279">
        <f t="shared" si="97"/>
        <v>0.83344492567949735</v>
      </c>
      <c r="AI606" s="279">
        <f t="shared" si="97"/>
        <v>0.83344492567949735</v>
      </c>
      <c r="AJ606" s="279">
        <f t="shared" si="97"/>
        <v>0.83344492567949735</v>
      </c>
      <c r="AK606" s="279">
        <f t="shared" si="97"/>
        <v>0.83344492567949735</v>
      </c>
      <c r="AL606" s="279">
        <f t="shared" si="97"/>
        <v>0.83344492567949735</v>
      </c>
      <c r="AM606" s="384">
        <f t="shared" si="76"/>
        <v>0.83344492567949746</v>
      </c>
    </row>
    <row r="607" spans="1:39" x14ac:dyDescent="0.2">
      <c r="A607" s="8"/>
      <c r="B607" s="117" t="s">
        <v>239</v>
      </c>
      <c r="C607" s="118" t="s">
        <v>216</v>
      </c>
      <c r="D607" s="107" t="s">
        <v>909</v>
      </c>
      <c r="E607" s="102"/>
      <c r="F607" s="279">
        <f t="shared" ref="F607:AL607" si="98">F360/(F399+F360)</f>
        <v>0.83344492567949735</v>
      </c>
      <c r="G607" s="279">
        <f t="shared" si="98"/>
        <v>0.83344492567949735</v>
      </c>
      <c r="H607" s="279">
        <f t="shared" si="98"/>
        <v>0.83344492567949735</v>
      </c>
      <c r="I607" s="279">
        <f t="shared" si="98"/>
        <v>0.83344492567949735</v>
      </c>
      <c r="J607" s="279">
        <f t="shared" si="98"/>
        <v>0.83344492567949735</v>
      </c>
      <c r="K607" s="279">
        <f t="shared" si="98"/>
        <v>0.83344492567949735</v>
      </c>
      <c r="L607" s="279">
        <f t="shared" si="98"/>
        <v>0.83344492567949735</v>
      </c>
      <c r="M607" s="279">
        <f t="shared" si="98"/>
        <v>0.83344492567949735</v>
      </c>
      <c r="N607" s="279">
        <f t="shared" si="98"/>
        <v>0.83344492567949735</v>
      </c>
      <c r="O607" s="279">
        <f t="shared" si="98"/>
        <v>0.83344492567949735</v>
      </c>
      <c r="P607" s="279">
        <f t="shared" si="98"/>
        <v>0.83344492567949735</v>
      </c>
      <c r="Q607" s="279">
        <f t="shared" si="98"/>
        <v>0.83344492567949735</v>
      </c>
      <c r="R607" s="279">
        <f t="shared" si="98"/>
        <v>0.83344492567949735</v>
      </c>
      <c r="S607" s="279">
        <f t="shared" si="98"/>
        <v>0.83344492567949735</v>
      </c>
      <c r="T607" s="279">
        <f t="shared" si="98"/>
        <v>0.83344492567949735</v>
      </c>
      <c r="U607" s="279">
        <f t="shared" si="98"/>
        <v>0.83344492567949735</v>
      </c>
      <c r="V607" s="279">
        <f t="shared" si="98"/>
        <v>0.83344492567949735</v>
      </c>
      <c r="W607" s="279">
        <f t="shared" si="98"/>
        <v>0.83344492567949735</v>
      </c>
      <c r="X607" s="279">
        <f t="shared" si="98"/>
        <v>0.83344492567949735</v>
      </c>
      <c r="Y607" s="279">
        <f t="shared" si="98"/>
        <v>0.83344492567949735</v>
      </c>
      <c r="Z607" s="279">
        <f t="shared" si="98"/>
        <v>0.83344492567949735</v>
      </c>
      <c r="AA607" s="279">
        <f t="shared" si="98"/>
        <v>0.83344492567949735</v>
      </c>
      <c r="AB607" s="279">
        <f t="shared" si="98"/>
        <v>0.83344492567949735</v>
      </c>
      <c r="AC607" s="279">
        <f t="shared" si="98"/>
        <v>0.83344492567949735</v>
      </c>
      <c r="AD607" s="279">
        <f t="shared" si="98"/>
        <v>0.83344492567949735</v>
      </c>
      <c r="AE607" s="279">
        <f t="shared" si="98"/>
        <v>0.83344492567949735</v>
      </c>
      <c r="AF607" s="279">
        <f t="shared" si="98"/>
        <v>0.83344492567949735</v>
      </c>
      <c r="AG607" s="279">
        <f t="shared" si="98"/>
        <v>0.83344492567949735</v>
      </c>
      <c r="AH607" s="279">
        <f t="shared" si="98"/>
        <v>0.83344492567949735</v>
      </c>
      <c r="AI607" s="279">
        <f t="shared" si="98"/>
        <v>0.83344492567949735</v>
      </c>
      <c r="AJ607" s="279">
        <f t="shared" si="98"/>
        <v>0.83344492567949735</v>
      </c>
      <c r="AK607" s="279">
        <f t="shared" si="98"/>
        <v>0.83344492567949735</v>
      </c>
      <c r="AL607" s="279">
        <f t="shared" si="98"/>
        <v>0.83344492567949735</v>
      </c>
      <c r="AM607" s="384">
        <f t="shared" si="76"/>
        <v>0.83344492567949746</v>
      </c>
    </row>
    <row r="608" spans="1:39" x14ac:dyDescent="0.2">
      <c r="A608" s="8"/>
      <c r="B608" s="117" t="s">
        <v>240</v>
      </c>
      <c r="C608" s="118" t="s">
        <v>216</v>
      </c>
      <c r="D608" s="107" t="s">
        <v>909</v>
      </c>
      <c r="E608" s="102"/>
      <c r="F608" s="279">
        <f t="shared" ref="F608:AL608" si="99">F361/(F400+F361)</f>
        <v>0.83344492567949735</v>
      </c>
      <c r="G608" s="279">
        <f t="shared" si="99"/>
        <v>0.83344492567949735</v>
      </c>
      <c r="H608" s="279">
        <f t="shared" si="99"/>
        <v>0.83344492567949735</v>
      </c>
      <c r="I608" s="279">
        <f t="shared" si="99"/>
        <v>0.83344492567949735</v>
      </c>
      <c r="J608" s="279">
        <f t="shared" si="99"/>
        <v>0.83344492567949735</v>
      </c>
      <c r="K608" s="279">
        <f t="shared" si="99"/>
        <v>0.83344492567949735</v>
      </c>
      <c r="L608" s="279">
        <f t="shared" si="99"/>
        <v>0.83344492567949735</v>
      </c>
      <c r="M608" s="279">
        <f t="shared" si="99"/>
        <v>0.83344492567949735</v>
      </c>
      <c r="N608" s="279">
        <f t="shared" si="99"/>
        <v>0.83344492567949735</v>
      </c>
      <c r="O608" s="279">
        <f t="shared" si="99"/>
        <v>0.83344492567949735</v>
      </c>
      <c r="P608" s="279">
        <f t="shared" si="99"/>
        <v>0.83344492567949735</v>
      </c>
      <c r="Q608" s="279">
        <f t="shared" si="99"/>
        <v>0.83344492567949735</v>
      </c>
      <c r="R608" s="279">
        <f t="shared" si="99"/>
        <v>0.83344492567949735</v>
      </c>
      <c r="S608" s="279">
        <f t="shared" si="99"/>
        <v>0.83344492567949735</v>
      </c>
      <c r="T608" s="279">
        <f t="shared" si="99"/>
        <v>0.83344492567949735</v>
      </c>
      <c r="U608" s="279">
        <f t="shared" si="99"/>
        <v>0.83344492567949735</v>
      </c>
      <c r="V608" s="279">
        <f t="shared" si="99"/>
        <v>0.83344492567949735</v>
      </c>
      <c r="W608" s="279">
        <f t="shared" si="99"/>
        <v>0.83344492567949735</v>
      </c>
      <c r="X608" s="279">
        <f t="shared" si="99"/>
        <v>0.83344492567949735</v>
      </c>
      <c r="Y608" s="279">
        <f t="shared" si="99"/>
        <v>0.83344492567949735</v>
      </c>
      <c r="Z608" s="279">
        <f t="shared" si="99"/>
        <v>0.83344492567949735</v>
      </c>
      <c r="AA608" s="279">
        <f t="shared" si="99"/>
        <v>0.83344492567949735</v>
      </c>
      <c r="AB608" s="279">
        <f t="shared" si="99"/>
        <v>0.83344492567949735</v>
      </c>
      <c r="AC608" s="279">
        <f t="shared" si="99"/>
        <v>0.83344492567949735</v>
      </c>
      <c r="AD608" s="279">
        <f t="shared" si="99"/>
        <v>0.83344492567949735</v>
      </c>
      <c r="AE608" s="279">
        <f t="shared" si="99"/>
        <v>0.83344492567949735</v>
      </c>
      <c r="AF608" s="279">
        <f t="shared" si="99"/>
        <v>0.83344492567949735</v>
      </c>
      <c r="AG608" s="279">
        <f t="shared" si="99"/>
        <v>0.83344492567949735</v>
      </c>
      <c r="AH608" s="279">
        <f t="shared" si="99"/>
        <v>0.83344492567949735</v>
      </c>
      <c r="AI608" s="279">
        <f t="shared" si="99"/>
        <v>0.83344492567949735</v>
      </c>
      <c r="AJ608" s="279">
        <f t="shared" si="99"/>
        <v>0.83344492567949735</v>
      </c>
      <c r="AK608" s="279">
        <f t="shared" si="99"/>
        <v>0.83344492567949735</v>
      </c>
      <c r="AL608" s="279">
        <f t="shared" si="99"/>
        <v>0.83344492567949735</v>
      </c>
      <c r="AM608" s="384">
        <f t="shared" si="76"/>
        <v>0.83344492567949746</v>
      </c>
    </row>
    <row r="609" spans="1:39" x14ac:dyDescent="0.2">
      <c r="A609" s="8"/>
      <c r="B609" s="117" t="s">
        <v>241</v>
      </c>
      <c r="C609" s="118" t="s">
        <v>216</v>
      </c>
      <c r="D609" s="107" t="s">
        <v>909</v>
      </c>
      <c r="E609" s="102"/>
      <c r="F609" s="279">
        <f t="shared" ref="F609:AL609" si="100">F362/(F401+F362)</f>
        <v>0.83344492567949735</v>
      </c>
      <c r="G609" s="279">
        <f t="shared" si="100"/>
        <v>0.83344492567949735</v>
      </c>
      <c r="H609" s="279">
        <f t="shared" si="100"/>
        <v>0.83344492567949735</v>
      </c>
      <c r="I609" s="279">
        <f t="shared" si="100"/>
        <v>0.83344492567949735</v>
      </c>
      <c r="J609" s="279">
        <f t="shared" si="100"/>
        <v>0.83344492567949735</v>
      </c>
      <c r="K609" s="279">
        <f t="shared" si="100"/>
        <v>0.83344492567949735</v>
      </c>
      <c r="L609" s="279">
        <f t="shared" si="100"/>
        <v>0.83344492567949735</v>
      </c>
      <c r="M609" s="279">
        <f t="shared" si="100"/>
        <v>0.83344492567949735</v>
      </c>
      <c r="N609" s="279">
        <f t="shared" si="100"/>
        <v>0.83344492567949735</v>
      </c>
      <c r="O609" s="279">
        <f t="shared" si="100"/>
        <v>0.83344492567949735</v>
      </c>
      <c r="P609" s="279">
        <f t="shared" si="100"/>
        <v>0.83344492567949735</v>
      </c>
      <c r="Q609" s="279">
        <f t="shared" si="100"/>
        <v>0.83344492567949735</v>
      </c>
      <c r="R609" s="279">
        <f t="shared" si="100"/>
        <v>0.83344492567949735</v>
      </c>
      <c r="S609" s="279">
        <f t="shared" si="100"/>
        <v>0.83344492567949735</v>
      </c>
      <c r="T609" s="279">
        <f t="shared" si="100"/>
        <v>0.83344492567949735</v>
      </c>
      <c r="U609" s="279">
        <f t="shared" si="100"/>
        <v>0.83344492567949735</v>
      </c>
      <c r="V609" s="279">
        <f t="shared" si="100"/>
        <v>0.83344492567949735</v>
      </c>
      <c r="W609" s="279">
        <f t="shared" si="100"/>
        <v>0.83344492567949735</v>
      </c>
      <c r="X609" s="279">
        <f t="shared" si="100"/>
        <v>0.83344492567949735</v>
      </c>
      <c r="Y609" s="279">
        <f t="shared" si="100"/>
        <v>0.83344492567949735</v>
      </c>
      <c r="Z609" s="279">
        <f t="shared" si="100"/>
        <v>0.83344492567949735</v>
      </c>
      <c r="AA609" s="279">
        <f t="shared" si="100"/>
        <v>0.83344492567949735</v>
      </c>
      <c r="AB609" s="279">
        <f t="shared" si="100"/>
        <v>0.83344492567949735</v>
      </c>
      <c r="AC609" s="279">
        <f t="shared" si="100"/>
        <v>0.83344492567949735</v>
      </c>
      <c r="AD609" s="279">
        <f t="shared" si="100"/>
        <v>0.83344492567949735</v>
      </c>
      <c r="AE609" s="279">
        <f t="shared" si="100"/>
        <v>0.83344492567949735</v>
      </c>
      <c r="AF609" s="279">
        <f t="shared" si="100"/>
        <v>0.83344492567949735</v>
      </c>
      <c r="AG609" s="279">
        <f t="shared" si="100"/>
        <v>0.83344492567949735</v>
      </c>
      <c r="AH609" s="279">
        <f t="shared" si="100"/>
        <v>0.83344492567949735</v>
      </c>
      <c r="AI609" s="279">
        <f t="shared" si="100"/>
        <v>0.83344492567949735</v>
      </c>
      <c r="AJ609" s="279">
        <f t="shared" si="100"/>
        <v>0.83344492567949735</v>
      </c>
      <c r="AK609" s="279">
        <f t="shared" si="100"/>
        <v>0.83344492567949735</v>
      </c>
      <c r="AL609" s="279">
        <f t="shared" si="100"/>
        <v>0.83344492567949735</v>
      </c>
      <c r="AM609" s="384">
        <f t="shared" si="76"/>
        <v>0.83344492567949746</v>
      </c>
    </row>
    <row r="610" spans="1:39" x14ac:dyDescent="0.2">
      <c r="A610" s="8"/>
      <c r="B610" s="117" t="s">
        <v>242</v>
      </c>
      <c r="C610" s="118" t="s">
        <v>216</v>
      </c>
      <c r="D610" s="107" t="s">
        <v>909</v>
      </c>
      <c r="E610" s="102"/>
      <c r="F610" s="279">
        <f t="shared" ref="F610:AL610" si="101">F363/(F402+F363)</f>
        <v>0.83344492567949735</v>
      </c>
      <c r="G610" s="279">
        <f t="shared" si="101"/>
        <v>0.83344492567949735</v>
      </c>
      <c r="H610" s="279">
        <f t="shared" si="101"/>
        <v>0.83344492567949735</v>
      </c>
      <c r="I610" s="279">
        <f t="shared" si="101"/>
        <v>0.83344492567949735</v>
      </c>
      <c r="J610" s="279">
        <f t="shared" si="101"/>
        <v>0.83344492567949735</v>
      </c>
      <c r="K610" s="279">
        <f t="shared" si="101"/>
        <v>0.83344492567949735</v>
      </c>
      <c r="L610" s="279">
        <f t="shared" si="101"/>
        <v>0.83344492567949735</v>
      </c>
      <c r="M610" s="279">
        <f t="shared" si="101"/>
        <v>0.83344492567949735</v>
      </c>
      <c r="N610" s="279">
        <f t="shared" si="101"/>
        <v>0.83344492567949735</v>
      </c>
      <c r="O610" s="279">
        <f t="shared" si="101"/>
        <v>0.83344492567949735</v>
      </c>
      <c r="P610" s="279">
        <f t="shared" si="101"/>
        <v>0.83344492567949735</v>
      </c>
      <c r="Q610" s="279">
        <f t="shared" si="101"/>
        <v>0.83344492567949735</v>
      </c>
      <c r="R610" s="279">
        <f t="shared" si="101"/>
        <v>0.83344492567949735</v>
      </c>
      <c r="S610" s="279">
        <f t="shared" si="101"/>
        <v>0.83344492567949735</v>
      </c>
      <c r="T610" s="279">
        <f t="shared" si="101"/>
        <v>0.83344492567949735</v>
      </c>
      <c r="U610" s="279">
        <f t="shared" si="101"/>
        <v>0.83344492567949735</v>
      </c>
      <c r="V610" s="279">
        <f t="shared" si="101"/>
        <v>0.83344492567949735</v>
      </c>
      <c r="W610" s="279">
        <f t="shared" si="101"/>
        <v>0.83344492567949735</v>
      </c>
      <c r="X610" s="279">
        <f t="shared" si="101"/>
        <v>0.83344492567949735</v>
      </c>
      <c r="Y610" s="279">
        <f t="shared" si="101"/>
        <v>0.83344492567949735</v>
      </c>
      <c r="Z610" s="279">
        <f t="shared" si="101"/>
        <v>0.83344492567949735</v>
      </c>
      <c r="AA610" s="279">
        <f t="shared" si="101"/>
        <v>0.83344492567949735</v>
      </c>
      <c r="AB610" s="279">
        <f t="shared" si="101"/>
        <v>0.83344492567949735</v>
      </c>
      <c r="AC610" s="279">
        <f t="shared" si="101"/>
        <v>0.83344492567949735</v>
      </c>
      <c r="AD610" s="279">
        <f t="shared" si="101"/>
        <v>0.83344492567949735</v>
      </c>
      <c r="AE610" s="279">
        <f t="shared" si="101"/>
        <v>0.83344492567949735</v>
      </c>
      <c r="AF610" s="279">
        <f t="shared" si="101"/>
        <v>0.83344492567949735</v>
      </c>
      <c r="AG610" s="279">
        <f t="shared" si="101"/>
        <v>0.83344492567949735</v>
      </c>
      <c r="AH610" s="279">
        <f t="shared" si="101"/>
        <v>0.83344492567949735</v>
      </c>
      <c r="AI610" s="279">
        <f t="shared" si="101"/>
        <v>0.83344492567949735</v>
      </c>
      <c r="AJ610" s="279">
        <f t="shared" si="101"/>
        <v>0.83344492567949735</v>
      </c>
      <c r="AK610" s="279">
        <f t="shared" si="101"/>
        <v>0.83344492567949735</v>
      </c>
      <c r="AL610" s="279">
        <f t="shared" si="101"/>
        <v>0.83344492567949735</v>
      </c>
      <c r="AM610" s="384">
        <f t="shared" si="76"/>
        <v>0.83344492567949746</v>
      </c>
    </row>
    <row r="611" spans="1:39" x14ac:dyDescent="0.2">
      <c r="A611" s="8"/>
      <c r="B611" s="117" t="s">
        <v>243</v>
      </c>
      <c r="C611" s="118" t="s">
        <v>216</v>
      </c>
      <c r="D611" s="107" t="s">
        <v>909</v>
      </c>
      <c r="E611" s="102"/>
      <c r="F611" s="279">
        <f t="shared" ref="F611:AL611" si="102">F364/(F403+F364)</f>
        <v>0.83344492567949735</v>
      </c>
      <c r="G611" s="279">
        <f t="shared" si="102"/>
        <v>0.83344492567949735</v>
      </c>
      <c r="H611" s="279">
        <f t="shared" si="102"/>
        <v>0.83344492567949735</v>
      </c>
      <c r="I611" s="279">
        <f t="shared" si="102"/>
        <v>0.83344492567949735</v>
      </c>
      <c r="J611" s="279">
        <f t="shared" si="102"/>
        <v>0.83344492567949735</v>
      </c>
      <c r="K611" s="279">
        <f t="shared" si="102"/>
        <v>0.83344492567949735</v>
      </c>
      <c r="L611" s="279">
        <f t="shared" si="102"/>
        <v>0.83344492567949735</v>
      </c>
      <c r="M611" s="279">
        <f t="shared" si="102"/>
        <v>0.83344492567949735</v>
      </c>
      <c r="N611" s="279">
        <f t="shared" si="102"/>
        <v>0.83344492567949735</v>
      </c>
      <c r="O611" s="279">
        <f t="shared" si="102"/>
        <v>0.83344492567949735</v>
      </c>
      <c r="P611" s="279">
        <f t="shared" si="102"/>
        <v>0.83344492567949735</v>
      </c>
      <c r="Q611" s="279">
        <f t="shared" si="102"/>
        <v>0.83344492567949735</v>
      </c>
      <c r="R611" s="279">
        <f t="shared" si="102"/>
        <v>0.83344492567949735</v>
      </c>
      <c r="S611" s="279">
        <f t="shared" si="102"/>
        <v>0.83344492567949735</v>
      </c>
      <c r="T611" s="279">
        <f t="shared" si="102"/>
        <v>0.83344492567949735</v>
      </c>
      <c r="U611" s="279">
        <f t="shared" si="102"/>
        <v>0.83344492567949735</v>
      </c>
      <c r="V611" s="279">
        <f t="shared" si="102"/>
        <v>0.83344492567949735</v>
      </c>
      <c r="W611" s="279">
        <f t="shared" si="102"/>
        <v>0.83344492567949735</v>
      </c>
      <c r="X611" s="279">
        <f t="shared" si="102"/>
        <v>0.83344492567949735</v>
      </c>
      <c r="Y611" s="279">
        <f t="shared" si="102"/>
        <v>0.83344492567949735</v>
      </c>
      <c r="Z611" s="279">
        <f t="shared" si="102"/>
        <v>0.83344492567949735</v>
      </c>
      <c r="AA611" s="279">
        <f t="shared" si="102"/>
        <v>0.83344492567949735</v>
      </c>
      <c r="AB611" s="279">
        <f t="shared" si="102"/>
        <v>0.83344492567949735</v>
      </c>
      <c r="AC611" s="279">
        <f t="shared" si="102"/>
        <v>0.83344492567949735</v>
      </c>
      <c r="AD611" s="279">
        <f t="shared" si="102"/>
        <v>0.83344492567949735</v>
      </c>
      <c r="AE611" s="279">
        <f t="shared" si="102"/>
        <v>0.83344492567949735</v>
      </c>
      <c r="AF611" s="279">
        <f t="shared" si="102"/>
        <v>0.83344492567949735</v>
      </c>
      <c r="AG611" s="279">
        <f t="shared" si="102"/>
        <v>0.83344492567949735</v>
      </c>
      <c r="AH611" s="279">
        <f t="shared" si="102"/>
        <v>0.83344492567949735</v>
      </c>
      <c r="AI611" s="279">
        <f t="shared" si="102"/>
        <v>0.83344492567949735</v>
      </c>
      <c r="AJ611" s="279">
        <f t="shared" si="102"/>
        <v>0.83344492567949735</v>
      </c>
      <c r="AK611" s="279">
        <f t="shared" si="102"/>
        <v>0.83344492567949735</v>
      </c>
      <c r="AL611" s="279">
        <f t="shared" si="102"/>
        <v>0.83344492567949735</v>
      </c>
      <c r="AM611" s="384">
        <f t="shared" si="76"/>
        <v>0.83344492567949746</v>
      </c>
    </row>
    <row r="612" spans="1:39" x14ac:dyDescent="0.2">
      <c r="A612" s="8"/>
      <c r="B612" s="117" t="s">
        <v>244</v>
      </c>
      <c r="C612" s="118" t="s">
        <v>216</v>
      </c>
      <c r="D612" s="107" t="s">
        <v>909</v>
      </c>
      <c r="E612" s="102"/>
      <c r="F612" s="279">
        <f t="shared" ref="F612:AL612" si="103">F365/(F404+F365)</f>
        <v>0.83344492567949735</v>
      </c>
      <c r="G612" s="279">
        <f t="shared" si="103"/>
        <v>0.83344492567949735</v>
      </c>
      <c r="H612" s="279">
        <f t="shared" si="103"/>
        <v>0.83344492567949735</v>
      </c>
      <c r="I612" s="279">
        <f t="shared" si="103"/>
        <v>0.83344492567949735</v>
      </c>
      <c r="J612" s="279">
        <f t="shared" si="103"/>
        <v>0.83344492567949735</v>
      </c>
      <c r="K612" s="279">
        <f t="shared" si="103"/>
        <v>0.83344492567949735</v>
      </c>
      <c r="L612" s="279">
        <f t="shared" si="103"/>
        <v>0.83344492567949735</v>
      </c>
      <c r="M612" s="279">
        <f t="shared" si="103"/>
        <v>0.83344492567949735</v>
      </c>
      <c r="N612" s="279">
        <f t="shared" si="103"/>
        <v>0.83344492567949735</v>
      </c>
      <c r="O612" s="279">
        <f t="shared" si="103"/>
        <v>0.83344492567949735</v>
      </c>
      <c r="P612" s="279">
        <f t="shared" si="103"/>
        <v>0.83344492567949735</v>
      </c>
      <c r="Q612" s="279">
        <f t="shared" si="103"/>
        <v>0.83344492567949735</v>
      </c>
      <c r="R612" s="279">
        <f t="shared" si="103"/>
        <v>0.83344492567949735</v>
      </c>
      <c r="S612" s="279">
        <f t="shared" si="103"/>
        <v>0.83344492567949735</v>
      </c>
      <c r="T612" s="279">
        <f t="shared" si="103"/>
        <v>0.83344492567949735</v>
      </c>
      <c r="U612" s="279">
        <f t="shared" si="103"/>
        <v>0.83344492567949735</v>
      </c>
      <c r="V612" s="279">
        <f t="shared" si="103"/>
        <v>0.83344492567949735</v>
      </c>
      <c r="W612" s="279">
        <f t="shared" si="103"/>
        <v>0.83344492567949735</v>
      </c>
      <c r="X612" s="279">
        <f t="shared" si="103"/>
        <v>0.83344492567949735</v>
      </c>
      <c r="Y612" s="279">
        <f t="shared" si="103"/>
        <v>0.83344492567949735</v>
      </c>
      <c r="Z612" s="279">
        <f t="shared" si="103"/>
        <v>0.83344492567949735</v>
      </c>
      <c r="AA612" s="279">
        <f t="shared" si="103"/>
        <v>0.83344492567949735</v>
      </c>
      <c r="AB612" s="279">
        <f t="shared" si="103"/>
        <v>0.83344492567949735</v>
      </c>
      <c r="AC612" s="279">
        <f t="shared" si="103"/>
        <v>0.83344492567949735</v>
      </c>
      <c r="AD612" s="279">
        <f t="shared" si="103"/>
        <v>0.83344492567949735</v>
      </c>
      <c r="AE612" s="279">
        <f t="shared" si="103"/>
        <v>0.83344492567949735</v>
      </c>
      <c r="AF612" s="279">
        <f t="shared" si="103"/>
        <v>0.83344492567949735</v>
      </c>
      <c r="AG612" s="279">
        <f t="shared" si="103"/>
        <v>0.83344492567949735</v>
      </c>
      <c r="AH612" s="279">
        <f t="shared" si="103"/>
        <v>0.83344492567949735</v>
      </c>
      <c r="AI612" s="279">
        <f t="shared" si="103"/>
        <v>0.83344492567949735</v>
      </c>
      <c r="AJ612" s="279">
        <f t="shared" si="103"/>
        <v>0.83344492567949735</v>
      </c>
      <c r="AK612" s="279">
        <f t="shared" si="103"/>
        <v>0.83344492567949735</v>
      </c>
      <c r="AL612" s="279">
        <f t="shared" si="103"/>
        <v>0.83344492567949735</v>
      </c>
      <c r="AM612" s="384">
        <f t="shared" si="76"/>
        <v>0.83344492567949746</v>
      </c>
    </row>
    <row r="613" spans="1:39" x14ac:dyDescent="0.2">
      <c r="A613" s="8"/>
      <c r="B613" s="117" t="s">
        <v>245</v>
      </c>
      <c r="C613" s="118" t="s">
        <v>216</v>
      </c>
      <c r="D613" s="107" t="s">
        <v>909</v>
      </c>
      <c r="E613" s="102"/>
      <c r="F613" s="279">
        <f t="shared" ref="F613:AL613" si="104">F366/(F405+F366)</f>
        <v>0.83344492567949735</v>
      </c>
      <c r="G613" s="279">
        <f t="shared" si="104"/>
        <v>0.83344492567949735</v>
      </c>
      <c r="H613" s="279">
        <f t="shared" si="104"/>
        <v>0.83344492567949735</v>
      </c>
      <c r="I613" s="279">
        <f t="shared" si="104"/>
        <v>0.83344492567949735</v>
      </c>
      <c r="J613" s="279">
        <f t="shared" si="104"/>
        <v>0.83344492567949735</v>
      </c>
      <c r="K613" s="279">
        <f t="shared" si="104"/>
        <v>0.83344492567949735</v>
      </c>
      <c r="L613" s="279">
        <f t="shared" si="104"/>
        <v>0.83344492567949735</v>
      </c>
      <c r="M613" s="279">
        <f t="shared" si="104"/>
        <v>0.83344492567949735</v>
      </c>
      <c r="N613" s="279">
        <f t="shared" si="104"/>
        <v>0.83344492567949735</v>
      </c>
      <c r="O613" s="279">
        <f t="shared" si="104"/>
        <v>0.83344492567949735</v>
      </c>
      <c r="P613" s="279">
        <f t="shared" si="104"/>
        <v>0.83344492567949735</v>
      </c>
      <c r="Q613" s="279">
        <f t="shared" si="104"/>
        <v>0.83344492567949735</v>
      </c>
      <c r="R613" s="279">
        <f t="shared" si="104"/>
        <v>0.83344492567949735</v>
      </c>
      <c r="S613" s="279">
        <f t="shared" si="104"/>
        <v>0.83344492567949735</v>
      </c>
      <c r="T613" s="279">
        <f t="shared" si="104"/>
        <v>0.83344492567949735</v>
      </c>
      <c r="U613" s="279">
        <f t="shared" si="104"/>
        <v>0.83344492567949735</v>
      </c>
      <c r="V613" s="279">
        <f t="shared" si="104"/>
        <v>0.83344492567949735</v>
      </c>
      <c r="W613" s="279">
        <f t="shared" si="104"/>
        <v>0.83344492567949735</v>
      </c>
      <c r="X613" s="279">
        <f t="shared" si="104"/>
        <v>0.83344492567949735</v>
      </c>
      <c r="Y613" s="279">
        <f t="shared" si="104"/>
        <v>0.83344492567949735</v>
      </c>
      <c r="Z613" s="279">
        <f t="shared" si="104"/>
        <v>0.83344492567949735</v>
      </c>
      <c r="AA613" s="279">
        <f t="shared" si="104"/>
        <v>0.83344492567949735</v>
      </c>
      <c r="AB613" s="279">
        <f t="shared" si="104"/>
        <v>0.83344492567949735</v>
      </c>
      <c r="AC613" s="279">
        <f t="shared" si="104"/>
        <v>0.83344492567949735</v>
      </c>
      <c r="AD613" s="279">
        <f t="shared" si="104"/>
        <v>0.83344492567949735</v>
      </c>
      <c r="AE613" s="279">
        <f t="shared" si="104"/>
        <v>0.83344492567949735</v>
      </c>
      <c r="AF613" s="279">
        <f t="shared" si="104"/>
        <v>0.83344492567949735</v>
      </c>
      <c r="AG613" s="279">
        <f t="shared" si="104"/>
        <v>0.83344492567949735</v>
      </c>
      <c r="AH613" s="279">
        <f t="shared" si="104"/>
        <v>0.83344492567949735</v>
      </c>
      <c r="AI613" s="279">
        <f t="shared" si="104"/>
        <v>0.83344492567949735</v>
      </c>
      <c r="AJ613" s="279">
        <f t="shared" si="104"/>
        <v>0.83344492567949735</v>
      </c>
      <c r="AK613" s="279">
        <f t="shared" si="104"/>
        <v>0.83344492567949735</v>
      </c>
      <c r="AL613" s="279">
        <f t="shared" si="104"/>
        <v>0.83344492567949735</v>
      </c>
      <c r="AM613" s="384">
        <f t="shared" si="76"/>
        <v>0.83344492567949746</v>
      </c>
    </row>
    <row r="614" spans="1:39" x14ac:dyDescent="0.2">
      <c r="A614" s="8"/>
      <c r="B614" s="117" t="s">
        <v>246</v>
      </c>
      <c r="C614" s="118" t="s">
        <v>216</v>
      </c>
      <c r="D614" s="107" t="s">
        <v>908</v>
      </c>
      <c r="E614" s="102"/>
      <c r="F614" s="279">
        <f t="shared" ref="F614:AL614" si="105">F170*F580*(1-F301/100)+F572</f>
        <v>0.41242414830543916</v>
      </c>
      <c r="G614" s="279">
        <f t="shared" si="105"/>
        <v>0.44266498128145554</v>
      </c>
      <c r="H614" s="279">
        <f t="shared" si="105"/>
        <v>0.39649182919609405</v>
      </c>
      <c r="I614" s="279">
        <f t="shared" si="105"/>
        <v>0.43313016623752948</v>
      </c>
      <c r="J614" s="279">
        <f t="shared" si="105"/>
        <v>0.44775439695151853</v>
      </c>
      <c r="K614" s="279">
        <f t="shared" si="105"/>
        <v>0.39486792131770254</v>
      </c>
      <c r="L614" s="279">
        <f t="shared" si="105"/>
        <v>0.5423482771224476</v>
      </c>
      <c r="M614" s="279">
        <f t="shared" si="105"/>
        <v>0.44533832855935052</v>
      </c>
      <c r="N614" s="279">
        <f t="shared" si="105"/>
        <v>0.39628414373889986</v>
      </c>
      <c r="O614" s="279">
        <f t="shared" si="105"/>
        <v>0.39333593204159767</v>
      </c>
      <c r="P614" s="279">
        <f t="shared" si="105"/>
        <v>0.3954756678701114</v>
      </c>
      <c r="Q614" s="279">
        <f t="shared" si="105"/>
        <v>0.41845118396584791</v>
      </c>
      <c r="R614" s="279">
        <f t="shared" si="105"/>
        <v>0.41132909794123973</v>
      </c>
      <c r="S614" s="279">
        <f t="shared" si="105"/>
        <v>0.39433760272864976</v>
      </c>
      <c r="T614" s="279">
        <f t="shared" si="105"/>
        <v>0.38620407216420799</v>
      </c>
      <c r="U614" s="279">
        <f t="shared" si="105"/>
        <v>0.40804357254464113</v>
      </c>
      <c r="V614" s="279">
        <f t="shared" si="105"/>
        <v>0.39001603421310049</v>
      </c>
      <c r="W614" s="279">
        <f t="shared" si="105"/>
        <v>0.39057286913518968</v>
      </c>
      <c r="X614" s="279">
        <f t="shared" si="105"/>
        <v>0.42948649118782073</v>
      </c>
      <c r="Y614" s="279">
        <f t="shared" si="105"/>
        <v>0.38590312353258083</v>
      </c>
      <c r="Z614" s="279">
        <f t="shared" si="105"/>
        <v>0.5214583862570249</v>
      </c>
      <c r="AA614" s="279">
        <f t="shared" si="105"/>
        <v>0.40315415185023312</v>
      </c>
      <c r="AB614" s="279">
        <f t="shared" si="105"/>
        <v>0.41965164842489566</v>
      </c>
      <c r="AC614" s="279">
        <f t="shared" si="105"/>
        <v>0.40616057283512907</v>
      </c>
      <c r="AD614" s="279">
        <f t="shared" si="105"/>
        <v>0.38795799939872133</v>
      </c>
      <c r="AE614" s="279">
        <f t="shared" si="105"/>
        <v>0.41825786286474209</v>
      </c>
      <c r="AF614" s="279">
        <f t="shared" si="105"/>
        <v>0.38219297765616356</v>
      </c>
      <c r="AG614" s="279">
        <f t="shared" si="105"/>
        <v>0.42323774208062992</v>
      </c>
      <c r="AH614" s="279">
        <f t="shared" si="105"/>
        <v>0.44075840610847528</v>
      </c>
      <c r="AI614" s="279">
        <f t="shared" si="105"/>
        <v>0.39815113915337685</v>
      </c>
      <c r="AJ614" s="279">
        <f t="shared" si="105"/>
        <v>0.44081020534998266</v>
      </c>
      <c r="AK614" s="279">
        <f t="shared" si="105"/>
        <v>0.38417519531088812</v>
      </c>
      <c r="AL614" s="279">
        <f t="shared" si="105"/>
        <v>0.46264538571716474</v>
      </c>
      <c r="AM614" s="384">
        <f t="shared" si="76"/>
        <v>0.418274894334632</v>
      </c>
    </row>
    <row r="615" spans="1:39" x14ac:dyDescent="0.2">
      <c r="A615" s="8"/>
      <c r="B615" s="117" t="s">
        <v>247</v>
      </c>
      <c r="C615" s="118" t="s">
        <v>216</v>
      </c>
      <c r="D615" s="107" t="s">
        <v>909</v>
      </c>
      <c r="E615" s="102"/>
      <c r="F615" s="279">
        <f t="shared" ref="F615:AL615" si="106">F368/(F407+F368)</f>
        <v>0.83333400000000002</v>
      </c>
      <c r="G615" s="279">
        <f t="shared" si="106"/>
        <v>0.83333400000000002</v>
      </c>
      <c r="H615" s="279">
        <f t="shared" si="106"/>
        <v>0.83333400000000002</v>
      </c>
      <c r="I615" s="279">
        <f t="shared" si="106"/>
        <v>0.83333400000000002</v>
      </c>
      <c r="J615" s="279">
        <f t="shared" si="106"/>
        <v>0.83333400000000002</v>
      </c>
      <c r="K615" s="279">
        <f t="shared" si="106"/>
        <v>0.83333400000000002</v>
      </c>
      <c r="L615" s="279">
        <f t="shared" si="106"/>
        <v>0.83333400000000002</v>
      </c>
      <c r="M615" s="279">
        <f t="shared" si="106"/>
        <v>0.83333400000000002</v>
      </c>
      <c r="N615" s="279">
        <f t="shared" si="106"/>
        <v>0.83333400000000002</v>
      </c>
      <c r="O615" s="279">
        <f t="shared" si="106"/>
        <v>0.83333400000000002</v>
      </c>
      <c r="P615" s="279">
        <f t="shared" si="106"/>
        <v>0.83333400000000002</v>
      </c>
      <c r="Q615" s="279">
        <f t="shared" si="106"/>
        <v>0.83333400000000002</v>
      </c>
      <c r="R615" s="279">
        <f t="shared" si="106"/>
        <v>0.83333400000000002</v>
      </c>
      <c r="S615" s="279">
        <f t="shared" si="106"/>
        <v>0.83333400000000002</v>
      </c>
      <c r="T615" s="279">
        <f t="shared" si="106"/>
        <v>0.83333400000000002</v>
      </c>
      <c r="U615" s="279">
        <f t="shared" si="106"/>
        <v>0.83333400000000002</v>
      </c>
      <c r="V615" s="279">
        <f t="shared" si="106"/>
        <v>0.83333400000000002</v>
      </c>
      <c r="W615" s="279">
        <f t="shared" si="106"/>
        <v>0.83333400000000002</v>
      </c>
      <c r="X615" s="279">
        <f t="shared" si="106"/>
        <v>0.83333400000000002</v>
      </c>
      <c r="Y615" s="279">
        <f t="shared" si="106"/>
        <v>0.83333400000000002</v>
      </c>
      <c r="Z615" s="279">
        <f t="shared" si="106"/>
        <v>0.83333400000000002</v>
      </c>
      <c r="AA615" s="279">
        <f t="shared" si="106"/>
        <v>0.83333400000000002</v>
      </c>
      <c r="AB615" s="279">
        <f t="shared" si="106"/>
        <v>0.83333400000000002</v>
      </c>
      <c r="AC615" s="279">
        <f t="shared" si="106"/>
        <v>0.83333400000000002</v>
      </c>
      <c r="AD615" s="279">
        <f t="shared" si="106"/>
        <v>0.83333400000000002</v>
      </c>
      <c r="AE615" s="279">
        <f t="shared" si="106"/>
        <v>0.83333400000000002</v>
      </c>
      <c r="AF615" s="279">
        <f t="shared" si="106"/>
        <v>0.83333400000000002</v>
      </c>
      <c r="AG615" s="279">
        <f t="shared" si="106"/>
        <v>0.83333400000000002</v>
      </c>
      <c r="AH615" s="279">
        <f t="shared" si="106"/>
        <v>0.83333400000000002</v>
      </c>
      <c r="AI615" s="279">
        <f t="shared" si="106"/>
        <v>0.83333400000000002</v>
      </c>
      <c r="AJ615" s="279">
        <f t="shared" si="106"/>
        <v>0.83333400000000002</v>
      </c>
      <c r="AK615" s="279">
        <f t="shared" si="106"/>
        <v>0.83333400000000002</v>
      </c>
      <c r="AL615" s="279">
        <f t="shared" si="106"/>
        <v>0.83333400000000002</v>
      </c>
      <c r="AM615" s="384">
        <f t="shared" si="76"/>
        <v>0.83333400000000046</v>
      </c>
    </row>
    <row r="616" spans="1:39" x14ac:dyDescent="0.2">
      <c r="A616" s="8"/>
      <c r="B616" s="117" t="s">
        <v>248</v>
      </c>
      <c r="C616" s="118" t="s">
        <v>216</v>
      </c>
      <c r="D616" s="107" t="s">
        <v>909</v>
      </c>
      <c r="E616" s="102"/>
      <c r="F616" s="279">
        <f t="shared" ref="F616:AL616" si="107">F369/(F408+F369)</f>
        <v>0.86953605100477804</v>
      </c>
      <c r="G616" s="279">
        <f t="shared" si="107"/>
        <v>0.86953605100477804</v>
      </c>
      <c r="H616" s="279">
        <f t="shared" si="107"/>
        <v>0.86953605100477804</v>
      </c>
      <c r="I616" s="279">
        <f t="shared" si="107"/>
        <v>0.86953605100477804</v>
      </c>
      <c r="J616" s="279">
        <f t="shared" si="107"/>
        <v>0.86953605100477804</v>
      </c>
      <c r="K616" s="279">
        <f t="shared" si="107"/>
        <v>0.86953605100477804</v>
      </c>
      <c r="L616" s="279">
        <f t="shared" si="107"/>
        <v>0.86953605100477804</v>
      </c>
      <c r="M616" s="279">
        <f t="shared" si="107"/>
        <v>0.86953605100477804</v>
      </c>
      <c r="N616" s="279">
        <f t="shared" si="107"/>
        <v>0.86953605100477804</v>
      </c>
      <c r="O616" s="279">
        <f t="shared" si="107"/>
        <v>0.86953605100477804</v>
      </c>
      <c r="P616" s="279">
        <f t="shared" si="107"/>
        <v>0.86953605100477804</v>
      </c>
      <c r="Q616" s="279">
        <f t="shared" si="107"/>
        <v>0.86953605100477804</v>
      </c>
      <c r="R616" s="279">
        <f t="shared" si="107"/>
        <v>0.86953605100477804</v>
      </c>
      <c r="S616" s="279">
        <f t="shared" si="107"/>
        <v>0.86953605100477804</v>
      </c>
      <c r="T616" s="279">
        <f t="shared" si="107"/>
        <v>0.86953605100477804</v>
      </c>
      <c r="U616" s="279">
        <f t="shared" si="107"/>
        <v>0.86953605100477804</v>
      </c>
      <c r="V616" s="279">
        <f t="shared" si="107"/>
        <v>0.86953605100477804</v>
      </c>
      <c r="W616" s="279">
        <f t="shared" si="107"/>
        <v>0.86953605100477804</v>
      </c>
      <c r="X616" s="279">
        <f t="shared" si="107"/>
        <v>0.86953605100477804</v>
      </c>
      <c r="Y616" s="279">
        <f t="shared" si="107"/>
        <v>0.86953605100477804</v>
      </c>
      <c r="Z616" s="279">
        <f t="shared" si="107"/>
        <v>0.86953605100477804</v>
      </c>
      <c r="AA616" s="279">
        <f t="shared" si="107"/>
        <v>0.86953605100477804</v>
      </c>
      <c r="AB616" s="279">
        <f t="shared" si="107"/>
        <v>0.86953605100477804</v>
      </c>
      <c r="AC616" s="279">
        <f t="shared" si="107"/>
        <v>0.86953605100477804</v>
      </c>
      <c r="AD616" s="279">
        <f t="shared" si="107"/>
        <v>0.86953605100477804</v>
      </c>
      <c r="AE616" s="279">
        <f t="shared" si="107"/>
        <v>0.86953605100477804</v>
      </c>
      <c r="AF616" s="279">
        <f t="shared" si="107"/>
        <v>0.86953605100477804</v>
      </c>
      <c r="AG616" s="279">
        <f t="shared" si="107"/>
        <v>0.86953605100477804</v>
      </c>
      <c r="AH616" s="279">
        <f t="shared" si="107"/>
        <v>0.86953605100477804</v>
      </c>
      <c r="AI616" s="279">
        <f t="shared" si="107"/>
        <v>0.86953605100477804</v>
      </c>
      <c r="AJ616" s="279">
        <f t="shared" si="107"/>
        <v>0.86953605100477804</v>
      </c>
      <c r="AK616" s="279">
        <f t="shared" si="107"/>
        <v>0.86953605100477804</v>
      </c>
      <c r="AL616" s="279">
        <f t="shared" si="107"/>
        <v>0.86953605100477804</v>
      </c>
      <c r="AM616" s="384">
        <f t="shared" si="76"/>
        <v>0.86953605100477838</v>
      </c>
    </row>
    <row r="617" spans="1:39" x14ac:dyDescent="0.2">
      <c r="A617" s="8"/>
      <c r="B617" s="117" t="s">
        <v>249</v>
      </c>
      <c r="C617" s="118" t="s">
        <v>216</v>
      </c>
      <c r="D617" s="107" t="s">
        <v>909</v>
      </c>
      <c r="E617" s="102"/>
      <c r="F617" s="279">
        <f t="shared" ref="F617:AL617" si="108">F370/(F409+F370)</f>
        <v>0.83333400000000002</v>
      </c>
      <c r="G617" s="279">
        <f t="shared" si="108"/>
        <v>0.83333400000000002</v>
      </c>
      <c r="H617" s="279">
        <f t="shared" si="108"/>
        <v>0.83333400000000002</v>
      </c>
      <c r="I617" s="279">
        <f t="shared" si="108"/>
        <v>0.83333400000000002</v>
      </c>
      <c r="J617" s="279">
        <f t="shared" si="108"/>
        <v>0.83333400000000002</v>
      </c>
      <c r="K617" s="279">
        <f t="shared" si="108"/>
        <v>0.83333400000000002</v>
      </c>
      <c r="L617" s="279">
        <f t="shared" si="108"/>
        <v>0.83333400000000002</v>
      </c>
      <c r="M617" s="279">
        <f t="shared" si="108"/>
        <v>0.83333400000000002</v>
      </c>
      <c r="N617" s="279">
        <f t="shared" si="108"/>
        <v>0.83333400000000002</v>
      </c>
      <c r="O617" s="279">
        <f t="shared" si="108"/>
        <v>0.83333400000000002</v>
      </c>
      <c r="P617" s="279">
        <f t="shared" si="108"/>
        <v>0.83333400000000002</v>
      </c>
      <c r="Q617" s="279">
        <f t="shared" si="108"/>
        <v>0.83333400000000002</v>
      </c>
      <c r="R617" s="279">
        <f t="shared" si="108"/>
        <v>0.83333400000000002</v>
      </c>
      <c r="S617" s="279">
        <f t="shared" si="108"/>
        <v>0.83333400000000002</v>
      </c>
      <c r="T617" s="279">
        <f t="shared" si="108"/>
        <v>0.83333400000000002</v>
      </c>
      <c r="U617" s="279">
        <f t="shared" si="108"/>
        <v>0.83333400000000002</v>
      </c>
      <c r="V617" s="279">
        <f t="shared" si="108"/>
        <v>0.83333400000000002</v>
      </c>
      <c r="W617" s="279">
        <f t="shared" si="108"/>
        <v>0.83333400000000002</v>
      </c>
      <c r="X617" s="279">
        <f t="shared" si="108"/>
        <v>0.83333400000000002</v>
      </c>
      <c r="Y617" s="279">
        <f t="shared" si="108"/>
        <v>0.83333400000000002</v>
      </c>
      <c r="Z617" s="279">
        <f t="shared" si="108"/>
        <v>0.83333400000000002</v>
      </c>
      <c r="AA617" s="279">
        <f t="shared" si="108"/>
        <v>0.83333400000000002</v>
      </c>
      <c r="AB617" s="279">
        <f t="shared" si="108"/>
        <v>0.83333400000000002</v>
      </c>
      <c r="AC617" s="279">
        <f t="shared" si="108"/>
        <v>0.83333400000000002</v>
      </c>
      <c r="AD617" s="279">
        <f t="shared" si="108"/>
        <v>0.83333400000000002</v>
      </c>
      <c r="AE617" s="279">
        <f t="shared" si="108"/>
        <v>0.83333400000000002</v>
      </c>
      <c r="AF617" s="279">
        <f t="shared" si="108"/>
        <v>0.83333400000000002</v>
      </c>
      <c r="AG617" s="279">
        <f t="shared" si="108"/>
        <v>0.83333400000000002</v>
      </c>
      <c r="AH617" s="279">
        <f t="shared" si="108"/>
        <v>0.83333400000000002</v>
      </c>
      <c r="AI617" s="279">
        <f t="shared" si="108"/>
        <v>0.83333400000000002</v>
      </c>
      <c r="AJ617" s="279">
        <f t="shared" si="108"/>
        <v>0.83333400000000002</v>
      </c>
      <c r="AK617" s="279">
        <f t="shared" si="108"/>
        <v>0.83333400000000002</v>
      </c>
      <c r="AL617" s="279">
        <f t="shared" si="108"/>
        <v>0.83333400000000002</v>
      </c>
      <c r="AM617" s="384">
        <f t="shared" si="76"/>
        <v>0.83333400000000046</v>
      </c>
    </row>
    <row r="618" spans="1:39" x14ac:dyDescent="0.2">
      <c r="A618" s="8"/>
      <c r="B618" s="117" t="s">
        <v>250</v>
      </c>
      <c r="C618" s="118" t="s">
        <v>216</v>
      </c>
      <c r="D618" s="107" t="s">
        <v>909</v>
      </c>
      <c r="E618" s="102"/>
      <c r="F618" s="279">
        <f t="shared" ref="F618:AL618" si="109">F371/(F410+F371)</f>
        <v>0.85224900342474263</v>
      </c>
      <c r="G618" s="279">
        <f t="shared" si="109"/>
        <v>0.85224900342474263</v>
      </c>
      <c r="H618" s="279">
        <f t="shared" si="109"/>
        <v>0.85224900342474263</v>
      </c>
      <c r="I618" s="279">
        <f t="shared" si="109"/>
        <v>0.85224900342474263</v>
      </c>
      <c r="J618" s="279">
        <f t="shared" si="109"/>
        <v>0.85224900342474263</v>
      </c>
      <c r="K618" s="279">
        <f t="shared" si="109"/>
        <v>0.85224900342474263</v>
      </c>
      <c r="L618" s="279">
        <f t="shared" si="109"/>
        <v>0.85224900342474263</v>
      </c>
      <c r="M618" s="279">
        <f t="shared" si="109"/>
        <v>0.85224900342474263</v>
      </c>
      <c r="N618" s="279">
        <f t="shared" si="109"/>
        <v>0.85224900342474263</v>
      </c>
      <c r="O618" s="279">
        <f t="shared" si="109"/>
        <v>0.85224900342474263</v>
      </c>
      <c r="P618" s="279">
        <f t="shared" si="109"/>
        <v>0.85224900342474263</v>
      </c>
      <c r="Q618" s="279">
        <f t="shared" si="109"/>
        <v>0.85224900342474263</v>
      </c>
      <c r="R618" s="279">
        <f t="shared" si="109"/>
        <v>0.85224900342474263</v>
      </c>
      <c r="S618" s="279">
        <f t="shared" si="109"/>
        <v>0.85224900342474263</v>
      </c>
      <c r="T618" s="279">
        <f t="shared" si="109"/>
        <v>0.85224900342474263</v>
      </c>
      <c r="U618" s="279">
        <f t="shared" si="109"/>
        <v>0.85224900342474263</v>
      </c>
      <c r="V618" s="279">
        <f t="shared" si="109"/>
        <v>0.85224900342474263</v>
      </c>
      <c r="W618" s="279">
        <f t="shared" si="109"/>
        <v>0.85224900342474263</v>
      </c>
      <c r="X618" s="279">
        <f t="shared" si="109"/>
        <v>0.85224900342474263</v>
      </c>
      <c r="Y618" s="279">
        <f t="shared" si="109"/>
        <v>0.85224900342474263</v>
      </c>
      <c r="Z618" s="279">
        <f t="shared" si="109"/>
        <v>0.85224900342474263</v>
      </c>
      <c r="AA618" s="279">
        <f t="shared" si="109"/>
        <v>0.85224900342474263</v>
      </c>
      <c r="AB618" s="279">
        <f t="shared" si="109"/>
        <v>0.85224900342474263</v>
      </c>
      <c r="AC618" s="279">
        <f t="shared" si="109"/>
        <v>0.85224900342474263</v>
      </c>
      <c r="AD618" s="279">
        <f t="shared" si="109"/>
        <v>0.85224900342474263</v>
      </c>
      <c r="AE618" s="279">
        <f t="shared" si="109"/>
        <v>0.85224900342474263</v>
      </c>
      <c r="AF618" s="279">
        <f t="shared" si="109"/>
        <v>0.85224900342474263</v>
      </c>
      <c r="AG618" s="279">
        <f t="shared" si="109"/>
        <v>0.85224900342474263</v>
      </c>
      <c r="AH618" s="279">
        <f t="shared" si="109"/>
        <v>0.85224900342474263</v>
      </c>
      <c r="AI618" s="279">
        <f t="shared" si="109"/>
        <v>0.85224900342474263</v>
      </c>
      <c r="AJ618" s="279">
        <f t="shared" si="109"/>
        <v>0.85224900342474263</v>
      </c>
      <c r="AK618" s="279">
        <f t="shared" si="109"/>
        <v>0.85224900342474263</v>
      </c>
      <c r="AL618" s="279">
        <f t="shared" si="109"/>
        <v>0.85224900342474263</v>
      </c>
      <c r="AM618" s="384">
        <f t="shared" si="76"/>
        <v>0.85224900342474208</v>
      </c>
    </row>
    <row r="619" spans="1:39" x14ac:dyDescent="0.2">
      <c r="A619" s="8"/>
      <c r="B619" s="39"/>
      <c r="C619" s="215"/>
      <c r="D619" s="1"/>
      <c r="E619" s="27"/>
      <c r="F619" s="50"/>
      <c r="G619" s="50"/>
      <c r="H619" s="50"/>
      <c r="I619" s="50"/>
      <c r="J619" s="50"/>
      <c r="K619" s="50"/>
      <c r="L619" s="50"/>
      <c r="M619" s="50"/>
      <c r="N619" s="50"/>
      <c r="O619" s="50"/>
      <c r="P619" s="50"/>
      <c r="Q619" s="50"/>
      <c r="R619" s="50"/>
      <c r="S619" s="50"/>
      <c r="T619" s="50"/>
      <c r="U619" s="50"/>
      <c r="V619" s="50"/>
      <c r="W619" s="50"/>
      <c r="X619" s="50"/>
      <c r="Y619" s="50"/>
      <c r="Z619" s="50"/>
      <c r="AA619" s="50"/>
      <c r="AB619" s="50"/>
      <c r="AC619" s="50"/>
      <c r="AD619" s="50"/>
      <c r="AE619" s="50"/>
      <c r="AF619" s="50"/>
      <c r="AG619" s="50"/>
      <c r="AH619" s="50"/>
      <c r="AI619" s="50"/>
      <c r="AJ619" s="50"/>
      <c r="AK619" s="50"/>
      <c r="AL619" s="50"/>
      <c r="AM619" s="107"/>
    </row>
    <row r="620" spans="1:39" x14ac:dyDescent="0.2">
      <c r="A620" s="8"/>
      <c r="B620" s="23" t="s">
        <v>251</v>
      </c>
      <c r="C620" s="22"/>
      <c r="D620" s="1"/>
      <c r="E620" s="102"/>
      <c r="F620" s="59"/>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107"/>
    </row>
    <row r="621" spans="1:39" x14ac:dyDescent="0.2">
      <c r="A621" s="8"/>
      <c r="B621" s="227" t="s">
        <v>252</v>
      </c>
      <c r="C621" s="213" t="s">
        <v>83</v>
      </c>
      <c r="D621" s="119"/>
      <c r="E621" s="101"/>
      <c r="F621" s="101">
        <f t="shared" ref="F621:AL621" si="110">IF(F128*(1-F297/100)*0.44*(1-F584)/F584+F129*(1-F298/100)*0.44*(1-F585)/F585+F130*(1-F299/100)*0.44*(1-F586)/F586+F131*(1-F300/100)*0.44*(1-F587)/F587+F132*(1-F301/100)*0.44*(1-F588)/F588+F133*(1-F302/100)*0.44*(1-F589)/F589+F134*(1-F303/100)*0.44*(1-F590)/F590-F499&gt;0,F128*(1-F297/100)*0.44*(1-F584)/F584+F129*(1-F298/100)*0.44*(1-F585)/F585+F130*(1-F299/100)*0.44*(1-F586)/F586+F131*(1-F300/100)*0.44*(1-F587)/F587+F132*(1-F301/100)*0.44*(1-F588)/F588+F133*(1-F302/100)*0.44*(1-F589)/F589+F134*(1-F303/100)*0.44*(1-F590)/F590-F499,0)</f>
        <v>2043.1599278190756</v>
      </c>
      <c r="G621" s="101">
        <f t="shared" si="110"/>
        <v>1063.6037125995108</v>
      </c>
      <c r="H621" s="101">
        <f t="shared" si="110"/>
        <v>1178.9411218766463</v>
      </c>
      <c r="I621" s="101">
        <f t="shared" si="110"/>
        <v>3814.5596737516698</v>
      </c>
      <c r="J621" s="101">
        <f t="shared" si="110"/>
        <v>898.44515449222092</v>
      </c>
      <c r="K621" s="101">
        <f t="shared" si="110"/>
        <v>494.44554122673708</v>
      </c>
      <c r="L621" s="101">
        <f t="shared" si="110"/>
        <v>148.46493109004186</v>
      </c>
      <c r="M621" s="101">
        <f t="shared" si="110"/>
        <v>1703.5875502411432</v>
      </c>
      <c r="N621" s="101">
        <f t="shared" si="110"/>
        <v>3233.4945208213057</v>
      </c>
      <c r="O621" s="101">
        <f t="shared" si="110"/>
        <v>1373.4741295019778</v>
      </c>
      <c r="P621" s="101">
        <f t="shared" si="110"/>
        <v>1517.0215514755175</v>
      </c>
      <c r="Q621" s="101">
        <f t="shared" si="110"/>
        <v>1312.6011088081677</v>
      </c>
      <c r="R621" s="101">
        <f t="shared" si="110"/>
        <v>1351.4348775951944</v>
      </c>
      <c r="S621" s="101">
        <f t="shared" si="110"/>
        <v>1861.4093386431146</v>
      </c>
      <c r="T621" s="101">
        <f t="shared" si="110"/>
        <v>2586.5424851673215</v>
      </c>
      <c r="U621" s="101">
        <f t="shared" si="110"/>
        <v>5385.5713865769558</v>
      </c>
      <c r="V621" s="101">
        <f t="shared" si="110"/>
        <v>2072.5719571720597</v>
      </c>
      <c r="W621" s="101">
        <f t="shared" si="110"/>
        <v>214.64666040996428</v>
      </c>
      <c r="X621" s="101">
        <f t="shared" si="110"/>
        <v>40.686517905363118</v>
      </c>
      <c r="Y621" s="101">
        <f t="shared" si="110"/>
        <v>478.73475518127856</v>
      </c>
      <c r="Z621" s="101">
        <f t="shared" si="110"/>
        <v>124.23705224346814</v>
      </c>
      <c r="AA621" s="101">
        <f t="shared" si="110"/>
        <v>575.5440761724808</v>
      </c>
      <c r="AB621" s="101">
        <f t="shared" si="110"/>
        <v>76.28086510184869</v>
      </c>
      <c r="AC621" s="101">
        <f t="shared" si="110"/>
        <v>4620.9207516785627</v>
      </c>
      <c r="AD621" s="101">
        <f t="shared" si="110"/>
        <v>292.23214871003864</v>
      </c>
      <c r="AE621" s="101">
        <f t="shared" si="110"/>
        <v>1200.5703788088063</v>
      </c>
      <c r="AF621" s="101">
        <f t="shared" si="110"/>
        <v>601.96093419766396</v>
      </c>
      <c r="AG621" s="101">
        <f t="shared" si="110"/>
        <v>401.87596592553155</v>
      </c>
      <c r="AH621" s="101">
        <f t="shared" si="110"/>
        <v>51.718711589642517</v>
      </c>
      <c r="AI621" s="101">
        <f t="shared" si="110"/>
        <v>178.67661569040547</v>
      </c>
      <c r="AJ621" s="101">
        <f t="shared" si="110"/>
        <v>469.84502558384884</v>
      </c>
      <c r="AK621" s="101">
        <f t="shared" si="110"/>
        <v>205.5755906721387</v>
      </c>
      <c r="AL621" s="101">
        <f t="shared" si="110"/>
        <v>13.593723334963309</v>
      </c>
      <c r="AM621" s="384">
        <f>SUM(F621:AL621)</f>
        <v>41586.428742064665</v>
      </c>
    </row>
    <row r="622" spans="1:39" x14ac:dyDescent="0.2">
      <c r="A622" s="8"/>
      <c r="B622" s="124" t="s">
        <v>253</v>
      </c>
      <c r="C622" s="213" t="s">
        <v>83</v>
      </c>
      <c r="D622" s="119"/>
      <c r="E622" s="101"/>
      <c r="F622" s="101">
        <f t="shared" ref="F622:AL622" si="111">F136*(1-F305/100)*0.44*(1-F591)/F591</f>
        <v>456.39954926107924</v>
      </c>
      <c r="G622" s="101">
        <f t="shared" si="111"/>
        <v>505.00447390052057</v>
      </c>
      <c r="H622" s="101">
        <f t="shared" si="111"/>
        <v>374.25983065957917</v>
      </c>
      <c r="I622" s="101">
        <f t="shared" si="111"/>
        <v>649.57966104995671</v>
      </c>
      <c r="J622" s="101">
        <f t="shared" si="111"/>
        <v>275.749988535797</v>
      </c>
      <c r="K622" s="101">
        <f t="shared" si="111"/>
        <v>91.18138010440326</v>
      </c>
      <c r="L622" s="101">
        <f t="shared" si="111"/>
        <v>66.366133824027287</v>
      </c>
      <c r="M622" s="101">
        <f t="shared" si="111"/>
        <v>401.18298964952982</v>
      </c>
      <c r="N622" s="101">
        <f t="shared" si="111"/>
        <v>856.67322238267582</v>
      </c>
      <c r="O622" s="101">
        <f t="shared" si="111"/>
        <v>676.57096478449409</v>
      </c>
      <c r="P622" s="101">
        <f t="shared" si="111"/>
        <v>590.07755831170937</v>
      </c>
      <c r="Q622" s="101">
        <f t="shared" si="111"/>
        <v>63.43708847649873</v>
      </c>
      <c r="R622" s="101">
        <f t="shared" si="111"/>
        <v>138.75788606160634</v>
      </c>
      <c r="S622" s="101">
        <f t="shared" si="111"/>
        <v>204.64938206476285</v>
      </c>
      <c r="T622" s="101">
        <f t="shared" si="111"/>
        <v>586.55459002424197</v>
      </c>
      <c r="U622" s="101">
        <f t="shared" si="111"/>
        <v>1329.6345081633949</v>
      </c>
      <c r="V622" s="101">
        <f t="shared" si="111"/>
        <v>296.69473589917209</v>
      </c>
      <c r="W622" s="101">
        <f t="shared" si="111"/>
        <v>30.62732744426123</v>
      </c>
      <c r="X622" s="101">
        <f t="shared" si="111"/>
        <v>6.0693971561977547</v>
      </c>
      <c r="Y622" s="101">
        <f t="shared" si="111"/>
        <v>27.492932702882356</v>
      </c>
      <c r="Z622" s="101">
        <f t="shared" si="111"/>
        <v>25.201089184787772</v>
      </c>
      <c r="AA622" s="101">
        <f t="shared" si="111"/>
        <v>33.368592678829344</v>
      </c>
      <c r="AB622" s="101">
        <f t="shared" si="111"/>
        <v>35.067858098556023</v>
      </c>
      <c r="AC622" s="101">
        <f t="shared" si="111"/>
        <v>283.99645498028764</v>
      </c>
      <c r="AD622" s="101">
        <f t="shared" si="111"/>
        <v>4.9804929359503793</v>
      </c>
      <c r="AE622" s="101">
        <f t="shared" si="111"/>
        <v>11.38192929995887</v>
      </c>
      <c r="AF622" s="101">
        <f t="shared" si="111"/>
        <v>3.1813689163473797</v>
      </c>
      <c r="AG622" s="101">
        <f t="shared" si="111"/>
        <v>21.518840971427331</v>
      </c>
      <c r="AH622" s="101">
        <f t="shared" si="111"/>
        <v>0.88135605608194512</v>
      </c>
      <c r="AI622" s="101">
        <f t="shared" si="111"/>
        <v>4.2240677250857228</v>
      </c>
      <c r="AJ622" s="101">
        <f t="shared" si="111"/>
        <v>16.436357459501849</v>
      </c>
      <c r="AK622" s="101">
        <f t="shared" si="111"/>
        <v>4.9067275536456139</v>
      </c>
      <c r="AL622" s="101">
        <f t="shared" si="111"/>
        <v>0</v>
      </c>
      <c r="AM622" s="384">
        <f t="shared" ref="AM622:AM653" si="112">SUM(F622:AL622)</f>
        <v>8072.1087363172501</v>
      </c>
    </row>
    <row r="623" spans="1:39" x14ac:dyDescent="0.2">
      <c r="A623" s="8"/>
      <c r="B623" s="124" t="s">
        <v>254</v>
      </c>
      <c r="C623" s="213" t="s">
        <v>83</v>
      </c>
      <c r="D623" s="119"/>
      <c r="E623" s="101"/>
      <c r="F623" s="101">
        <f t="shared" ref="F623:AL623" si="113">F137*(1-F306/100)*0.44*(1-F592)/F592</f>
        <v>9.6464308345887879</v>
      </c>
      <c r="G623" s="101">
        <f t="shared" si="113"/>
        <v>0.92507651599111596</v>
      </c>
      <c r="H623" s="101">
        <f t="shared" si="113"/>
        <v>1.5867937198147513</v>
      </c>
      <c r="I623" s="101">
        <f t="shared" si="113"/>
        <v>2.5062566915566431</v>
      </c>
      <c r="J623" s="101">
        <f t="shared" si="113"/>
        <v>3.0682916659795803</v>
      </c>
      <c r="K623" s="101">
        <f t="shared" si="113"/>
        <v>5.0990094342266735E-2</v>
      </c>
      <c r="L623" s="101">
        <f t="shared" si="113"/>
        <v>0</v>
      </c>
      <c r="M623" s="101">
        <f t="shared" si="113"/>
        <v>14.135014520655114</v>
      </c>
      <c r="N623" s="101">
        <f t="shared" si="113"/>
        <v>40.309993725329235</v>
      </c>
      <c r="O623" s="101">
        <f t="shared" si="113"/>
        <v>32.941843655338353</v>
      </c>
      <c r="P623" s="101">
        <f t="shared" si="113"/>
        <v>11.070975184435799</v>
      </c>
      <c r="Q623" s="101">
        <f t="shared" si="113"/>
        <v>1.2594805258553325</v>
      </c>
      <c r="R623" s="101">
        <f t="shared" si="113"/>
        <v>27.045980949285802</v>
      </c>
      <c r="S623" s="101">
        <f t="shared" si="113"/>
        <v>176.14986538175242</v>
      </c>
      <c r="T623" s="101">
        <f t="shared" si="113"/>
        <v>138.52839244662269</v>
      </c>
      <c r="U623" s="101">
        <f t="shared" si="113"/>
        <v>253.69589247313954</v>
      </c>
      <c r="V623" s="101">
        <f t="shared" si="113"/>
        <v>58.362719358926945</v>
      </c>
      <c r="W623" s="101">
        <f t="shared" si="113"/>
        <v>5.822381275836503</v>
      </c>
      <c r="X623" s="101">
        <f t="shared" si="113"/>
        <v>2.0267485473471405</v>
      </c>
      <c r="Y623" s="101">
        <f t="shared" si="113"/>
        <v>8.6920789996991097</v>
      </c>
      <c r="Z623" s="101">
        <f t="shared" si="113"/>
        <v>18.751534533611924</v>
      </c>
      <c r="AA623" s="101">
        <f t="shared" si="113"/>
        <v>24.187281829802593</v>
      </c>
      <c r="AB623" s="101">
        <f t="shared" si="113"/>
        <v>70.38878449559401</v>
      </c>
      <c r="AC623" s="101">
        <f t="shared" si="113"/>
        <v>648.72905735624124</v>
      </c>
      <c r="AD623" s="101">
        <f t="shared" si="113"/>
        <v>9.3482592216230351</v>
      </c>
      <c r="AE623" s="101">
        <f t="shared" si="113"/>
        <v>7.2144728740627881</v>
      </c>
      <c r="AF623" s="101">
        <f t="shared" si="113"/>
        <v>6.3711817445763499</v>
      </c>
      <c r="AG623" s="101">
        <f t="shared" si="113"/>
        <v>34.057480353981745</v>
      </c>
      <c r="AH623" s="101">
        <f t="shared" si="113"/>
        <v>1.7520379134999338</v>
      </c>
      <c r="AI623" s="101">
        <f t="shared" si="113"/>
        <v>10.88202171471165</v>
      </c>
      <c r="AJ623" s="101">
        <f t="shared" si="113"/>
        <v>36.445052533159206</v>
      </c>
      <c r="AK623" s="101">
        <f t="shared" si="113"/>
        <v>6.6817330250468308</v>
      </c>
      <c r="AL623" s="101">
        <f t="shared" si="113"/>
        <v>7.6119449795348681E-2</v>
      </c>
      <c r="AM623" s="384">
        <f t="shared" si="112"/>
        <v>1662.7102236122039</v>
      </c>
    </row>
    <row r="624" spans="1:39" x14ac:dyDescent="0.2">
      <c r="A624" s="8"/>
      <c r="B624" s="124" t="s">
        <v>255</v>
      </c>
      <c r="C624" s="213" t="s">
        <v>83</v>
      </c>
      <c r="D624" s="119"/>
      <c r="E624" s="101"/>
      <c r="F624" s="101">
        <f t="shared" ref="F624:AL624" si="114">F138*(1-F307/100)*0.44*(1-F593)/F593</f>
        <v>0.11357208614467648</v>
      </c>
      <c r="G624" s="101">
        <f t="shared" si="114"/>
        <v>1.8302023804931976E-2</v>
      </c>
      <c r="H624" s="101">
        <f t="shared" si="114"/>
        <v>1.6672593543229166E-2</v>
      </c>
      <c r="I624" s="101">
        <f t="shared" si="114"/>
        <v>3.0101116337900188E-2</v>
      </c>
      <c r="J624" s="101">
        <f t="shared" si="114"/>
        <v>0</v>
      </c>
      <c r="K624" s="101">
        <f t="shared" si="114"/>
        <v>0</v>
      </c>
      <c r="L624" s="101">
        <f t="shared" si="114"/>
        <v>0</v>
      </c>
      <c r="M624" s="101">
        <f t="shared" si="114"/>
        <v>6.4031174264147214E-2</v>
      </c>
      <c r="N624" s="101">
        <f t="shared" si="114"/>
        <v>1.4667323655088194</v>
      </c>
      <c r="O624" s="101">
        <f t="shared" si="114"/>
        <v>9.1062569920922769</v>
      </c>
      <c r="P624" s="101">
        <f t="shared" si="114"/>
        <v>2.7472804641120883</v>
      </c>
      <c r="Q624" s="101">
        <f t="shared" si="114"/>
        <v>3.0624309650980086</v>
      </c>
      <c r="R624" s="101">
        <f t="shared" si="114"/>
        <v>5.8615176450667605E-2</v>
      </c>
      <c r="S624" s="101">
        <f t="shared" si="114"/>
        <v>0.445180794818682</v>
      </c>
      <c r="T624" s="101">
        <f t="shared" si="114"/>
        <v>0.52638928502817972</v>
      </c>
      <c r="U624" s="101">
        <f t="shared" si="114"/>
        <v>3.0957239661768199</v>
      </c>
      <c r="V624" s="101">
        <f t="shared" si="114"/>
        <v>10.973798003610353</v>
      </c>
      <c r="W624" s="101">
        <f t="shared" si="114"/>
        <v>5.2337443200433027</v>
      </c>
      <c r="X624" s="101">
        <f t="shared" si="114"/>
        <v>0.96941861291833309</v>
      </c>
      <c r="Y624" s="101">
        <f t="shared" si="114"/>
        <v>3.6655154196500237</v>
      </c>
      <c r="Z624" s="101">
        <f t="shared" si="114"/>
        <v>3.0405044357186579</v>
      </c>
      <c r="AA624" s="101">
        <f t="shared" si="114"/>
        <v>3.8772280623181912</v>
      </c>
      <c r="AB624" s="101">
        <f t="shared" si="114"/>
        <v>5.8236732153744875</v>
      </c>
      <c r="AC624" s="101">
        <f t="shared" si="114"/>
        <v>97.488190528452449</v>
      </c>
      <c r="AD624" s="101">
        <f t="shared" si="114"/>
        <v>1.1395828437681768</v>
      </c>
      <c r="AE624" s="101">
        <f t="shared" si="114"/>
        <v>3.9234438084347039</v>
      </c>
      <c r="AF624" s="101">
        <f t="shared" si="114"/>
        <v>1.0127748830357362</v>
      </c>
      <c r="AG624" s="101">
        <f t="shared" si="114"/>
        <v>1.4717664083358386</v>
      </c>
      <c r="AH624" s="101">
        <f t="shared" si="114"/>
        <v>2.4543972420242699E-2</v>
      </c>
      <c r="AI624" s="101">
        <f t="shared" si="114"/>
        <v>0.11888151087527407</v>
      </c>
      <c r="AJ624" s="101">
        <f t="shared" si="114"/>
        <v>0.66004789721497936</v>
      </c>
      <c r="AK624" s="101">
        <f t="shared" si="114"/>
        <v>3.8891966254623649E-2</v>
      </c>
      <c r="AL624" s="101">
        <f t="shared" si="114"/>
        <v>0</v>
      </c>
      <c r="AM624" s="384">
        <f t="shared" si="112"/>
        <v>160.21329489180582</v>
      </c>
    </row>
    <row r="625" spans="1:39" x14ac:dyDescent="0.2">
      <c r="A625" s="8"/>
      <c r="B625" s="124" t="s">
        <v>256</v>
      </c>
      <c r="C625" s="213" t="s">
        <v>83</v>
      </c>
      <c r="D625" s="119"/>
      <c r="E625" s="101"/>
      <c r="F625" s="101">
        <f t="shared" ref="F625:AL625" si="115">F139*(1-F308/100)*0.44*(1-F594)/F594</f>
        <v>1.3753284521753213</v>
      </c>
      <c r="G625" s="101">
        <f t="shared" si="115"/>
        <v>1.8758676330123401</v>
      </c>
      <c r="H625" s="101">
        <f t="shared" si="115"/>
        <v>1.4835088375137291</v>
      </c>
      <c r="I625" s="101">
        <f t="shared" si="115"/>
        <v>3.4030055227581961</v>
      </c>
      <c r="J625" s="101">
        <f t="shared" si="115"/>
        <v>0.51350128135752526</v>
      </c>
      <c r="K625" s="101">
        <f t="shared" si="115"/>
        <v>8.1892588641423472E-2</v>
      </c>
      <c r="L625" s="101">
        <f t="shared" si="115"/>
        <v>3.4425900529116524E-2</v>
      </c>
      <c r="M625" s="101">
        <f t="shared" si="115"/>
        <v>0.63927651082787795</v>
      </c>
      <c r="N625" s="101">
        <f t="shared" si="115"/>
        <v>2.5571532728094075</v>
      </c>
      <c r="O625" s="101">
        <f t="shared" si="115"/>
        <v>5.4851256114638591</v>
      </c>
      <c r="P625" s="101">
        <f t="shared" si="115"/>
        <v>0.73064062984451905</v>
      </c>
      <c r="Q625" s="101">
        <f t="shared" si="115"/>
        <v>0.3175404309941966</v>
      </c>
      <c r="R625" s="101">
        <f t="shared" si="115"/>
        <v>2.345995657816073</v>
      </c>
      <c r="S625" s="101">
        <f t="shared" si="115"/>
        <v>2.7923194838551026</v>
      </c>
      <c r="T625" s="101">
        <f t="shared" si="115"/>
        <v>5.1147752739857575</v>
      </c>
      <c r="U625" s="101">
        <f t="shared" si="115"/>
        <v>7.7002760265135493</v>
      </c>
      <c r="V625" s="101">
        <f t="shared" si="115"/>
        <v>1.0514253402851468</v>
      </c>
      <c r="W625" s="101">
        <f t="shared" si="115"/>
        <v>2.2825110692783382E-2</v>
      </c>
      <c r="X625" s="101">
        <f t="shared" si="115"/>
        <v>0</v>
      </c>
      <c r="Y625" s="101">
        <f t="shared" si="115"/>
        <v>2.2189401161976662E-2</v>
      </c>
      <c r="Z625" s="101">
        <f t="shared" si="115"/>
        <v>0.11832963020279516</v>
      </c>
      <c r="AA625" s="101">
        <f t="shared" si="115"/>
        <v>1.9237694025633485E-2</v>
      </c>
      <c r="AB625" s="101">
        <f t="shared" si="115"/>
        <v>0.45468831235179474</v>
      </c>
      <c r="AC625" s="101">
        <f t="shared" si="115"/>
        <v>1.4877454972238682</v>
      </c>
      <c r="AD625" s="101">
        <f t="shared" si="115"/>
        <v>9.9253804067320539E-2</v>
      </c>
      <c r="AE625" s="101">
        <f t="shared" si="115"/>
        <v>4.971991013750271E-2</v>
      </c>
      <c r="AF625" s="101">
        <f t="shared" si="115"/>
        <v>5.5020617930233148E-2</v>
      </c>
      <c r="AG625" s="101">
        <f t="shared" si="115"/>
        <v>0.13955157005356481</v>
      </c>
      <c r="AH625" s="101">
        <f t="shared" si="115"/>
        <v>1.8674635406971039E-2</v>
      </c>
      <c r="AI625" s="101">
        <f t="shared" si="115"/>
        <v>3.880596686001251E-2</v>
      </c>
      <c r="AJ625" s="101">
        <f t="shared" si="115"/>
        <v>0.1136421770376608</v>
      </c>
      <c r="AK625" s="101">
        <f t="shared" si="115"/>
        <v>7.8356878825541765E-3</v>
      </c>
      <c r="AL625" s="101">
        <f t="shared" si="115"/>
        <v>9.1573341451201482E-3</v>
      </c>
      <c r="AM625" s="384">
        <f t="shared" si="112"/>
        <v>40.158735803562941</v>
      </c>
    </row>
    <row r="626" spans="1:39" x14ac:dyDescent="0.2">
      <c r="A626" s="8"/>
      <c r="B626" s="124" t="s">
        <v>257</v>
      </c>
      <c r="C626" s="213" t="s">
        <v>83</v>
      </c>
      <c r="D626" s="119"/>
      <c r="E626" s="101"/>
      <c r="F626" s="101">
        <f t="shared" ref="F626:AL626" si="116">F140*(1-F309/100)*0.44*(1-F595)/F595</f>
        <v>32.618097474449456</v>
      </c>
      <c r="G626" s="101">
        <f t="shared" si="116"/>
        <v>7.7779254489594365</v>
      </c>
      <c r="H626" s="101">
        <f t="shared" si="116"/>
        <v>0.99668468951182165</v>
      </c>
      <c r="I626" s="101">
        <f t="shared" si="116"/>
        <v>45.560537825848449</v>
      </c>
      <c r="J626" s="101">
        <f t="shared" si="116"/>
        <v>8.8079924646071461</v>
      </c>
      <c r="K626" s="101">
        <f t="shared" si="116"/>
        <v>4.50924036271444</v>
      </c>
      <c r="L626" s="101">
        <f t="shared" si="116"/>
        <v>0.45871206838908823</v>
      </c>
      <c r="M626" s="101">
        <f t="shared" si="116"/>
        <v>13.435830770679992</v>
      </c>
      <c r="N626" s="101">
        <f t="shared" si="116"/>
        <v>9.7297591522674107</v>
      </c>
      <c r="O626" s="101">
        <f t="shared" si="116"/>
        <v>1.2330510059067663</v>
      </c>
      <c r="P626" s="101">
        <f t="shared" si="116"/>
        <v>1.6129358624296781</v>
      </c>
      <c r="Q626" s="101">
        <f t="shared" si="116"/>
        <v>6.804223050418147E-2</v>
      </c>
      <c r="R626" s="101">
        <f t="shared" si="116"/>
        <v>1.5997705080972193</v>
      </c>
      <c r="S626" s="101">
        <f t="shared" si="116"/>
        <v>1.3932041272744429</v>
      </c>
      <c r="T626" s="101">
        <f t="shared" si="116"/>
        <v>3.6015645549799138</v>
      </c>
      <c r="U626" s="101">
        <f t="shared" si="116"/>
        <v>5.0693068597239979</v>
      </c>
      <c r="V626" s="101">
        <f t="shared" si="116"/>
        <v>1.0394564033497378</v>
      </c>
      <c r="W626" s="101">
        <f t="shared" si="116"/>
        <v>0.17296231263953118</v>
      </c>
      <c r="X626" s="101">
        <f t="shared" si="116"/>
        <v>2.9569650167373218E-3</v>
      </c>
      <c r="Y626" s="101">
        <f t="shared" si="116"/>
        <v>4.9747188561763918E-2</v>
      </c>
      <c r="Z626" s="101">
        <f t="shared" si="116"/>
        <v>0.19853654877617882</v>
      </c>
      <c r="AA626" s="101">
        <f t="shared" si="116"/>
        <v>8.8168267649194942E-2</v>
      </c>
      <c r="AB626" s="101">
        <f t="shared" si="116"/>
        <v>1.1191463925365179E-2</v>
      </c>
      <c r="AC626" s="101">
        <f t="shared" si="116"/>
        <v>7.8645284010752556</v>
      </c>
      <c r="AD626" s="101">
        <f t="shared" si="116"/>
        <v>0.13343098289299157</v>
      </c>
      <c r="AE626" s="101">
        <f t="shared" si="116"/>
        <v>0.30710829136778428</v>
      </c>
      <c r="AF626" s="101">
        <f t="shared" si="116"/>
        <v>4.0415342926892445E-2</v>
      </c>
      <c r="AG626" s="101">
        <f t="shared" si="116"/>
        <v>0.4775180570065109</v>
      </c>
      <c r="AH626" s="101">
        <f t="shared" si="116"/>
        <v>8.7871966515268365E-3</v>
      </c>
      <c r="AI626" s="101">
        <f t="shared" si="116"/>
        <v>9.626221360186546E-2</v>
      </c>
      <c r="AJ626" s="101">
        <f t="shared" si="116"/>
        <v>0.11542235632637893</v>
      </c>
      <c r="AK626" s="101">
        <f t="shared" si="116"/>
        <v>3.87793719564095E-2</v>
      </c>
      <c r="AL626" s="101">
        <f t="shared" si="116"/>
        <v>1.3525683396051234E-2</v>
      </c>
      <c r="AM626" s="384">
        <f t="shared" si="112"/>
        <v>149.13145245346362</v>
      </c>
    </row>
    <row r="627" spans="1:39" x14ac:dyDescent="0.2">
      <c r="A627" s="8"/>
      <c r="B627" s="124" t="s">
        <v>258</v>
      </c>
      <c r="C627" s="213" t="s">
        <v>83</v>
      </c>
      <c r="D627" s="119"/>
      <c r="E627" s="101"/>
      <c r="F627" s="101">
        <f t="shared" ref="F627:AL627" si="117">F141*(1-F310/100)*0.44*(1-F596)/F596</f>
        <v>34.568111787343973</v>
      </c>
      <c r="G627" s="101">
        <f t="shared" si="117"/>
        <v>22.966186709092515</v>
      </c>
      <c r="H627" s="101">
        <f t="shared" si="117"/>
        <v>15.588024462610814</v>
      </c>
      <c r="I627" s="101">
        <f t="shared" si="117"/>
        <v>59.531621160763763</v>
      </c>
      <c r="J627" s="101">
        <f t="shared" si="117"/>
        <v>20.198023291988751</v>
      </c>
      <c r="K627" s="101">
        <f t="shared" si="117"/>
        <v>4.5077825776198273</v>
      </c>
      <c r="L627" s="101">
        <f t="shared" si="117"/>
        <v>0.59780049975955429</v>
      </c>
      <c r="M627" s="101">
        <f t="shared" si="117"/>
        <v>13.517105494545921</v>
      </c>
      <c r="N627" s="101">
        <f t="shared" si="117"/>
        <v>37.998497232218689</v>
      </c>
      <c r="O627" s="101">
        <f t="shared" si="117"/>
        <v>7.2545186648587405</v>
      </c>
      <c r="P627" s="101">
        <f t="shared" si="117"/>
        <v>5.4657590704036876</v>
      </c>
      <c r="Q627" s="101">
        <f t="shared" si="117"/>
        <v>0.18441130997038435</v>
      </c>
      <c r="R627" s="101">
        <f t="shared" si="117"/>
        <v>4.876187583734624</v>
      </c>
      <c r="S627" s="101">
        <f t="shared" si="117"/>
        <v>11.989952500655015</v>
      </c>
      <c r="T627" s="101">
        <f t="shared" si="117"/>
        <v>15.718301836632152</v>
      </c>
      <c r="U627" s="101">
        <f t="shared" si="117"/>
        <v>29.444304038074051</v>
      </c>
      <c r="V627" s="101">
        <f t="shared" si="117"/>
        <v>5.020486415959124</v>
      </c>
      <c r="W627" s="101">
        <f t="shared" si="117"/>
        <v>0.14054553766913949</v>
      </c>
      <c r="X627" s="101">
        <f t="shared" si="117"/>
        <v>6.1723698082503248E-2</v>
      </c>
      <c r="Y627" s="101">
        <f t="shared" si="117"/>
        <v>0.59104540449820919</v>
      </c>
      <c r="Z627" s="101">
        <f t="shared" si="117"/>
        <v>1.9552153831420958</v>
      </c>
      <c r="AA627" s="101">
        <f t="shared" si="117"/>
        <v>2.1621022874434654</v>
      </c>
      <c r="AB627" s="101">
        <f t="shared" si="117"/>
        <v>9.8201589924870464E-2</v>
      </c>
      <c r="AC627" s="101">
        <f t="shared" si="117"/>
        <v>16.678180043242698</v>
      </c>
      <c r="AD627" s="101">
        <f t="shared" si="117"/>
        <v>0.2112335328157163</v>
      </c>
      <c r="AE627" s="101">
        <f t="shared" si="117"/>
        <v>0.23603159627090547</v>
      </c>
      <c r="AF627" s="101">
        <f t="shared" si="117"/>
        <v>0.11379822331428549</v>
      </c>
      <c r="AG627" s="101">
        <f t="shared" si="117"/>
        <v>0.37121831146812595</v>
      </c>
      <c r="AH627" s="101">
        <f t="shared" si="117"/>
        <v>3.3653323044401953E-2</v>
      </c>
      <c r="AI627" s="101">
        <f t="shared" si="117"/>
        <v>0.41454202347853975</v>
      </c>
      <c r="AJ627" s="101">
        <f t="shared" si="117"/>
        <v>1.2165839752665479</v>
      </c>
      <c r="AK627" s="101">
        <f t="shared" si="117"/>
        <v>0.55027251996271742</v>
      </c>
      <c r="AL627" s="101">
        <f t="shared" si="117"/>
        <v>0.10593491397927199</v>
      </c>
      <c r="AM627" s="384">
        <f t="shared" si="112"/>
        <v>314.36735699983518</v>
      </c>
    </row>
    <row r="628" spans="1:39" x14ac:dyDescent="0.2">
      <c r="A628" s="8"/>
      <c r="B628" s="124" t="s">
        <v>259</v>
      </c>
      <c r="C628" s="213" t="s">
        <v>83</v>
      </c>
      <c r="D628" s="119"/>
      <c r="E628" s="101"/>
      <c r="F628" s="101">
        <f t="shared" ref="F628:AL628" si="118">F142*(1-F311/100)*0.44*(1-F597)/F597</f>
        <v>0.14061609376653295</v>
      </c>
      <c r="G628" s="101">
        <f t="shared" si="118"/>
        <v>5.5822532911695665E-2</v>
      </c>
      <c r="H628" s="101">
        <f t="shared" si="118"/>
        <v>0.14330250213638479</v>
      </c>
      <c r="I628" s="101">
        <f t="shared" si="118"/>
        <v>5.4481142482386752E-2</v>
      </c>
      <c r="J628" s="101">
        <f t="shared" si="118"/>
        <v>0.10640500404773814</v>
      </c>
      <c r="K628" s="101">
        <f t="shared" si="118"/>
        <v>2.091792582913405E-2</v>
      </c>
      <c r="L628" s="101">
        <f t="shared" si="118"/>
        <v>4.1653686266357147E-2</v>
      </c>
      <c r="M628" s="101">
        <f t="shared" si="118"/>
        <v>2.2794875018492767E-3</v>
      </c>
      <c r="N628" s="101">
        <f t="shared" si="118"/>
        <v>1.3108199385904176E-2</v>
      </c>
      <c r="O628" s="101">
        <f t="shared" si="118"/>
        <v>1.1108014988070172E-2</v>
      </c>
      <c r="P628" s="101">
        <f t="shared" si="118"/>
        <v>3.9496113913224551E-2</v>
      </c>
      <c r="Q628" s="101">
        <f t="shared" si="118"/>
        <v>1.9046085258809419E-2</v>
      </c>
      <c r="R628" s="101">
        <f t="shared" si="118"/>
        <v>0.48182677665826434</v>
      </c>
      <c r="S628" s="101">
        <f t="shared" si="118"/>
        <v>0.393789609216736</v>
      </c>
      <c r="T628" s="101">
        <f t="shared" si="118"/>
        <v>1.3554771854121144</v>
      </c>
      <c r="U628" s="101">
        <f t="shared" si="118"/>
        <v>1.1498586647757023</v>
      </c>
      <c r="V628" s="101">
        <f t="shared" si="118"/>
        <v>0.27671085236373155</v>
      </c>
      <c r="W628" s="101">
        <f t="shared" si="118"/>
        <v>2.4948172392697938E-2</v>
      </c>
      <c r="X628" s="101">
        <f t="shared" si="118"/>
        <v>1.9701730827873377E-3</v>
      </c>
      <c r="Y628" s="101">
        <f t="shared" si="118"/>
        <v>5.4018571465693901E-2</v>
      </c>
      <c r="Z628" s="101">
        <f t="shared" si="118"/>
        <v>3.370439584185004E-3</v>
      </c>
      <c r="AA628" s="101">
        <f t="shared" si="118"/>
        <v>4.4510768691122062E-2</v>
      </c>
      <c r="AB628" s="101">
        <f t="shared" si="118"/>
        <v>9.6138283710592264E-3</v>
      </c>
      <c r="AC628" s="101">
        <f t="shared" si="118"/>
        <v>0.1812617958389737</v>
      </c>
      <c r="AD628" s="101">
        <f t="shared" si="118"/>
        <v>1.9607400126644022E-2</v>
      </c>
      <c r="AE628" s="101">
        <f t="shared" si="118"/>
        <v>0.17515599725342804</v>
      </c>
      <c r="AF628" s="101">
        <f t="shared" si="118"/>
        <v>1.0850002947932823E-2</v>
      </c>
      <c r="AG628" s="101">
        <f t="shared" si="118"/>
        <v>0.10755373719329246</v>
      </c>
      <c r="AH628" s="101">
        <f t="shared" si="118"/>
        <v>5.3680771698818687E-3</v>
      </c>
      <c r="AI628" s="101">
        <f t="shared" si="118"/>
        <v>0</v>
      </c>
      <c r="AJ628" s="101">
        <f t="shared" si="118"/>
        <v>0</v>
      </c>
      <c r="AK628" s="101">
        <f t="shared" si="118"/>
        <v>7.5089036695738162E-4</v>
      </c>
      <c r="AL628" s="101">
        <f t="shared" si="118"/>
        <v>0</v>
      </c>
      <c r="AM628" s="384">
        <f t="shared" si="112"/>
        <v>4.9448797313992916</v>
      </c>
    </row>
    <row r="629" spans="1:39" x14ac:dyDescent="0.2">
      <c r="A629" s="8"/>
      <c r="B629" s="124" t="s">
        <v>260</v>
      </c>
      <c r="C629" s="213" t="s">
        <v>83</v>
      </c>
      <c r="D629" s="119"/>
      <c r="E629" s="101"/>
      <c r="F629" s="101">
        <f t="shared" ref="F629:AL629" si="119">F143*(1-F312/100)*0.44*(1-F598)/F598</f>
        <v>95.711374309080668</v>
      </c>
      <c r="G629" s="101">
        <f t="shared" si="119"/>
        <v>28.122809605798349</v>
      </c>
      <c r="H629" s="101">
        <f t="shared" si="119"/>
        <v>11.779404818722689</v>
      </c>
      <c r="I629" s="101">
        <f t="shared" si="119"/>
        <v>338.72786684414251</v>
      </c>
      <c r="J629" s="101">
        <f t="shared" si="119"/>
        <v>24.701639565180702</v>
      </c>
      <c r="K629" s="101">
        <f t="shared" si="119"/>
        <v>17.435757386877015</v>
      </c>
      <c r="L629" s="101">
        <f t="shared" si="119"/>
        <v>9.8830340341704417E-2</v>
      </c>
      <c r="M629" s="101">
        <f t="shared" si="119"/>
        <v>142.12507211038144</v>
      </c>
      <c r="N629" s="101">
        <f t="shared" si="119"/>
        <v>161.97551723349838</v>
      </c>
      <c r="O629" s="101">
        <f t="shared" si="119"/>
        <v>3.3079653948659602</v>
      </c>
      <c r="P629" s="101">
        <f t="shared" si="119"/>
        <v>0.1652150048809034</v>
      </c>
      <c r="Q629" s="101">
        <f t="shared" si="119"/>
        <v>16.228741108364073</v>
      </c>
      <c r="R629" s="101">
        <f t="shared" si="119"/>
        <v>5.6680573369994575E-2</v>
      </c>
      <c r="S629" s="101">
        <f t="shared" si="119"/>
        <v>3.3067817209368577E-2</v>
      </c>
      <c r="T629" s="101">
        <f t="shared" si="119"/>
        <v>1.0948168183021145</v>
      </c>
      <c r="U629" s="101">
        <f t="shared" si="119"/>
        <v>48.615886248477921</v>
      </c>
      <c r="V629" s="101">
        <f t="shared" si="119"/>
        <v>12.374934525683635</v>
      </c>
      <c r="W629" s="101">
        <f t="shared" si="119"/>
        <v>0.52657986476360885</v>
      </c>
      <c r="X629" s="101">
        <f t="shared" si="119"/>
        <v>0</v>
      </c>
      <c r="Y629" s="101">
        <f t="shared" si="119"/>
        <v>0</v>
      </c>
      <c r="Z629" s="101">
        <f t="shared" si="119"/>
        <v>0</v>
      </c>
      <c r="AA629" s="101">
        <f t="shared" si="119"/>
        <v>0</v>
      </c>
      <c r="AB629" s="101">
        <f t="shared" si="119"/>
        <v>0</v>
      </c>
      <c r="AC629" s="101">
        <f t="shared" si="119"/>
        <v>8.0037781572350267E-2</v>
      </c>
      <c r="AD629" s="101">
        <f t="shared" si="119"/>
        <v>6.9862634327236516E-3</v>
      </c>
      <c r="AE629" s="101">
        <f t="shared" si="119"/>
        <v>0</v>
      </c>
      <c r="AF629" s="101">
        <f t="shared" si="119"/>
        <v>3.7760076245825863E-2</v>
      </c>
      <c r="AG629" s="101">
        <f t="shared" si="119"/>
        <v>5.0360103778366354E-2</v>
      </c>
      <c r="AH629" s="101">
        <f t="shared" si="119"/>
        <v>0</v>
      </c>
      <c r="AI629" s="101">
        <f t="shared" si="119"/>
        <v>0</v>
      </c>
      <c r="AJ629" s="101">
        <f t="shared" si="119"/>
        <v>0</v>
      </c>
      <c r="AK629" s="101">
        <f t="shared" si="119"/>
        <v>0</v>
      </c>
      <c r="AL629" s="101">
        <f t="shared" si="119"/>
        <v>0</v>
      </c>
      <c r="AM629" s="384">
        <f t="shared" si="112"/>
        <v>903.25730379497054</v>
      </c>
    </row>
    <row r="630" spans="1:39" x14ac:dyDescent="0.2">
      <c r="A630" s="8"/>
      <c r="B630" s="124" t="s">
        <v>261</v>
      </c>
      <c r="C630" s="213" t="s">
        <v>83</v>
      </c>
      <c r="D630" s="119"/>
      <c r="E630" s="101"/>
      <c r="F630" s="101">
        <f t="shared" ref="F630:AL630" si="120">F144*(1-F313/100)*0.44*(1-F599)/F599</f>
        <v>3.6210317729826085</v>
      </c>
      <c r="G630" s="101">
        <f t="shared" si="120"/>
        <v>2.9878671923504019</v>
      </c>
      <c r="H630" s="101">
        <f t="shared" si="120"/>
        <v>4.3523212772560367</v>
      </c>
      <c r="I630" s="101">
        <f t="shared" si="120"/>
        <v>43.158464435337827</v>
      </c>
      <c r="J630" s="101">
        <f t="shared" si="120"/>
        <v>0.92838969545996408</v>
      </c>
      <c r="K630" s="101">
        <f t="shared" si="120"/>
        <v>5.2316788582100227</v>
      </c>
      <c r="L630" s="101">
        <f t="shared" si="120"/>
        <v>0.396421698650129</v>
      </c>
      <c r="M630" s="101">
        <f t="shared" si="120"/>
        <v>47.174152192589396</v>
      </c>
      <c r="N630" s="101">
        <f t="shared" si="120"/>
        <v>12.995251371864596</v>
      </c>
      <c r="O630" s="101">
        <f t="shared" si="120"/>
        <v>0.55207398913983063</v>
      </c>
      <c r="P630" s="101">
        <f t="shared" si="120"/>
        <v>0.25273159844682169</v>
      </c>
      <c r="Q630" s="101">
        <f t="shared" si="120"/>
        <v>1.115940183245437</v>
      </c>
      <c r="R630" s="101">
        <f t="shared" si="120"/>
        <v>4.2713184820681231</v>
      </c>
      <c r="S630" s="101">
        <f t="shared" si="120"/>
        <v>0.4593845262392654</v>
      </c>
      <c r="T630" s="101">
        <f t="shared" si="120"/>
        <v>0.28129862703798286</v>
      </c>
      <c r="U630" s="101">
        <f t="shared" si="120"/>
        <v>3.8563664649340521</v>
      </c>
      <c r="V630" s="101">
        <f t="shared" si="120"/>
        <v>0.80425797486023254</v>
      </c>
      <c r="W630" s="101">
        <f t="shared" si="120"/>
        <v>2.7071020932060343E-2</v>
      </c>
      <c r="X630" s="101">
        <f t="shared" si="120"/>
        <v>0.11147053043899081</v>
      </c>
      <c r="Y630" s="101">
        <f t="shared" si="120"/>
        <v>0.29980440669177283</v>
      </c>
      <c r="Z630" s="101">
        <f t="shared" si="120"/>
        <v>0.28189140096556964</v>
      </c>
      <c r="AA630" s="101">
        <f t="shared" si="120"/>
        <v>0.25718092043541801</v>
      </c>
      <c r="AB630" s="101">
        <f t="shared" si="120"/>
        <v>8.0877504131158517E-2</v>
      </c>
      <c r="AC630" s="101">
        <f t="shared" si="120"/>
        <v>0.90380028884697938</v>
      </c>
      <c r="AD630" s="101">
        <f t="shared" si="120"/>
        <v>0.37670729675407966</v>
      </c>
      <c r="AE630" s="101">
        <f t="shared" si="120"/>
        <v>3.6021548612146237E-2</v>
      </c>
      <c r="AF630" s="101">
        <f t="shared" si="120"/>
        <v>0.19518865265075139</v>
      </c>
      <c r="AG630" s="101">
        <f t="shared" si="120"/>
        <v>5.3282029959563486E-2</v>
      </c>
      <c r="AH630" s="101">
        <f t="shared" si="120"/>
        <v>4.6886335603691306E-2</v>
      </c>
      <c r="AI630" s="101">
        <f t="shared" si="120"/>
        <v>0.38695644161471227</v>
      </c>
      <c r="AJ630" s="101">
        <f t="shared" si="120"/>
        <v>1.2586908261227532</v>
      </c>
      <c r="AK630" s="101">
        <f t="shared" si="120"/>
        <v>0.386233454588368</v>
      </c>
      <c r="AL630" s="101">
        <f t="shared" si="120"/>
        <v>0.97093400540008101</v>
      </c>
      <c r="AM630" s="384">
        <f t="shared" si="112"/>
        <v>138.11194700442081</v>
      </c>
    </row>
    <row r="631" spans="1:39" x14ac:dyDescent="0.2">
      <c r="A631" s="8"/>
      <c r="B631" s="124" t="s">
        <v>262</v>
      </c>
      <c r="C631" s="213" t="s">
        <v>83</v>
      </c>
      <c r="D631" s="119"/>
      <c r="E631" s="101"/>
      <c r="F631" s="101">
        <f t="shared" ref="F631:AL631" si="121">F145*(1-F314/100)*0.44*(1-F600)/F600</f>
        <v>4.8836322152383333E-12</v>
      </c>
      <c r="G631" s="101">
        <f t="shared" si="121"/>
        <v>5.8217752635360049E-12</v>
      </c>
      <c r="H631" s="101">
        <f t="shared" si="121"/>
        <v>2.7550453337837786E-12</v>
      </c>
      <c r="I631" s="101">
        <f t="shared" si="121"/>
        <v>4.404831784169103E-12</v>
      </c>
      <c r="J631" s="101">
        <f t="shared" si="121"/>
        <v>5.2883436996463938E-12</v>
      </c>
      <c r="K631" s="101">
        <f t="shared" si="121"/>
        <v>2.7769179130509781E-12</v>
      </c>
      <c r="L631" s="101">
        <f t="shared" si="121"/>
        <v>5.6979213732194105E-12</v>
      </c>
      <c r="M631" s="101">
        <f t="shared" si="121"/>
        <v>4.9526983324092707E-12</v>
      </c>
      <c r="N631" s="101">
        <f t="shared" si="121"/>
        <v>3.2120871312851148E-12</v>
      </c>
      <c r="O631" s="101">
        <f t="shared" si="121"/>
        <v>4.7478012316215932E-12</v>
      </c>
      <c r="P631" s="101">
        <f t="shared" si="121"/>
        <v>3.3261307819979005E-12</v>
      </c>
      <c r="Q631" s="101">
        <f t="shared" si="121"/>
        <v>4.6340309053552876E-12</v>
      </c>
      <c r="R631" s="101">
        <f t="shared" si="121"/>
        <v>2.9019723172967874E-12</v>
      </c>
      <c r="S631" s="101">
        <f t="shared" si="121"/>
        <v>3.3223171281436857E-12</v>
      </c>
      <c r="T631" s="101">
        <f t="shared" si="121"/>
        <v>3.9233013696459794E-12</v>
      </c>
      <c r="U631" s="101">
        <f t="shared" si="121"/>
        <v>4.3728504777742719E-12</v>
      </c>
      <c r="V631" s="101">
        <f t="shared" si="121"/>
        <v>4.7783853687484552E-12</v>
      </c>
      <c r="W631" s="101">
        <f t="shared" si="121"/>
        <v>3.1453871532929484E-12</v>
      </c>
      <c r="X631" s="101">
        <f t="shared" si="121"/>
        <v>2.5180254807694795E-12</v>
      </c>
      <c r="Y631" s="101">
        <f t="shared" si="121"/>
        <v>2.9268696617049843E-12</v>
      </c>
      <c r="Z631" s="101">
        <f t="shared" si="121"/>
        <v>8.7876439741145005E-12</v>
      </c>
      <c r="AA631" s="101">
        <f t="shared" si="121"/>
        <v>3.6393491262366331E-12</v>
      </c>
      <c r="AB631" s="101">
        <f t="shared" si="121"/>
        <v>3.1395090777271265E-12</v>
      </c>
      <c r="AC631" s="101">
        <f t="shared" si="121"/>
        <v>6.1488203577533071E-12</v>
      </c>
      <c r="AD631" s="101">
        <f t="shared" si="121"/>
        <v>4.6849133300415281E-12</v>
      </c>
      <c r="AE631" s="101">
        <f t="shared" si="121"/>
        <v>6.2486846767469984E-12</v>
      </c>
      <c r="AF631" s="101">
        <f t="shared" si="121"/>
        <v>2.6587293813166718E-12</v>
      </c>
      <c r="AG631" s="101">
        <f t="shared" si="121"/>
        <v>4.6915205657563594E-12</v>
      </c>
      <c r="AH631" s="101">
        <f t="shared" si="121"/>
        <v>4.7605521471964292E-12</v>
      </c>
      <c r="AI631" s="101">
        <f t="shared" si="121"/>
        <v>4.7336027215247702E-12</v>
      </c>
      <c r="AJ631" s="101">
        <f t="shared" si="121"/>
        <v>2.7850463732354235E-11</v>
      </c>
      <c r="AK631" s="101">
        <f t="shared" si="121"/>
        <v>5.1520354538164556E-12</v>
      </c>
      <c r="AL631" s="101">
        <f t="shared" si="121"/>
        <v>3.2914962860443291E-11</v>
      </c>
      <c r="AM631" s="384">
        <f t="shared" si="112"/>
        <v>1.9580111232771806E-10</v>
      </c>
    </row>
    <row r="632" spans="1:39" x14ac:dyDescent="0.2">
      <c r="A632" s="8"/>
      <c r="B632" s="124" t="s">
        <v>263</v>
      </c>
      <c r="C632" s="213" t="s">
        <v>83</v>
      </c>
      <c r="D632" s="119"/>
      <c r="E632" s="101"/>
      <c r="F632" s="101">
        <f t="shared" ref="F632:AL632" si="122">F146*(1-F315/100)*0.44*(1-F601)/F601</f>
        <v>2.5436909093792984E-2</v>
      </c>
      <c r="G632" s="101">
        <f t="shared" si="122"/>
        <v>3.1460266077669051E-3</v>
      </c>
      <c r="H632" s="101">
        <f t="shared" si="122"/>
        <v>0.17769651486876178</v>
      </c>
      <c r="I632" s="101">
        <f t="shared" si="122"/>
        <v>2.3827356723083239</v>
      </c>
      <c r="J632" s="101">
        <f t="shared" si="122"/>
        <v>1.9395390838958882E-3</v>
      </c>
      <c r="K632" s="101">
        <f t="shared" si="122"/>
        <v>5.3930006450576818E-4</v>
      </c>
      <c r="L632" s="101">
        <f t="shared" si="122"/>
        <v>3.5922801340259364E-3</v>
      </c>
      <c r="M632" s="101">
        <f t="shared" si="122"/>
        <v>5.1382517764185023</v>
      </c>
      <c r="N632" s="101">
        <f t="shared" si="122"/>
        <v>1.8539318883787858E-2</v>
      </c>
      <c r="O632" s="101">
        <f t="shared" si="122"/>
        <v>5.5493372003660398E-2</v>
      </c>
      <c r="P632" s="101">
        <f t="shared" si="122"/>
        <v>1.1052188131060394E-3</v>
      </c>
      <c r="Q632" s="101">
        <f t="shared" si="122"/>
        <v>2.2607895156033565E-3</v>
      </c>
      <c r="R632" s="101">
        <f t="shared" si="122"/>
        <v>1.9268257533529876</v>
      </c>
      <c r="S632" s="101">
        <f t="shared" si="122"/>
        <v>6.1501077583174205E-2</v>
      </c>
      <c r="T632" s="101">
        <f t="shared" si="122"/>
        <v>1.710109674382242E-2</v>
      </c>
      <c r="U632" s="101">
        <f t="shared" si="122"/>
        <v>8.6589653467397387E-2</v>
      </c>
      <c r="V632" s="101">
        <f t="shared" si="122"/>
        <v>8.9270968817779253E-2</v>
      </c>
      <c r="W632" s="101">
        <f t="shared" si="122"/>
        <v>6.3487975124537535E-2</v>
      </c>
      <c r="X632" s="101">
        <f t="shared" si="122"/>
        <v>4.4720883816902886E-4</v>
      </c>
      <c r="Y632" s="101">
        <f t="shared" si="122"/>
        <v>6.4914205287804677E-3</v>
      </c>
      <c r="Z632" s="101">
        <f t="shared" si="122"/>
        <v>8.7552124728005741E-4</v>
      </c>
      <c r="AA632" s="101">
        <f t="shared" si="122"/>
        <v>7.7306932606153204E-3</v>
      </c>
      <c r="AB632" s="101">
        <f t="shared" si="122"/>
        <v>9.4630987738234743E-5</v>
      </c>
      <c r="AC632" s="101">
        <f t="shared" si="122"/>
        <v>0.15953346429754101</v>
      </c>
      <c r="AD632" s="101">
        <f t="shared" si="122"/>
        <v>3.1896271354887824E-2</v>
      </c>
      <c r="AE632" s="101">
        <f t="shared" si="122"/>
        <v>4.8921896112205737E-2</v>
      </c>
      <c r="AF632" s="101">
        <f t="shared" si="122"/>
        <v>0.1261522788574666</v>
      </c>
      <c r="AG632" s="101">
        <f t="shared" si="122"/>
        <v>5.4490066081607112E-3</v>
      </c>
      <c r="AH632" s="101">
        <f t="shared" si="122"/>
        <v>3.6861226184542955E-4</v>
      </c>
      <c r="AI632" s="101">
        <f t="shared" si="122"/>
        <v>7.2356757667818017E-3</v>
      </c>
      <c r="AJ632" s="101">
        <f t="shared" si="122"/>
        <v>3.9037767756362647E-2</v>
      </c>
      <c r="AK632" s="101">
        <f t="shared" si="122"/>
        <v>1.2936701901066364E-2</v>
      </c>
      <c r="AL632" s="101">
        <f t="shared" si="122"/>
        <v>7.4498248921411542E-3</v>
      </c>
      <c r="AM632" s="384">
        <f t="shared" si="112"/>
        <v>10.510134217556471</v>
      </c>
    </row>
    <row r="633" spans="1:39" x14ac:dyDescent="0.2">
      <c r="A633" s="8"/>
      <c r="B633" s="124" t="s">
        <v>264</v>
      </c>
      <c r="C633" s="213" t="s">
        <v>83</v>
      </c>
      <c r="D633" s="119"/>
      <c r="E633" s="101"/>
      <c r="F633" s="101">
        <f t="shared" ref="F633:AL633" si="123">F147*(1-F316/100)*0.44*(1-F602)/F602</f>
        <v>0.55730965040120328</v>
      </c>
      <c r="G633" s="101">
        <f t="shared" si="123"/>
        <v>4.6301441698276852E-2</v>
      </c>
      <c r="H633" s="101">
        <f t="shared" si="123"/>
        <v>0.70076800205586121</v>
      </c>
      <c r="I633" s="101">
        <f t="shared" si="123"/>
        <v>3.5041808613196848</v>
      </c>
      <c r="J633" s="101">
        <f t="shared" si="123"/>
        <v>4.6326540077208135E-3</v>
      </c>
      <c r="K633" s="101">
        <f t="shared" si="123"/>
        <v>4.3582562369051192E-3</v>
      </c>
      <c r="L633" s="101">
        <f t="shared" si="123"/>
        <v>9.021323027676928E-3</v>
      </c>
      <c r="M633" s="101">
        <f t="shared" si="123"/>
        <v>2.0997499123284609</v>
      </c>
      <c r="N633" s="101">
        <f t="shared" si="123"/>
        <v>0.1328511079866882</v>
      </c>
      <c r="O633" s="101">
        <f t="shared" si="123"/>
        <v>3.685675792762956E-2</v>
      </c>
      <c r="P633" s="101">
        <f t="shared" si="123"/>
        <v>1.2042742743567172E-3</v>
      </c>
      <c r="Q633" s="101">
        <f t="shared" si="123"/>
        <v>4.0950149716589114E-3</v>
      </c>
      <c r="R633" s="101">
        <f t="shared" si="123"/>
        <v>4.8488538653744282</v>
      </c>
      <c r="S633" s="101">
        <f t="shared" si="123"/>
        <v>0.22016518684058706</v>
      </c>
      <c r="T633" s="101">
        <f t="shared" si="123"/>
        <v>0.16784036037112426</v>
      </c>
      <c r="U633" s="101">
        <f t="shared" si="123"/>
        <v>0.20913717788841035</v>
      </c>
      <c r="V633" s="101">
        <f t="shared" si="123"/>
        <v>0.14315714313990754</v>
      </c>
      <c r="W633" s="101">
        <f t="shared" si="123"/>
        <v>9.4011662389659786E-2</v>
      </c>
      <c r="X633" s="101">
        <f t="shared" si="123"/>
        <v>0</v>
      </c>
      <c r="Y633" s="101">
        <f t="shared" si="123"/>
        <v>3.3767220068330688E-3</v>
      </c>
      <c r="Z633" s="101">
        <f t="shared" si="123"/>
        <v>2.5480523256438629E-3</v>
      </c>
      <c r="AA633" s="101">
        <f t="shared" si="123"/>
        <v>2.0798120092126154E-2</v>
      </c>
      <c r="AB633" s="101">
        <f t="shared" si="123"/>
        <v>0</v>
      </c>
      <c r="AC633" s="101">
        <f t="shared" si="123"/>
        <v>0.12818034253759955</v>
      </c>
      <c r="AD633" s="101">
        <f t="shared" si="123"/>
        <v>0.20063804051879322</v>
      </c>
      <c r="AE633" s="101">
        <f t="shared" si="123"/>
        <v>0.39033587325093466</v>
      </c>
      <c r="AF633" s="101">
        <f t="shared" si="123"/>
        <v>6.856712389276344E-2</v>
      </c>
      <c r="AG633" s="101">
        <f t="shared" si="123"/>
        <v>8.4211920307938285E-3</v>
      </c>
      <c r="AH633" s="101">
        <f t="shared" si="123"/>
        <v>2.2421764505492973E-3</v>
      </c>
      <c r="AI633" s="101">
        <f t="shared" si="123"/>
        <v>5.6724741884735808E-2</v>
      </c>
      <c r="AJ633" s="101">
        <f t="shared" si="123"/>
        <v>0.22530160568169608</v>
      </c>
      <c r="AK633" s="101">
        <f t="shared" si="123"/>
        <v>3.7599847111750163E-2</v>
      </c>
      <c r="AL633" s="101">
        <f t="shared" si="123"/>
        <v>2.4844631338863093E-2</v>
      </c>
      <c r="AM633" s="384">
        <f t="shared" si="112"/>
        <v>13.954073121363322</v>
      </c>
    </row>
    <row r="634" spans="1:39" x14ac:dyDescent="0.2">
      <c r="A634" s="8"/>
      <c r="B634" s="124" t="s">
        <v>265</v>
      </c>
      <c r="C634" s="213" t="s">
        <v>83</v>
      </c>
      <c r="D634" s="119"/>
      <c r="E634" s="101"/>
      <c r="F634" s="101">
        <f t="shared" ref="F634:AL634" si="124">F148*(1-F317/100)*0.44*(1-F603)/F603</f>
        <v>0.26279223541434144</v>
      </c>
      <c r="G634" s="101">
        <f t="shared" si="124"/>
        <v>1.3297584075247221E-2</v>
      </c>
      <c r="H634" s="101">
        <f t="shared" si="124"/>
        <v>0.23114206677177732</v>
      </c>
      <c r="I634" s="101">
        <f t="shared" si="124"/>
        <v>2.5009775681571931</v>
      </c>
      <c r="J634" s="101">
        <f t="shared" si="124"/>
        <v>6.7301624412155064E-3</v>
      </c>
      <c r="K634" s="101">
        <f t="shared" si="124"/>
        <v>4.6106145849336092E-3</v>
      </c>
      <c r="L634" s="101">
        <f t="shared" si="124"/>
        <v>2.0561252997303332E-2</v>
      </c>
      <c r="M634" s="101">
        <f t="shared" si="124"/>
        <v>2.9728065873284115</v>
      </c>
      <c r="N634" s="101">
        <f t="shared" si="124"/>
        <v>4.8171618176681887E-3</v>
      </c>
      <c r="O634" s="101">
        <f t="shared" si="124"/>
        <v>0.11464414095768403</v>
      </c>
      <c r="P634" s="101">
        <f t="shared" si="124"/>
        <v>5.5435038132651653E-3</v>
      </c>
      <c r="Q634" s="101">
        <f t="shared" si="124"/>
        <v>1.4338407201623507E-2</v>
      </c>
      <c r="R634" s="101">
        <f t="shared" si="124"/>
        <v>3.2304467148104448</v>
      </c>
      <c r="S634" s="101">
        <f t="shared" si="124"/>
        <v>0.12591104664034444</v>
      </c>
      <c r="T634" s="101">
        <f t="shared" si="124"/>
        <v>0.26260840706984573</v>
      </c>
      <c r="U634" s="101">
        <f t="shared" si="124"/>
        <v>0.18543729534061146</v>
      </c>
      <c r="V634" s="101">
        <f t="shared" si="124"/>
        <v>0.16692984654924076</v>
      </c>
      <c r="W634" s="101">
        <f t="shared" si="124"/>
        <v>0.11505566863047276</v>
      </c>
      <c r="X634" s="101">
        <f t="shared" si="124"/>
        <v>8.5796833810517555E-3</v>
      </c>
      <c r="Y634" s="101">
        <f t="shared" si="124"/>
        <v>3.3503083490824967E-2</v>
      </c>
      <c r="Z634" s="101">
        <f t="shared" si="124"/>
        <v>7.1897424165226426E-3</v>
      </c>
      <c r="AA634" s="101">
        <f t="shared" si="124"/>
        <v>1.5818723349659121E-2</v>
      </c>
      <c r="AB634" s="101">
        <f t="shared" si="124"/>
        <v>9.9050878183493617E-4</v>
      </c>
      <c r="AC634" s="101">
        <f t="shared" si="124"/>
        <v>0.5471752891280407</v>
      </c>
      <c r="AD634" s="101">
        <f t="shared" si="124"/>
        <v>1.1975582382853023</v>
      </c>
      <c r="AE634" s="101">
        <f t="shared" si="124"/>
        <v>0.68875357481768718</v>
      </c>
      <c r="AF634" s="101">
        <f t="shared" si="124"/>
        <v>1.1872398581753643</v>
      </c>
      <c r="AG634" s="101">
        <f t="shared" si="124"/>
        <v>3.8203167386756581E-2</v>
      </c>
      <c r="AH634" s="101">
        <f t="shared" si="124"/>
        <v>4.5548102565096072E-3</v>
      </c>
      <c r="AI634" s="101">
        <f t="shared" si="124"/>
        <v>5.2920650923394923E-2</v>
      </c>
      <c r="AJ634" s="101">
        <f t="shared" si="124"/>
        <v>0.25922465174193471</v>
      </c>
      <c r="AK634" s="101">
        <f t="shared" si="124"/>
        <v>2.9393057101121826E-2</v>
      </c>
      <c r="AL634" s="101">
        <f t="shared" si="124"/>
        <v>3.0298330901052557E-2</v>
      </c>
      <c r="AM634" s="384">
        <f t="shared" si="112"/>
        <v>14.34005363473868</v>
      </c>
    </row>
    <row r="635" spans="1:39" x14ac:dyDescent="0.2">
      <c r="A635" s="8"/>
      <c r="B635" s="124" t="s">
        <v>266</v>
      </c>
      <c r="C635" s="213" t="s">
        <v>83</v>
      </c>
      <c r="D635" s="119"/>
      <c r="E635" s="101"/>
      <c r="F635" s="101">
        <f t="shared" ref="F635:AL635" si="125">F149*(1-F318/100)*0.44*(1-F604)/F604</f>
        <v>8.0422695571715941E-2</v>
      </c>
      <c r="G635" s="101">
        <f t="shared" si="125"/>
        <v>8.4492985815142578E-3</v>
      </c>
      <c r="H635" s="101">
        <f t="shared" si="125"/>
        <v>0.11640369598973688</v>
      </c>
      <c r="I635" s="101">
        <f t="shared" si="125"/>
        <v>6.0083333888724964E-2</v>
      </c>
      <c r="J635" s="101">
        <f t="shared" si="125"/>
        <v>0</v>
      </c>
      <c r="K635" s="101">
        <f t="shared" si="125"/>
        <v>0</v>
      </c>
      <c r="L635" s="101">
        <f t="shared" si="125"/>
        <v>3.4966368324329186E-4</v>
      </c>
      <c r="M635" s="101">
        <f t="shared" si="125"/>
        <v>0.6036462819480527</v>
      </c>
      <c r="N635" s="101">
        <f t="shared" si="125"/>
        <v>1.170059559921633</v>
      </c>
      <c r="O635" s="101">
        <f t="shared" si="125"/>
        <v>8.6984862286907494E-2</v>
      </c>
      <c r="P635" s="101">
        <f t="shared" si="125"/>
        <v>1.6170954133205243E-2</v>
      </c>
      <c r="Q635" s="101">
        <f t="shared" si="125"/>
        <v>6.3984608932170478E-4</v>
      </c>
      <c r="R635" s="101">
        <f t="shared" si="125"/>
        <v>0</v>
      </c>
      <c r="S635" s="101">
        <f t="shared" si="125"/>
        <v>0.81572488718526559</v>
      </c>
      <c r="T635" s="101">
        <f t="shared" si="125"/>
        <v>0.1975442218891984</v>
      </c>
      <c r="U635" s="101">
        <f t="shared" si="125"/>
        <v>2.3907611686841319</v>
      </c>
      <c r="V635" s="101">
        <f t="shared" si="125"/>
        <v>1.6032309799326714</v>
      </c>
      <c r="W635" s="101">
        <f t="shared" si="125"/>
        <v>0</v>
      </c>
      <c r="X635" s="101">
        <f t="shared" si="125"/>
        <v>0</v>
      </c>
      <c r="Y635" s="101">
        <f t="shared" si="125"/>
        <v>3.5024510177257892E-4</v>
      </c>
      <c r="Z635" s="101">
        <f t="shared" si="125"/>
        <v>4.9235381445774544E-2</v>
      </c>
      <c r="AA635" s="101">
        <f t="shared" si="125"/>
        <v>5.1981341760454901E-2</v>
      </c>
      <c r="AB635" s="101">
        <f t="shared" si="125"/>
        <v>1.0519339259716105E-2</v>
      </c>
      <c r="AC635" s="101">
        <f t="shared" si="125"/>
        <v>1.9280727134911271</v>
      </c>
      <c r="AD635" s="101">
        <f t="shared" si="125"/>
        <v>2.5802993568420835E-3</v>
      </c>
      <c r="AE635" s="101">
        <f t="shared" si="125"/>
        <v>0.10804050621455498</v>
      </c>
      <c r="AF635" s="101">
        <f t="shared" si="125"/>
        <v>1.3529872097102696E-2</v>
      </c>
      <c r="AG635" s="101">
        <f t="shared" si="125"/>
        <v>1.0141418437084188E-2</v>
      </c>
      <c r="AH635" s="101">
        <f t="shared" si="125"/>
        <v>1.9398112875110531E-2</v>
      </c>
      <c r="AI635" s="101">
        <f t="shared" si="125"/>
        <v>7.3638315543620688E-3</v>
      </c>
      <c r="AJ635" s="101">
        <f t="shared" si="125"/>
        <v>0</v>
      </c>
      <c r="AK635" s="101">
        <f t="shared" si="125"/>
        <v>1.110630085602974</v>
      </c>
      <c r="AL635" s="101">
        <f t="shared" si="125"/>
        <v>1.9188942903999945E-2</v>
      </c>
      <c r="AM635" s="384">
        <f t="shared" si="112"/>
        <v>10.481503539886202</v>
      </c>
    </row>
    <row r="636" spans="1:39" x14ac:dyDescent="0.2">
      <c r="A636" s="8"/>
      <c r="B636" s="124" t="s">
        <v>267</v>
      </c>
      <c r="C636" s="213" t="s">
        <v>83</v>
      </c>
      <c r="D636" s="119"/>
      <c r="E636" s="101"/>
      <c r="F636" s="101">
        <f t="shared" ref="F636:AL636" si="126">F150*(1-F319/100)*0.44*(1-F605)/F605</f>
        <v>3.7971140409675447E-2</v>
      </c>
      <c r="G636" s="101">
        <f t="shared" si="126"/>
        <v>8.744041555288011E-3</v>
      </c>
      <c r="H636" s="101">
        <f t="shared" si="126"/>
        <v>0</v>
      </c>
      <c r="I636" s="101">
        <f t="shared" si="126"/>
        <v>3.6491958497257316E-4</v>
      </c>
      <c r="J636" s="101">
        <f t="shared" si="126"/>
        <v>2.1094396532529106E-2</v>
      </c>
      <c r="K636" s="101">
        <f t="shared" si="126"/>
        <v>0</v>
      </c>
      <c r="L636" s="101">
        <f t="shared" si="126"/>
        <v>2.5700280718381949E-3</v>
      </c>
      <c r="M636" s="101">
        <f t="shared" si="126"/>
        <v>3.8751287531437709E-4</v>
      </c>
      <c r="N636" s="101">
        <f t="shared" si="126"/>
        <v>2.2604252098925727E-2</v>
      </c>
      <c r="O636" s="101">
        <f t="shared" si="126"/>
        <v>0</v>
      </c>
      <c r="P636" s="101">
        <f t="shared" si="126"/>
        <v>9.8995427637797954E-3</v>
      </c>
      <c r="Q636" s="101">
        <f t="shared" si="126"/>
        <v>1.2697390172539609E-2</v>
      </c>
      <c r="R636" s="101">
        <f t="shared" si="126"/>
        <v>2.9294982540022346E-3</v>
      </c>
      <c r="S636" s="101">
        <f t="shared" si="126"/>
        <v>0.61123299469668246</v>
      </c>
      <c r="T636" s="101">
        <f t="shared" si="126"/>
        <v>0.19026120822417919</v>
      </c>
      <c r="U636" s="101">
        <f t="shared" si="126"/>
        <v>0.18791083443428408</v>
      </c>
      <c r="V636" s="101">
        <f t="shared" si="126"/>
        <v>0.1553703652041786</v>
      </c>
      <c r="W636" s="101">
        <f t="shared" si="126"/>
        <v>2.9966760262795777E-3</v>
      </c>
      <c r="X636" s="101">
        <f t="shared" si="126"/>
        <v>2.855592044698824E-2</v>
      </c>
      <c r="Y636" s="101">
        <f t="shared" si="126"/>
        <v>7.3102439190481866E-3</v>
      </c>
      <c r="Z636" s="101">
        <f t="shared" si="126"/>
        <v>0.14494238387829192</v>
      </c>
      <c r="AA636" s="101">
        <f t="shared" si="126"/>
        <v>7.2513636752557931</v>
      </c>
      <c r="AB636" s="101">
        <f t="shared" si="126"/>
        <v>0.14776685400587472</v>
      </c>
      <c r="AC636" s="101">
        <f t="shared" si="126"/>
        <v>4.0080789416209468</v>
      </c>
      <c r="AD636" s="101">
        <f t="shared" si="126"/>
        <v>0.19289714244826692</v>
      </c>
      <c r="AE636" s="101">
        <f t="shared" si="126"/>
        <v>0.15954908118268307</v>
      </c>
      <c r="AF636" s="101">
        <f t="shared" si="126"/>
        <v>2.0916847788345676E-2</v>
      </c>
      <c r="AG636" s="101">
        <f t="shared" si="126"/>
        <v>5.4809076416420703</v>
      </c>
      <c r="AH636" s="101">
        <f t="shared" si="126"/>
        <v>0.77974424882734394</v>
      </c>
      <c r="AI636" s="101">
        <f t="shared" si="126"/>
        <v>0.12400866629416829</v>
      </c>
      <c r="AJ636" s="101">
        <f t="shared" si="126"/>
        <v>0.2627735397197859</v>
      </c>
      <c r="AK636" s="101">
        <f t="shared" si="126"/>
        <v>0.27574275096500228</v>
      </c>
      <c r="AL636" s="101">
        <f t="shared" si="126"/>
        <v>0.26899868118317821</v>
      </c>
      <c r="AM636" s="384">
        <f t="shared" si="112"/>
        <v>20.420591420082257</v>
      </c>
    </row>
    <row r="637" spans="1:39" x14ac:dyDescent="0.2">
      <c r="A637" s="8"/>
      <c r="B637" s="124" t="s">
        <v>268</v>
      </c>
      <c r="C637" s="213" t="s">
        <v>83</v>
      </c>
      <c r="D637" s="119"/>
      <c r="E637" s="101"/>
      <c r="F637" s="101">
        <f t="shared" ref="F637:AL637" si="127">F151*(1-F320/100)*0.44*(1-F606)/F606</f>
        <v>0.13995603983230895</v>
      </c>
      <c r="G637" s="101">
        <f t="shared" si="127"/>
        <v>2.0482792919015804E-2</v>
      </c>
      <c r="H637" s="101">
        <f t="shared" si="127"/>
        <v>6.9578187381875147E-3</v>
      </c>
      <c r="I637" s="101">
        <f t="shared" si="127"/>
        <v>2.4230800395811276E-2</v>
      </c>
      <c r="J637" s="101">
        <f t="shared" si="127"/>
        <v>1.0216580427191122E-2</v>
      </c>
      <c r="K637" s="101">
        <f t="shared" si="127"/>
        <v>2.5852813163019375E-2</v>
      </c>
      <c r="L637" s="101">
        <f t="shared" si="127"/>
        <v>2.8525002047472579E-2</v>
      </c>
      <c r="M637" s="101">
        <f t="shared" si="127"/>
        <v>0.3179125034191263</v>
      </c>
      <c r="N637" s="101">
        <f t="shared" si="127"/>
        <v>0.17901615165063198</v>
      </c>
      <c r="O637" s="101">
        <f t="shared" si="127"/>
        <v>4.4506650795729949E-2</v>
      </c>
      <c r="P637" s="101">
        <f t="shared" si="127"/>
        <v>0.16983735032622649</v>
      </c>
      <c r="Q637" s="101">
        <f t="shared" si="127"/>
        <v>6.6678592641460185E-2</v>
      </c>
      <c r="R637" s="101">
        <f t="shared" si="127"/>
        <v>0.21412961966379862</v>
      </c>
      <c r="S637" s="101">
        <f t="shared" si="127"/>
        <v>0.45910574993386782</v>
      </c>
      <c r="T637" s="101">
        <f t="shared" si="127"/>
        <v>0.94887321154164173</v>
      </c>
      <c r="U637" s="101">
        <f t="shared" si="127"/>
        <v>1.2347775725971304</v>
      </c>
      <c r="V637" s="101">
        <f t="shared" si="127"/>
        <v>5.8538762180709317E-2</v>
      </c>
      <c r="W637" s="101">
        <f t="shared" si="127"/>
        <v>3.5932930842829227E-3</v>
      </c>
      <c r="X637" s="101">
        <f t="shared" si="127"/>
        <v>2.5359946214314748E-2</v>
      </c>
      <c r="Y637" s="101">
        <f t="shared" si="127"/>
        <v>0.10830615527895955</v>
      </c>
      <c r="Z637" s="101">
        <f t="shared" si="127"/>
        <v>0.61402658371090957</v>
      </c>
      <c r="AA637" s="101">
        <f t="shared" si="127"/>
        <v>0.29305887100721911</v>
      </c>
      <c r="AB637" s="101">
        <f t="shared" si="127"/>
        <v>9.4776483139307594E-4</v>
      </c>
      <c r="AC637" s="101">
        <f t="shared" si="127"/>
        <v>2.4038918217138958</v>
      </c>
      <c r="AD637" s="101">
        <f t="shared" si="127"/>
        <v>8.2711841915354092E-2</v>
      </c>
      <c r="AE637" s="101">
        <f t="shared" si="127"/>
        <v>7.2426633253601158E-2</v>
      </c>
      <c r="AF637" s="101">
        <f t="shared" si="127"/>
        <v>1.6451079325277854E-2</v>
      </c>
      <c r="AG637" s="101">
        <f t="shared" si="127"/>
        <v>0.21591609704062514</v>
      </c>
      <c r="AH637" s="101">
        <f t="shared" si="127"/>
        <v>9.9911156163266547E-3</v>
      </c>
      <c r="AI637" s="101">
        <f t="shared" si="127"/>
        <v>2.6725377483269739</v>
      </c>
      <c r="AJ637" s="101">
        <f t="shared" si="127"/>
        <v>4.9343529594678275</v>
      </c>
      <c r="AK637" s="101">
        <f t="shared" si="127"/>
        <v>1.5387002927003386</v>
      </c>
      <c r="AL637" s="101">
        <f t="shared" si="127"/>
        <v>1.8947118318295912</v>
      </c>
      <c r="AM637" s="384">
        <f t="shared" si="112"/>
        <v>18.83658204759022</v>
      </c>
    </row>
    <row r="638" spans="1:39" x14ac:dyDescent="0.2">
      <c r="A638" s="8"/>
      <c r="B638" s="124" t="s">
        <v>269</v>
      </c>
      <c r="C638" s="213" t="s">
        <v>83</v>
      </c>
      <c r="D638" s="119"/>
      <c r="E638" s="101"/>
      <c r="F638" s="101">
        <f t="shared" ref="F638:AL638" si="128">F152*(1-F321/100)*0.44*(1-F607)/F607</f>
        <v>8.965338216807478E-2</v>
      </c>
      <c r="G638" s="101">
        <f t="shared" si="128"/>
        <v>1.8805294956438817E-2</v>
      </c>
      <c r="H638" s="101">
        <f t="shared" si="128"/>
        <v>4.8917442289892425E-3</v>
      </c>
      <c r="I638" s="101">
        <f t="shared" si="128"/>
        <v>1.4217968712051676E-2</v>
      </c>
      <c r="J638" s="101">
        <f t="shared" si="128"/>
        <v>3.4277145634472782E-2</v>
      </c>
      <c r="K638" s="101">
        <f t="shared" si="128"/>
        <v>2.0226697066951817E-2</v>
      </c>
      <c r="L638" s="101">
        <f t="shared" si="128"/>
        <v>0.47037439478356263</v>
      </c>
      <c r="M638" s="101">
        <f t="shared" si="128"/>
        <v>0.99798920645078637</v>
      </c>
      <c r="N638" s="101">
        <f t="shared" si="128"/>
        <v>0.12289280184987085</v>
      </c>
      <c r="O638" s="101">
        <f t="shared" si="128"/>
        <v>2.6559387074738938E-2</v>
      </c>
      <c r="P638" s="101">
        <f t="shared" si="128"/>
        <v>5.6706443993121344E-3</v>
      </c>
      <c r="Q638" s="101">
        <f t="shared" si="128"/>
        <v>0.66667791240263941</v>
      </c>
      <c r="R638" s="101">
        <f t="shared" si="128"/>
        <v>2.4678152509702289</v>
      </c>
      <c r="S638" s="101">
        <f t="shared" si="128"/>
        <v>4.332110305655202E-2</v>
      </c>
      <c r="T638" s="101">
        <f t="shared" si="128"/>
        <v>0.12632447510457112</v>
      </c>
      <c r="U638" s="101">
        <f t="shared" si="128"/>
        <v>5.7315718723395123E-2</v>
      </c>
      <c r="V638" s="101">
        <f t="shared" si="128"/>
        <v>2.4597307672997889E-2</v>
      </c>
      <c r="W638" s="101">
        <f t="shared" si="128"/>
        <v>3.787264717490686E-3</v>
      </c>
      <c r="X638" s="101">
        <f t="shared" si="128"/>
        <v>6.0152363457953118E-3</v>
      </c>
      <c r="Y638" s="101">
        <f t="shared" si="128"/>
        <v>5.8067332101344814E-2</v>
      </c>
      <c r="Z638" s="101">
        <f t="shared" si="128"/>
        <v>6.185086548818438E-3</v>
      </c>
      <c r="AA638" s="101">
        <f t="shared" si="128"/>
        <v>2.7873713260352401E-2</v>
      </c>
      <c r="AB638" s="101">
        <f t="shared" si="128"/>
        <v>9.0629707091959358E-4</v>
      </c>
      <c r="AC638" s="101">
        <f t="shared" si="128"/>
        <v>0.140061120848926</v>
      </c>
      <c r="AD638" s="101">
        <f t="shared" si="128"/>
        <v>3.6732807956312489E-3</v>
      </c>
      <c r="AE638" s="101">
        <f t="shared" si="128"/>
        <v>3.1818508431781287E-2</v>
      </c>
      <c r="AF638" s="101">
        <f t="shared" si="128"/>
        <v>4.0570983443639587E-3</v>
      </c>
      <c r="AG638" s="101">
        <f t="shared" si="128"/>
        <v>2.8515365373647573E-3</v>
      </c>
      <c r="AH638" s="101">
        <f t="shared" si="128"/>
        <v>1.1700792463028992E-3</v>
      </c>
      <c r="AI638" s="101">
        <f t="shared" si="128"/>
        <v>0.11502089474057749</v>
      </c>
      <c r="AJ638" s="101">
        <f t="shared" si="128"/>
        <v>0.59398269487996502</v>
      </c>
      <c r="AK638" s="101">
        <f t="shared" si="128"/>
        <v>1.5879765620740446E-2</v>
      </c>
      <c r="AL638" s="101">
        <f t="shared" si="128"/>
        <v>3.6479763508554301E-2</v>
      </c>
      <c r="AM638" s="384">
        <f t="shared" si="112"/>
        <v>6.2394401082545627</v>
      </c>
    </row>
    <row r="639" spans="1:39" x14ac:dyDescent="0.2">
      <c r="A639" s="8"/>
      <c r="B639" s="124" t="s">
        <v>270</v>
      </c>
      <c r="C639" s="213" t="s">
        <v>83</v>
      </c>
      <c r="D639" s="119"/>
      <c r="E639" s="101"/>
      <c r="F639" s="101">
        <f t="shared" ref="F639:AL639" si="129">F153*(1-F322/100)*0.44*(1-F608)/F608</f>
        <v>0.53413305029869063</v>
      </c>
      <c r="G639" s="101">
        <f t="shared" si="129"/>
        <v>5.2839893449863083E-2</v>
      </c>
      <c r="H639" s="101">
        <f t="shared" si="129"/>
        <v>2.4839374976727929E-2</v>
      </c>
      <c r="I639" s="101">
        <f t="shared" si="129"/>
        <v>2.4914423376869692</v>
      </c>
      <c r="J639" s="101">
        <f t="shared" si="129"/>
        <v>0.14984928416614673</v>
      </c>
      <c r="K639" s="101">
        <f t="shared" si="129"/>
        <v>5.5611550352017772E-2</v>
      </c>
      <c r="L639" s="101">
        <f t="shared" si="129"/>
        <v>0.74363312752657729</v>
      </c>
      <c r="M639" s="101">
        <f t="shared" si="129"/>
        <v>5.3904105190429119</v>
      </c>
      <c r="N639" s="101">
        <f t="shared" si="129"/>
        <v>0.21389022248618494</v>
      </c>
      <c r="O639" s="101">
        <f t="shared" si="129"/>
        <v>7.2335006506399027E-2</v>
      </c>
      <c r="P639" s="101">
        <f t="shared" si="129"/>
        <v>1.7562753604432085E-2</v>
      </c>
      <c r="Q639" s="101">
        <f t="shared" si="129"/>
        <v>0.1094554332340172</v>
      </c>
      <c r="R639" s="101">
        <f t="shared" si="129"/>
        <v>1.1434511691961149</v>
      </c>
      <c r="S639" s="101">
        <f t="shared" si="129"/>
        <v>0.12921074522476581</v>
      </c>
      <c r="T639" s="101">
        <f t="shared" si="129"/>
        <v>0.94700497834329944</v>
      </c>
      <c r="U639" s="101">
        <f t="shared" si="129"/>
        <v>0.45199393111325264</v>
      </c>
      <c r="V639" s="101">
        <f t="shared" si="129"/>
        <v>0.16500051259588591</v>
      </c>
      <c r="W639" s="101">
        <f t="shared" si="129"/>
        <v>5.8315777041922402E-3</v>
      </c>
      <c r="X639" s="101">
        <f t="shared" si="129"/>
        <v>3.1605088770293437E-2</v>
      </c>
      <c r="Y639" s="101">
        <f t="shared" si="129"/>
        <v>0.36720091253912396</v>
      </c>
      <c r="Z639" s="101">
        <f t="shared" si="129"/>
        <v>0.14460921965220827</v>
      </c>
      <c r="AA639" s="101">
        <f t="shared" si="129"/>
        <v>0.12634689454363021</v>
      </c>
      <c r="AB639" s="101">
        <f t="shared" si="129"/>
        <v>4.5960217347634199E-3</v>
      </c>
      <c r="AC639" s="101">
        <f t="shared" si="129"/>
        <v>0.6383943055479121</v>
      </c>
      <c r="AD639" s="101">
        <f t="shared" si="129"/>
        <v>9.651181290442265E-2</v>
      </c>
      <c r="AE639" s="101">
        <f t="shared" si="129"/>
        <v>6.0904627316478589E-2</v>
      </c>
      <c r="AF639" s="101">
        <f t="shared" si="129"/>
        <v>3.2559601205244544E-2</v>
      </c>
      <c r="AG639" s="101">
        <f t="shared" si="129"/>
        <v>3.3149893347085534E-2</v>
      </c>
      <c r="AH639" s="101">
        <f t="shared" si="129"/>
        <v>8.1905547241202924E-3</v>
      </c>
      <c r="AI639" s="101">
        <f t="shared" si="129"/>
        <v>1.3570442562392306</v>
      </c>
      <c r="AJ639" s="101">
        <f t="shared" si="129"/>
        <v>5.3105668944353557</v>
      </c>
      <c r="AK639" s="101">
        <f t="shared" si="129"/>
        <v>0.35735797287194554</v>
      </c>
      <c r="AL639" s="101">
        <f t="shared" si="129"/>
        <v>4.7266334033115101</v>
      </c>
      <c r="AM639" s="384">
        <f t="shared" si="112"/>
        <v>25.994166926651776</v>
      </c>
    </row>
    <row r="640" spans="1:39" x14ac:dyDescent="0.2">
      <c r="A640" s="8"/>
      <c r="B640" s="124" t="s">
        <v>271</v>
      </c>
      <c r="C640" s="213" t="s">
        <v>83</v>
      </c>
      <c r="D640" s="119"/>
      <c r="E640" s="101"/>
      <c r="F640" s="101">
        <f t="shared" ref="F640:AL640" si="130">F154*(1-F323/100)*0.44*(1-F609)/F609</f>
        <v>0.30079145856320261</v>
      </c>
      <c r="G640" s="101">
        <f t="shared" si="130"/>
        <v>0.67337365884176381</v>
      </c>
      <c r="H640" s="101">
        <f t="shared" si="130"/>
        <v>9.4543733447125869E-2</v>
      </c>
      <c r="I640" s="101">
        <f t="shared" si="130"/>
        <v>0.96933967438071655</v>
      </c>
      <c r="J640" s="101">
        <f t="shared" si="130"/>
        <v>1.9978012530928129</v>
      </c>
      <c r="K640" s="101">
        <f t="shared" si="130"/>
        <v>0.24462425772887189</v>
      </c>
      <c r="L640" s="101">
        <f t="shared" si="130"/>
        <v>0.53738163777144277</v>
      </c>
      <c r="M640" s="101">
        <f t="shared" si="130"/>
        <v>0.42431190178990019</v>
      </c>
      <c r="N640" s="101">
        <f t="shared" si="130"/>
        <v>0.19124821680826493</v>
      </c>
      <c r="O640" s="101">
        <f t="shared" si="130"/>
        <v>3.8310943049620766E-2</v>
      </c>
      <c r="P640" s="101">
        <f t="shared" si="130"/>
        <v>0.3091622035932165</v>
      </c>
      <c r="Q640" s="101">
        <f t="shared" si="130"/>
        <v>0.44896764739518474</v>
      </c>
      <c r="R640" s="101">
        <f t="shared" si="130"/>
        <v>0.73459510911747861</v>
      </c>
      <c r="S640" s="101">
        <f t="shared" si="130"/>
        <v>0.4938986308027058</v>
      </c>
      <c r="T640" s="101">
        <f t="shared" si="130"/>
        <v>5.8896266262125314</v>
      </c>
      <c r="U640" s="101">
        <f t="shared" si="130"/>
        <v>2.322564762745241</v>
      </c>
      <c r="V640" s="101">
        <f t="shared" si="130"/>
        <v>1.0975042549249163</v>
      </c>
      <c r="W640" s="101">
        <f t="shared" si="130"/>
        <v>9.9007227252321511E-3</v>
      </c>
      <c r="X640" s="101">
        <f t="shared" si="130"/>
        <v>0.25668969674654618</v>
      </c>
      <c r="Y640" s="101">
        <f t="shared" si="130"/>
        <v>0.44707719910347959</v>
      </c>
      <c r="Z640" s="101">
        <f t="shared" si="130"/>
        <v>6.0536765761878142</v>
      </c>
      <c r="AA640" s="101">
        <f t="shared" si="130"/>
        <v>3.2819322057733631</v>
      </c>
      <c r="AB640" s="101">
        <f t="shared" si="130"/>
        <v>2.3376944687491075E-2</v>
      </c>
      <c r="AC640" s="101">
        <f t="shared" si="130"/>
        <v>14.377305654239313</v>
      </c>
      <c r="AD640" s="101">
        <f t="shared" si="130"/>
        <v>0.47829111159767651</v>
      </c>
      <c r="AE640" s="101">
        <f t="shared" si="130"/>
        <v>0.36768200608232476</v>
      </c>
      <c r="AF640" s="101">
        <f t="shared" si="130"/>
        <v>0.17990463075899044</v>
      </c>
      <c r="AG640" s="101">
        <f t="shared" si="130"/>
        <v>1.9658342917350358</v>
      </c>
      <c r="AH640" s="101">
        <f t="shared" si="130"/>
        <v>1.1906246415803095</v>
      </c>
      <c r="AI640" s="101">
        <f t="shared" si="130"/>
        <v>8.3792472881919053</v>
      </c>
      <c r="AJ640" s="101">
        <f t="shared" si="130"/>
        <v>23.141732670631999</v>
      </c>
      <c r="AK640" s="101">
        <f t="shared" si="130"/>
        <v>4.210225707088413</v>
      </c>
      <c r="AL640" s="101">
        <f t="shared" si="130"/>
        <v>14.651745630799446</v>
      </c>
      <c r="AM640" s="384">
        <f t="shared" si="112"/>
        <v>95.783292948194344</v>
      </c>
    </row>
    <row r="641" spans="1:39" x14ac:dyDescent="0.2">
      <c r="A641" s="8"/>
      <c r="B641" s="124" t="s">
        <v>272</v>
      </c>
      <c r="C641" s="213" t="s">
        <v>83</v>
      </c>
      <c r="D641" s="119"/>
      <c r="E641" s="101"/>
      <c r="F641" s="101">
        <f t="shared" ref="F641:AL641" si="131">F155*(1-F324/100)*0.44*(1-F610)/F610</f>
        <v>0</v>
      </c>
      <c r="G641" s="101">
        <f t="shared" si="131"/>
        <v>0</v>
      </c>
      <c r="H641" s="101">
        <f t="shared" si="131"/>
        <v>0</v>
      </c>
      <c r="I641" s="101">
        <f t="shared" si="131"/>
        <v>0</v>
      </c>
      <c r="J641" s="101">
        <f t="shared" si="131"/>
        <v>0</v>
      </c>
      <c r="K641" s="101">
        <f t="shared" si="131"/>
        <v>0</v>
      </c>
      <c r="L641" s="101">
        <f t="shared" si="131"/>
        <v>0</v>
      </c>
      <c r="M641" s="101">
        <f t="shared" si="131"/>
        <v>0</v>
      </c>
      <c r="N641" s="101">
        <f t="shared" si="131"/>
        <v>0</v>
      </c>
      <c r="O641" s="101">
        <f t="shared" si="131"/>
        <v>0</v>
      </c>
      <c r="P641" s="101">
        <f t="shared" si="131"/>
        <v>0</v>
      </c>
      <c r="Q641" s="101">
        <f t="shared" si="131"/>
        <v>0</v>
      </c>
      <c r="R641" s="101">
        <f t="shared" si="131"/>
        <v>0</v>
      </c>
      <c r="S641" s="101">
        <f t="shared" si="131"/>
        <v>2.190430141438559E-5</v>
      </c>
      <c r="T641" s="101">
        <f t="shared" si="131"/>
        <v>0</v>
      </c>
      <c r="U641" s="101">
        <f t="shared" si="131"/>
        <v>0</v>
      </c>
      <c r="V641" s="101">
        <f t="shared" si="131"/>
        <v>0</v>
      </c>
      <c r="W641" s="101">
        <f t="shared" si="131"/>
        <v>0</v>
      </c>
      <c r="X641" s="101">
        <f t="shared" si="131"/>
        <v>0</v>
      </c>
      <c r="Y641" s="101">
        <f t="shared" si="131"/>
        <v>0</v>
      </c>
      <c r="Z641" s="101">
        <f t="shared" si="131"/>
        <v>6.1955231264492316E-2</v>
      </c>
      <c r="AA641" s="101">
        <f t="shared" si="131"/>
        <v>3.0636395276986472E-2</v>
      </c>
      <c r="AB641" s="101">
        <f t="shared" si="131"/>
        <v>0</v>
      </c>
      <c r="AC641" s="101">
        <f t="shared" si="131"/>
        <v>2.3317676675503784E-2</v>
      </c>
      <c r="AD641" s="101">
        <f t="shared" si="131"/>
        <v>0</v>
      </c>
      <c r="AE641" s="101">
        <f t="shared" si="131"/>
        <v>0</v>
      </c>
      <c r="AF641" s="101">
        <f t="shared" si="131"/>
        <v>0</v>
      </c>
      <c r="AG641" s="101">
        <f t="shared" si="131"/>
        <v>0</v>
      </c>
      <c r="AH641" s="101">
        <f t="shared" si="131"/>
        <v>0</v>
      </c>
      <c r="AI641" s="101">
        <f t="shared" si="131"/>
        <v>0.20742208043665394</v>
      </c>
      <c r="AJ641" s="101">
        <f t="shared" si="131"/>
        <v>1.1579320289287036</v>
      </c>
      <c r="AK641" s="101">
        <f t="shared" si="131"/>
        <v>0.14249003380154107</v>
      </c>
      <c r="AL641" s="101">
        <f t="shared" si="131"/>
        <v>8.7242794594427464E-2</v>
      </c>
      <c r="AM641" s="384">
        <f t="shared" si="112"/>
        <v>1.7110181452797231</v>
      </c>
    </row>
    <row r="642" spans="1:39" x14ac:dyDescent="0.2">
      <c r="A642" s="8"/>
      <c r="B642" s="124" t="s">
        <v>273</v>
      </c>
      <c r="C642" s="213" t="s">
        <v>83</v>
      </c>
      <c r="D642" s="119"/>
      <c r="E642" s="101"/>
      <c r="F642" s="101">
        <f t="shared" ref="F642:AL642" si="132">F156*(1-F325/100)*0.44*(1-F611)/F611</f>
        <v>0</v>
      </c>
      <c r="G642" s="101">
        <f t="shared" si="132"/>
        <v>0</v>
      </c>
      <c r="H642" s="101">
        <f t="shared" si="132"/>
        <v>0</v>
      </c>
      <c r="I642" s="101">
        <f t="shared" si="132"/>
        <v>0</v>
      </c>
      <c r="J642" s="101">
        <f t="shared" si="132"/>
        <v>0</v>
      </c>
      <c r="K642" s="101">
        <f t="shared" si="132"/>
        <v>0</v>
      </c>
      <c r="L642" s="101">
        <f t="shared" si="132"/>
        <v>0</v>
      </c>
      <c r="M642" s="101">
        <f t="shared" si="132"/>
        <v>0</v>
      </c>
      <c r="N642" s="101">
        <f t="shared" si="132"/>
        <v>0</v>
      </c>
      <c r="O642" s="101">
        <f t="shared" si="132"/>
        <v>0</v>
      </c>
      <c r="P642" s="101">
        <f t="shared" si="132"/>
        <v>0</v>
      </c>
      <c r="Q642" s="101">
        <f t="shared" si="132"/>
        <v>0</v>
      </c>
      <c r="R642" s="101">
        <f t="shared" si="132"/>
        <v>0</v>
      </c>
      <c r="S642" s="101">
        <f t="shared" si="132"/>
        <v>0</v>
      </c>
      <c r="T642" s="101">
        <f t="shared" si="132"/>
        <v>0</v>
      </c>
      <c r="U642" s="101">
        <f t="shared" si="132"/>
        <v>0</v>
      </c>
      <c r="V642" s="101">
        <f t="shared" si="132"/>
        <v>0</v>
      </c>
      <c r="W642" s="101">
        <f t="shared" si="132"/>
        <v>0</v>
      </c>
      <c r="X642" s="101">
        <f t="shared" si="132"/>
        <v>0</v>
      </c>
      <c r="Y642" s="101">
        <f t="shared" si="132"/>
        <v>0</v>
      </c>
      <c r="Z642" s="101">
        <f t="shared" si="132"/>
        <v>0</v>
      </c>
      <c r="AA642" s="101">
        <f t="shared" si="132"/>
        <v>0</v>
      </c>
      <c r="AB642" s="101">
        <f t="shared" si="132"/>
        <v>0</v>
      </c>
      <c r="AC642" s="101">
        <f t="shared" si="132"/>
        <v>0</v>
      </c>
      <c r="AD642" s="101">
        <f t="shared" si="132"/>
        <v>0</v>
      </c>
      <c r="AE642" s="101">
        <f t="shared" si="132"/>
        <v>0</v>
      </c>
      <c r="AF642" s="101">
        <f t="shared" si="132"/>
        <v>0</v>
      </c>
      <c r="AG642" s="101">
        <f t="shared" si="132"/>
        <v>0</v>
      </c>
      <c r="AH642" s="101">
        <f t="shared" si="132"/>
        <v>0</v>
      </c>
      <c r="AI642" s="101">
        <f t="shared" si="132"/>
        <v>0</v>
      </c>
      <c r="AJ642" s="101">
        <f t="shared" si="132"/>
        <v>2.5250576867490257E-2</v>
      </c>
      <c r="AK642" s="101">
        <f t="shared" si="132"/>
        <v>0</v>
      </c>
      <c r="AL642" s="101">
        <f t="shared" si="132"/>
        <v>0</v>
      </c>
      <c r="AM642" s="384">
        <f t="shared" si="112"/>
        <v>2.5250576867490257E-2</v>
      </c>
    </row>
    <row r="643" spans="1:39" x14ac:dyDescent="0.2">
      <c r="A643" s="8"/>
      <c r="B643" s="124" t="s">
        <v>274</v>
      </c>
      <c r="C643" s="213" t="s">
        <v>83</v>
      </c>
      <c r="D643" s="119"/>
      <c r="E643" s="101"/>
      <c r="F643" s="101">
        <f t="shared" ref="F643:AL643" si="133">F157*(1-F326/100)*0.44*(1-F612)/F612</f>
        <v>0.21909720534628149</v>
      </c>
      <c r="G643" s="101">
        <f t="shared" si="133"/>
        <v>0.11336293434773859</v>
      </c>
      <c r="H643" s="101">
        <f t="shared" si="133"/>
        <v>4.5089498309940973E-3</v>
      </c>
      <c r="I643" s="101">
        <f t="shared" si="133"/>
        <v>0</v>
      </c>
      <c r="J643" s="101">
        <f t="shared" si="133"/>
        <v>4.8580616502697217E-2</v>
      </c>
      <c r="K643" s="101">
        <f t="shared" si="133"/>
        <v>4.9377310451204776E-4</v>
      </c>
      <c r="L643" s="101">
        <f t="shared" si="133"/>
        <v>0</v>
      </c>
      <c r="M643" s="101">
        <f t="shared" si="133"/>
        <v>0</v>
      </c>
      <c r="N643" s="101">
        <f t="shared" si="133"/>
        <v>2.0041841521353221</v>
      </c>
      <c r="O643" s="101">
        <f t="shared" si="133"/>
        <v>0.17791119449053239</v>
      </c>
      <c r="P643" s="101">
        <f t="shared" si="133"/>
        <v>0.32385803296930887</v>
      </c>
      <c r="Q643" s="101">
        <f t="shared" si="133"/>
        <v>3.7033375529830692E-3</v>
      </c>
      <c r="R643" s="101">
        <f t="shared" si="133"/>
        <v>3.870940541181446E-2</v>
      </c>
      <c r="S643" s="101">
        <f t="shared" si="133"/>
        <v>7.3070758218261728E-2</v>
      </c>
      <c r="T643" s="101">
        <f t="shared" si="133"/>
        <v>0.79527763539450458</v>
      </c>
      <c r="U643" s="101">
        <f t="shared" si="133"/>
        <v>7.2776757179723303E-2</v>
      </c>
      <c r="V643" s="101">
        <f t="shared" si="133"/>
        <v>1.1790236356889659E-2</v>
      </c>
      <c r="W643" s="101">
        <f t="shared" si="133"/>
        <v>8.0610295625462014E-2</v>
      </c>
      <c r="X643" s="101">
        <f t="shared" si="133"/>
        <v>0</v>
      </c>
      <c r="Y643" s="101">
        <f t="shared" si="133"/>
        <v>0</v>
      </c>
      <c r="Z643" s="101">
        <f t="shared" si="133"/>
        <v>0</v>
      </c>
      <c r="AA643" s="101">
        <f t="shared" si="133"/>
        <v>5.3272678727584758E-3</v>
      </c>
      <c r="AB643" s="101">
        <f t="shared" si="133"/>
        <v>1.7406005341600165E-3</v>
      </c>
      <c r="AC643" s="101">
        <f t="shared" si="133"/>
        <v>0.65319223777104007</v>
      </c>
      <c r="AD643" s="101">
        <f t="shared" si="133"/>
        <v>0</v>
      </c>
      <c r="AE643" s="101">
        <f t="shared" si="133"/>
        <v>9.6347317984865871E-2</v>
      </c>
      <c r="AF643" s="101">
        <f t="shared" si="133"/>
        <v>0</v>
      </c>
      <c r="AG643" s="101">
        <f t="shared" si="133"/>
        <v>2.9010062179801066E-2</v>
      </c>
      <c r="AH643" s="101">
        <f t="shared" si="133"/>
        <v>9.9866770931741314E-4</v>
      </c>
      <c r="AI643" s="101">
        <f t="shared" si="133"/>
        <v>0</v>
      </c>
      <c r="AJ643" s="101">
        <f t="shared" si="133"/>
        <v>0</v>
      </c>
      <c r="AK643" s="101">
        <f t="shared" si="133"/>
        <v>5.0539939413488362E-3</v>
      </c>
      <c r="AL643" s="101">
        <f t="shared" si="133"/>
        <v>0</v>
      </c>
      <c r="AM643" s="384">
        <f t="shared" si="112"/>
        <v>4.7596054324603179</v>
      </c>
    </row>
    <row r="644" spans="1:39" x14ac:dyDescent="0.2">
      <c r="A644" s="8"/>
      <c r="B644" s="124" t="s">
        <v>275</v>
      </c>
      <c r="C644" s="213" t="s">
        <v>83</v>
      </c>
      <c r="D644" s="119"/>
      <c r="E644" s="101"/>
      <c r="F644" s="101">
        <f t="shared" ref="F644:AL644" si="134">F158*(1-F327/100)*0.44*(1-F613)/F613</f>
        <v>1.0683322315315127</v>
      </c>
      <c r="G644" s="101">
        <f t="shared" si="134"/>
        <v>10.951844632642452</v>
      </c>
      <c r="H644" s="101">
        <f t="shared" si="134"/>
        <v>0.12237831098774807</v>
      </c>
      <c r="I644" s="101">
        <f t="shared" si="134"/>
        <v>5.7248122406803672</v>
      </c>
      <c r="J644" s="101">
        <f t="shared" si="134"/>
        <v>4.5759496360812655</v>
      </c>
      <c r="K644" s="101">
        <f t="shared" si="134"/>
        <v>8.6363051963935078</v>
      </c>
      <c r="L644" s="101">
        <f t="shared" si="134"/>
        <v>1.5254417633006935E-3</v>
      </c>
      <c r="M644" s="101">
        <f t="shared" si="134"/>
        <v>7.9770094630260306</v>
      </c>
      <c r="N644" s="101">
        <f t="shared" si="134"/>
        <v>0.18134610956915415</v>
      </c>
      <c r="O644" s="101">
        <f t="shared" si="134"/>
        <v>2.3397926675788683E-3</v>
      </c>
      <c r="P644" s="101">
        <f t="shared" si="134"/>
        <v>6.6452864054439096E-3</v>
      </c>
      <c r="Q644" s="101">
        <f t="shared" si="134"/>
        <v>0</v>
      </c>
      <c r="R644" s="101">
        <f t="shared" si="134"/>
        <v>1.7596501973317887E-3</v>
      </c>
      <c r="S644" s="101">
        <f t="shared" si="134"/>
        <v>0</v>
      </c>
      <c r="T644" s="101">
        <f t="shared" si="134"/>
        <v>0</v>
      </c>
      <c r="U644" s="101">
        <f t="shared" si="134"/>
        <v>1.5345716250517272E-2</v>
      </c>
      <c r="V644" s="101">
        <f t="shared" si="134"/>
        <v>0</v>
      </c>
      <c r="W644" s="101">
        <f t="shared" si="134"/>
        <v>0</v>
      </c>
      <c r="X644" s="101">
        <f t="shared" si="134"/>
        <v>0</v>
      </c>
      <c r="Y644" s="101">
        <f t="shared" si="134"/>
        <v>0</v>
      </c>
      <c r="Z644" s="101">
        <f t="shared" si="134"/>
        <v>0</v>
      </c>
      <c r="AA644" s="101">
        <f t="shared" si="134"/>
        <v>0</v>
      </c>
      <c r="AB644" s="101">
        <f t="shared" si="134"/>
        <v>1.2544868714666785E-3</v>
      </c>
      <c r="AC644" s="101">
        <f t="shared" si="134"/>
        <v>2.5797966924059817E-2</v>
      </c>
      <c r="AD644" s="101">
        <f t="shared" si="134"/>
        <v>0</v>
      </c>
      <c r="AE644" s="101">
        <f t="shared" si="134"/>
        <v>0</v>
      </c>
      <c r="AF644" s="101">
        <f t="shared" si="134"/>
        <v>0</v>
      </c>
      <c r="AG644" s="101">
        <f t="shared" si="134"/>
        <v>6.9361699557521123E-4</v>
      </c>
      <c r="AH644" s="101">
        <f t="shared" si="134"/>
        <v>0</v>
      </c>
      <c r="AI644" s="101">
        <f t="shared" si="134"/>
        <v>0</v>
      </c>
      <c r="AJ644" s="101">
        <f t="shared" si="134"/>
        <v>0</v>
      </c>
      <c r="AK644" s="101">
        <f t="shared" si="134"/>
        <v>0</v>
      </c>
      <c r="AL644" s="101">
        <f t="shared" si="134"/>
        <v>0</v>
      </c>
      <c r="AM644" s="384">
        <f t="shared" si="112"/>
        <v>39.29333977898731</v>
      </c>
    </row>
    <row r="645" spans="1:39" x14ac:dyDescent="0.2">
      <c r="A645" s="8"/>
      <c r="B645" s="124" t="s">
        <v>276</v>
      </c>
      <c r="C645" s="213" t="s">
        <v>83</v>
      </c>
      <c r="D645" s="119"/>
      <c r="E645" s="101"/>
      <c r="F645" s="101">
        <f t="shared" ref="F645:AL645" si="135">F159*(1-F328/100)*0.44*(1-F614)/F614</f>
        <v>7.6885002261462096</v>
      </c>
      <c r="G645" s="101">
        <f t="shared" si="135"/>
        <v>36.580646296510579</v>
      </c>
      <c r="H645" s="101">
        <f t="shared" si="135"/>
        <v>6.4167092477485532</v>
      </c>
      <c r="I645" s="101">
        <f t="shared" si="135"/>
        <v>160.78988668935051</v>
      </c>
      <c r="J645" s="101">
        <f t="shared" si="135"/>
        <v>313.88887249413978</v>
      </c>
      <c r="K645" s="101">
        <f t="shared" si="135"/>
        <v>93.783325746577859</v>
      </c>
      <c r="L645" s="101">
        <f t="shared" si="135"/>
        <v>221.88733242883819</v>
      </c>
      <c r="M645" s="101">
        <f t="shared" si="135"/>
        <v>249.11846189972422</v>
      </c>
      <c r="N645" s="101">
        <f t="shared" si="135"/>
        <v>67.087517036904742</v>
      </c>
      <c r="O645" s="101">
        <f t="shared" si="135"/>
        <v>77.230068631402631</v>
      </c>
      <c r="P645" s="101">
        <f t="shared" si="135"/>
        <v>215.0871342946736</v>
      </c>
      <c r="Q645" s="101">
        <f t="shared" si="135"/>
        <v>48.164032262559175</v>
      </c>
      <c r="R645" s="101">
        <f t="shared" si="135"/>
        <v>686.63253323235119</v>
      </c>
      <c r="S645" s="101">
        <f t="shared" si="135"/>
        <v>217.93428903831028</v>
      </c>
      <c r="T645" s="101">
        <f t="shared" si="135"/>
        <v>744.11098604939832</v>
      </c>
      <c r="U645" s="101">
        <f t="shared" si="135"/>
        <v>102.92629379781025</v>
      </c>
      <c r="V645" s="101">
        <f t="shared" si="135"/>
        <v>281.60455971964052</v>
      </c>
      <c r="W645" s="101">
        <f t="shared" si="135"/>
        <v>21.729295972634134</v>
      </c>
      <c r="X645" s="101">
        <f t="shared" si="135"/>
        <v>5.3993619795584591</v>
      </c>
      <c r="Y645" s="101">
        <f t="shared" si="135"/>
        <v>49.433939953209261</v>
      </c>
      <c r="Z645" s="101">
        <f t="shared" si="135"/>
        <v>4.4596522219237142</v>
      </c>
      <c r="AA645" s="101">
        <f t="shared" si="135"/>
        <v>33.583432932716264</v>
      </c>
      <c r="AB645" s="101">
        <f t="shared" si="135"/>
        <v>32.477876467391908</v>
      </c>
      <c r="AC645" s="101">
        <f t="shared" si="135"/>
        <v>159.46245484851096</v>
      </c>
      <c r="AD645" s="101">
        <f t="shared" si="135"/>
        <v>13.830181863145354</v>
      </c>
      <c r="AE645" s="101">
        <f t="shared" si="135"/>
        <v>148.10567309272935</v>
      </c>
      <c r="AF645" s="101">
        <f t="shared" si="135"/>
        <v>15.959892013404637</v>
      </c>
      <c r="AG645" s="101">
        <f t="shared" si="135"/>
        <v>62.140590202726642</v>
      </c>
      <c r="AH645" s="101">
        <f t="shared" si="135"/>
        <v>26.209746427025401</v>
      </c>
      <c r="AI645" s="101">
        <f t="shared" si="135"/>
        <v>2.9348076846995714</v>
      </c>
      <c r="AJ645" s="101">
        <f t="shared" si="135"/>
        <v>12.987474713488826</v>
      </c>
      <c r="AK645" s="101">
        <f t="shared" si="135"/>
        <v>1.1815108945954922</v>
      </c>
      <c r="AL645" s="101">
        <f t="shared" si="135"/>
        <v>2.4551244938617245</v>
      </c>
      <c r="AM645" s="384">
        <f t="shared" si="112"/>
        <v>4123.2821648537092</v>
      </c>
    </row>
    <row r="646" spans="1:39" x14ac:dyDescent="0.2">
      <c r="A646" s="8"/>
      <c r="B646" s="124" t="s">
        <v>277</v>
      </c>
      <c r="C646" s="213" t="s">
        <v>83</v>
      </c>
      <c r="D646" s="119"/>
      <c r="E646" s="101"/>
      <c r="F646" s="101">
        <f t="shared" ref="F646:AL646" si="136">F160*(1-F329/100)*0.44*(1-F615)/F615</f>
        <v>0.12815300718570516</v>
      </c>
      <c r="G646" s="101">
        <f t="shared" si="136"/>
        <v>0.10156344619581725</v>
      </c>
      <c r="H646" s="101">
        <f t="shared" si="136"/>
        <v>5.5745228585780918E-2</v>
      </c>
      <c r="I646" s="101">
        <f t="shared" si="136"/>
        <v>0.26569197779992748</v>
      </c>
      <c r="J646" s="101">
        <f t="shared" si="136"/>
        <v>0.20171440799522161</v>
      </c>
      <c r="K646" s="101">
        <f t="shared" si="136"/>
        <v>5.1209782835873643E-2</v>
      </c>
      <c r="L646" s="101">
        <f t="shared" si="136"/>
        <v>0.11640163608731612</v>
      </c>
      <c r="M646" s="101">
        <f t="shared" si="136"/>
        <v>0.18473228109565426</v>
      </c>
      <c r="N646" s="101">
        <f t="shared" si="136"/>
        <v>0.24062426157102143</v>
      </c>
      <c r="O646" s="101">
        <f t="shared" si="136"/>
        <v>0.16537358843427288</v>
      </c>
      <c r="P646" s="101">
        <f t="shared" si="136"/>
        <v>0.21178740346771982</v>
      </c>
      <c r="Q646" s="101">
        <f t="shared" si="136"/>
        <v>6.9922775603357523E-2</v>
      </c>
      <c r="R646" s="101">
        <f t="shared" si="136"/>
        <v>0.22143000495321194</v>
      </c>
      <c r="S646" s="101">
        <f t="shared" si="136"/>
        <v>0.1933765797941317</v>
      </c>
      <c r="T646" s="101">
        <f t="shared" si="136"/>
        <v>0.38971235316244873</v>
      </c>
      <c r="U646" s="101">
        <f t="shared" si="136"/>
        <v>0.4764831279022127</v>
      </c>
      <c r="V646" s="101">
        <f t="shared" si="136"/>
        <v>0.6369182609635623</v>
      </c>
      <c r="W646" s="101">
        <f t="shared" si="136"/>
        <v>6.5376537304703733E-2</v>
      </c>
      <c r="X646" s="101">
        <f t="shared" si="136"/>
        <v>2.9712166916681496E-2</v>
      </c>
      <c r="Y646" s="101">
        <f t="shared" si="136"/>
        <v>5.4329952886624046E-2</v>
      </c>
      <c r="Z646" s="101">
        <f t="shared" si="136"/>
        <v>0.16151469396771903</v>
      </c>
      <c r="AA646" s="101">
        <f t="shared" si="136"/>
        <v>0.10786760230595011</v>
      </c>
      <c r="AB646" s="101">
        <f t="shared" si="136"/>
        <v>0.10842836400768799</v>
      </c>
      <c r="AC646" s="101">
        <f t="shared" si="136"/>
        <v>0.57285856986395511</v>
      </c>
      <c r="AD646" s="101">
        <f t="shared" si="136"/>
        <v>5.685394443632244E-2</v>
      </c>
      <c r="AE646" s="101">
        <f t="shared" si="136"/>
        <v>0.18432338583135488</v>
      </c>
      <c r="AF646" s="101">
        <f t="shared" si="136"/>
        <v>2.5834398383562798E-2</v>
      </c>
      <c r="AG646" s="101">
        <f t="shared" si="136"/>
        <v>0.12713661183206282</v>
      </c>
      <c r="AH646" s="101">
        <f t="shared" si="136"/>
        <v>0.12682783980541845</v>
      </c>
      <c r="AI646" s="101">
        <f t="shared" si="136"/>
        <v>5.868539767177388E-2</v>
      </c>
      <c r="AJ646" s="101">
        <f t="shared" si="136"/>
        <v>0.27632932127305676</v>
      </c>
      <c r="AK646" s="101">
        <f t="shared" si="136"/>
        <v>8.7723658539216876E-2</v>
      </c>
      <c r="AL646" s="101">
        <f t="shared" si="136"/>
        <v>0.19608170432221944</v>
      </c>
      <c r="AM646" s="384">
        <f t="shared" si="112"/>
        <v>5.9507242729815459</v>
      </c>
    </row>
    <row r="647" spans="1:39" x14ac:dyDescent="0.2">
      <c r="A647" s="8"/>
      <c r="B647" s="124" t="s">
        <v>278</v>
      </c>
      <c r="C647" s="213" t="s">
        <v>83</v>
      </c>
      <c r="D647" s="119"/>
      <c r="E647" s="101"/>
      <c r="F647" s="101">
        <f t="shared" ref="F647:AL647" si="137">F161*(1-F330/100)*0.44*(1-F616)/F616</f>
        <v>1.6914892774336996</v>
      </c>
      <c r="G647" s="101">
        <f t="shared" si="137"/>
        <v>3.3086429150408749</v>
      </c>
      <c r="H647" s="101">
        <f t="shared" si="137"/>
        <v>0.35968658642676871</v>
      </c>
      <c r="I647" s="101">
        <f t="shared" si="137"/>
        <v>5.0063196384445714</v>
      </c>
      <c r="J647" s="101">
        <f t="shared" si="137"/>
        <v>1.6465257998692877</v>
      </c>
      <c r="K647" s="101">
        <f t="shared" si="137"/>
        <v>0.23848274582955031</v>
      </c>
      <c r="L647" s="101">
        <f t="shared" si="137"/>
        <v>1.2437238963978385</v>
      </c>
      <c r="M647" s="101">
        <f t="shared" si="137"/>
        <v>1.3186737749848578</v>
      </c>
      <c r="N647" s="101">
        <f t="shared" si="137"/>
        <v>46.087168749021188</v>
      </c>
      <c r="O647" s="101">
        <f t="shared" si="137"/>
        <v>6.9857074388120548</v>
      </c>
      <c r="P647" s="101">
        <f t="shared" si="137"/>
        <v>4.3596110831829602</v>
      </c>
      <c r="Q647" s="101">
        <f t="shared" si="137"/>
        <v>1.1327208762742256</v>
      </c>
      <c r="R647" s="101">
        <f t="shared" si="137"/>
        <v>2.3054902137226461</v>
      </c>
      <c r="S647" s="101">
        <f t="shared" si="137"/>
        <v>7.8313141101965993</v>
      </c>
      <c r="T647" s="101">
        <f t="shared" si="137"/>
        <v>10.474472750368182</v>
      </c>
      <c r="U647" s="101">
        <f t="shared" si="137"/>
        <v>10.913396944720292</v>
      </c>
      <c r="V647" s="101">
        <f t="shared" si="137"/>
        <v>14.042627648540247</v>
      </c>
      <c r="W647" s="101">
        <f t="shared" si="137"/>
        <v>0.98968218571053834</v>
      </c>
      <c r="X647" s="101">
        <f t="shared" si="137"/>
        <v>0.61647676798809081</v>
      </c>
      <c r="Y647" s="101">
        <f t="shared" si="137"/>
        <v>1.7781302509209311</v>
      </c>
      <c r="Z647" s="101">
        <f t="shared" si="137"/>
        <v>17.103776842288337</v>
      </c>
      <c r="AA647" s="101">
        <f t="shared" si="137"/>
        <v>9.6444353733087436</v>
      </c>
      <c r="AB647" s="101">
        <f t="shared" si="137"/>
        <v>6.447509940955479</v>
      </c>
      <c r="AC647" s="101">
        <f t="shared" si="137"/>
        <v>36.675925163695872</v>
      </c>
      <c r="AD647" s="101">
        <f t="shared" si="137"/>
        <v>0.59856988940477263</v>
      </c>
      <c r="AE647" s="101">
        <f t="shared" si="137"/>
        <v>2.135343771719004</v>
      </c>
      <c r="AF647" s="101">
        <f t="shared" si="137"/>
        <v>6.6317153774771251E-2</v>
      </c>
      <c r="AG647" s="101">
        <f t="shared" si="137"/>
        <v>8.1480185095320508</v>
      </c>
      <c r="AH647" s="101">
        <f t="shared" si="137"/>
        <v>0.82497542716122008</v>
      </c>
      <c r="AI647" s="101">
        <f t="shared" si="137"/>
        <v>3.1266704594597048</v>
      </c>
      <c r="AJ647" s="101">
        <f t="shared" si="137"/>
        <v>14.192478992937009</v>
      </c>
      <c r="AK647" s="101">
        <f t="shared" si="137"/>
        <v>2.6767351458838764</v>
      </c>
      <c r="AL647" s="101">
        <f t="shared" si="137"/>
        <v>1.4928931865921626</v>
      </c>
      <c r="AM647" s="384">
        <f t="shared" si="112"/>
        <v>225.46399351059839</v>
      </c>
    </row>
    <row r="648" spans="1:39" x14ac:dyDescent="0.2">
      <c r="A648" s="8"/>
      <c r="B648" s="124" t="s">
        <v>279</v>
      </c>
      <c r="C648" s="213" t="s">
        <v>83</v>
      </c>
      <c r="D648" s="119"/>
      <c r="E648" s="101"/>
      <c r="F648" s="101">
        <f t="shared" ref="F648:AL648" si="138">F162*(1-F331/100)*0.44*(1-F617)/F617</f>
        <v>3.3536567718860888</v>
      </c>
      <c r="G648" s="101">
        <f t="shared" si="138"/>
        <v>7.9875522493667974</v>
      </c>
      <c r="H648" s="101">
        <f t="shared" si="138"/>
        <v>2.2305248076165825</v>
      </c>
      <c r="I648" s="101">
        <f t="shared" si="138"/>
        <v>12.493363706812961</v>
      </c>
      <c r="J648" s="101">
        <f t="shared" si="138"/>
        <v>55.971735299714624</v>
      </c>
      <c r="K648" s="101">
        <f t="shared" si="138"/>
        <v>12.062801731015677</v>
      </c>
      <c r="L648" s="101">
        <f t="shared" si="138"/>
        <v>86.212119830913764</v>
      </c>
      <c r="M648" s="101">
        <f t="shared" si="138"/>
        <v>15.210564131740417</v>
      </c>
      <c r="N648" s="101">
        <f t="shared" si="138"/>
        <v>11.789944272913882</v>
      </c>
      <c r="O648" s="101">
        <f t="shared" si="138"/>
        <v>19.60976045551584</v>
      </c>
      <c r="P648" s="101">
        <f t="shared" si="138"/>
        <v>35.685173632262526</v>
      </c>
      <c r="Q648" s="101">
        <f t="shared" si="138"/>
        <v>10.0120425431213</v>
      </c>
      <c r="R648" s="101">
        <f t="shared" si="138"/>
        <v>288.57581426893148</v>
      </c>
      <c r="S648" s="101">
        <f t="shared" si="138"/>
        <v>139.7152964196919</v>
      </c>
      <c r="T648" s="101">
        <f t="shared" si="138"/>
        <v>375.88197132181756</v>
      </c>
      <c r="U648" s="101">
        <f t="shared" si="138"/>
        <v>168.35464090528455</v>
      </c>
      <c r="V648" s="101">
        <f t="shared" si="138"/>
        <v>399.24871105229175</v>
      </c>
      <c r="W648" s="101">
        <f t="shared" si="138"/>
        <v>34.029385275840227</v>
      </c>
      <c r="X648" s="101">
        <f t="shared" si="138"/>
        <v>9.1893271517148509</v>
      </c>
      <c r="Y648" s="101">
        <f t="shared" si="138"/>
        <v>26.399274870458186</v>
      </c>
      <c r="Z648" s="101">
        <f t="shared" si="138"/>
        <v>24.672742137386379</v>
      </c>
      <c r="AA648" s="101">
        <f t="shared" si="138"/>
        <v>18.853994387965304</v>
      </c>
      <c r="AB648" s="101">
        <f t="shared" si="138"/>
        <v>120.67892988520092</v>
      </c>
      <c r="AC648" s="101">
        <f t="shared" si="138"/>
        <v>200.4739597871679</v>
      </c>
      <c r="AD648" s="101">
        <f t="shared" si="138"/>
        <v>5.0891964079793937</v>
      </c>
      <c r="AE648" s="101">
        <f t="shared" si="138"/>
        <v>116.14490569089776</v>
      </c>
      <c r="AF648" s="101">
        <f t="shared" si="138"/>
        <v>6.654548964863122</v>
      </c>
      <c r="AG648" s="101">
        <f t="shared" si="138"/>
        <v>81.557136768784872</v>
      </c>
      <c r="AH648" s="101">
        <f t="shared" si="138"/>
        <v>78.671544709589995</v>
      </c>
      <c r="AI648" s="101">
        <f t="shared" si="138"/>
        <v>2.4879503888362389</v>
      </c>
      <c r="AJ648" s="101">
        <f t="shared" si="138"/>
        <v>7.1227060076941395</v>
      </c>
      <c r="AK648" s="101">
        <f t="shared" si="138"/>
        <v>4.1250166770390742</v>
      </c>
      <c r="AL648" s="101">
        <f t="shared" si="138"/>
        <v>1.1506276292075661</v>
      </c>
      <c r="AM648" s="384">
        <f t="shared" si="112"/>
        <v>2381.6969201415232</v>
      </c>
    </row>
    <row r="649" spans="1:39" x14ac:dyDescent="0.2">
      <c r="A649" s="8"/>
      <c r="B649" s="125" t="s">
        <v>280</v>
      </c>
      <c r="C649" s="213" t="s">
        <v>83</v>
      </c>
      <c r="D649" s="119"/>
      <c r="E649" s="101"/>
      <c r="F649" s="101">
        <f t="shared" ref="F649:AL649" si="139">F163*(1-F332/100)*0.44*(1-F618)/F618</f>
        <v>0</v>
      </c>
      <c r="G649" s="101">
        <f t="shared" si="139"/>
        <v>1.1441665805875572E-9</v>
      </c>
      <c r="H649" s="101">
        <f t="shared" si="139"/>
        <v>0</v>
      </c>
      <c r="I649" s="101">
        <f t="shared" si="139"/>
        <v>0</v>
      </c>
      <c r="J649" s="101">
        <f t="shared" si="139"/>
        <v>137.45461781954495</v>
      </c>
      <c r="K649" s="101">
        <f t="shared" si="139"/>
        <v>68.230578876552713</v>
      </c>
      <c r="L649" s="101">
        <f t="shared" si="139"/>
        <v>93.499568943244668</v>
      </c>
      <c r="M649" s="101">
        <f t="shared" si="139"/>
        <v>0</v>
      </c>
      <c r="N649" s="101">
        <f t="shared" si="139"/>
        <v>0</v>
      </c>
      <c r="O649" s="101">
        <f t="shared" si="139"/>
        <v>0</v>
      </c>
      <c r="P649" s="101">
        <f t="shared" si="139"/>
        <v>293.09465835204657</v>
      </c>
      <c r="Q649" s="101">
        <f t="shared" si="139"/>
        <v>0</v>
      </c>
      <c r="R649" s="101">
        <f t="shared" si="139"/>
        <v>65.84404770205623</v>
      </c>
      <c r="S649" s="101">
        <f t="shared" si="139"/>
        <v>113.07316944050413</v>
      </c>
      <c r="T649" s="101">
        <f t="shared" si="139"/>
        <v>179.82323154376985</v>
      </c>
      <c r="U649" s="101">
        <f t="shared" si="139"/>
        <v>0</v>
      </c>
      <c r="V649" s="101">
        <f t="shared" si="139"/>
        <v>787.4036744548049</v>
      </c>
      <c r="W649" s="101">
        <f t="shared" si="139"/>
        <v>139.94088160296329</v>
      </c>
      <c r="X649" s="101">
        <f t="shared" si="139"/>
        <v>71.986644277958305</v>
      </c>
      <c r="Y649" s="101">
        <f t="shared" si="139"/>
        <v>93.342159492664024</v>
      </c>
      <c r="Z649" s="101">
        <f t="shared" si="139"/>
        <v>71.80876666361705</v>
      </c>
      <c r="AA649" s="101">
        <f t="shared" si="139"/>
        <v>88.881392117107893</v>
      </c>
      <c r="AB649" s="101">
        <f t="shared" si="139"/>
        <v>126.57306975570104</v>
      </c>
      <c r="AC649" s="101">
        <f t="shared" si="139"/>
        <v>172.1220204474607</v>
      </c>
      <c r="AD649" s="101">
        <f t="shared" si="139"/>
        <v>0</v>
      </c>
      <c r="AE649" s="101">
        <f t="shared" si="139"/>
        <v>99.038286778269466</v>
      </c>
      <c r="AF649" s="101">
        <f t="shared" si="139"/>
        <v>0</v>
      </c>
      <c r="AG649" s="101">
        <f t="shared" si="139"/>
        <v>94.874304156403724</v>
      </c>
      <c r="AH649" s="101">
        <f t="shared" si="139"/>
        <v>182.26323250146544</v>
      </c>
      <c r="AI649" s="101">
        <f t="shared" si="139"/>
        <v>0</v>
      </c>
      <c r="AJ649" s="101">
        <f t="shared" si="139"/>
        <v>0</v>
      </c>
      <c r="AK649" s="101">
        <f t="shared" si="139"/>
        <v>0</v>
      </c>
      <c r="AL649" s="101">
        <f t="shared" si="139"/>
        <v>0</v>
      </c>
      <c r="AM649" s="384">
        <f t="shared" si="112"/>
        <v>2879.2543049272795</v>
      </c>
    </row>
    <row r="650" spans="1:39" x14ac:dyDescent="0.2">
      <c r="A650" s="8"/>
      <c r="B650" s="125" t="s">
        <v>281</v>
      </c>
      <c r="C650" s="213" t="s">
        <v>83</v>
      </c>
      <c r="D650" s="119" t="s">
        <v>918</v>
      </c>
      <c r="E650" s="101"/>
      <c r="F650" s="101">
        <f t="shared" ref="F650:AL650" si="140">(F213/100*F492+F214/100*F493+F215/100*F494+F216/100*F495+F217/100*F496+F218/100*F497+F219/100*F498+F220/100*F499+F221/100*F500+F222/100*F501+F223/100*F502+F224/100*F503+F225/100*F504+F226/100*F505+F227/100*F506+F228/100*F507+F229/100*F508+F230/100*F509+F231/100*F510+F232/100*F511+F233/100*F512+F234/100*F513+F235/100*F514+F236/100*F515+F237/100*F516+F238/100*F517+F239/100*F518+F240/100*F519+F241/100*F520+F242/100*F521+F243/100*F522+F244/100*F523+F245/100*F524+F246/100*F525+F247/100*F526)/2</f>
        <v>0.1011127602668257</v>
      </c>
      <c r="G650" s="101">
        <f t="shared" si="140"/>
        <v>6.3851620922239685E-2</v>
      </c>
      <c r="H650" s="101">
        <f t="shared" si="140"/>
        <v>4.7342964296087107E-2</v>
      </c>
      <c r="I650" s="101">
        <f t="shared" si="140"/>
        <v>0.2541192581603075</v>
      </c>
      <c r="J650" s="101">
        <f t="shared" si="140"/>
        <v>9.0226908673444836E-2</v>
      </c>
      <c r="K650" s="101">
        <f t="shared" si="140"/>
        <v>3.4136542402609563E-2</v>
      </c>
      <c r="L650" s="101">
        <f t="shared" si="140"/>
        <v>4.9159450649817332E-2</v>
      </c>
      <c r="M650" s="101">
        <f t="shared" si="140"/>
        <v>0.14653203201896053</v>
      </c>
      <c r="N650" s="101">
        <f t="shared" si="140"/>
        <v>0.17066903934057107</v>
      </c>
      <c r="O650" s="101">
        <f t="shared" si="140"/>
        <v>7.2568336002721362E-2</v>
      </c>
      <c r="P650" s="101">
        <f t="shared" si="140"/>
        <v>8.6697138137456067E-2</v>
      </c>
      <c r="Q650" s="101">
        <f t="shared" si="140"/>
        <v>5.7002245290123335E-2</v>
      </c>
      <c r="R650" s="101">
        <f t="shared" si="140"/>
        <v>0.17142024897396296</v>
      </c>
      <c r="S650" s="101">
        <f t="shared" si="140"/>
        <v>0.11971576805231296</v>
      </c>
      <c r="T650" s="101">
        <f t="shared" si="140"/>
        <v>0.23582359893097721</v>
      </c>
      <c r="U650" s="101">
        <f t="shared" si="140"/>
        <v>0.28412411699571183</v>
      </c>
      <c r="V650" s="101">
        <f t="shared" si="140"/>
        <v>0.2018677826768801</v>
      </c>
      <c r="W650" s="101">
        <f t="shared" si="140"/>
        <v>1.8926519188371418E-2</v>
      </c>
      <c r="X650" s="101">
        <f t="shared" si="140"/>
        <v>4.7767235749666863E-3</v>
      </c>
      <c r="Y650" s="101">
        <f t="shared" si="140"/>
        <v>2.5887160184137503E-2</v>
      </c>
      <c r="Z650" s="101">
        <f t="shared" si="140"/>
        <v>1.5992418470226706E-2</v>
      </c>
      <c r="AA650" s="101">
        <f t="shared" si="140"/>
        <v>3.0351761690638274E-2</v>
      </c>
      <c r="AB650" s="101">
        <f t="shared" si="140"/>
        <v>4.0289664124445512E-2</v>
      </c>
      <c r="AC650" s="101">
        <f t="shared" si="140"/>
        <v>0.24461720736480491</v>
      </c>
      <c r="AD650" s="101">
        <f t="shared" si="140"/>
        <v>1.1934690366466867E-2</v>
      </c>
      <c r="AE650" s="101">
        <f t="shared" si="140"/>
        <v>7.9380146551596892E-2</v>
      </c>
      <c r="AF650" s="101">
        <f t="shared" si="140"/>
        <v>2.136406902660775E-2</v>
      </c>
      <c r="AG650" s="101">
        <f t="shared" si="140"/>
        <v>4.2270129304679299E-2</v>
      </c>
      <c r="AH650" s="101">
        <f t="shared" si="140"/>
        <v>2.4614325320476312E-2</v>
      </c>
      <c r="AI650" s="101">
        <f t="shared" si="140"/>
        <v>1.055868443258878E-2</v>
      </c>
      <c r="AJ650" s="101">
        <f t="shared" si="140"/>
        <v>3.1547312860221138E-2</v>
      </c>
      <c r="AK650" s="101">
        <f t="shared" si="140"/>
        <v>9.9140963470577305E-3</v>
      </c>
      <c r="AL650" s="101">
        <f t="shared" si="140"/>
        <v>6.9523228636747597E-3</v>
      </c>
      <c r="AM650" s="384">
        <f t="shared" si="112"/>
        <v>2.8057470434619698</v>
      </c>
    </row>
    <row r="651" spans="1:39" x14ac:dyDescent="0.2">
      <c r="A651" s="8"/>
      <c r="B651" s="157"/>
      <c r="C651" s="213"/>
      <c r="D651" s="119"/>
      <c r="E651" s="101"/>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c r="AJ651" s="101"/>
      <c r="AK651" s="101"/>
      <c r="AL651" s="101"/>
      <c r="AM651" s="384"/>
    </row>
    <row r="652" spans="1:39" x14ac:dyDescent="0.2">
      <c r="A652" s="8"/>
      <c r="B652" s="186" t="s">
        <v>282</v>
      </c>
      <c r="C652" s="214" t="s">
        <v>83</v>
      </c>
      <c r="D652" s="121"/>
      <c r="E652" s="122"/>
      <c r="F652" s="122">
        <f>SUM(F621:F648,F650)</f>
        <v>2693.6328479322419</v>
      </c>
      <c r="G652" s="122">
        <f t="shared" ref="G652:AL652" si="141">SUM(G621:G648,G650)</f>
        <v>1693.2909482896691</v>
      </c>
      <c r="H652" s="122">
        <f t="shared" si="141"/>
        <v>1599.7418044839069</v>
      </c>
      <c r="I652" s="122">
        <f t="shared" si="141"/>
        <v>5153.5934361885429</v>
      </c>
      <c r="J652" s="122">
        <f t="shared" si="141"/>
        <v>1611.1695321750069</v>
      </c>
      <c r="K652" s="122">
        <f t="shared" si="141"/>
        <v>732.62776013273412</v>
      </c>
      <c r="L652" s="122">
        <f t="shared" si="141"/>
        <v>527.78518050270407</v>
      </c>
      <c r="M652" s="122">
        <f t="shared" si="141"/>
        <v>2627.7647419363143</v>
      </c>
      <c r="N652" s="122">
        <f t="shared" si="141"/>
        <v>4486.8311281718243</v>
      </c>
      <c r="O652" s="122">
        <f t="shared" si="141"/>
        <v>2214.6564581730586</v>
      </c>
      <c r="P652" s="122">
        <f t="shared" si="141"/>
        <v>2385.4812070325156</v>
      </c>
      <c r="Q652" s="122">
        <f t="shared" si="141"/>
        <v>1459.0590651979862</v>
      </c>
      <c r="R652" s="122">
        <f t="shared" si="141"/>
        <v>2523.4453433695653</v>
      </c>
      <c r="S652" s="122">
        <f t="shared" si="141"/>
        <v>2628.5426409494303</v>
      </c>
      <c r="T652" s="122">
        <f t="shared" si="141"/>
        <v>4479.9535195141398</v>
      </c>
      <c r="U652" s="122">
        <f t="shared" si="141"/>
        <v>7358.0030589633079</v>
      </c>
      <c r="V652" s="122">
        <f t="shared" si="141"/>
        <v>3158.4205567877639</v>
      </c>
      <c r="W652" s="122">
        <f t="shared" si="141"/>
        <v>314.45698709590397</v>
      </c>
      <c r="X652" s="122">
        <f t="shared" si="141"/>
        <v>65.527111158946084</v>
      </c>
      <c r="Y652" s="122">
        <f t="shared" si="141"/>
        <v>598.32533277762161</v>
      </c>
      <c r="Z652" s="122">
        <f t="shared" si="141"/>
        <v>227.28644589298025</v>
      </c>
      <c r="AA652" s="122">
        <f t="shared" si="141"/>
        <v>712.88132864111924</v>
      </c>
      <c r="AB652" s="122">
        <f t="shared" si="141"/>
        <v>348.16098138052644</v>
      </c>
      <c r="AC652" s="122">
        <f t="shared" si="141"/>
        <v>6100.7928254627514</v>
      </c>
      <c r="AD652" s="122">
        <f t="shared" si="141"/>
        <v>330.42119782598377</v>
      </c>
      <c r="AE652" s="122">
        <f t="shared" si="141"/>
        <v>1492.5686682472863</v>
      </c>
      <c r="AF652" s="122">
        <f t="shared" si="141"/>
        <v>637.35662764753965</v>
      </c>
      <c r="AG652" s="122">
        <f t="shared" si="141"/>
        <v>619.92926761486126</v>
      </c>
      <c r="AH652" s="122">
        <f t="shared" si="141"/>
        <v>162.36501084797612</v>
      </c>
      <c r="AI652" s="122">
        <f t="shared" si="141"/>
        <v>216.43635173609664</v>
      </c>
      <c r="AJ652" s="122">
        <f t="shared" si="141"/>
        <v>596.65151454687032</v>
      </c>
      <c r="AK652" s="122">
        <f t="shared" si="141"/>
        <v>234.00372582295887</v>
      </c>
      <c r="AL652" s="122">
        <f t="shared" si="141"/>
        <v>41.818667893822216</v>
      </c>
      <c r="AM652" s="384">
        <f t="shared" si="112"/>
        <v>60032.981274393955</v>
      </c>
    </row>
    <row r="653" spans="1:39" x14ac:dyDescent="0.2">
      <c r="A653" s="8"/>
      <c r="B653" s="186" t="s">
        <v>283</v>
      </c>
      <c r="C653" s="214" t="s">
        <v>83</v>
      </c>
      <c r="D653" s="121"/>
      <c r="E653" s="122"/>
      <c r="F653" s="122">
        <f>F649</f>
        <v>0</v>
      </c>
      <c r="G653" s="122">
        <f t="shared" ref="G653:AL653" si="142">G649</f>
        <v>1.1441665805875572E-9</v>
      </c>
      <c r="H653" s="122">
        <f t="shared" si="142"/>
        <v>0</v>
      </c>
      <c r="I653" s="122">
        <f t="shared" si="142"/>
        <v>0</v>
      </c>
      <c r="J653" s="122">
        <f t="shared" si="142"/>
        <v>137.45461781954495</v>
      </c>
      <c r="K653" s="122">
        <f t="shared" si="142"/>
        <v>68.230578876552713</v>
      </c>
      <c r="L653" s="122">
        <f t="shared" si="142"/>
        <v>93.499568943244668</v>
      </c>
      <c r="M653" s="122">
        <f t="shared" si="142"/>
        <v>0</v>
      </c>
      <c r="N653" s="122">
        <f t="shared" si="142"/>
        <v>0</v>
      </c>
      <c r="O653" s="122">
        <f t="shared" si="142"/>
        <v>0</v>
      </c>
      <c r="P653" s="122">
        <f t="shared" si="142"/>
        <v>293.09465835204657</v>
      </c>
      <c r="Q653" s="122">
        <f t="shared" si="142"/>
        <v>0</v>
      </c>
      <c r="R653" s="122">
        <f t="shared" si="142"/>
        <v>65.84404770205623</v>
      </c>
      <c r="S653" s="122">
        <f t="shared" si="142"/>
        <v>113.07316944050413</v>
      </c>
      <c r="T653" s="122">
        <f t="shared" si="142"/>
        <v>179.82323154376985</v>
      </c>
      <c r="U653" s="122">
        <f t="shared" si="142"/>
        <v>0</v>
      </c>
      <c r="V653" s="122">
        <f t="shared" si="142"/>
        <v>787.4036744548049</v>
      </c>
      <c r="W653" s="122">
        <f t="shared" si="142"/>
        <v>139.94088160296329</v>
      </c>
      <c r="X653" s="122">
        <f t="shared" si="142"/>
        <v>71.986644277958305</v>
      </c>
      <c r="Y653" s="122">
        <f t="shared" si="142"/>
        <v>93.342159492664024</v>
      </c>
      <c r="Z653" s="122">
        <f t="shared" si="142"/>
        <v>71.80876666361705</v>
      </c>
      <c r="AA653" s="122">
        <f t="shared" si="142"/>
        <v>88.881392117107893</v>
      </c>
      <c r="AB653" s="122">
        <f t="shared" si="142"/>
        <v>126.57306975570104</v>
      </c>
      <c r="AC653" s="122">
        <f t="shared" si="142"/>
        <v>172.1220204474607</v>
      </c>
      <c r="AD653" s="122">
        <f t="shared" si="142"/>
        <v>0</v>
      </c>
      <c r="AE653" s="122">
        <f t="shared" si="142"/>
        <v>99.038286778269466</v>
      </c>
      <c r="AF653" s="122">
        <f t="shared" si="142"/>
        <v>0</v>
      </c>
      <c r="AG653" s="122">
        <f t="shared" si="142"/>
        <v>94.874304156403724</v>
      </c>
      <c r="AH653" s="122">
        <f t="shared" si="142"/>
        <v>182.26323250146544</v>
      </c>
      <c r="AI653" s="122">
        <f t="shared" si="142"/>
        <v>0</v>
      </c>
      <c r="AJ653" s="122">
        <f t="shared" si="142"/>
        <v>0</v>
      </c>
      <c r="AK653" s="122">
        <f t="shared" si="142"/>
        <v>0</v>
      </c>
      <c r="AL653" s="122">
        <f t="shared" si="142"/>
        <v>0</v>
      </c>
      <c r="AM653" s="384">
        <f t="shared" si="112"/>
        <v>2879.2543049272795</v>
      </c>
    </row>
    <row r="654" spans="1:39" x14ac:dyDescent="0.2">
      <c r="A654" s="8"/>
      <c r="B654" s="60"/>
      <c r="C654" s="98"/>
      <c r="D654" s="93"/>
      <c r="E654" s="115"/>
      <c r="F654" s="93"/>
      <c r="G654" s="93"/>
      <c r="H654" s="93"/>
      <c r="I654" s="93"/>
      <c r="J654" s="93"/>
      <c r="K654" s="93"/>
      <c r="L654" s="93"/>
      <c r="M654" s="93"/>
      <c r="N654" s="93"/>
      <c r="O654" s="93"/>
      <c r="P654" s="93"/>
      <c r="Q654" s="93"/>
      <c r="R654" s="93"/>
      <c r="S654" s="93"/>
      <c r="T654" s="93"/>
      <c r="U654" s="93"/>
      <c r="V654" s="93"/>
      <c r="W654" s="93"/>
      <c r="X654" s="93"/>
      <c r="Y654" s="93"/>
      <c r="Z654" s="93"/>
      <c r="AA654" s="93"/>
      <c r="AB654" s="93"/>
      <c r="AC654" s="93"/>
      <c r="AD654" s="93"/>
      <c r="AE654" s="93"/>
      <c r="AF654" s="93"/>
      <c r="AG654" s="93"/>
      <c r="AH654" s="93"/>
      <c r="AI654" s="93"/>
      <c r="AJ654" s="93"/>
      <c r="AK654" s="93"/>
      <c r="AL654" s="93"/>
      <c r="AM654" s="107"/>
    </row>
    <row r="655" spans="1:39" x14ac:dyDescent="0.2">
      <c r="A655" s="8"/>
      <c r="B655" s="99" t="s">
        <v>929</v>
      </c>
      <c r="C655" s="98"/>
      <c r="D655" s="93"/>
      <c r="E655" s="115"/>
      <c r="F655" s="112"/>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93"/>
      <c r="AJ655" s="93"/>
      <c r="AK655" s="93"/>
      <c r="AL655" s="93"/>
      <c r="AM655" s="107"/>
    </row>
    <row r="656" spans="1:39" x14ac:dyDescent="0.2">
      <c r="A656" s="8"/>
      <c r="B656" s="109" t="s">
        <v>930</v>
      </c>
      <c r="C656" s="123" t="s">
        <v>928</v>
      </c>
      <c r="D656" s="282" t="s">
        <v>1123</v>
      </c>
      <c r="E656" s="102"/>
      <c r="F656" s="113">
        <v>305</v>
      </c>
      <c r="G656" s="97">
        <v>280</v>
      </c>
      <c r="H656" s="97">
        <v>292</v>
      </c>
      <c r="I656" s="97">
        <v>294</v>
      </c>
      <c r="J656" s="97">
        <v>258</v>
      </c>
      <c r="K656" s="97">
        <v>292</v>
      </c>
      <c r="L656" s="97">
        <v>239</v>
      </c>
      <c r="M656" s="97">
        <v>307</v>
      </c>
      <c r="N656" s="97">
        <v>263</v>
      </c>
      <c r="O656" s="97">
        <v>230</v>
      </c>
      <c r="P656" s="97">
        <v>226</v>
      </c>
      <c r="Q656" s="97">
        <v>232</v>
      </c>
      <c r="R656" s="97">
        <v>231</v>
      </c>
      <c r="S656" s="97">
        <v>229</v>
      </c>
      <c r="T656" s="97">
        <v>236</v>
      </c>
      <c r="U656" s="97">
        <v>237</v>
      </c>
      <c r="V656" s="97">
        <v>216</v>
      </c>
      <c r="W656" s="97">
        <v>232</v>
      </c>
      <c r="X656" s="97">
        <v>205</v>
      </c>
      <c r="Y656" s="97">
        <v>225</v>
      </c>
      <c r="Z656" s="97">
        <v>179</v>
      </c>
      <c r="AA656" s="97">
        <v>199</v>
      </c>
      <c r="AB656" s="97">
        <v>167</v>
      </c>
      <c r="AC656" s="97">
        <v>216</v>
      </c>
      <c r="AD656" s="97">
        <v>206</v>
      </c>
      <c r="AE656" s="97">
        <v>191</v>
      </c>
      <c r="AF656" s="97">
        <v>186</v>
      </c>
      <c r="AG656" s="97">
        <v>186</v>
      </c>
      <c r="AH656" s="97">
        <v>178</v>
      </c>
      <c r="AI656" s="97">
        <v>155</v>
      </c>
      <c r="AJ656" s="97">
        <v>136</v>
      </c>
      <c r="AK656" s="97">
        <v>244</v>
      </c>
      <c r="AL656" s="97">
        <v>191</v>
      </c>
      <c r="AM656" s="383">
        <f t="shared" ref="AM656:AM691" si="143">AVERAGE(F656:AL656)</f>
        <v>226.15151515151516</v>
      </c>
    </row>
    <row r="657" spans="1:39" x14ac:dyDescent="0.2">
      <c r="A657" s="8"/>
      <c r="B657" s="109" t="s">
        <v>931</v>
      </c>
      <c r="C657" s="123" t="s">
        <v>928</v>
      </c>
      <c r="D657" s="282" t="s">
        <v>1123</v>
      </c>
      <c r="E657" s="102"/>
      <c r="F657" s="113">
        <v>230</v>
      </c>
      <c r="G657" s="97">
        <v>218</v>
      </c>
      <c r="H657" s="97">
        <v>225</v>
      </c>
      <c r="I657" s="97">
        <v>234</v>
      </c>
      <c r="J657" s="97">
        <v>194</v>
      </c>
      <c r="K657" s="97">
        <v>210</v>
      </c>
      <c r="L657" s="97">
        <v>180</v>
      </c>
      <c r="M657" s="97">
        <v>241</v>
      </c>
      <c r="N657" s="97">
        <v>255</v>
      </c>
      <c r="O657" s="97">
        <v>175</v>
      </c>
      <c r="P657" s="97">
        <v>192</v>
      </c>
      <c r="Q657" s="97">
        <v>187</v>
      </c>
      <c r="R657" s="97">
        <v>182</v>
      </c>
      <c r="S657" s="97">
        <v>163</v>
      </c>
      <c r="T657" s="97">
        <v>195</v>
      </c>
      <c r="U657" s="97">
        <v>173</v>
      </c>
      <c r="V657" s="97">
        <v>187</v>
      </c>
      <c r="W657" s="97">
        <v>182</v>
      </c>
      <c r="X657" s="97">
        <v>156</v>
      </c>
      <c r="Y657" s="97">
        <v>191</v>
      </c>
      <c r="Z657" s="97">
        <v>146</v>
      </c>
      <c r="AA657" s="97">
        <v>150</v>
      </c>
      <c r="AB657" s="97">
        <v>139</v>
      </c>
      <c r="AC657" s="97">
        <v>201</v>
      </c>
      <c r="AD657" s="97">
        <v>160</v>
      </c>
      <c r="AE657" s="97">
        <v>176</v>
      </c>
      <c r="AF657" s="97">
        <v>140</v>
      </c>
      <c r="AG657" s="97">
        <v>223</v>
      </c>
      <c r="AH657" s="97">
        <v>151</v>
      </c>
      <c r="AI657" s="97">
        <v>120</v>
      </c>
      <c r="AJ657" s="97">
        <v>109</v>
      </c>
      <c r="AK657" s="97">
        <v>120</v>
      </c>
      <c r="AL657" s="97">
        <v>119</v>
      </c>
      <c r="AM657" s="383">
        <f t="shared" si="143"/>
        <v>179.5151515151515</v>
      </c>
    </row>
    <row r="658" spans="1:39" x14ac:dyDescent="0.2">
      <c r="A658" s="8"/>
      <c r="B658" s="109" t="s">
        <v>912</v>
      </c>
      <c r="C658" s="123" t="s">
        <v>928</v>
      </c>
      <c r="D658" s="282" t="s">
        <v>1123</v>
      </c>
      <c r="E658" s="102"/>
      <c r="F658" s="113">
        <v>187</v>
      </c>
      <c r="G658" s="97">
        <v>176</v>
      </c>
      <c r="H658" s="97">
        <v>190</v>
      </c>
      <c r="I658" s="97">
        <v>190</v>
      </c>
      <c r="J658" s="97">
        <v>167</v>
      </c>
      <c r="K658" s="97">
        <v>187</v>
      </c>
      <c r="L658" s="97">
        <v>152</v>
      </c>
      <c r="M658" s="97">
        <v>219</v>
      </c>
      <c r="N658" s="97">
        <v>168</v>
      </c>
      <c r="O658" s="97">
        <v>145</v>
      </c>
      <c r="P658" s="97">
        <v>153</v>
      </c>
      <c r="Q658" s="97">
        <v>151</v>
      </c>
      <c r="R658" s="97">
        <v>160</v>
      </c>
      <c r="S658" s="97">
        <v>154</v>
      </c>
      <c r="T658" s="97">
        <v>146</v>
      </c>
      <c r="U658" s="97">
        <v>155</v>
      </c>
      <c r="V658" s="97">
        <v>140</v>
      </c>
      <c r="W658" s="97">
        <v>151</v>
      </c>
      <c r="X658" s="97">
        <v>131</v>
      </c>
      <c r="Y658" s="97">
        <v>143</v>
      </c>
      <c r="Z658" s="97">
        <v>120</v>
      </c>
      <c r="AA658" s="97">
        <v>132</v>
      </c>
      <c r="AB658" s="97">
        <v>119</v>
      </c>
      <c r="AC658" s="97">
        <v>156</v>
      </c>
      <c r="AD658" s="97">
        <v>136</v>
      </c>
      <c r="AE658" s="97">
        <v>134</v>
      </c>
      <c r="AF658" s="97">
        <v>125</v>
      </c>
      <c r="AG658" s="97">
        <v>129</v>
      </c>
      <c r="AH658" s="97">
        <v>124</v>
      </c>
      <c r="AI658" s="97">
        <v>115</v>
      </c>
      <c r="AJ658" s="97">
        <v>101</v>
      </c>
      <c r="AK658" s="97">
        <v>119</v>
      </c>
      <c r="AL658" s="97">
        <v>110</v>
      </c>
      <c r="AM658" s="383">
        <f t="shared" si="143"/>
        <v>148.03030303030303</v>
      </c>
    </row>
    <row r="659" spans="1:39" x14ac:dyDescent="0.2">
      <c r="A659" s="8"/>
      <c r="B659" s="109" t="s">
        <v>913</v>
      </c>
      <c r="C659" s="123" t="s">
        <v>928</v>
      </c>
      <c r="D659" s="282" t="s">
        <v>1123</v>
      </c>
      <c r="E659" s="102"/>
      <c r="F659" s="113">
        <v>731</v>
      </c>
      <c r="G659" s="97">
        <v>682</v>
      </c>
      <c r="H659" s="97">
        <v>695</v>
      </c>
      <c r="I659" s="97">
        <v>695</v>
      </c>
      <c r="J659" s="97">
        <v>637</v>
      </c>
      <c r="K659" s="97">
        <v>675</v>
      </c>
      <c r="L659" s="97">
        <v>561</v>
      </c>
      <c r="M659" s="97">
        <v>763</v>
      </c>
      <c r="N659" s="97">
        <v>548</v>
      </c>
      <c r="O659" s="97">
        <v>489</v>
      </c>
      <c r="P659" s="97">
        <v>525</v>
      </c>
      <c r="Q659" s="97">
        <v>542</v>
      </c>
      <c r="R659" s="97">
        <v>576</v>
      </c>
      <c r="S659" s="97">
        <v>517</v>
      </c>
      <c r="T659" s="97">
        <v>548</v>
      </c>
      <c r="U659" s="97">
        <v>516</v>
      </c>
      <c r="V659" s="97">
        <v>446</v>
      </c>
      <c r="W659" s="97">
        <v>524</v>
      </c>
      <c r="X659" s="97">
        <v>469</v>
      </c>
      <c r="Y659" s="97">
        <v>477</v>
      </c>
      <c r="Z659" s="97">
        <v>357</v>
      </c>
      <c r="AA659" s="97">
        <v>463</v>
      </c>
      <c r="AB659" s="97">
        <v>361</v>
      </c>
      <c r="AC659" s="97">
        <v>545</v>
      </c>
      <c r="AD659" s="97">
        <v>522</v>
      </c>
      <c r="AE659" s="97">
        <v>487</v>
      </c>
      <c r="AF659" s="97">
        <v>472</v>
      </c>
      <c r="AG659" s="97">
        <v>473</v>
      </c>
      <c r="AH659" s="97">
        <v>394</v>
      </c>
      <c r="AI659" s="97">
        <v>396</v>
      </c>
      <c r="AJ659" s="97">
        <v>370</v>
      </c>
      <c r="AK659" s="97">
        <v>383</v>
      </c>
      <c r="AL659" s="97">
        <v>499</v>
      </c>
      <c r="AM659" s="383">
        <f t="shared" si="143"/>
        <v>525.39393939393938</v>
      </c>
    </row>
    <row r="660" spans="1:39" x14ac:dyDescent="0.2">
      <c r="A660" s="8"/>
      <c r="B660" s="109" t="s">
        <v>914</v>
      </c>
      <c r="C660" s="123" t="s">
        <v>928</v>
      </c>
      <c r="D660" s="282" t="s">
        <v>1123</v>
      </c>
      <c r="E660" s="102"/>
      <c r="F660" s="113">
        <v>389</v>
      </c>
      <c r="G660" s="97">
        <v>358</v>
      </c>
      <c r="H660" s="97">
        <v>354</v>
      </c>
      <c r="I660" s="97">
        <v>372</v>
      </c>
      <c r="J660" s="97">
        <v>340</v>
      </c>
      <c r="K660" s="97">
        <v>228</v>
      </c>
      <c r="L660" s="97">
        <v>224</v>
      </c>
      <c r="M660" s="97">
        <v>258</v>
      </c>
      <c r="N660" s="97">
        <v>247</v>
      </c>
      <c r="O660" s="97">
        <v>329</v>
      </c>
      <c r="P660" s="97">
        <v>294</v>
      </c>
      <c r="Q660" s="97">
        <v>313</v>
      </c>
      <c r="R660" s="97">
        <v>282</v>
      </c>
      <c r="S660" s="97">
        <v>315</v>
      </c>
      <c r="T660" s="97">
        <v>300</v>
      </c>
      <c r="U660" s="97">
        <v>309</v>
      </c>
      <c r="V660" s="97">
        <v>304</v>
      </c>
      <c r="W660" s="97">
        <v>309</v>
      </c>
      <c r="X660" s="97">
        <v>300</v>
      </c>
      <c r="Y660" s="97">
        <v>353</v>
      </c>
      <c r="Z660" s="97">
        <v>333</v>
      </c>
      <c r="AA660" s="97">
        <v>325</v>
      </c>
      <c r="AB660" s="97">
        <v>234</v>
      </c>
      <c r="AC660" s="97">
        <v>350</v>
      </c>
      <c r="AD660" s="97">
        <v>309</v>
      </c>
      <c r="AE660" s="97">
        <v>336</v>
      </c>
      <c r="AF660" s="97">
        <v>321</v>
      </c>
      <c r="AG660" s="97">
        <v>265</v>
      </c>
      <c r="AH660" s="97">
        <v>272</v>
      </c>
      <c r="AI660" s="97">
        <v>314</v>
      </c>
      <c r="AJ660" s="97">
        <v>321</v>
      </c>
      <c r="AK660" s="97">
        <v>263</v>
      </c>
      <c r="AL660" s="97">
        <v>289</v>
      </c>
      <c r="AM660" s="383">
        <f t="shared" si="143"/>
        <v>306.36363636363637</v>
      </c>
    </row>
    <row r="661" spans="1:39" x14ac:dyDescent="0.2">
      <c r="A661" s="8"/>
      <c r="B661" s="109" t="s">
        <v>926</v>
      </c>
      <c r="C661" s="123" t="s">
        <v>928</v>
      </c>
      <c r="D661" s="282" t="s">
        <v>1123</v>
      </c>
      <c r="E661" s="102"/>
      <c r="F661" s="113"/>
      <c r="G661" s="97"/>
      <c r="H661" s="97"/>
      <c r="I661" s="97"/>
      <c r="J661" s="97"/>
      <c r="K661" s="97"/>
      <c r="L661" s="97"/>
      <c r="M661" s="97"/>
      <c r="N661" s="97"/>
      <c r="O661" s="97"/>
      <c r="P661" s="97"/>
      <c r="Q661" s="97"/>
      <c r="R661" s="97"/>
      <c r="S661" s="97"/>
      <c r="T661" s="97"/>
      <c r="U661" s="97"/>
      <c r="V661" s="97"/>
      <c r="W661" s="97"/>
      <c r="X661" s="97"/>
      <c r="Y661" s="97"/>
      <c r="Z661" s="97"/>
      <c r="AA661" s="97"/>
      <c r="AB661" s="97"/>
      <c r="AC661" s="97"/>
      <c r="AD661" s="97"/>
      <c r="AE661" s="97"/>
      <c r="AF661" s="97"/>
      <c r="AG661" s="97"/>
      <c r="AH661" s="97"/>
      <c r="AI661" s="97">
        <v>518</v>
      </c>
      <c r="AJ661" s="97">
        <v>38</v>
      </c>
      <c r="AK661" s="97">
        <v>54</v>
      </c>
      <c r="AL661" s="97">
        <v>54</v>
      </c>
      <c r="AM661" s="383">
        <f t="shared" si="143"/>
        <v>166</v>
      </c>
    </row>
    <row r="662" spans="1:39" x14ac:dyDescent="0.2">
      <c r="A662" s="8"/>
      <c r="B662" s="109" t="s">
        <v>915</v>
      </c>
      <c r="C662" s="123" t="s">
        <v>928</v>
      </c>
      <c r="D662" s="282" t="s">
        <v>1123</v>
      </c>
      <c r="E662" s="102"/>
      <c r="F662" s="113">
        <v>291</v>
      </c>
      <c r="G662" s="97">
        <v>270</v>
      </c>
      <c r="H662" s="97">
        <v>281</v>
      </c>
      <c r="I662" s="97">
        <v>283</v>
      </c>
      <c r="J662" s="97">
        <v>247</v>
      </c>
      <c r="K662" s="97">
        <v>246</v>
      </c>
      <c r="L662" s="97">
        <v>215</v>
      </c>
      <c r="M662" s="97">
        <v>348</v>
      </c>
      <c r="N662" s="97">
        <v>220</v>
      </c>
      <c r="O662" s="97">
        <v>198</v>
      </c>
      <c r="P662" s="97">
        <v>225</v>
      </c>
      <c r="Q662" s="97">
        <v>253</v>
      </c>
      <c r="R662" s="97">
        <v>209</v>
      </c>
      <c r="S662" s="97">
        <v>191</v>
      </c>
      <c r="T662" s="97">
        <v>216</v>
      </c>
      <c r="U662" s="97">
        <v>207</v>
      </c>
      <c r="V662" s="97">
        <v>204</v>
      </c>
      <c r="W662" s="97">
        <v>225</v>
      </c>
      <c r="X662" s="97">
        <v>189</v>
      </c>
      <c r="Y662" s="97">
        <v>218</v>
      </c>
      <c r="Z662" s="97">
        <v>175</v>
      </c>
      <c r="AA662" s="97">
        <v>205</v>
      </c>
      <c r="AB662" s="97">
        <v>187</v>
      </c>
      <c r="AC662" s="97">
        <v>216</v>
      </c>
      <c r="AD662" s="97">
        <v>193</v>
      </c>
      <c r="AE662" s="97">
        <v>205</v>
      </c>
      <c r="AF662" s="97">
        <v>185</v>
      </c>
      <c r="AG662" s="97">
        <v>196</v>
      </c>
      <c r="AH662" s="97">
        <v>182</v>
      </c>
      <c r="AI662" s="97">
        <v>179</v>
      </c>
      <c r="AJ662" s="97">
        <v>179</v>
      </c>
      <c r="AK662" s="97">
        <v>164</v>
      </c>
      <c r="AL662" s="97">
        <v>152</v>
      </c>
      <c r="AM662" s="383">
        <f t="shared" si="143"/>
        <v>216.78787878787878</v>
      </c>
    </row>
    <row r="663" spans="1:39" x14ac:dyDescent="0.2">
      <c r="A663" s="8"/>
      <c r="B663" s="109" t="s">
        <v>932</v>
      </c>
      <c r="C663" s="123" t="s">
        <v>928</v>
      </c>
      <c r="D663" s="282" t="s">
        <v>1123</v>
      </c>
      <c r="E663" s="102"/>
      <c r="F663" s="266">
        <v>582</v>
      </c>
      <c r="G663" s="266">
        <v>596</v>
      </c>
      <c r="H663" s="266">
        <v>616</v>
      </c>
      <c r="I663" s="266">
        <v>518</v>
      </c>
      <c r="J663" s="266">
        <v>655</v>
      </c>
      <c r="K663" s="266">
        <v>551</v>
      </c>
      <c r="L663" s="266">
        <v>519</v>
      </c>
      <c r="M663" s="266">
        <v>592</v>
      </c>
      <c r="N663" s="266">
        <v>424</v>
      </c>
      <c r="O663" s="266">
        <v>450</v>
      </c>
      <c r="P663" s="266">
        <v>436</v>
      </c>
      <c r="Q663" s="266">
        <v>450</v>
      </c>
      <c r="R663" s="266">
        <v>492</v>
      </c>
      <c r="S663" s="266">
        <v>424</v>
      </c>
      <c r="T663" s="266">
        <v>473</v>
      </c>
      <c r="U663" s="266">
        <v>568</v>
      </c>
      <c r="V663" s="266">
        <v>415</v>
      </c>
      <c r="W663" s="266">
        <v>450</v>
      </c>
      <c r="X663" s="266">
        <v>461</v>
      </c>
      <c r="Y663" s="266">
        <v>451</v>
      </c>
      <c r="Z663" s="266">
        <v>445</v>
      </c>
      <c r="AA663" s="266">
        <v>445</v>
      </c>
      <c r="AB663" s="266">
        <v>426</v>
      </c>
      <c r="AC663" s="266">
        <v>468</v>
      </c>
      <c r="AD663" s="266">
        <v>434</v>
      </c>
      <c r="AE663" s="266">
        <v>418</v>
      </c>
      <c r="AF663" s="266">
        <v>391</v>
      </c>
      <c r="AG663" s="266">
        <v>391</v>
      </c>
      <c r="AH663" s="266">
        <v>477</v>
      </c>
      <c r="AI663" s="266">
        <v>477</v>
      </c>
      <c r="AJ663" s="266">
        <v>400</v>
      </c>
      <c r="AK663" s="266">
        <v>400</v>
      </c>
      <c r="AL663" s="266">
        <v>643</v>
      </c>
      <c r="AM663" s="383">
        <f t="shared" si="143"/>
        <v>482.969696969697</v>
      </c>
    </row>
    <row r="664" spans="1:39" x14ac:dyDescent="0.2">
      <c r="A664" s="8"/>
      <c r="B664" s="109" t="s">
        <v>933</v>
      </c>
      <c r="C664" s="123" t="s">
        <v>928</v>
      </c>
      <c r="D664" s="282" t="s">
        <v>1123</v>
      </c>
      <c r="E664" s="102"/>
      <c r="F664" s="266">
        <v>117</v>
      </c>
      <c r="G664" s="266">
        <v>72</v>
      </c>
      <c r="H664" s="266">
        <v>108</v>
      </c>
      <c r="I664" s="266">
        <v>72</v>
      </c>
      <c r="J664" s="266">
        <v>61</v>
      </c>
      <c r="K664" s="266">
        <v>35</v>
      </c>
      <c r="L664" s="266">
        <v>35</v>
      </c>
      <c r="M664" s="266">
        <v>35</v>
      </c>
      <c r="N664" s="266">
        <v>113</v>
      </c>
      <c r="O664" s="266">
        <v>110</v>
      </c>
      <c r="P664" s="266">
        <v>74</v>
      </c>
      <c r="Q664" s="266">
        <v>74</v>
      </c>
      <c r="R664" s="266">
        <v>48</v>
      </c>
      <c r="S664" s="266">
        <v>93</v>
      </c>
      <c r="T664" s="266">
        <v>102</v>
      </c>
      <c r="U664" s="266">
        <v>91</v>
      </c>
      <c r="V664" s="266">
        <v>101</v>
      </c>
      <c r="W664" s="266">
        <v>82</v>
      </c>
      <c r="X664" s="266">
        <v>38</v>
      </c>
      <c r="Y664" s="266">
        <v>67</v>
      </c>
      <c r="Z664" s="266">
        <v>98</v>
      </c>
      <c r="AA664" s="266">
        <v>94</v>
      </c>
      <c r="AB664" s="266">
        <v>64</v>
      </c>
      <c r="AC664" s="266">
        <v>84</v>
      </c>
      <c r="AD664" s="266">
        <v>70</v>
      </c>
      <c r="AE664" s="266">
        <v>80</v>
      </c>
      <c r="AF664" s="266">
        <v>77</v>
      </c>
      <c r="AG664" s="266">
        <v>71</v>
      </c>
      <c r="AH664" s="266">
        <v>56</v>
      </c>
      <c r="AI664" s="266">
        <v>98</v>
      </c>
      <c r="AJ664" s="266">
        <v>57</v>
      </c>
      <c r="AK664" s="266">
        <v>85</v>
      </c>
      <c r="AL664" s="266">
        <v>59</v>
      </c>
      <c r="AM664" s="383">
        <f t="shared" si="143"/>
        <v>76.393939393939391</v>
      </c>
    </row>
    <row r="665" spans="1:39" x14ac:dyDescent="0.2">
      <c r="A665" s="8"/>
      <c r="B665" s="109" t="s">
        <v>934</v>
      </c>
      <c r="C665" s="123" t="s">
        <v>928</v>
      </c>
      <c r="D665" s="282" t="s">
        <v>1123</v>
      </c>
      <c r="E665" s="102"/>
      <c r="F665" s="266">
        <v>36</v>
      </c>
      <c r="G665" s="266">
        <v>39</v>
      </c>
      <c r="H665" s="266">
        <v>53</v>
      </c>
      <c r="I665" s="266">
        <v>56</v>
      </c>
      <c r="J665" s="266">
        <v>56</v>
      </c>
      <c r="K665" s="266">
        <v>56</v>
      </c>
      <c r="L665" s="266">
        <v>56</v>
      </c>
      <c r="M665" s="266">
        <v>56</v>
      </c>
      <c r="N665" s="266">
        <v>58</v>
      </c>
      <c r="O665" s="266">
        <v>63</v>
      </c>
      <c r="P665" s="266">
        <v>62</v>
      </c>
      <c r="Q665" s="266">
        <v>64</v>
      </c>
      <c r="R665" s="266">
        <v>6</v>
      </c>
      <c r="S665" s="266">
        <v>54</v>
      </c>
      <c r="T665" s="266">
        <v>52</v>
      </c>
      <c r="U665" s="266">
        <v>57</v>
      </c>
      <c r="V665" s="266">
        <v>65</v>
      </c>
      <c r="W665" s="266">
        <v>57</v>
      </c>
      <c r="X665" s="266">
        <v>66</v>
      </c>
      <c r="Y665" s="266">
        <v>62</v>
      </c>
      <c r="Z665" s="266">
        <v>57</v>
      </c>
      <c r="AA665" s="266">
        <v>64</v>
      </c>
      <c r="AB665" s="266">
        <v>54</v>
      </c>
      <c r="AC665" s="266">
        <v>59</v>
      </c>
      <c r="AD665" s="266">
        <v>52</v>
      </c>
      <c r="AE665" s="266">
        <v>64</v>
      </c>
      <c r="AF665" s="266">
        <v>59</v>
      </c>
      <c r="AG665" s="266">
        <v>52</v>
      </c>
      <c r="AH665" s="266">
        <v>16</v>
      </c>
      <c r="AI665" s="266">
        <v>55</v>
      </c>
      <c r="AJ665" s="266">
        <v>47</v>
      </c>
      <c r="AK665" s="266">
        <v>47</v>
      </c>
      <c r="AL665" s="266">
        <v>20</v>
      </c>
      <c r="AM665" s="383">
        <f t="shared" si="143"/>
        <v>52.121212121212125</v>
      </c>
    </row>
    <row r="666" spans="1:39" x14ac:dyDescent="0.2">
      <c r="A666" s="8"/>
      <c r="B666" s="109" t="s">
        <v>935</v>
      </c>
      <c r="C666" s="123" t="s">
        <v>928</v>
      </c>
      <c r="D666" s="282" t="s">
        <v>1123</v>
      </c>
      <c r="E666" s="102"/>
      <c r="F666" s="266">
        <v>70</v>
      </c>
      <c r="G666" s="266">
        <v>66</v>
      </c>
      <c r="H666" s="266">
        <v>64</v>
      </c>
      <c r="I666" s="266">
        <v>60</v>
      </c>
      <c r="J666" s="266">
        <v>28</v>
      </c>
      <c r="K666" s="266">
        <v>42</v>
      </c>
      <c r="L666" s="266">
        <v>22</v>
      </c>
      <c r="M666" s="266">
        <v>39</v>
      </c>
      <c r="N666" s="266">
        <v>74</v>
      </c>
      <c r="O666" s="266">
        <v>47</v>
      </c>
      <c r="P666" s="266">
        <v>52</v>
      </c>
      <c r="Q666" s="266">
        <v>6</v>
      </c>
      <c r="R666" s="266">
        <v>198</v>
      </c>
      <c r="S666" s="266">
        <v>128</v>
      </c>
      <c r="T666" s="266">
        <v>152</v>
      </c>
      <c r="U666" s="266">
        <v>58</v>
      </c>
      <c r="V666" s="266">
        <v>139</v>
      </c>
      <c r="W666" s="266">
        <v>306</v>
      </c>
      <c r="X666" s="266">
        <v>74</v>
      </c>
      <c r="Y666" s="266">
        <v>9</v>
      </c>
      <c r="Z666" s="266">
        <v>25</v>
      </c>
      <c r="AA666" s="266">
        <v>85</v>
      </c>
      <c r="AB666" s="266">
        <v>8</v>
      </c>
      <c r="AC666" s="266">
        <v>37</v>
      </c>
      <c r="AD666" s="266">
        <v>25</v>
      </c>
      <c r="AE666" s="266">
        <v>41</v>
      </c>
      <c r="AF666" s="266">
        <v>23</v>
      </c>
      <c r="AG666" s="266">
        <v>42</v>
      </c>
      <c r="AH666" s="266">
        <v>5</v>
      </c>
      <c r="AI666" s="266">
        <v>17</v>
      </c>
      <c r="AJ666" s="266">
        <v>33</v>
      </c>
      <c r="AK666" s="266">
        <v>12</v>
      </c>
      <c r="AL666" s="266">
        <v>3</v>
      </c>
      <c r="AM666" s="383">
        <f t="shared" si="143"/>
        <v>60.303030303030305</v>
      </c>
    </row>
    <row r="667" spans="1:39" x14ac:dyDescent="0.2">
      <c r="A667" s="8"/>
      <c r="B667" s="109" t="s">
        <v>936</v>
      </c>
      <c r="C667" s="123" t="s">
        <v>928</v>
      </c>
      <c r="D667" s="282" t="s">
        <v>1123</v>
      </c>
      <c r="E667" s="102"/>
      <c r="F667" s="266">
        <v>274</v>
      </c>
      <c r="G667" s="266">
        <v>274</v>
      </c>
      <c r="H667" s="266">
        <v>248</v>
      </c>
      <c r="I667" s="266">
        <v>243</v>
      </c>
      <c r="J667" s="266">
        <v>256</v>
      </c>
      <c r="K667" s="266">
        <v>254</v>
      </c>
      <c r="L667" s="266">
        <v>246</v>
      </c>
      <c r="M667" s="266">
        <v>294</v>
      </c>
      <c r="N667" s="266">
        <v>208</v>
      </c>
      <c r="O667" s="266">
        <v>171</v>
      </c>
      <c r="P667" s="266">
        <v>218</v>
      </c>
      <c r="Q667" s="266">
        <v>204</v>
      </c>
      <c r="R667" s="266">
        <v>205</v>
      </c>
      <c r="S667" s="266">
        <v>452</v>
      </c>
      <c r="T667" s="266">
        <v>199</v>
      </c>
      <c r="U667" s="266">
        <v>174</v>
      </c>
      <c r="V667" s="266">
        <v>206</v>
      </c>
      <c r="W667" s="266">
        <v>306</v>
      </c>
      <c r="X667" s="266">
        <v>174</v>
      </c>
      <c r="Y667" s="266">
        <v>169</v>
      </c>
      <c r="Z667" s="266">
        <v>165</v>
      </c>
      <c r="AA667" s="266">
        <v>158</v>
      </c>
      <c r="AB667" s="266">
        <v>133</v>
      </c>
      <c r="AC667" s="266">
        <v>139</v>
      </c>
      <c r="AD667" s="266">
        <v>134</v>
      </c>
      <c r="AE667" s="266">
        <v>129</v>
      </c>
      <c r="AF667" s="266">
        <v>140</v>
      </c>
      <c r="AG667" s="266">
        <v>141</v>
      </c>
      <c r="AH667" s="266">
        <v>168</v>
      </c>
      <c r="AI667" s="266">
        <v>161</v>
      </c>
      <c r="AJ667" s="266">
        <v>173</v>
      </c>
      <c r="AK667" s="266">
        <v>159</v>
      </c>
      <c r="AL667" s="266">
        <v>160</v>
      </c>
      <c r="AM667" s="383">
        <f t="shared" si="143"/>
        <v>204.09090909090909</v>
      </c>
    </row>
    <row r="668" spans="1:39" x14ac:dyDescent="0.2">
      <c r="A668" s="8"/>
      <c r="B668" s="109" t="s">
        <v>937</v>
      </c>
      <c r="C668" s="123" t="s">
        <v>928</v>
      </c>
      <c r="D668" s="282" t="s">
        <v>1123</v>
      </c>
      <c r="E668" s="102"/>
      <c r="F668" s="266">
        <v>286</v>
      </c>
      <c r="G668" s="266">
        <v>313</v>
      </c>
      <c r="H668" s="266">
        <v>333</v>
      </c>
      <c r="I668" s="266">
        <v>302</v>
      </c>
      <c r="J668" s="266">
        <v>313</v>
      </c>
      <c r="K668" s="266">
        <v>322</v>
      </c>
      <c r="L668" s="266">
        <v>257</v>
      </c>
      <c r="M668" s="266">
        <v>335</v>
      </c>
      <c r="N668" s="266">
        <v>282</v>
      </c>
      <c r="O668" s="266">
        <v>250</v>
      </c>
      <c r="P668" s="266">
        <v>252</v>
      </c>
      <c r="Q668" s="266">
        <v>236</v>
      </c>
      <c r="R668" s="266">
        <v>309</v>
      </c>
      <c r="S668" s="266">
        <v>233</v>
      </c>
      <c r="T668" s="266">
        <v>243</v>
      </c>
      <c r="U668" s="266">
        <v>251</v>
      </c>
      <c r="V668" s="266">
        <v>208</v>
      </c>
      <c r="W668" s="266">
        <v>218</v>
      </c>
      <c r="X668" s="266">
        <v>240</v>
      </c>
      <c r="Y668" s="266">
        <v>237</v>
      </c>
      <c r="Z668" s="266">
        <v>154</v>
      </c>
      <c r="AA668" s="266">
        <v>381</v>
      </c>
      <c r="AB668" s="266">
        <v>143</v>
      </c>
      <c r="AC668" s="266">
        <v>196</v>
      </c>
      <c r="AD668" s="266">
        <v>267</v>
      </c>
      <c r="AE668" s="266">
        <v>1227</v>
      </c>
      <c r="AF668" s="266">
        <v>330</v>
      </c>
      <c r="AG668" s="266">
        <v>946</v>
      </c>
      <c r="AH668" s="266">
        <v>224</v>
      </c>
      <c r="AI668" s="266">
        <v>205</v>
      </c>
      <c r="AJ668" s="266">
        <v>132</v>
      </c>
      <c r="AK668" s="266">
        <v>250</v>
      </c>
      <c r="AL668" s="266">
        <v>198</v>
      </c>
      <c r="AM668" s="383">
        <f t="shared" si="143"/>
        <v>305.24242424242425</v>
      </c>
    </row>
    <row r="669" spans="1:39" x14ac:dyDescent="0.2">
      <c r="A669" s="8"/>
      <c r="B669" s="109" t="s">
        <v>938</v>
      </c>
      <c r="C669" s="123" t="s">
        <v>928</v>
      </c>
      <c r="D669" s="282" t="s">
        <v>1123</v>
      </c>
      <c r="E669" s="102"/>
      <c r="F669" s="266">
        <v>223</v>
      </c>
      <c r="G669" s="266">
        <v>435</v>
      </c>
      <c r="H669" s="266">
        <v>299</v>
      </c>
      <c r="I669" s="266">
        <v>222</v>
      </c>
      <c r="J669" s="266">
        <v>236</v>
      </c>
      <c r="K669" s="266">
        <v>405</v>
      </c>
      <c r="L669" s="266">
        <v>227</v>
      </c>
      <c r="M669" s="266">
        <v>225</v>
      </c>
      <c r="N669" s="266">
        <v>228</v>
      </c>
      <c r="O669" s="266">
        <v>225</v>
      </c>
      <c r="P669" s="266">
        <v>243</v>
      </c>
      <c r="Q669" s="266">
        <v>213</v>
      </c>
      <c r="R669" s="266">
        <v>295</v>
      </c>
      <c r="S669" s="266">
        <v>242</v>
      </c>
      <c r="T669" s="266">
        <v>232</v>
      </c>
      <c r="U669" s="266">
        <v>253</v>
      </c>
      <c r="V669" s="266">
        <v>206</v>
      </c>
      <c r="W669" s="266">
        <v>235</v>
      </c>
      <c r="X669" s="266">
        <v>255</v>
      </c>
      <c r="Y669" s="266">
        <v>246</v>
      </c>
      <c r="Z669" s="266">
        <v>203</v>
      </c>
      <c r="AA669" s="266">
        <v>180</v>
      </c>
      <c r="AB669" s="266">
        <v>108</v>
      </c>
      <c r="AC669" s="266">
        <v>165</v>
      </c>
      <c r="AD669" s="266">
        <v>202</v>
      </c>
      <c r="AE669" s="266">
        <v>207</v>
      </c>
      <c r="AF669" s="266">
        <v>198</v>
      </c>
      <c r="AG669" s="266">
        <v>215</v>
      </c>
      <c r="AH669" s="266">
        <v>225</v>
      </c>
      <c r="AI669" s="266">
        <v>135</v>
      </c>
      <c r="AJ669" s="266">
        <v>135</v>
      </c>
      <c r="AK669" s="266">
        <v>180</v>
      </c>
      <c r="AL669" s="266">
        <v>180</v>
      </c>
      <c r="AM669" s="383">
        <f t="shared" si="143"/>
        <v>226.60606060606059</v>
      </c>
    </row>
    <row r="670" spans="1:39" x14ac:dyDescent="0.2">
      <c r="A670" s="8"/>
      <c r="B670" s="109" t="s">
        <v>939</v>
      </c>
      <c r="C670" s="123" t="s">
        <v>928</v>
      </c>
      <c r="D670" s="282" t="s">
        <v>1123</v>
      </c>
      <c r="E670" s="102"/>
      <c r="F670" s="266">
        <v>724</v>
      </c>
      <c r="G670" s="266">
        <v>673</v>
      </c>
      <c r="H670" s="266">
        <v>642</v>
      </c>
      <c r="I670" s="266">
        <v>684</v>
      </c>
      <c r="J670" s="266">
        <v>590</v>
      </c>
      <c r="K670" s="266">
        <v>709</v>
      </c>
      <c r="L670" s="266">
        <v>629</v>
      </c>
      <c r="M670" s="266">
        <v>762</v>
      </c>
      <c r="N670" s="266">
        <v>684</v>
      </c>
      <c r="O670" s="266">
        <v>617</v>
      </c>
      <c r="P670" s="266">
        <v>524</v>
      </c>
      <c r="Q670" s="266">
        <v>603</v>
      </c>
      <c r="R670" s="266">
        <v>556</v>
      </c>
      <c r="S670" s="266">
        <v>514</v>
      </c>
      <c r="T670" s="266">
        <v>561</v>
      </c>
      <c r="U670" s="266">
        <v>636</v>
      </c>
      <c r="V670" s="266">
        <v>555</v>
      </c>
      <c r="W670" s="266">
        <v>627</v>
      </c>
      <c r="X670" s="266">
        <v>627</v>
      </c>
      <c r="Y670" s="266">
        <v>627</v>
      </c>
      <c r="Z670" s="266">
        <v>627</v>
      </c>
      <c r="AA670" s="266">
        <v>627</v>
      </c>
      <c r="AB670" s="266">
        <v>627</v>
      </c>
      <c r="AC670" s="266">
        <v>627</v>
      </c>
      <c r="AD670" s="266">
        <v>627</v>
      </c>
      <c r="AE670" s="266">
        <v>627</v>
      </c>
      <c r="AF670" s="266">
        <v>627</v>
      </c>
      <c r="AG670" s="266">
        <v>627</v>
      </c>
      <c r="AH670" s="266">
        <v>627</v>
      </c>
      <c r="AI670" s="266">
        <v>627</v>
      </c>
      <c r="AJ670" s="266">
        <v>627</v>
      </c>
      <c r="AK670" s="266">
        <v>627</v>
      </c>
      <c r="AL670" s="266">
        <v>627</v>
      </c>
      <c r="AM670" s="383">
        <f t="shared" si="143"/>
        <v>627.12121212121212</v>
      </c>
    </row>
    <row r="671" spans="1:39" x14ac:dyDescent="0.2">
      <c r="A671" s="8"/>
      <c r="B671" s="109" t="s">
        <v>940</v>
      </c>
      <c r="C671" s="123" t="s">
        <v>928</v>
      </c>
      <c r="D671" s="282" t="s">
        <v>1123</v>
      </c>
      <c r="E671" s="102"/>
      <c r="F671" s="266">
        <v>38</v>
      </c>
      <c r="G671" s="266">
        <v>34</v>
      </c>
      <c r="H671" s="266">
        <v>38</v>
      </c>
      <c r="I671" s="266">
        <v>39</v>
      </c>
      <c r="J671" s="266">
        <v>31</v>
      </c>
      <c r="K671" s="266">
        <v>34</v>
      </c>
      <c r="L671" s="266">
        <v>28</v>
      </c>
      <c r="M671" s="266">
        <v>41</v>
      </c>
      <c r="N671" s="266">
        <v>40</v>
      </c>
      <c r="O671" s="266">
        <v>28</v>
      </c>
      <c r="P671" s="266">
        <v>30</v>
      </c>
      <c r="Q671" s="266">
        <v>31</v>
      </c>
      <c r="R671" s="266">
        <v>29</v>
      </c>
      <c r="S671" s="266">
        <v>20</v>
      </c>
      <c r="T671" s="266">
        <v>26</v>
      </c>
      <c r="U671" s="266">
        <v>29</v>
      </c>
      <c r="V671" s="266">
        <v>26</v>
      </c>
      <c r="W671" s="266">
        <v>26</v>
      </c>
      <c r="X671" s="266">
        <v>26</v>
      </c>
      <c r="Y671" s="266">
        <v>24</v>
      </c>
      <c r="Z671" s="266">
        <v>26</v>
      </c>
      <c r="AA671" s="266">
        <v>22</v>
      </c>
      <c r="AB671" s="266">
        <v>23</v>
      </c>
      <c r="AC671" s="266">
        <v>21</v>
      </c>
      <c r="AD671" s="266">
        <v>24</v>
      </c>
      <c r="AE671" s="266">
        <v>22</v>
      </c>
      <c r="AF671" s="266">
        <v>24</v>
      </c>
      <c r="AG671" s="266">
        <v>22</v>
      </c>
      <c r="AH671" s="266">
        <v>28</v>
      </c>
      <c r="AI671" s="266">
        <v>29</v>
      </c>
      <c r="AJ671" s="266">
        <v>26</v>
      </c>
      <c r="AK671" s="266">
        <v>22</v>
      </c>
      <c r="AL671" s="266">
        <v>34</v>
      </c>
      <c r="AM671" s="383">
        <f t="shared" si="143"/>
        <v>28.515151515151516</v>
      </c>
    </row>
    <row r="672" spans="1:39" x14ac:dyDescent="0.2">
      <c r="A672" s="8"/>
      <c r="B672" s="109" t="s">
        <v>941</v>
      </c>
      <c r="C672" s="123" t="s">
        <v>928</v>
      </c>
      <c r="D672" s="282" t="s">
        <v>1123</v>
      </c>
      <c r="E672" s="102"/>
      <c r="F672" s="266">
        <v>427</v>
      </c>
      <c r="G672" s="266">
        <v>544</v>
      </c>
      <c r="H672" s="266">
        <v>485</v>
      </c>
      <c r="I672" s="266">
        <v>524</v>
      </c>
      <c r="J672" s="266">
        <v>375</v>
      </c>
      <c r="K672" s="266">
        <v>329</v>
      </c>
      <c r="L672" s="266">
        <v>615</v>
      </c>
      <c r="M672" s="266">
        <v>421</v>
      </c>
      <c r="N672" s="266">
        <v>279</v>
      </c>
      <c r="O672" s="266">
        <v>289</v>
      </c>
      <c r="P672" s="266">
        <v>334</v>
      </c>
      <c r="Q672" s="266">
        <v>464</v>
      </c>
      <c r="R672" s="266">
        <v>420</v>
      </c>
      <c r="S672" s="266">
        <v>497</v>
      </c>
      <c r="T672" s="266">
        <v>320</v>
      </c>
      <c r="U672" s="266">
        <v>336</v>
      </c>
      <c r="V672" s="266">
        <v>274</v>
      </c>
      <c r="W672" s="266">
        <v>229</v>
      </c>
      <c r="X672" s="266">
        <v>319</v>
      </c>
      <c r="Y672" s="266">
        <v>400</v>
      </c>
      <c r="Z672" s="266">
        <v>218</v>
      </c>
      <c r="AA672" s="266">
        <v>303</v>
      </c>
      <c r="AB672" s="266">
        <v>244</v>
      </c>
      <c r="AC672" s="266">
        <v>207</v>
      </c>
      <c r="AD672" s="266">
        <v>246</v>
      </c>
      <c r="AE672" s="266">
        <v>251</v>
      </c>
      <c r="AF672" s="266">
        <v>202</v>
      </c>
      <c r="AG672" s="266">
        <v>262</v>
      </c>
      <c r="AH672" s="266">
        <v>241</v>
      </c>
      <c r="AI672" s="266">
        <v>622</v>
      </c>
      <c r="AJ672" s="266">
        <v>197</v>
      </c>
      <c r="AK672" s="266">
        <v>440</v>
      </c>
      <c r="AL672" s="266">
        <v>389</v>
      </c>
      <c r="AM672" s="383">
        <f t="shared" si="143"/>
        <v>354.63636363636363</v>
      </c>
    </row>
    <row r="673" spans="1:39" x14ac:dyDescent="0.2">
      <c r="A673" s="8"/>
      <c r="B673" s="109" t="s">
        <v>942</v>
      </c>
      <c r="C673" s="123" t="s">
        <v>928</v>
      </c>
      <c r="D673" s="282" t="s">
        <v>1123</v>
      </c>
      <c r="E673" s="102"/>
      <c r="F673" s="266">
        <v>39</v>
      </c>
      <c r="G673" s="266">
        <v>37</v>
      </c>
      <c r="H673" s="266">
        <v>28</v>
      </c>
      <c r="I673" s="266">
        <v>35</v>
      </c>
      <c r="J673" s="266">
        <v>46</v>
      </c>
      <c r="K673" s="266">
        <v>96</v>
      </c>
      <c r="L673" s="266">
        <v>67</v>
      </c>
      <c r="M673" s="266">
        <v>37</v>
      </c>
      <c r="N673" s="266">
        <v>52</v>
      </c>
      <c r="O673" s="266">
        <v>44</v>
      </c>
      <c r="P673" s="266">
        <v>43</v>
      </c>
      <c r="Q673" s="266">
        <v>39</v>
      </c>
      <c r="R673" s="266">
        <v>84</v>
      </c>
      <c r="S673" s="266">
        <v>33</v>
      </c>
      <c r="T673" s="266">
        <v>37</v>
      </c>
      <c r="U673" s="266">
        <v>31</v>
      </c>
      <c r="V673" s="266">
        <v>39</v>
      </c>
      <c r="W673" s="266">
        <v>24</v>
      </c>
      <c r="X673" s="266">
        <v>38</v>
      </c>
      <c r="Y673" s="266">
        <v>61</v>
      </c>
      <c r="Z673" s="266">
        <v>42</v>
      </c>
      <c r="AA673" s="266">
        <v>51</v>
      </c>
      <c r="AB673" s="266">
        <v>22</v>
      </c>
      <c r="AC673" s="266">
        <v>27</v>
      </c>
      <c r="AD673" s="266">
        <v>50</v>
      </c>
      <c r="AE673" s="266">
        <v>52</v>
      </c>
      <c r="AF673" s="266">
        <v>59</v>
      </c>
      <c r="AG673" s="266">
        <v>25</v>
      </c>
      <c r="AH673" s="266">
        <v>73</v>
      </c>
      <c r="AI673" s="266">
        <v>61</v>
      </c>
      <c r="AJ673" s="266">
        <v>37</v>
      </c>
      <c r="AK673" s="266">
        <v>65</v>
      </c>
      <c r="AL673" s="266">
        <v>34</v>
      </c>
      <c r="AM673" s="383">
        <f t="shared" si="143"/>
        <v>45.696969696969695</v>
      </c>
    </row>
    <row r="674" spans="1:39" x14ac:dyDescent="0.2">
      <c r="A674" s="8"/>
      <c r="B674" s="109" t="s">
        <v>943</v>
      </c>
      <c r="C674" s="123" t="s">
        <v>928</v>
      </c>
      <c r="D674" s="282" t="s">
        <v>1123</v>
      </c>
      <c r="E674" s="102"/>
      <c r="F674" s="266">
        <v>300</v>
      </c>
      <c r="G674" s="266">
        <v>218</v>
      </c>
      <c r="H674" s="266">
        <v>348</v>
      </c>
      <c r="I674" s="266">
        <v>389</v>
      </c>
      <c r="J674" s="266">
        <v>273</v>
      </c>
      <c r="K674" s="266">
        <v>267</v>
      </c>
      <c r="L674" s="266">
        <v>399</v>
      </c>
      <c r="M674" s="266">
        <v>345</v>
      </c>
      <c r="N674" s="266">
        <v>267</v>
      </c>
      <c r="O674" s="266">
        <v>238</v>
      </c>
      <c r="P674" s="266">
        <v>241</v>
      </c>
      <c r="Q674" s="266">
        <v>192</v>
      </c>
      <c r="R674" s="266">
        <v>334</v>
      </c>
      <c r="S674" s="266">
        <v>213</v>
      </c>
      <c r="T674" s="266">
        <v>214</v>
      </c>
      <c r="U674" s="266">
        <v>271</v>
      </c>
      <c r="V674" s="266">
        <v>336</v>
      </c>
      <c r="W674" s="266">
        <v>346</v>
      </c>
      <c r="X674" s="266">
        <v>148</v>
      </c>
      <c r="Y674" s="266">
        <v>329</v>
      </c>
      <c r="Z674" s="266">
        <v>179</v>
      </c>
      <c r="AA674" s="266">
        <v>246</v>
      </c>
      <c r="AB674" s="266">
        <v>90</v>
      </c>
      <c r="AC674" s="266">
        <v>235</v>
      </c>
      <c r="AD674" s="266">
        <v>219</v>
      </c>
      <c r="AE674" s="266">
        <v>157</v>
      </c>
      <c r="AF674" s="266">
        <v>159</v>
      </c>
      <c r="AG674" s="266">
        <v>159</v>
      </c>
      <c r="AH674" s="266">
        <v>374</v>
      </c>
      <c r="AI674" s="266">
        <v>216</v>
      </c>
      <c r="AJ674" s="266">
        <v>228</v>
      </c>
      <c r="AK674" s="266">
        <v>436</v>
      </c>
      <c r="AL674" s="266">
        <v>494</v>
      </c>
      <c r="AM674" s="383">
        <f t="shared" si="143"/>
        <v>268.4848484848485</v>
      </c>
    </row>
    <row r="675" spans="1:39" x14ac:dyDescent="0.2">
      <c r="A675" s="8"/>
      <c r="B675" s="109" t="s">
        <v>944</v>
      </c>
      <c r="C675" s="123" t="s">
        <v>928</v>
      </c>
      <c r="D675" s="282" t="s">
        <v>1123</v>
      </c>
      <c r="E675" s="102"/>
      <c r="F675" s="266">
        <v>88</v>
      </c>
      <c r="G675" s="266">
        <v>71</v>
      </c>
      <c r="H675" s="266">
        <v>82</v>
      </c>
      <c r="I675" s="266">
        <v>94</v>
      </c>
      <c r="J675" s="266">
        <v>69</v>
      </c>
      <c r="K675" s="266">
        <v>67</v>
      </c>
      <c r="L675" s="266">
        <v>74</v>
      </c>
      <c r="M675" s="266">
        <v>84</v>
      </c>
      <c r="N675" s="266">
        <v>64</v>
      </c>
      <c r="O675" s="266">
        <v>108</v>
      </c>
      <c r="P675" s="266">
        <v>93</v>
      </c>
      <c r="Q675" s="266">
        <v>91</v>
      </c>
      <c r="R675" s="266">
        <v>103</v>
      </c>
      <c r="S675" s="266">
        <v>54</v>
      </c>
      <c r="T675" s="266">
        <v>57</v>
      </c>
      <c r="U675" s="266">
        <v>61</v>
      </c>
      <c r="V675" s="266">
        <v>80</v>
      </c>
      <c r="W675" s="266">
        <v>80</v>
      </c>
      <c r="X675" s="266">
        <v>119</v>
      </c>
      <c r="Y675" s="266">
        <v>74</v>
      </c>
      <c r="Z675" s="266">
        <v>60</v>
      </c>
      <c r="AA675" s="266">
        <v>79</v>
      </c>
      <c r="AB675" s="266">
        <v>45</v>
      </c>
      <c r="AC675" s="266">
        <v>90</v>
      </c>
      <c r="AD675" s="266">
        <v>69</v>
      </c>
      <c r="AE675" s="266">
        <v>90</v>
      </c>
      <c r="AF675" s="266">
        <v>85</v>
      </c>
      <c r="AG675" s="266">
        <v>78</v>
      </c>
      <c r="AH675" s="266">
        <v>75</v>
      </c>
      <c r="AI675" s="266">
        <v>85</v>
      </c>
      <c r="AJ675" s="266">
        <v>83</v>
      </c>
      <c r="AK675" s="266">
        <v>63</v>
      </c>
      <c r="AL675" s="266">
        <v>70</v>
      </c>
      <c r="AM675" s="383">
        <f t="shared" si="143"/>
        <v>78.333333333333329</v>
      </c>
    </row>
    <row r="676" spans="1:39" x14ac:dyDescent="0.2">
      <c r="A676" s="8"/>
      <c r="B676" s="109" t="s">
        <v>945</v>
      </c>
      <c r="C676" s="123" t="s">
        <v>928</v>
      </c>
      <c r="D676" s="282" t="s">
        <v>1123</v>
      </c>
      <c r="E676" s="102"/>
      <c r="F676" s="266">
        <v>228</v>
      </c>
      <c r="G676" s="266">
        <v>178</v>
      </c>
      <c r="H676" s="266">
        <v>161</v>
      </c>
      <c r="I676" s="266">
        <v>169</v>
      </c>
      <c r="J676" s="266">
        <v>110</v>
      </c>
      <c r="K676" s="266">
        <v>90</v>
      </c>
      <c r="L676" s="266">
        <v>135</v>
      </c>
      <c r="M676" s="266">
        <v>248</v>
      </c>
      <c r="N676" s="266">
        <v>136</v>
      </c>
      <c r="O676" s="266">
        <v>106</v>
      </c>
      <c r="P676" s="266">
        <v>157</v>
      </c>
      <c r="Q676" s="266">
        <v>117</v>
      </c>
      <c r="R676" s="266">
        <v>127</v>
      </c>
      <c r="S676" s="266">
        <v>124</v>
      </c>
      <c r="T676" s="266">
        <v>142</v>
      </c>
      <c r="U676" s="266">
        <v>148</v>
      </c>
      <c r="V676" s="266">
        <v>78</v>
      </c>
      <c r="W676" s="266">
        <v>98</v>
      </c>
      <c r="X676" s="266">
        <v>87</v>
      </c>
      <c r="Y676" s="266">
        <v>157</v>
      </c>
      <c r="Z676" s="266">
        <v>115</v>
      </c>
      <c r="AA676" s="266">
        <v>109</v>
      </c>
      <c r="AB676" s="266">
        <v>109</v>
      </c>
      <c r="AC676" s="266">
        <v>103</v>
      </c>
      <c r="AD676" s="266">
        <v>124</v>
      </c>
      <c r="AE676" s="266">
        <v>104</v>
      </c>
      <c r="AF676" s="266">
        <v>189</v>
      </c>
      <c r="AG676" s="266">
        <v>95</v>
      </c>
      <c r="AH676" s="266">
        <v>88</v>
      </c>
      <c r="AI676" s="266">
        <v>106</v>
      </c>
      <c r="AJ676" s="266">
        <v>74</v>
      </c>
      <c r="AK676" s="266">
        <v>118</v>
      </c>
      <c r="AL676" s="266">
        <v>102</v>
      </c>
      <c r="AM676" s="383">
        <f t="shared" si="143"/>
        <v>128.24242424242425</v>
      </c>
    </row>
    <row r="677" spans="1:39" x14ac:dyDescent="0.2">
      <c r="A677" s="8"/>
      <c r="B677" s="109" t="s">
        <v>946</v>
      </c>
      <c r="C677" s="123" t="s">
        <v>928</v>
      </c>
      <c r="D677" s="282" t="s">
        <v>1123</v>
      </c>
      <c r="E677" s="102"/>
      <c r="F677" s="266">
        <v>203</v>
      </c>
      <c r="G677" s="266">
        <v>184</v>
      </c>
      <c r="H677" s="266"/>
      <c r="I677" s="266">
        <v>162</v>
      </c>
      <c r="J677" s="266">
        <v>233</v>
      </c>
      <c r="K677" s="266">
        <v>147</v>
      </c>
      <c r="L677" s="266">
        <v>147</v>
      </c>
      <c r="M677" s="266">
        <v>153</v>
      </c>
      <c r="N677" s="266">
        <v>189</v>
      </c>
      <c r="O677" s="266">
        <v>195</v>
      </c>
      <c r="P677" s="266">
        <v>195</v>
      </c>
      <c r="Q677" s="266">
        <v>159</v>
      </c>
      <c r="R677" s="266">
        <v>84</v>
      </c>
      <c r="S677" s="266">
        <v>234</v>
      </c>
      <c r="T677" s="266">
        <v>158</v>
      </c>
      <c r="U677" s="266">
        <v>181</v>
      </c>
      <c r="V677" s="266">
        <v>162</v>
      </c>
      <c r="W677" s="266">
        <v>207</v>
      </c>
      <c r="X677" s="266">
        <v>198</v>
      </c>
      <c r="Y677" s="266">
        <v>159</v>
      </c>
      <c r="Z677" s="266">
        <v>93</v>
      </c>
      <c r="AA677" s="266">
        <v>169</v>
      </c>
      <c r="AB677" s="266">
        <v>73</v>
      </c>
      <c r="AC677" s="266">
        <v>205</v>
      </c>
      <c r="AD677" s="266">
        <v>163</v>
      </c>
      <c r="AE677" s="266">
        <v>165</v>
      </c>
      <c r="AF677" s="266">
        <v>233</v>
      </c>
      <c r="AG677" s="266">
        <v>150</v>
      </c>
      <c r="AH677" s="266">
        <v>172</v>
      </c>
      <c r="AI677" s="266">
        <v>297</v>
      </c>
      <c r="AJ677" s="266">
        <v>111</v>
      </c>
      <c r="AK677" s="266">
        <v>67</v>
      </c>
      <c r="AL677" s="266">
        <v>74</v>
      </c>
      <c r="AM677" s="383">
        <f t="shared" si="143"/>
        <v>166.3125</v>
      </c>
    </row>
    <row r="678" spans="1:39" x14ac:dyDescent="0.2">
      <c r="A678" s="8"/>
      <c r="B678" s="109" t="s">
        <v>947</v>
      </c>
      <c r="C678" s="123" t="s">
        <v>928</v>
      </c>
      <c r="D678" s="282" t="s">
        <v>1123</v>
      </c>
      <c r="E678" s="102"/>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66"/>
      <c r="AE678" s="266"/>
      <c r="AF678" s="266"/>
      <c r="AG678" s="266"/>
      <c r="AH678" s="266"/>
      <c r="AI678" s="266"/>
      <c r="AJ678" s="266"/>
      <c r="AK678" s="266"/>
      <c r="AL678" s="266"/>
      <c r="AM678" s="383"/>
    </row>
    <row r="679" spans="1:39" x14ac:dyDescent="0.2">
      <c r="A679" s="8"/>
      <c r="B679" s="109" t="s">
        <v>948</v>
      </c>
      <c r="C679" s="123" t="s">
        <v>928</v>
      </c>
      <c r="D679" s="282" t="s">
        <v>1123</v>
      </c>
      <c r="E679" s="102"/>
      <c r="F679" s="266">
        <v>2148</v>
      </c>
      <c r="G679" s="266">
        <v>2156</v>
      </c>
      <c r="H679" s="266">
        <v>1974</v>
      </c>
      <c r="I679" s="266">
        <v>2859</v>
      </c>
      <c r="J679" s="266">
        <v>2605</v>
      </c>
      <c r="K679" s="266">
        <v>2116</v>
      </c>
      <c r="L679" s="266">
        <v>2756</v>
      </c>
      <c r="M679" s="266">
        <v>2250</v>
      </c>
      <c r="N679" s="266">
        <v>1679</v>
      </c>
      <c r="O679" s="266">
        <v>1163</v>
      </c>
      <c r="P679" s="266">
        <v>2501</v>
      </c>
      <c r="Q679" s="266">
        <v>2700</v>
      </c>
      <c r="R679" s="266">
        <v>2469</v>
      </c>
      <c r="S679" s="266">
        <v>1507</v>
      </c>
      <c r="T679" s="266">
        <v>1820</v>
      </c>
      <c r="U679" s="266">
        <v>1569</v>
      </c>
      <c r="V679" s="266">
        <v>1000</v>
      </c>
      <c r="W679" s="266">
        <v>1921</v>
      </c>
      <c r="X679" s="266">
        <v>2024</v>
      </c>
      <c r="Y679" s="266">
        <v>1161</v>
      </c>
      <c r="Z679" s="266">
        <v>1122</v>
      </c>
      <c r="AA679" s="266">
        <v>1139</v>
      </c>
      <c r="AB679" s="266">
        <v>1032</v>
      </c>
      <c r="AC679" s="266">
        <v>896</v>
      </c>
      <c r="AD679" s="266">
        <v>1156</v>
      </c>
      <c r="AE679" s="266">
        <v>903</v>
      </c>
      <c r="AF679" s="266">
        <v>1265</v>
      </c>
      <c r="AG679" s="266">
        <v>1394</v>
      </c>
      <c r="AH679" s="266">
        <v>1496</v>
      </c>
      <c r="AI679" s="266">
        <v>1416</v>
      </c>
      <c r="AJ679" s="266">
        <v>1119</v>
      </c>
      <c r="AK679" s="266">
        <v>2335</v>
      </c>
      <c r="AL679" s="266">
        <v>853</v>
      </c>
      <c r="AM679" s="383">
        <f t="shared" si="143"/>
        <v>1712.2424242424242</v>
      </c>
    </row>
    <row r="680" spans="1:39" x14ac:dyDescent="0.2">
      <c r="A680" s="8"/>
      <c r="B680" s="109" t="s">
        <v>949</v>
      </c>
      <c r="C680" s="123" t="s">
        <v>928</v>
      </c>
      <c r="D680" s="282" t="s">
        <v>1123</v>
      </c>
      <c r="E680" s="102"/>
      <c r="F680" s="266">
        <v>576</v>
      </c>
      <c r="G680" s="266">
        <v>540</v>
      </c>
      <c r="H680" s="266">
        <v>556</v>
      </c>
      <c r="I680" s="266">
        <v>845</v>
      </c>
      <c r="J680" s="266">
        <v>655</v>
      </c>
      <c r="K680" s="266">
        <v>520</v>
      </c>
      <c r="L680" s="266">
        <v>490</v>
      </c>
      <c r="M680" s="266">
        <v>790</v>
      </c>
      <c r="N680" s="266">
        <v>443</v>
      </c>
      <c r="O680" s="266">
        <v>455</v>
      </c>
      <c r="P680" s="266">
        <v>368</v>
      </c>
      <c r="Q680" s="266">
        <v>331</v>
      </c>
      <c r="R680" s="266">
        <v>400</v>
      </c>
      <c r="S680" s="266">
        <v>328</v>
      </c>
      <c r="T680" s="266">
        <v>361</v>
      </c>
      <c r="U680" s="266">
        <v>263</v>
      </c>
      <c r="V680" s="266">
        <v>412</v>
      </c>
      <c r="W680" s="266">
        <v>590</v>
      </c>
      <c r="X680" s="266">
        <v>460</v>
      </c>
      <c r="Y680" s="266">
        <v>432</v>
      </c>
      <c r="Z680" s="266">
        <v>404</v>
      </c>
      <c r="AA680" s="266">
        <v>261</v>
      </c>
      <c r="AB680" s="266">
        <v>246</v>
      </c>
      <c r="AC680" s="266">
        <v>377</v>
      </c>
      <c r="AD680" s="266">
        <v>272</v>
      </c>
      <c r="AE680" s="266">
        <v>488</v>
      </c>
      <c r="AF680" s="266">
        <v>170</v>
      </c>
      <c r="AG680" s="266">
        <v>170</v>
      </c>
      <c r="AH680" s="266">
        <v>508</v>
      </c>
      <c r="AI680" s="266">
        <v>446</v>
      </c>
      <c r="AJ680" s="266">
        <v>387</v>
      </c>
      <c r="AK680" s="266">
        <v>288</v>
      </c>
      <c r="AL680" s="266">
        <v>518</v>
      </c>
      <c r="AM680" s="383">
        <f t="shared" si="143"/>
        <v>434.84848484848487</v>
      </c>
    </row>
    <row r="681" spans="1:39" x14ac:dyDescent="0.2">
      <c r="A681" s="8"/>
      <c r="B681" s="109" t="s">
        <v>950</v>
      </c>
      <c r="C681" s="123" t="s">
        <v>928</v>
      </c>
      <c r="D681" s="282" t="s">
        <v>1123</v>
      </c>
      <c r="E681" s="102"/>
      <c r="F681" s="266">
        <v>512</v>
      </c>
      <c r="G681" s="266">
        <v>770</v>
      </c>
      <c r="H681" s="266">
        <v>846</v>
      </c>
      <c r="I681" s="266">
        <v>958</v>
      </c>
      <c r="J681" s="266">
        <v>800</v>
      </c>
      <c r="K681" s="266">
        <v>639</v>
      </c>
      <c r="L681" s="266">
        <v>765</v>
      </c>
      <c r="M681" s="266">
        <v>1093</v>
      </c>
      <c r="N681" s="266">
        <v>672</v>
      </c>
      <c r="O681" s="266">
        <v>656</v>
      </c>
      <c r="P681" s="266">
        <v>299</v>
      </c>
      <c r="Q681" s="266">
        <v>654</v>
      </c>
      <c r="R681" s="266">
        <v>614</v>
      </c>
      <c r="S681" s="266">
        <v>754</v>
      </c>
      <c r="T681" s="266">
        <v>1114</v>
      </c>
      <c r="U681" s="266">
        <v>876</v>
      </c>
      <c r="V681" s="266">
        <v>626</v>
      </c>
      <c r="W681" s="266">
        <v>620</v>
      </c>
      <c r="X681" s="266">
        <v>770</v>
      </c>
      <c r="Y681" s="266">
        <v>426</v>
      </c>
      <c r="Z681" s="266">
        <v>944</v>
      </c>
      <c r="AA681" s="266">
        <v>580</v>
      </c>
      <c r="AB681" s="266">
        <v>312</v>
      </c>
      <c r="AC681" s="266">
        <v>755</v>
      </c>
      <c r="AD681" s="266">
        <v>580</v>
      </c>
      <c r="AE681" s="266">
        <v>705</v>
      </c>
      <c r="AF681" s="266">
        <v>608</v>
      </c>
      <c r="AG681" s="266">
        <v>766</v>
      </c>
      <c r="AH681" s="266">
        <v>1082</v>
      </c>
      <c r="AI681" s="266">
        <v>957</v>
      </c>
      <c r="AJ681" s="266">
        <v>935</v>
      </c>
      <c r="AK681" s="266">
        <v>713</v>
      </c>
      <c r="AL681" s="266">
        <v>1437</v>
      </c>
      <c r="AM681" s="383">
        <f t="shared" si="143"/>
        <v>752.66666666666663</v>
      </c>
    </row>
    <row r="682" spans="1:39" x14ac:dyDescent="0.2">
      <c r="A682" s="8"/>
      <c r="B682" s="109" t="s">
        <v>951</v>
      </c>
      <c r="C682" s="123" t="s">
        <v>928</v>
      </c>
      <c r="D682" s="282" t="s">
        <v>1123</v>
      </c>
      <c r="E682" s="102"/>
      <c r="F682" s="266"/>
      <c r="G682" s="266"/>
      <c r="H682" s="266"/>
      <c r="I682" s="266"/>
      <c r="J682" s="266"/>
      <c r="K682" s="266"/>
      <c r="L682" s="266"/>
      <c r="M682" s="266"/>
      <c r="N682" s="266"/>
      <c r="O682" s="266"/>
      <c r="P682" s="266"/>
      <c r="Q682" s="266"/>
      <c r="R682" s="266"/>
      <c r="S682" s="266"/>
      <c r="T682" s="266"/>
      <c r="U682" s="266"/>
      <c r="V682" s="266"/>
      <c r="W682" s="266"/>
      <c r="X682" s="266"/>
      <c r="Y682" s="266"/>
      <c r="Z682" s="266">
        <v>53</v>
      </c>
      <c r="AA682" s="266">
        <v>65</v>
      </c>
      <c r="AB682" s="266"/>
      <c r="AC682" s="266">
        <v>78</v>
      </c>
      <c r="AD682" s="266"/>
      <c r="AE682" s="266"/>
      <c r="AF682" s="266"/>
      <c r="AG682" s="266"/>
      <c r="AH682" s="266"/>
      <c r="AI682" s="266">
        <v>78</v>
      </c>
      <c r="AJ682" s="266">
        <v>75</v>
      </c>
      <c r="AK682" s="266">
        <v>98</v>
      </c>
      <c r="AL682" s="266">
        <v>67</v>
      </c>
      <c r="AM682" s="383">
        <f t="shared" si="143"/>
        <v>73.428571428571431</v>
      </c>
    </row>
    <row r="683" spans="1:39" x14ac:dyDescent="0.2">
      <c r="A683" s="8"/>
      <c r="B683" s="109" t="s">
        <v>952</v>
      </c>
      <c r="C683" s="123" t="s">
        <v>928</v>
      </c>
      <c r="D683" s="282" t="s">
        <v>1123</v>
      </c>
      <c r="E683" s="102"/>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66"/>
      <c r="AE683" s="266"/>
      <c r="AF683" s="266"/>
      <c r="AG683" s="266"/>
      <c r="AH683" s="266"/>
      <c r="AI683" s="266"/>
      <c r="AJ683" s="266">
        <v>360</v>
      </c>
      <c r="AK683" s="266"/>
      <c r="AL683" s="266"/>
      <c r="AM683" s="383">
        <f t="shared" si="143"/>
        <v>360</v>
      </c>
    </row>
    <row r="684" spans="1:39" x14ac:dyDescent="0.2">
      <c r="A684" s="8"/>
      <c r="B684" s="109" t="s">
        <v>953</v>
      </c>
      <c r="C684" s="123" t="s">
        <v>928</v>
      </c>
      <c r="D684" s="282" t="s">
        <v>1123</v>
      </c>
      <c r="E684" s="102"/>
      <c r="F684" s="266">
        <v>305</v>
      </c>
      <c r="G684" s="266">
        <v>280</v>
      </c>
      <c r="H684" s="266">
        <v>292</v>
      </c>
      <c r="I684" s="266">
        <v>294</v>
      </c>
      <c r="J684" s="266">
        <v>258</v>
      </c>
      <c r="K684" s="266">
        <v>292</v>
      </c>
      <c r="L684" s="266">
        <v>239</v>
      </c>
      <c r="M684" s="266">
        <v>307</v>
      </c>
      <c r="N684" s="266">
        <v>263</v>
      </c>
      <c r="O684" s="266">
        <v>230</v>
      </c>
      <c r="P684" s="266">
        <v>226</v>
      </c>
      <c r="Q684" s="266">
        <v>232</v>
      </c>
      <c r="R684" s="266">
        <v>231</v>
      </c>
      <c r="S684" s="266">
        <v>229</v>
      </c>
      <c r="T684" s="266">
        <v>236</v>
      </c>
      <c r="U684" s="266">
        <v>237</v>
      </c>
      <c r="V684" s="266">
        <v>216</v>
      </c>
      <c r="W684" s="266">
        <v>232</v>
      </c>
      <c r="X684" s="266">
        <v>205</v>
      </c>
      <c r="Y684" s="266">
        <v>225</v>
      </c>
      <c r="Z684" s="266">
        <v>179</v>
      </c>
      <c r="AA684" s="266">
        <v>199</v>
      </c>
      <c r="AB684" s="266">
        <v>167</v>
      </c>
      <c r="AC684" s="266">
        <v>216</v>
      </c>
      <c r="AD684" s="266">
        <v>206</v>
      </c>
      <c r="AE684" s="266">
        <v>191</v>
      </c>
      <c r="AF684" s="266">
        <v>186</v>
      </c>
      <c r="AG684" s="266">
        <v>186</v>
      </c>
      <c r="AH684" s="266">
        <v>178</v>
      </c>
      <c r="AI684" s="266">
        <v>155</v>
      </c>
      <c r="AJ684" s="266">
        <v>136</v>
      </c>
      <c r="AK684" s="266">
        <v>244</v>
      </c>
      <c r="AL684" s="266">
        <v>191</v>
      </c>
      <c r="AM684" s="383">
        <f t="shared" si="143"/>
        <v>226.15151515151516</v>
      </c>
    </row>
    <row r="685" spans="1:39" x14ac:dyDescent="0.2">
      <c r="A685" s="8"/>
      <c r="B685" s="109" t="s">
        <v>954</v>
      </c>
      <c r="C685" s="123" t="s">
        <v>928</v>
      </c>
      <c r="D685" s="282" t="s">
        <v>1123</v>
      </c>
      <c r="E685" s="102"/>
      <c r="F685" s="266">
        <v>305</v>
      </c>
      <c r="G685" s="266">
        <v>280</v>
      </c>
      <c r="H685" s="266">
        <v>292</v>
      </c>
      <c r="I685" s="266">
        <v>294</v>
      </c>
      <c r="J685" s="266">
        <v>258</v>
      </c>
      <c r="K685" s="266">
        <v>292</v>
      </c>
      <c r="L685" s="266">
        <v>239</v>
      </c>
      <c r="M685" s="266">
        <v>307</v>
      </c>
      <c r="N685" s="266">
        <v>263</v>
      </c>
      <c r="O685" s="266">
        <v>230</v>
      </c>
      <c r="P685" s="266">
        <v>226</v>
      </c>
      <c r="Q685" s="266">
        <v>232</v>
      </c>
      <c r="R685" s="266">
        <v>231</v>
      </c>
      <c r="S685" s="266">
        <v>229</v>
      </c>
      <c r="T685" s="266">
        <v>236</v>
      </c>
      <c r="U685" s="266">
        <v>237</v>
      </c>
      <c r="V685" s="266">
        <v>216</v>
      </c>
      <c r="W685" s="266">
        <v>232</v>
      </c>
      <c r="X685" s="266">
        <v>205</v>
      </c>
      <c r="Y685" s="266">
        <v>225</v>
      </c>
      <c r="Z685" s="266">
        <v>179</v>
      </c>
      <c r="AA685" s="266">
        <v>199</v>
      </c>
      <c r="AB685" s="266">
        <v>167</v>
      </c>
      <c r="AC685" s="266">
        <v>216</v>
      </c>
      <c r="AD685" s="266">
        <v>206</v>
      </c>
      <c r="AE685" s="266">
        <v>191</v>
      </c>
      <c r="AF685" s="266">
        <v>186</v>
      </c>
      <c r="AG685" s="266">
        <v>186</v>
      </c>
      <c r="AH685" s="266">
        <v>178</v>
      </c>
      <c r="AI685" s="266">
        <v>155</v>
      </c>
      <c r="AJ685" s="266">
        <v>136</v>
      </c>
      <c r="AK685" s="266">
        <v>244</v>
      </c>
      <c r="AL685" s="266">
        <v>191</v>
      </c>
      <c r="AM685" s="383">
        <f t="shared" si="143"/>
        <v>226.15151515151516</v>
      </c>
    </row>
    <row r="686" spans="1:39" x14ac:dyDescent="0.2">
      <c r="A686" s="8"/>
      <c r="B686" s="109" t="s">
        <v>955</v>
      </c>
      <c r="C686" s="123" t="s">
        <v>928</v>
      </c>
      <c r="D686" s="282" t="s">
        <v>1123</v>
      </c>
      <c r="E686" s="102"/>
      <c r="F686" s="266">
        <v>389</v>
      </c>
      <c r="G686" s="266">
        <v>358</v>
      </c>
      <c r="H686" s="266">
        <v>354</v>
      </c>
      <c r="I686" s="266">
        <v>372</v>
      </c>
      <c r="J686" s="266">
        <v>340</v>
      </c>
      <c r="K686" s="266">
        <v>228</v>
      </c>
      <c r="L686" s="266">
        <v>224</v>
      </c>
      <c r="M686" s="266">
        <v>258</v>
      </c>
      <c r="N686" s="266">
        <v>247</v>
      </c>
      <c r="O686" s="266">
        <v>329</v>
      </c>
      <c r="P686" s="266">
        <v>294</v>
      </c>
      <c r="Q686" s="266">
        <v>313</v>
      </c>
      <c r="R686" s="266">
        <v>282</v>
      </c>
      <c r="S686" s="266">
        <v>315</v>
      </c>
      <c r="T686" s="266">
        <v>300</v>
      </c>
      <c r="U686" s="266">
        <v>309</v>
      </c>
      <c r="V686" s="266">
        <v>304</v>
      </c>
      <c r="W686" s="266">
        <v>309</v>
      </c>
      <c r="X686" s="266">
        <v>300</v>
      </c>
      <c r="Y686" s="266">
        <v>353</v>
      </c>
      <c r="Z686" s="266">
        <v>333</v>
      </c>
      <c r="AA686" s="266">
        <v>325</v>
      </c>
      <c r="AB686" s="266">
        <v>234</v>
      </c>
      <c r="AC686" s="266">
        <v>350</v>
      </c>
      <c r="AD686" s="266">
        <v>309</v>
      </c>
      <c r="AE686" s="266">
        <v>336</v>
      </c>
      <c r="AF686" s="266">
        <v>321</v>
      </c>
      <c r="AG686" s="266">
        <v>265</v>
      </c>
      <c r="AH686" s="266">
        <v>272</v>
      </c>
      <c r="AI686" s="266">
        <v>314</v>
      </c>
      <c r="AJ686" s="266">
        <v>321</v>
      </c>
      <c r="AK686" s="266">
        <v>263</v>
      </c>
      <c r="AL686" s="266">
        <v>289</v>
      </c>
      <c r="AM686" s="383">
        <f t="shared" si="143"/>
        <v>306.36363636363637</v>
      </c>
    </row>
    <row r="687" spans="1:39" x14ac:dyDescent="0.2">
      <c r="A687" s="8"/>
      <c r="B687" s="109" t="s">
        <v>956</v>
      </c>
      <c r="C687" s="123" t="s">
        <v>928</v>
      </c>
      <c r="D687" s="282" t="s">
        <v>1123</v>
      </c>
      <c r="E687" s="102"/>
      <c r="F687" s="266">
        <v>2148</v>
      </c>
      <c r="G687" s="266">
        <v>2156</v>
      </c>
      <c r="H687" s="266">
        <v>1974</v>
      </c>
      <c r="I687" s="266">
        <v>2859</v>
      </c>
      <c r="J687" s="266">
        <v>2605</v>
      </c>
      <c r="K687" s="266">
        <v>2116</v>
      </c>
      <c r="L687" s="266">
        <v>2756</v>
      </c>
      <c r="M687" s="266">
        <v>2250</v>
      </c>
      <c r="N687" s="266">
        <v>1679</v>
      </c>
      <c r="O687" s="266">
        <v>1163</v>
      </c>
      <c r="P687" s="266">
        <v>2501</v>
      </c>
      <c r="Q687" s="266">
        <v>2700</v>
      </c>
      <c r="R687" s="266">
        <v>2469</v>
      </c>
      <c r="S687" s="266">
        <v>1507</v>
      </c>
      <c r="T687" s="266">
        <v>1820</v>
      </c>
      <c r="U687" s="266">
        <v>1569</v>
      </c>
      <c r="V687" s="266">
        <v>1000</v>
      </c>
      <c r="W687" s="266">
        <v>1921</v>
      </c>
      <c r="X687" s="266">
        <v>2024</v>
      </c>
      <c r="Y687" s="266">
        <v>1161</v>
      </c>
      <c r="Z687" s="266">
        <v>1122</v>
      </c>
      <c r="AA687" s="266">
        <v>1139</v>
      </c>
      <c r="AB687" s="266">
        <v>1032</v>
      </c>
      <c r="AC687" s="266">
        <v>896</v>
      </c>
      <c r="AD687" s="266">
        <v>1156</v>
      </c>
      <c r="AE687" s="266">
        <v>903</v>
      </c>
      <c r="AF687" s="266">
        <v>1265</v>
      </c>
      <c r="AG687" s="266">
        <v>1394</v>
      </c>
      <c r="AH687" s="266">
        <v>1496</v>
      </c>
      <c r="AI687" s="266">
        <v>1416</v>
      </c>
      <c r="AJ687" s="266">
        <v>1119</v>
      </c>
      <c r="AK687" s="266">
        <v>2335</v>
      </c>
      <c r="AL687" s="266">
        <v>853</v>
      </c>
      <c r="AM687" s="383">
        <f t="shared" si="143"/>
        <v>1712.2424242424242</v>
      </c>
    </row>
    <row r="688" spans="1:39" x14ac:dyDescent="0.2">
      <c r="A688" s="8"/>
      <c r="B688" s="109" t="s">
        <v>284</v>
      </c>
      <c r="C688" s="123" t="s">
        <v>928</v>
      </c>
      <c r="D688" s="282" t="s">
        <v>1123</v>
      </c>
      <c r="E688" s="102"/>
      <c r="F688" s="266">
        <v>1098</v>
      </c>
      <c r="G688" s="266">
        <v>1085</v>
      </c>
      <c r="H688" s="266">
        <v>839</v>
      </c>
      <c r="I688" s="266">
        <v>1084</v>
      </c>
      <c r="J688" s="266">
        <v>968</v>
      </c>
      <c r="K688" s="266">
        <v>1032</v>
      </c>
      <c r="L688" s="266">
        <v>1022</v>
      </c>
      <c r="M688" s="266">
        <v>1112</v>
      </c>
      <c r="N688" s="266">
        <v>975</v>
      </c>
      <c r="O688" s="266">
        <v>812</v>
      </c>
      <c r="P688" s="266">
        <v>886</v>
      </c>
      <c r="Q688" s="266">
        <v>990</v>
      </c>
      <c r="R688" s="266">
        <v>926</v>
      </c>
      <c r="S688" s="266">
        <v>846</v>
      </c>
      <c r="T688" s="266">
        <v>906</v>
      </c>
      <c r="U688" s="266">
        <v>756</v>
      </c>
      <c r="V688" s="266">
        <v>842</v>
      </c>
      <c r="W688" s="266">
        <v>843</v>
      </c>
      <c r="X688" s="266">
        <v>874</v>
      </c>
      <c r="Y688" s="266">
        <v>874</v>
      </c>
      <c r="Z688" s="266">
        <v>837</v>
      </c>
      <c r="AA688" s="266">
        <v>838</v>
      </c>
      <c r="AB688" s="266">
        <v>704</v>
      </c>
      <c r="AC688" s="266">
        <v>755</v>
      </c>
      <c r="AD688" s="266">
        <v>794</v>
      </c>
      <c r="AE688" s="266">
        <v>940</v>
      </c>
      <c r="AF688" s="266">
        <v>940</v>
      </c>
      <c r="AG688" s="266">
        <v>820</v>
      </c>
      <c r="AH688" s="266">
        <v>870</v>
      </c>
      <c r="AI688" s="266">
        <v>903</v>
      </c>
      <c r="AJ688" s="266">
        <v>809</v>
      </c>
      <c r="AK688" s="266">
        <v>713</v>
      </c>
      <c r="AL688" s="266">
        <v>868</v>
      </c>
      <c r="AM688" s="383">
        <f t="shared" si="143"/>
        <v>895.78787878787875</v>
      </c>
    </row>
    <row r="689" spans="1:39" x14ac:dyDescent="0.2">
      <c r="A689" s="8"/>
      <c r="B689" s="109" t="s">
        <v>957</v>
      </c>
      <c r="C689" s="123" t="s">
        <v>928</v>
      </c>
      <c r="D689" s="282" t="s">
        <v>1123</v>
      </c>
      <c r="E689" s="102"/>
      <c r="F689" s="266">
        <v>1256</v>
      </c>
      <c r="G689" s="266">
        <v>1221</v>
      </c>
      <c r="H689" s="266">
        <v>1087</v>
      </c>
      <c r="I689" s="266">
        <v>1341</v>
      </c>
      <c r="J689" s="266">
        <v>1230</v>
      </c>
      <c r="K689" s="266">
        <v>1454</v>
      </c>
      <c r="L689" s="266">
        <v>1424</v>
      </c>
      <c r="M689" s="266">
        <v>1353</v>
      </c>
      <c r="N689" s="266">
        <v>929</v>
      </c>
      <c r="O689" s="266">
        <v>942</v>
      </c>
      <c r="P689" s="266">
        <v>1025</v>
      </c>
      <c r="Q689" s="266">
        <v>998</v>
      </c>
      <c r="R689" s="266">
        <v>1616</v>
      </c>
      <c r="S689" s="266">
        <v>1138</v>
      </c>
      <c r="T689" s="266">
        <v>1258</v>
      </c>
      <c r="U689" s="266">
        <v>960</v>
      </c>
      <c r="V689" s="266">
        <v>964</v>
      </c>
      <c r="W689" s="266">
        <v>1056</v>
      </c>
      <c r="X689" s="266">
        <v>955</v>
      </c>
      <c r="Y689" s="266">
        <v>1219</v>
      </c>
      <c r="Z689" s="266">
        <v>868</v>
      </c>
      <c r="AA689" s="266">
        <v>1027</v>
      </c>
      <c r="AB689" s="266">
        <v>869</v>
      </c>
      <c r="AC689" s="266">
        <v>901</v>
      </c>
      <c r="AD689" s="266">
        <v>898</v>
      </c>
      <c r="AE689" s="266">
        <v>1405</v>
      </c>
      <c r="AF689" s="266">
        <v>1294</v>
      </c>
      <c r="AG689" s="266">
        <v>833</v>
      </c>
      <c r="AH689" s="266">
        <v>1213</v>
      </c>
      <c r="AI689" s="266">
        <v>1005</v>
      </c>
      <c r="AJ689" s="266">
        <v>716</v>
      </c>
      <c r="AK689" s="266">
        <v>468</v>
      </c>
      <c r="AL689" s="266">
        <v>932</v>
      </c>
      <c r="AM689" s="383">
        <f t="shared" si="143"/>
        <v>1086.5151515151515</v>
      </c>
    </row>
    <row r="690" spans="1:39" x14ac:dyDescent="0.2">
      <c r="A690" s="8"/>
      <c r="B690" s="109" t="s">
        <v>958</v>
      </c>
      <c r="C690" s="123" t="s">
        <v>928</v>
      </c>
      <c r="D690" s="282" t="s">
        <v>1123</v>
      </c>
      <c r="E690" s="102"/>
      <c r="F690" s="266">
        <v>942</v>
      </c>
      <c r="G690" s="266">
        <v>837</v>
      </c>
      <c r="H690" s="266">
        <v>948</v>
      </c>
      <c r="I690" s="266">
        <v>1010</v>
      </c>
      <c r="J690" s="266">
        <v>824</v>
      </c>
      <c r="K690" s="266">
        <v>1060</v>
      </c>
      <c r="L690" s="266">
        <v>1051</v>
      </c>
      <c r="M690" s="266">
        <v>1007</v>
      </c>
      <c r="N690" s="266">
        <v>771</v>
      </c>
      <c r="O690" s="266">
        <v>680</v>
      </c>
      <c r="P690" s="266">
        <v>770</v>
      </c>
      <c r="Q690" s="266">
        <v>772</v>
      </c>
      <c r="R690" s="266">
        <v>735</v>
      </c>
      <c r="S690" s="266">
        <v>741</v>
      </c>
      <c r="T690" s="266">
        <v>808</v>
      </c>
      <c r="U690" s="266">
        <v>695</v>
      </c>
      <c r="V690" s="266">
        <v>631</v>
      </c>
      <c r="W690" s="266">
        <v>575</v>
      </c>
      <c r="X690" s="266">
        <v>474</v>
      </c>
      <c r="Y690" s="266">
        <v>695</v>
      </c>
      <c r="Z690" s="266">
        <v>252</v>
      </c>
      <c r="AA690" s="266">
        <v>469</v>
      </c>
      <c r="AB690" s="266">
        <v>455</v>
      </c>
      <c r="AC690" s="266">
        <v>512</v>
      </c>
      <c r="AD690" s="266">
        <v>552</v>
      </c>
      <c r="AE690" s="266">
        <v>491</v>
      </c>
      <c r="AF690" s="266">
        <v>579</v>
      </c>
      <c r="AG690" s="266">
        <v>538</v>
      </c>
      <c r="AH690" s="266">
        <v>641</v>
      </c>
      <c r="AI690" s="266">
        <v>559</v>
      </c>
      <c r="AJ690" s="266">
        <v>215</v>
      </c>
      <c r="AK690" s="266">
        <v>251</v>
      </c>
      <c r="AL690" s="266">
        <v>386</v>
      </c>
      <c r="AM690" s="383">
        <f t="shared" si="143"/>
        <v>664.42424242424238</v>
      </c>
    </row>
    <row r="691" spans="1:39" x14ac:dyDescent="0.2">
      <c r="A691" s="8"/>
      <c r="B691" s="109" t="s">
        <v>959</v>
      </c>
      <c r="C691" s="123" t="s">
        <v>928</v>
      </c>
      <c r="D691" s="282" t="s">
        <v>1123</v>
      </c>
      <c r="E691" s="102"/>
      <c r="F691" s="266">
        <v>942</v>
      </c>
      <c r="G691" s="266">
        <v>837</v>
      </c>
      <c r="H691" s="266">
        <v>948</v>
      </c>
      <c r="I691" s="266">
        <v>1010</v>
      </c>
      <c r="J691" s="266">
        <v>824</v>
      </c>
      <c r="K691" s="266">
        <v>1060</v>
      </c>
      <c r="L691" s="266">
        <v>1051</v>
      </c>
      <c r="M691" s="266">
        <v>1007</v>
      </c>
      <c r="N691" s="266">
        <v>771</v>
      </c>
      <c r="O691" s="266">
        <v>680</v>
      </c>
      <c r="P691" s="266">
        <v>770</v>
      </c>
      <c r="Q691" s="266">
        <v>772</v>
      </c>
      <c r="R691" s="266">
        <v>735</v>
      </c>
      <c r="S691" s="266">
        <v>741</v>
      </c>
      <c r="T691" s="266">
        <v>808</v>
      </c>
      <c r="U691" s="266">
        <v>695</v>
      </c>
      <c r="V691" s="266">
        <v>631</v>
      </c>
      <c r="W691" s="266">
        <v>575</v>
      </c>
      <c r="X691" s="266">
        <v>474</v>
      </c>
      <c r="Y691" s="266">
        <v>695</v>
      </c>
      <c r="Z691" s="266">
        <v>252</v>
      </c>
      <c r="AA691" s="266">
        <v>469</v>
      </c>
      <c r="AB691" s="266">
        <v>455</v>
      </c>
      <c r="AC691" s="266">
        <v>512</v>
      </c>
      <c r="AD691" s="266">
        <v>552</v>
      </c>
      <c r="AE691" s="266">
        <v>491</v>
      </c>
      <c r="AF691" s="266">
        <v>579</v>
      </c>
      <c r="AG691" s="266">
        <v>538</v>
      </c>
      <c r="AH691" s="266">
        <v>641</v>
      </c>
      <c r="AI691" s="266">
        <v>559</v>
      </c>
      <c r="AJ691" s="266">
        <v>215</v>
      </c>
      <c r="AK691" s="266">
        <v>251</v>
      </c>
      <c r="AL691" s="266">
        <v>386</v>
      </c>
      <c r="AM691" s="383">
        <f t="shared" si="143"/>
        <v>664.42424242424238</v>
      </c>
    </row>
    <row r="692" spans="1:39" x14ac:dyDescent="0.2">
      <c r="A692" s="8"/>
      <c r="B692" s="109"/>
      <c r="C692" s="123"/>
      <c r="D692" s="92"/>
      <c r="E692" s="102"/>
      <c r="F692" s="114"/>
      <c r="G692" s="114"/>
      <c r="H692" s="114"/>
      <c r="I692" s="114"/>
      <c r="J692" s="114"/>
      <c r="K692" s="114"/>
      <c r="L692" s="114"/>
      <c r="M692" s="114"/>
      <c r="N692" s="114"/>
      <c r="O692" s="114"/>
      <c r="P692" s="114"/>
      <c r="Q692" s="114"/>
      <c r="R692" s="114"/>
      <c r="S692" s="114"/>
      <c r="T692" s="114"/>
      <c r="U692" s="114"/>
      <c r="V692" s="114"/>
      <c r="W692" s="114"/>
      <c r="X692" s="114"/>
      <c r="Y692" s="114"/>
      <c r="Z692" s="114"/>
      <c r="AA692" s="114"/>
      <c r="AB692" s="114"/>
      <c r="AC692" s="114"/>
      <c r="AD692" s="114"/>
      <c r="AE692" s="114"/>
      <c r="AF692" s="114"/>
      <c r="AG692" s="114"/>
      <c r="AH692" s="114"/>
      <c r="AI692" s="114"/>
      <c r="AJ692" s="114"/>
      <c r="AK692" s="114"/>
      <c r="AL692" s="114"/>
      <c r="AM692" s="107"/>
    </row>
    <row r="693" spans="1:39" x14ac:dyDescent="0.2">
      <c r="A693" s="8"/>
      <c r="B693" s="99" t="s">
        <v>285</v>
      </c>
      <c r="C693" s="98"/>
      <c r="D693" s="93"/>
      <c r="E693" s="115"/>
      <c r="F693" s="112"/>
      <c r="G693" s="93"/>
      <c r="H693" s="93"/>
      <c r="I693" s="93"/>
      <c r="J693" s="93"/>
      <c r="K693" s="93"/>
      <c r="L693" s="93"/>
      <c r="M693" s="93"/>
      <c r="N693" s="93"/>
      <c r="O693" s="93"/>
      <c r="P693" s="93"/>
      <c r="Q693" s="93"/>
      <c r="R693" s="93"/>
      <c r="S693" s="93"/>
      <c r="T693" s="93"/>
      <c r="U693" s="93"/>
      <c r="V693" s="93"/>
      <c r="W693" s="93"/>
      <c r="X693" s="93"/>
      <c r="Y693" s="93"/>
      <c r="Z693" s="93"/>
      <c r="AA693" s="93"/>
      <c r="AB693" s="93"/>
      <c r="AC693" s="93"/>
      <c r="AD693" s="93"/>
      <c r="AE693" s="93"/>
      <c r="AF693" s="93"/>
      <c r="AG693" s="93"/>
      <c r="AH693" s="93"/>
      <c r="AI693" s="93"/>
      <c r="AJ693" s="93"/>
      <c r="AK693" s="93"/>
      <c r="AL693" s="93"/>
      <c r="AM693" s="107"/>
    </row>
    <row r="694" spans="1:39" x14ac:dyDescent="0.2">
      <c r="A694" s="8"/>
      <c r="B694" s="117" t="s">
        <v>286</v>
      </c>
      <c r="C694" s="118" t="s">
        <v>83</v>
      </c>
      <c r="D694" s="119"/>
      <c r="E694" s="101"/>
      <c r="F694" s="101">
        <f t="shared" ref="F694:AL694" si="144">F656/1000000*F175</f>
        <v>80.491766648771872</v>
      </c>
      <c r="G694" s="101">
        <f t="shared" si="144"/>
        <v>55.091745637318809</v>
      </c>
      <c r="H694" s="101">
        <f t="shared" si="144"/>
        <v>66.803198916986162</v>
      </c>
      <c r="I694" s="101">
        <f t="shared" si="144"/>
        <v>198.08331996339615</v>
      </c>
      <c r="J694" s="101">
        <f t="shared" si="144"/>
        <v>67.058626637604107</v>
      </c>
      <c r="K694" s="101">
        <f t="shared" si="144"/>
        <v>45.203773529026797</v>
      </c>
      <c r="L694" s="101">
        <f t="shared" si="144"/>
        <v>14.759171721326439</v>
      </c>
      <c r="M694" s="101">
        <f t="shared" si="144"/>
        <v>112.46462484265508</v>
      </c>
      <c r="N694" s="101">
        <f t="shared" si="144"/>
        <v>154.23016001459732</v>
      </c>
      <c r="O694" s="101">
        <f t="shared" si="144"/>
        <v>58.073301691076828</v>
      </c>
      <c r="P694" s="101">
        <f t="shared" si="144"/>
        <v>78.265346966016011</v>
      </c>
      <c r="Q694" s="101">
        <f t="shared" si="144"/>
        <v>12.343462901701347</v>
      </c>
      <c r="R694" s="101">
        <f t="shared" si="144"/>
        <v>77.893194224354815</v>
      </c>
      <c r="S694" s="101">
        <f t="shared" si="144"/>
        <v>71.086764505623421</v>
      </c>
      <c r="T694" s="101">
        <f t="shared" si="144"/>
        <v>120.8655812807152</v>
      </c>
      <c r="U694" s="101">
        <f t="shared" si="144"/>
        <v>242.30735088661586</v>
      </c>
      <c r="V694" s="101">
        <f t="shared" si="144"/>
        <v>67.336333951047465</v>
      </c>
      <c r="W694" s="101">
        <f t="shared" si="144"/>
        <v>6.2147269052258451</v>
      </c>
      <c r="X694" s="101">
        <f t="shared" si="144"/>
        <v>0.40612914297135394</v>
      </c>
      <c r="Y694" s="101">
        <f t="shared" si="144"/>
        <v>9.1006156978860737</v>
      </c>
      <c r="Z694" s="101">
        <f t="shared" si="144"/>
        <v>4.3262364618975626</v>
      </c>
      <c r="AA694" s="101">
        <f t="shared" si="144"/>
        <v>13.904796017815626</v>
      </c>
      <c r="AB694" s="101">
        <f t="shared" si="144"/>
        <v>2.4060521147474181</v>
      </c>
      <c r="AC694" s="101">
        <f t="shared" si="144"/>
        <v>114.1932033202079</v>
      </c>
      <c r="AD694" s="101">
        <f t="shared" si="144"/>
        <v>2.3206882152836634</v>
      </c>
      <c r="AE694" s="101">
        <f t="shared" si="144"/>
        <v>2.121760201022969</v>
      </c>
      <c r="AF694" s="101">
        <f t="shared" si="144"/>
        <v>0.57167039814850384</v>
      </c>
      <c r="AG694" s="101">
        <f t="shared" si="144"/>
        <v>8.7680930511250921</v>
      </c>
      <c r="AH694" s="101">
        <f t="shared" si="144"/>
        <v>1.860525870454091</v>
      </c>
      <c r="AI694" s="101">
        <f t="shared" si="144"/>
        <v>10.408559914814724</v>
      </c>
      <c r="AJ694" s="101">
        <f t="shared" si="144"/>
        <v>5.7844182752771687</v>
      </c>
      <c r="AK694" s="101">
        <f t="shared" si="144"/>
        <v>26.138851093299749</v>
      </c>
      <c r="AL694" s="101">
        <f t="shared" si="144"/>
        <v>1.8072810202405183</v>
      </c>
      <c r="AM694" s="380">
        <f>SUM(F694:AL694)</f>
        <v>1732.6913320192516</v>
      </c>
    </row>
    <row r="695" spans="1:39" x14ac:dyDescent="0.2">
      <c r="A695" s="8"/>
      <c r="B695" s="117" t="s">
        <v>287</v>
      </c>
      <c r="C695" s="118" t="s">
        <v>83</v>
      </c>
      <c r="D695" s="119"/>
      <c r="E695" s="101"/>
      <c r="F695" s="101">
        <f t="shared" ref="F695:AL695" si="145">F657/1000000*F176</f>
        <v>0.13376315206372227</v>
      </c>
      <c r="G695" s="101">
        <f t="shared" si="145"/>
        <v>1.278032672084886E-2</v>
      </c>
      <c r="H695" s="101">
        <f t="shared" si="145"/>
        <v>0.49101434340884564</v>
      </c>
      <c r="I695" s="101">
        <f t="shared" si="145"/>
        <v>0.12359462046222847</v>
      </c>
      <c r="J695" s="101">
        <f t="shared" si="145"/>
        <v>6.6545470915621616E-2</v>
      </c>
      <c r="K695" s="101">
        <f t="shared" si="145"/>
        <v>9.8605063356449682E-3</v>
      </c>
      <c r="L695" s="101">
        <f t="shared" si="145"/>
        <v>1.9690775859552414E-3</v>
      </c>
      <c r="M695" s="101">
        <f t="shared" si="145"/>
        <v>3.1443699757763462E-2</v>
      </c>
      <c r="N695" s="101">
        <f t="shared" si="145"/>
        <v>0.11570586679745203</v>
      </c>
      <c r="O695" s="101">
        <f t="shared" si="145"/>
        <v>0.18990562601986238</v>
      </c>
      <c r="P695" s="101">
        <f t="shared" si="145"/>
        <v>0.21123193872174031</v>
      </c>
      <c r="Q695" s="101">
        <f t="shared" si="145"/>
        <v>2.0676386602045151E-2</v>
      </c>
      <c r="R695" s="101">
        <f t="shared" si="145"/>
        <v>5.8361742654177026E-2</v>
      </c>
      <c r="S695" s="101">
        <f t="shared" si="145"/>
        <v>7.1497866463790874E-2</v>
      </c>
      <c r="T695" s="101">
        <f t="shared" si="145"/>
        <v>0.25551303465927183</v>
      </c>
      <c r="U695" s="101">
        <f t="shared" si="145"/>
        <v>0.89970195891052751</v>
      </c>
      <c r="V695" s="101">
        <f t="shared" si="145"/>
        <v>1.0558940216714892</v>
      </c>
      <c r="W695" s="101">
        <f t="shared" si="145"/>
        <v>0.12097051125516677</v>
      </c>
      <c r="X695" s="101">
        <f t="shared" si="145"/>
        <v>4.6048366361683994E-3</v>
      </c>
      <c r="Y695" s="101">
        <f t="shared" si="145"/>
        <v>7.2599156879334256E-2</v>
      </c>
      <c r="Z695" s="101">
        <f t="shared" si="145"/>
        <v>4.1640779531013854E-2</v>
      </c>
      <c r="AA695" s="101">
        <f t="shared" si="145"/>
        <v>0.14321927488696234</v>
      </c>
      <c r="AB695" s="101">
        <f t="shared" si="145"/>
        <v>0.20605518423364103</v>
      </c>
      <c r="AC695" s="101">
        <f t="shared" si="145"/>
        <v>6.3048721007514213E-2</v>
      </c>
      <c r="AD695" s="101">
        <f t="shared" si="145"/>
        <v>1.345297575878166E-2</v>
      </c>
      <c r="AE695" s="101">
        <f t="shared" si="145"/>
        <v>5.0825176331542677E-3</v>
      </c>
      <c r="AF695" s="101">
        <f t="shared" si="145"/>
        <v>9.8623961479807187E-3</v>
      </c>
      <c r="AG695" s="101">
        <f t="shared" si="145"/>
        <v>4.0614191110252253E-2</v>
      </c>
      <c r="AH695" s="101">
        <f t="shared" si="145"/>
        <v>0.16991229963890347</v>
      </c>
      <c r="AI695" s="101">
        <f t="shared" si="145"/>
        <v>2.2934622795056397E-2</v>
      </c>
      <c r="AJ695" s="101">
        <f t="shared" si="145"/>
        <v>6.6961532978194295E-3</v>
      </c>
      <c r="AK695" s="101">
        <f t="shared" si="145"/>
        <v>4.7121028215095029E-3</v>
      </c>
      <c r="AL695" s="101">
        <f t="shared" si="145"/>
        <v>0.14903488828520201</v>
      </c>
      <c r="AM695" s="380">
        <f t="shared" ref="AM695:AM732" si="146">SUM(F695:AL695)</f>
        <v>4.8239002516694471</v>
      </c>
    </row>
    <row r="696" spans="1:39" x14ac:dyDescent="0.2">
      <c r="A696" s="8"/>
      <c r="B696" s="117" t="s">
        <v>288</v>
      </c>
      <c r="C696" s="118" t="s">
        <v>83</v>
      </c>
      <c r="D696" s="119"/>
      <c r="E696" s="101"/>
      <c r="F696" s="101">
        <f t="shared" ref="F696:AL696" si="147">F658/1000000*F177</f>
        <v>14.06518471287859</v>
      </c>
      <c r="G696" s="101">
        <f t="shared" si="147"/>
        <v>6.2148986592201201</v>
      </c>
      <c r="H696" s="101">
        <f t="shared" si="147"/>
        <v>11.600033100353023</v>
      </c>
      <c r="I696" s="101">
        <f t="shared" si="147"/>
        <v>21.420071276461979</v>
      </c>
      <c r="J696" s="101">
        <f t="shared" si="147"/>
        <v>7.2768859310022265</v>
      </c>
      <c r="K696" s="101">
        <f t="shared" si="147"/>
        <v>6.2339984680263845</v>
      </c>
      <c r="L696" s="101">
        <f t="shared" si="147"/>
        <v>1.1855109816108214</v>
      </c>
      <c r="M696" s="101">
        <f t="shared" si="147"/>
        <v>15.34819655239712</v>
      </c>
      <c r="N696" s="101">
        <f t="shared" si="147"/>
        <v>52.306962056364441</v>
      </c>
      <c r="O696" s="101">
        <f t="shared" si="147"/>
        <v>23.762136526638361</v>
      </c>
      <c r="P696" s="101">
        <f t="shared" si="147"/>
        <v>30.902217221568147</v>
      </c>
      <c r="Q696" s="101">
        <f t="shared" si="147"/>
        <v>0.71819976491396675</v>
      </c>
      <c r="R696" s="101">
        <f t="shared" si="147"/>
        <v>10.813893026919315</v>
      </c>
      <c r="S696" s="101">
        <f t="shared" si="147"/>
        <v>8.2719043123023646</v>
      </c>
      <c r="T696" s="101">
        <f t="shared" si="147"/>
        <v>8.9113572259992484</v>
      </c>
      <c r="U696" s="101">
        <f t="shared" si="147"/>
        <v>43.673290023526285</v>
      </c>
      <c r="V696" s="101">
        <f t="shared" si="147"/>
        <v>13.698586602364907</v>
      </c>
      <c r="W696" s="101">
        <f t="shared" si="147"/>
        <v>1.8385514505926059</v>
      </c>
      <c r="X696" s="101">
        <f t="shared" si="147"/>
        <v>0.13298476561214229</v>
      </c>
      <c r="Y696" s="101">
        <f t="shared" si="147"/>
        <v>1.4264707005055683</v>
      </c>
      <c r="Z696" s="101">
        <f t="shared" si="147"/>
        <v>0.97891994932858795</v>
      </c>
      <c r="AA696" s="101">
        <f t="shared" si="147"/>
        <v>2.6133133990449218</v>
      </c>
      <c r="AB696" s="101">
        <f t="shared" si="147"/>
        <v>3.2120264166635013</v>
      </c>
      <c r="AC696" s="101">
        <f t="shared" si="147"/>
        <v>10.126477903649183</v>
      </c>
      <c r="AD696" s="101">
        <f t="shared" si="147"/>
        <v>0.23555687473214362</v>
      </c>
      <c r="AE696" s="101">
        <f t="shared" si="147"/>
        <v>0.30464123640133267</v>
      </c>
      <c r="AF696" s="101">
        <f t="shared" si="147"/>
        <v>6.5326396424299826E-2</v>
      </c>
      <c r="AG696" s="101">
        <f t="shared" si="147"/>
        <v>2.3609045547111664</v>
      </c>
      <c r="AH696" s="101">
        <f t="shared" si="147"/>
        <v>0.35334356568654679</v>
      </c>
      <c r="AI696" s="101">
        <f t="shared" si="147"/>
        <v>0.38842276287860034</v>
      </c>
      <c r="AJ696" s="101">
        <f t="shared" si="147"/>
        <v>0.17800735562727124</v>
      </c>
      <c r="AK696" s="101">
        <f t="shared" si="147"/>
        <v>0.81355154322074585</v>
      </c>
      <c r="AL696" s="101">
        <f t="shared" si="147"/>
        <v>7.5104625762196342E-2</v>
      </c>
      <c r="AM696" s="380">
        <f t="shared" si="146"/>
        <v>301.506929943388</v>
      </c>
    </row>
    <row r="697" spans="1:39" x14ac:dyDescent="0.2">
      <c r="A697" s="8"/>
      <c r="B697" s="117" t="s">
        <v>289</v>
      </c>
      <c r="C697" s="118" t="s">
        <v>83</v>
      </c>
      <c r="D697" s="119"/>
      <c r="E697" s="101"/>
      <c r="F697" s="101">
        <f t="shared" ref="F697:AL697" si="148">F659/1000000*F178</f>
        <v>2.0752580246441883</v>
      </c>
      <c r="G697" s="101">
        <f t="shared" si="148"/>
        <v>0.68582215432765825</v>
      </c>
      <c r="H697" s="101">
        <f t="shared" si="148"/>
        <v>0.7995804428321136</v>
      </c>
      <c r="I697" s="101">
        <f t="shared" si="148"/>
        <v>2.4753044971726794</v>
      </c>
      <c r="J697" s="101">
        <f t="shared" si="148"/>
        <v>5.2651406207164655</v>
      </c>
      <c r="K697" s="101">
        <f t="shared" si="148"/>
        <v>0.63171764673428343</v>
      </c>
      <c r="L697" s="101">
        <f t="shared" si="148"/>
        <v>0.35987165830915818</v>
      </c>
      <c r="M697" s="101">
        <f t="shared" si="148"/>
        <v>2.206730416056053</v>
      </c>
      <c r="N697" s="101">
        <f t="shared" si="148"/>
        <v>2.8307177555417935</v>
      </c>
      <c r="O697" s="101">
        <f t="shared" si="148"/>
        <v>2.2577637574307432</v>
      </c>
      <c r="P697" s="101">
        <f t="shared" si="148"/>
        <v>2.4389168445287082</v>
      </c>
      <c r="Q697" s="101">
        <f t="shared" si="148"/>
        <v>0.27068520305658911</v>
      </c>
      <c r="R697" s="101">
        <f t="shared" si="148"/>
        <v>5.5639873446910304</v>
      </c>
      <c r="S697" s="101">
        <f t="shared" si="148"/>
        <v>1.1353381429869371</v>
      </c>
      <c r="T697" s="101">
        <f t="shared" si="148"/>
        <v>3.9268390574376193</v>
      </c>
      <c r="U697" s="101">
        <f t="shared" si="148"/>
        <v>5.93460293186254</v>
      </c>
      <c r="V697" s="101">
        <f t="shared" si="148"/>
        <v>4.0309420384616601</v>
      </c>
      <c r="W697" s="101">
        <f t="shared" si="148"/>
        <v>0.34825145172341393</v>
      </c>
      <c r="X697" s="101">
        <f t="shared" si="148"/>
        <v>1.6209431567404262E-2</v>
      </c>
      <c r="Y697" s="101">
        <f t="shared" si="148"/>
        <v>0.36468050984362288</v>
      </c>
      <c r="Z697" s="101">
        <f t="shared" si="148"/>
        <v>0.41361678221303638</v>
      </c>
      <c r="AA697" s="101">
        <f t="shared" si="148"/>
        <v>0.49767623891720442</v>
      </c>
      <c r="AB697" s="101">
        <f t="shared" si="148"/>
        <v>0.72444844317218904</v>
      </c>
      <c r="AC697" s="101">
        <f t="shared" si="148"/>
        <v>2.5975126688541237</v>
      </c>
      <c r="AD697" s="101">
        <f t="shared" si="148"/>
        <v>0.23027144074692474</v>
      </c>
      <c r="AE697" s="101">
        <f t="shared" si="148"/>
        <v>0.10982389546749008</v>
      </c>
      <c r="AF697" s="101">
        <f t="shared" si="148"/>
        <v>5.1191981299577992E-2</v>
      </c>
      <c r="AG697" s="101">
        <f t="shared" si="148"/>
        <v>0.8714348466909001</v>
      </c>
      <c r="AH697" s="101">
        <f t="shared" si="148"/>
        <v>0.21141756213818697</v>
      </c>
      <c r="AI697" s="101">
        <f t="shared" si="148"/>
        <v>9.8935084129310263E-2</v>
      </c>
      <c r="AJ697" s="101">
        <f t="shared" si="148"/>
        <v>7.7564239757657361E-2</v>
      </c>
      <c r="AK697" s="101">
        <f t="shared" si="148"/>
        <v>0.26190353321636439</v>
      </c>
      <c r="AL697" s="101">
        <f t="shared" si="148"/>
        <v>0.55417470098866839</v>
      </c>
      <c r="AM697" s="380">
        <f t="shared" si="146"/>
        <v>50.318331347516299</v>
      </c>
    </row>
    <row r="698" spans="1:39" x14ac:dyDescent="0.2">
      <c r="A698" s="8"/>
      <c r="B698" s="117" t="s">
        <v>290</v>
      </c>
      <c r="C698" s="118" t="s">
        <v>83</v>
      </c>
      <c r="D698" s="119"/>
      <c r="E698" s="101"/>
      <c r="F698" s="101">
        <f t="shared" ref="F698:AL698" si="149">F660/1000000*F179</f>
        <v>17.604044127299026</v>
      </c>
      <c r="G698" s="101">
        <f t="shared" si="149"/>
        <v>2.7135126678917554</v>
      </c>
      <c r="H698" s="101">
        <f t="shared" si="149"/>
        <v>10.020471072858641</v>
      </c>
      <c r="I698" s="101">
        <f t="shared" si="149"/>
        <v>18.706651112437569</v>
      </c>
      <c r="J698" s="101">
        <f t="shared" si="149"/>
        <v>4.8613467816207399</v>
      </c>
      <c r="K698" s="101">
        <f t="shared" si="149"/>
        <v>1.0579489557709403</v>
      </c>
      <c r="L698" s="101">
        <f t="shared" si="149"/>
        <v>2.609966603758787</v>
      </c>
      <c r="M698" s="101">
        <f t="shared" si="149"/>
        <v>6.6740676142493003</v>
      </c>
      <c r="N698" s="101">
        <f t="shared" si="149"/>
        <v>15.455076011061529</v>
      </c>
      <c r="O698" s="101">
        <f t="shared" si="149"/>
        <v>8.2673333709939403</v>
      </c>
      <c r="P698" s="101">
        <f t="shared" si="149"/>
        <v>12.309495374224754</v>
      </c>
      <c r="Q698" s="101">
        <f t="shared" si="149"/>
        <v>61.455773218370652</v>
      </c>
      <c r="R698" s="101">
        <f t="shared" si="149"/>
        <v>41.119148501604514</v>
      </c>
      <c r="S698" s="101">
        <f t="shared" si="149"/>
        <v>58.308603533049705</v>
      </c>
      <c r="T698" s="101">
        <f t="shared" si="149"/>
        <v>42.44050916363819</v>
      </c>
      <c r="U698" s="101">
        <f t="shared" si="149"/>
        <v>73.451672623862137</v>
      </c>
      <c r="V698" s="101">
        <f t="shared" si="149"/>
        <v>38.267110504644286</v>
      </c>
      <c r="W698" s="101">
        <f t="shared" si="149"/>
        <v>5.5495443117773773</v>
      </c>
      <c r="X698" s="101">
        <f t="shared" si="149"/>
        <v>1.2016632381584067</v>
      </c>
      <c r="Y698" s="101">
        <f t="shared" si="149"/>
        <v>22.74391669499569</v>
      </c>
      <c r="Z698" s="101">
        <f t="shared" si="149"/>
        <v>1.822524389132278</v>
      </c>
      <c r="AA698" s="101">
        <f t="shared" si="149"/>
        <v>25.578819418508655</v>
      </c>
      <c r="AB698" s="101">
        <f t="shared" si="149"/>
        <v>0.42232110161873193</v>
      </c>
      <c r="AC698" s="101">
        <f t="shared" si="149"/>
        <v>98.166916721964753</v>
      </c>
      <c r="AD698" s="101">
        <f t="shared" si="149"/>
        <v>24.601181245919584</v>
      </c>
      <c r="AE698" s="101">
        <f t="shared" si="149"/>
        <v>61.440302735144854</v>
      </c>
      <c r="AF698" s="101">
        <f t="shared" si="149"/>
        <v>55.021877309116469</v>
      </c>
      <c r="AG698" s="101">
        <f t="shared" si="149"/>
        <v>14.23344664217653</v>
      </c>
      <c r="AH698" s="101">
        <f t="shared" si="149"/>
        <v>1.1474689485607223</v>
      </c>
      <c r="AI698" s="101">
        <f t="shared" si="149"/>
        <v>2.5962443613881971</v>
      </c>
      <c r="AJ698" s="101">
        <f t="shared" si="149"/>
        <v>2.3430461476856066</v>
      </c>
      <c r="AK698" s="101">
        <f t="shared" si="149"/>
        <v>1.0523267010921948</v>
      </c>
      <c r="AL698" s="101">
        <f t="shared" si="149"/>
        <v>0.38409007241230142</v>
      </c>
      <c r="AM698" s="380">
        <f t="shared" si="146"/>
        <v>733.62842127698889</v>
      </c>
    </row>
    <row r="699" spans="1:39" x14ac:dyDescent="0.2">
      <c r="A699" s="8"/>
      <c r="B699" s="117" t="s">
        <v>291</v>
      </c>
      <c r="C699" s="118" t="s">
        <v>83</v>
      </c>
      <c r="D699" s="119"/>
      <c r="E699" s="101"/>
      <c r="F699" s="101">
        <f t="shared" ref="F699:AL699" si="150">F661/1000000*F180</f>
        <v>0</v>
      </c>
      <c r="G699" s="101">
        <f t="shared" si="150"/>
        <v>0</v>
      </c>
      <c r="H699" s="101">
        <f t="shared" si="150"/>
        <v>0</v>
      </c>
      <c r="I699" s="101">
        <f t="shared" si="150"/>
        <v>0</v>
      </c>
      <c r="J699" s="101">
        <f t="shared" si="150"/>
        <v>0</v>
      </c>
      <c r="K699" s="101">
        <f t="shared" si="150"/>
        <v>0</v>
      </c>
      <c r="L699" s="101">
        <f t="shared" si="150"/>
        <v>0</v>
      </c>
      <c r="M699" s="101">
        <f t="shared" si="150"/>
        <v>0</v>
      </c>
      <c r="N699" s="101">
        <f t="shared" si="150"/>
        <v>0</v>
      </c>
      <c r="O699" s="101">
        <f t="shared" si="150"/>
        <v>0</v>
      </c>
      <c r="P699" s="101">
        <f t="shared" si="150"/>
        <v>0</v>
      </c>
      <c r="Q699" s="101">
        <f t="shared" si="150"/>
        <v>0</v>
      </c>
      <c r="R699" s="101">
        <f t="shared" si="150"/>
        <v>0</v>
      </c>
      <c r="S699" s="101">
        <f t="shared" si="150"/>
        <v>0</v>
      </c>
      <c r="T699" s="101">
        <f t="shared" si="150"/>
        <v>0</v>
      </c>
      <c r="U699" s="101">
        <f t="shared" si="150"/>
        <v>0</v>
      </c>
      <c r="V699" s="101">
        <f t="shared" si="150"/>
        <v>0</v>
      </c>
      <c r="W699" s="101">
        <f t="shared" si="150"/>
        <v>0</v>
      </c>
      <c r="X699" s="101">
        <f t="shared" si="150"/>
        <v>0</v>
      </c>
      <c r="Y699" s="101">
        <f t="shared" si="150"/>
        <v>0</v>
      </c>
      <c r="Z699" s="101">
        <f t="shared" si="150"/>
        <v>0</v>
      </c>
      <c r="AA699" s="101">
        <f t="shared" si="150"/>
        <v>0</v>
      </c>
      <c r="AB699" s="101">
        <f t="shared" si="150"/>
        <v>0</v>
      </c>
      <c r="AC699" s="101">
        <f t="shared" si="150"/>
        <v>0</v>
      </c>
      <c r="AD699" s="101">
        <f t="shared" si="150"/>
        <v>0</v>
      </c>
      <c r="AE699" s="101">
        <f t="shared" si="150"/>
        <v>0</v>
      </c>
      <c r="AF699" s="101">
        <f t="shared" si="150"/>
        <v>0</v>
      </c>
      <c r="AG699" s="101">
        <f t="shared" si="150"/>
        <v>0</v>
      </c>
      <c r="AH699" s="101">
        <f t="shared" si="150"/>
        <v>0</v>
      </c>
      <c r="AI699" s="101">
        <f t="shared" si="150"/>
        <v>11.936438644454375</v>
      </c>
      <c r="AJ699" s="101">
        <f t="shared" si="150"/>
        <v>1.2745700618543485</v>
      </c>
      <c r="AK699" s="101">
        <f t="shared" si="150"/>
        <v>0.47973500492796295</v>
      </c>
      <c r="AL699" s="101">
        <f t="shared" si="150"/>
        <v>0</v>
      </c>
      <c r="AM699" s="380">
        <f t="shared" si="146"/>
        <v>13.690743711236687</v>
      </c>
    </row>
    <row r="700" spans="1:39" x14ac:dyDescent="0.2">
      <c r="A700" s="8"/>
      <c r="B700" s="117" t="s">
        <v>292</v>
      </c>
      <c r="C700" s="118" t="s">
        <v>83</v>
      </c>
      <c r="D700" s="119"/>
      <c r="E700" s="101"/>
      <c r="F700" s="101">
        <f t="shared" ref="F700:AL700" si="151">F662/1000000*F181</f>
        <v>0.48098487933842421</v>
      </c>
      <c r="G700" s="101">
        <f t="shared" si="151"/>
        <v>0.18738956811195967</v>
      </c>
      <c r="H700" s="101">
        <f t="shared" si="151"/>
        <v>0.39651524178713055</v>
      </c>
      <c r="I700" s="101">
        <f t="shared" si="151"/>
        <v>0.50525207410844453</v>
      </c>
      <c r="J700" s="101">
        <f t="shared" si="151"/>
        <v>2.1281590188843058</v>
      </c>
      <c r="K700" s="101">
        <f t="shared" si="151"/>
        <v>0.27612981261110081</v>
      </c>
      <c r="L700" s="101">
        <f t="shared" si="151"/>
        <v>0.72327849942689648</v>
      </c>
      <c r="M700" s="101">
        <f t="shared" si="151"/>
        <v>0.7847834825794362</v>
      </c>
      <c r="N700" s="101">
        <f t="shared" si="151"/>
        <v>1.1111246306975189</v>
      </c>
      <c r="O700" s="101">
        <f t="shared" si="151"/>
        <v>2.0303787198447361</v>
      </c>
      <c r="P700" s="101">
        <f t="shared" si="151"/>
        <v>3.5962235593452365</v>
      </c>
      <c r="Q700" s="101">
        <f t="shared" si="151"/>
        <v>0.5427272654952805</v>
      </c>
      <c r="R700" s="101">
        <f t="shared" si="151"/>
        <v>10.875068002269158</v>
      </c>
      <c r="S700" s="101">
        <f t="shared" si="151"/>
        <v>3.3063946536598339</v>
      </c>
      <c r="T700" s="101">
        <f t="shared" si="151"/>
        <v>12.129658356178293</v>
      </c>
      <c r="U700" s="101">
        <f t="shared" si="151"/>
        <v>10.60332244160006</v>
      </c>
      <c r="V700" s="101">
        <f t="shared" si="151"/>
        <v>19.156641378347889</v>
      </c>
      <c r="W700" s="101">
        <f t="shared" si="151"/>
        <v>0.83515641106027927</v>
      </c>
      <c r="X700" s="101">
        <f t="shared" si="151"/>
        <v>9.794613457994851E-2</v>
      </c>
      <c r="Y700" s="101">
        <f t="shared" si="151"/>
        <v>1.3168151141488316</v>
      </c>
      <c r="Z700" s="101">
        <f t="shared" si="151"/>
        <v>0.76393888867236648</v>
      </c>
      <c r="AA700" s="101">
        <f t="shared" si="151"/>
        <v>2.6137534367476003</v>
      </c>
      <c r="AB700" s="101">
        <f t="shared" si="151"/>
        <v>4.3714393738873376</v>
      </c>
      <c r="AC700" s="101">
        <f t="shared" si="151"/>
        <v>11.650369066373777</v>
      </c>
      <c r="AD700" s="101">
        <f t="shared" si="151"/>
        <v>0.40934016781966603</v>
      </c>
      <c r="AE700" s="101">
        <f t="shared" si="151"/>
        <v>1.076210999142116</v>
      </c>
      <c r="AF700" s="101">
        <f t="shared" si="151"/>
        <v>0.32532091364383336</v>
      </c>
      <c r="AG700" s="101">
        <f t="shared" si="151"/>
        <v>3.5666553308133904</v>
      </c>
      <c r="AH700" s="101">
        <f t="shared" si="151"/>
        <v>2.3252432188611554</v>
      </c>
      <c r="AI700" s="101">
        <f t="shared" si="151"/>
        <v>0.56241988630747242</v>
      </c>
      <c r="AJ700" s="101">
        <f t="shared" si="151"/>
        <v>0.53361872090139006</v>
      </c>
      <c r="AK700" s="101">
        <f t="shared" si="151"/>
        <v>0.89257482618560557</v>
      </c>
      <c r="AL700" s="101">
        <f t="shared" si="151"/>
        <v>0.43872476711429709</v>
      </c>
      <c r="AM700" s="380">
        <f t="shared" si="146"/>
        <v>100.61355884054477</v>
      </c>
    </row>
    <row r="701" spans="1:39" x14ac:dyDescent="0.2">
      <c r="A701" s="8"/>
      <c r="B701" s="117" t="s">
        <v>293</v>
      </c>
      <c r="C701" s="118" t="s">
        <v>83</v>
      </c>
      <c r="D701" s="119"/>
      <c r="E701" s="101"/>
      <c r="F701" s="101">
        <f t="shared" ref="F701:AL701" si="152">F663/1000000*F183</f>
        <v>38.361701712201196</v>
      </c>
      <c r="G701" s="101">
        <f t="shared" si="152"/>
        <v>42.821726541752994</v>
      </c>
      <c r="H701" s="101">
        <f t="shared" si="152"/>
        <v>51.550405829176718</v>
      </c>
      <c r="I701" s="101">
        <f t="shared" si="152"/>
        <v>47.866455583216222</v>
      </c>
      <c r="J701" s="101">
        <f t="shared" si="152"/>
        <v>29.586737815365794</v>
      </c>
      <c r="K701" s="101">
        <f t="shared" si="152"/>
        <v>12.728073882328239</v>
      </c>
      <c r="L701" s="101">
        <f t="shared" si="152"/>
        <v>5.8162263264793328</v>
      </c>
      <c r="M701" s="101">
        <f t="shared" si="152"/>
        <v>34.783026705474832</v>
      </c>
      <c r="N701" s="101">
        <f t="shared" si="152"/>
        <v>79.364864791094831</v>
      </c>
      <c r="O701" s="101">
        <f t="shared" si="152"/>
        <v>66.90760177089804</v>
      </c>
      <c r="P701" s="101">
        <f t="shared" si="152"/>
        <v>65.611866851948918</v>
      </c>
      <c r="Q701" s="101">
        <f t="shared" si="152"/>
        <v>4.5290452605344154</v>
      </c>
      <c r="R701" s="101">
        <f t="shared" si="152"/>
        <v>15.920425405931681</v>
      </c>
      <c r="S701" s="101">
        <f t="shared" si="152"/>
        <v>19.187911809970078</v>
      </c>
      <c r="T701" s="101">
        <f t="shared" si="152"/>
        <v>54.28780021365246</v>
      </c>
      <c r="U701" s="101">
        <f t="shared" si="152"/>
        <v>157.10366265843945</v>
      </c>
      <c r="V701" s="101">
        <f t="shared" si="152"/>
        <v>24.958022278201213</v>
      </c>
      <c r="W701" s="101">
        <f t="shared" si="152"/>
        <v>2.5984468894924304</v>
      </c>
      <c r="X701" s="101">
        <f t="shared" si="152"/>
        <v>0.30195605500569389</v>
      </c>
      <c r="Y701" s="101">
        <f t="shared" si="152"/>
        <v>2.5620388606319784</v>
      </c>
      <c r="Z701" s="101">
        <f t="shared" si="152"/>
        <v>1.876780107985897</v>
      </c>
      <c r="AA701" s="101">
        <f t="shared" si="152"/>
        <v>3.4625852218252486</v>
      </c>
      <c r="AB701" s="101">
        <f t="shared" si="152"/>
        <v>4.1982952881421651</v>
      </c>
      <c r="AC701" s="101">
        <f t="shared" si="152"/>
        <v>20.65786951488484</v>
      </c>
      <c r="AD701" s="101">
        <f t="shared" si="152"/>
        <v>0.6533668195531529</v>
      </c>
      <c r="AE701" s="101">
        <f t="shared" si="152"/>
        <v>0.66359689625302776</v>
      </c>
      <c r="AF701" s="101">
        <f t="shared" si="152"/>
        <v>0.36336465334296209</v>
      </c>
      <c r="AG701" s="101">
        <f t="shared" si="152"/>
        <v>1.8530267556508082</v>
      </c>
      <c r="AH701" s="101">
        <f t="shared" si="152"/>
        <v>0.10221025018485312</v>
      </c>
      <c r="AI701" s="101">
        <f t="shared" si="152"/>
        <v>1.0035420655993412</v>
      </c>
      <c r="AJ701" s="101">
        <f t="shared" si="152"/>
        <v>0.99199920130076302</v>
      </c>
      <c r="AK701" s="101">
        <f t="shared" si="152"/>
        <v>0.99600471995325279</v>
      </c>
      <c r="AL701" s="101">
        <f t="shared" si="152"/>
        <v>0</v>
      </c>
      <c r="AM701" s="380">
        <f t="shared" si="146"/>
        <v>793.67063873647305</v>
      </c>
    </row>
    <row r="702" spans="1:39" x14ac:dyDescent="0.2">
      <c r="A702" s="8"/>
      <c r="B702" s="117" t="s">
        <v>294</v>
      </c>
      <c r="C702" s="118" t="s">
        <v>83</v>
      </c>
      <c r="D702" s="119"/>
      <c r="E702" s="101"/>
      <c r="F702" s="101">
        <f t="shared" ref="F702:AL702" si="153">F664/1000000*F184</f>
        <v>0.16526314439746037</v>
      </c>
      <c r="G702" s="101">
        <f t="shared" si="153"/>
        <v>9.60785994123463E-3</v>
      </c>
      <c r="H702" s="101">
        <f t="shared" si="153"/>
        <v>3.8852253230768657E-2</v>
      </c>
      <c r="I702" s="101">
        <f t="shared" si="153"/>
        <v>2.6026811129278203E-2</v>
      </c>
      <c r="J702" s="101">
        <f t="shared" si="153"/>
        <v>3.1085694758219033E-2</v>
      </c>
      <c r="K702" s="101">
        <f t="shared" si="153"/>
        <v>4.5840844505138495E-4</v>
      </c>
      <c r="L702" s="101">
        <f t="shared" si="153"/>
        <v>0</v>
      </c>
      <c r="M702" s="101">
        <f t="shared" si="153"/>
        <v>7.3461751533121317E-2</v>
      </c>
      <c r="N702" s="101">
        <f t="shared" si="153"/>
        <v>1.0090954051546395</v>
      </c>
      <c r="O702" s="101">
        <f t="shared" si="153"/>
        <v>0.80739118398323417</v>
      </c>
      <c r="P702" s="101">
        <f t="shared" si="153"/>
        <v>0.21183524883751306</v>
      </c>
      <c r="Q702" s="101">
        <f t="shared" si="153"/>
        <v>1.4992287567208452E-2</v>
      </c>
      <c r="R702" s="101">
        <f t="shared" si="153"/>
        <v>0.30695144934411867</v>
      </c>
      <c r="S702" s="101">
        <f t="shared" si="153"/>
        <v>3.672911857213867</v>
      </c>
      <c r="T702" s="101">
        <f t="shared" si="153"/>
        <v>2.8032733895978899</v>
      </c>
      <c r="U702" s="101">
        <f t="shared" si="153"/>
        <v>4.8691633806123447</v>
      </c>
      <c r="V702" s="101">
        <f t="shared" si="153"/>
        <v>1.2114428917631943</v>
      </c>
      <c r="W702" s="101">
        <f t="shared" si="153"/>
        <v>9.1264219838496988E-2</v>
      </c>
      <c r="X702" s="101">
        <f t="shared" si="153"/>
        <v>8.4270301965593732E-3</v>
      </c>
      <c r="Y702" s="101">
        <f t="shared" si="153"/>
        <v>0.12200577612963855</v>
      </c>
      <c r="Z702" s="101">
        <f t="shared" si="153"/>
        <v>0.3118105330912605</v>
      </c>
      <c r="AA702" s="101">
        <f t="shared" si="153"/>
        <v>0.5375406482377636</v>
      </c>
      <c r="AB702" s="101">
        <f t="shared" si="153"/>
        <v>1.283605011882839</v>
      </c>
      <c r="AC702" s="101">
        <f t="shared" si="153"/>
        <v>8.5874301479625554</v>
      </c>
      <c r="AD702" s="101">
        <f t="shared" si="153"/>
        <v>0.2005476728522084</v>
      </c>
      <c r="AE702" s="101">
        <f t="shared" si="153"/>
        <v>8.1620752628339677E-2</v>
      </c>
      <c r="AF702" s="101">
        <f t="shared" si="153"/>
        <v>0.14529692709445896</v>
      </c>
      <c r="AG702" s="101">
        <f t="shared" si="153"/>
        <v>0.53994651535654137</v>
      </c>
      <c r="AH702" s="101">
        <f t="shared" si="153"/>
        <v>2.418521924643088E-2</v>
      </c>
      <c r="AI702" s="101">
        <f t="shared" si="153"/>
        <v>0.53853733431027084</v>
      </c>
      <c r="AJ702" s="101">
        <f t="shared" si="153"/>
        <v>0.31779935556338607</v>
      </c>
      <c r="AK702" s="101">
        <f t="shared" si="153"/>
        <v>0.292220936371337</v>
      </c>
      <c r="AL702" s="101">
        <f t="shared" si="153"/>
        <v>2.1972758280840907E-3</v>
      </c>
      <c r="AM702" s="380">
        <f t="shared" si="146"/>
        <v>28.336248374099309</v>
      </c>
    </row>
    <row r="703" spans="1:39" x14ac:dyDescent="0.2">
      <c r="A703" s="8"/>
      <c r="B703" s="117" t="s">
        <v>295</v>
      </c>
      <c r="C703" s="118" t="s">
        <v>83</v>
      </c>
      <c r="D703" s="119"/>
      <c r="E703" s="101"/>
      <c r="F703" s="101">
        <f t="shared" ref="F703:AL703" si="154">F665/1000000*F185</f>
        <v>1.7975877771929522E-3</v>
      </c>
      <c r="G703" s="101">
        <f t="shared" si="154"/>
        <v>3.0915248460217342E-4</v>
      </c>
      <c r="H703" s="101">
        <f t="shared" si="154"/>
        <v>6.0151092810840597E-4</v>
      </c>
      <c r="I703" s="101">
        <f t="shared" si="154"/>
        <v>7.3000536373660164E-4</v>
      </c>
      <c r="J703" s="101">
        <f t="shared" si="154"/>
        <v>0</v>
      </c>
      <c r="K703" s="101">
        <f t="shared" si="154"/>
        <v>0</v>
      </c>
      <c r="L703" s="101">
        <f t="shared" si="154"/>
        <v>0</v>
      </c>
      <c r="M703" s="101">
        <f t="shared" si="154"/>
        <v>1.5987073672507383E-3</v>
      </c>
      <c r="N703" s="101">
        <f t="shared" si="154"/>
        <v>5.6586447645374613E-2</v>
      </c>
      <c r="O703" s="101">
        <f t="shared" si="154"/>
        <v>0.38381007917306847</v>
      </c>
      <c r="P703" s="101">
        <f t="shared" si="154"/>
        <v>0.13224151771577372</v>
      </c>
      <c r="Q703" s="101">
        <f t="shared" si="154"/>
        <v>9.4663708889299411E-2</v>
      </c>
      <c r="R703" s="101">
        <f t="shared" si="154"/>
        <v>2.4967758073059178E-4</v>
      </c>
      <c r="S703" s="101">
        <f t="shared" si="154"/>
        <v>1.6183331477042377E-2</v>
      </c>
      <c r="T703" s="101">
        <f t="shared" si="154"/>
        <v>1.6305321991301039E-2</v>
      </c>
      <c r="U703" s="101">
        <f t="shared" si="154"/>
        <v>0.11174526028901281</v>
      </c>
      <c r="V703" s="101">
        <f t="shared" si="154"/>
        <v>0.44015828279946512</v>
      </c>
      <c r="W703" s="101">
        <f t="shared" si="154"/>
        <v>0.17122450414563734</v>
      </c>
      <c r="X703" s="101">
        <f t="shared" si="154"/>
        <v>2.1020298545130073E-2</v>
      </c>
      <c r="Y703" s="101">
        <f t="shared" si="154"/>
        <v>0.14295559979966721</v>
      </c>
      <c r="Z703" s="101">
        <f t="shared" si="154"/>
        <v>8.8295972912028314E-2</v>
      </c>
      <c r="AA703" s="101">
        <f t="shared" si="154"/>
        <v>0.17615307172693973</v>
      </c>
      <c r="AB703" s="101">
        <f t="shared" si="154"/>
        <v>0.26904890506324769</v>
      </c>
      <c r="AC703" s="101">
        <f t="shared" si="154"/>
        <v>2.7215549593378663</v>
      </c>
      <c r="AD703" s="101">
        <f t="shared" si="154"/>
        <v>5.452938423341594E-2</v>
      </c>
      <c r="AE703" s="101">
        <f t="shared" si="154"/>
        <v>0.10662177827874163</v>
      </c>
      <c r="AF703" s="101">
        <f t="shared" si="154"/>
        <v>5.313774880756323E-2</v>
      </c>
      <c r="AG703" s="101">
        <f t="shared" si="154"/>
        <v>5.1311488875078075E-2</v>
      </c>
      <c r="AH703" s="101">
        <f t="shared" si="154"/>
        <v>2.9065369342414057E-4</v>
      </c>
      <c r="AI703" s="101">
        <f t="shared" si="154"/>
        <v>9.9140171342153392E-3</v>
      </c>
      <c r="AJ703" s="101">
        <f t="shared" si="154"/>
        <v>1.4249689231394637E-2</v>
      </c>
      <c r="AK703" s="101">
        <f t="shared" si="154"/>
        <v>2.8239275398631888E-3</v>
      </c>
      <c r="AL703" s="101">
        <f t="shared" si="154"/>
        <v>0</v>
      </c>
      <c r="AM703" s="380">
        <f t="shared" si="146"/>
        <v>5.1401125908061722</v>
      </c>
    </row>
    <row r="704" spans="1:39" x14ac:dyDescent="0.2">
      <c r="A704" s="8"/>
      <c r="B704" s="117" t="s">
        <v>296</v>
      </c>
      <c r="C704" s="118" t="s">
        <v>83</v>
      </c>
      <c r="D704" s="119"/>
      <c r="E704" s="101"/>
      <c r="F704" s="101">
        <f t="shared" ref="F704:AL704" si="155">F666/1000000*F186</f>
        <v>2.0925050492310353E-2</v>
      </c>
      <c r="G704" s="101">
        <f t="shared" si="155"/>
        <v>2.650947874896455E-2</v>
      </c>
      <c r="H704" s="101">
        <f t="shared" si="155"/>
        <v>3.19507197527149E-2</v>
      </c>
      <c r="I704" s="101">
        <f t="shared" si="155"/>
        <v>4.3713478891692921E-2</v>
      </c>
      <c r="J704" s="101">
        <f t="shared" si="155"/>
        <v>3.5446406819959245E-3</v>
      </c>
      <c r="K704" s="101">
        <f t="shared" si="155"/>
        <v>1.3113879590350883E-3</v>
      </c>
      <c r="L704" s="101">
        <f t="shared" si="155"/>
        <v>1.9247210071049548E-4</v>
      </c>
      <c r="M704" s="101">
        <f t="shared" si="155"/>
        <v>5.4952680544079055E-3</v>
      </c>
      <c r="N704" s="101">
        <f t="shared" si="155"/>
        <v>6.2225455748266482E-2</v>
      </c>
      <c r="O704" s="101">
        <f t="shared" si="155"/>
        <v>8.526413754668008E-2</v>
      </c>
      <c r="P704" s="101">
        <f t="shared" si="155"/>
        <v>1.4582310612826921E-2</v>
      </c>
      <c r="Q704" s="101">
        <f t="shared" si="155"/>
        <v>4.5491845912232291E-4</v>
      </c>
      <c r="R704" s="101">
        <f t="shared" si="155"/>
        <v>0.1630259198229852</v>
      </c>
      <c r="S704" s="101">
        <f t="shared" si="155"/>
        <v>0.11894847275927108</v>
      </c>
      <c r="T704" s="101">
        <f t="shared" si="155"/>
        <v>0.2289471201504753</v>
      </c>
      <c r="U704" s="101">
        <f t="shared" si="155"/>
        <v>0.13982098518486549</v>
      </c>
      <c r="V704" s="101">
        <f t="shared" si="155"/>
        <v>4.4583878323727281E-2</v>
      </c>
      <c r="W704" s="101">
        <f t="shared" si="155"/>
        <v>1.9817958852847016E-3</v>
      </c>
      <c r="X704" s="101">
        <f t="shared" si="155"/>
        <v>0</v>
      </c>
      <c r="Y704" s="101">
        <f t="shared" si="155"/>
        <v>6.2102426229119906E-5</v>
      </c>
      <c r="Z704" s="101">
        <f t="shared" si="155"/>
        <v>7.4507494572824688E-4</v>
      </c>
      <c r="AA704" s="101">
        <f t="shared" si="155"/>
        <v>5.7386122713588372E-4</v>
      </c>
      <c r="AB704" s="101">
        <f t="shared" si="155"/>
        <v>1.538474471611052E-3</v>
      </c>
      <c r="AC704" s="101">
        <f t="shared" si="155"/>
        <v>1.2876252985693106E-2</v>
      </c>
      <c r="AD704" s="101">
        <f t="shared" si="155"/>
        <v>1.1287936601226535E-3</v>
      </c>
      <c r="AE704" s="101">
        <f t="shared" si="155"/>
        <v>4.2791621836469094E-4</v>
      </c>
      <c r="AF704" s="101">
        <f t="shared" si="155"/>
        <v>5.5633651000894691E-4</v>
      </c>
      <c r="AG704" s="101">
        <f t="shared" si="155"/>
        <v>1.9426852754746884E-3</v>
      </c>
      <c r="AH704" s="101">
        <f t="shared" si="155"/>
        <v>3.4164824148440695E-5</v>
      </c>
      <c r="AI704" s="101">
        <f t="shared" si="155"/>
        <v>4.9449981576882101E-4</v>
      </c>
      <c r="AJ704" s="101">
        <f t="shared" si="155"/>
        <v>8.5159207773956953E-4</v>
      </c>
      <c r="AK704" s="101">
        <f t="shared" si="155"/>
        <v>7.181252706952142E-5</v>
      </c>
      <c r="AL704" s="101">
        <f t="shared" si="155"/>
        <v>1.9951051707785334E-5</v>
      </c>
      <c r="AM704" s="380">
        <f t="shared" si="146"/>
        <v>1.0148010091921398</v>
      </c>
    </row>
    <row r="705" spans="1:39" x14ac:dyDescent="0.2">
      <c r="A705" s="8"/>
      <c r="B705" s="117" t="s">
        <v>297</v>
      </c>
      <c r="C705" s="118" t="s">
        <v>83</v>
      </c>
      <c r="D705" s="119"/>
      <c r="E705" s="101"/>
      <c r="F705" s="101">
        <f t="shared" ref="F705:AL705" si="156">F667/1000000*F187</f>
        <v>5.3921868999683173</v>
      </c>
      <c r="G705" s="101">
        <f t="shared" si="156"/>
        <v>1.2666688856816859</v>
      </c>
      <c r="H705" s="101">
        <f t="shared" si="156"/>
        <v>0.23089456104708753</v>
      </c>
      <c r="I705" s="101">
        <f t="shared" si="156"/>
        <v>6.5794604864388955</v>
      </c>
      <c r="J705" s="101">
        <f t="shared" si="156"/>
        <v>1.543061569859937</v>
      </c>
      <c r="K705" s="101">
        <f t="shared" si="156"/>
        <v>1.2121827658235609</v>
      </c>
      <c r="L705" s="101">
        <f t="shared" si="156"/>
        <v>7.960287810381074E-2</v>
      </c>
      <c r="M705" s="101">
        <f t="shared" si="156"/>
        <v>2.4168020680639555</v>
      </c>
      <c r="N705" s="101">
        <f t="shared" si="156"/>
        <v>1.8473055386295472</v>
      </c>
      <c r="O705" s="101">
        <f t="shared" si="156"/>
        <v>0.19357658375346662</v>
      </c>
      <c r="P705" s="101">
        <f t="shared" si="156"/>
        <v>0.37461613155909801</v>
      </c>
      <c r="Q705" s="101">
        <f t="shared" si="156"/>
        <v>9.1999547092500612E-3</v>
      </c>
      <c r="R705" s="101">
        <f t="shared" si="156"/>
        <v>0.31949900741703674</v>
      </c>
      <c r="S705" s="101">
        <f t="shared" si="156"/>
        <v>0.58174235140877106</v>
      </c>
      <c r="T705" s="101">
        <f t="shared" si="156"/>
        <v>0.58587237534761949</v>
      </c>
      <c r="U705" s="101">
        <f t="shared" si="156"/>
        <v>0.76653078473204472</v>
      </c>
      <c r="V705" s="101">
        <f t="shared" si="156"/>
        <v>0.18132254458459607</v>
      </c>
      <c r="W705" s="101">
        <f t="shared" si="156"/>
        <v>4.1686095046445437E-2</v>
      </c>
      <c r="X705" s="101">
        <f t="shared" si="156"/>
        <v>2.3196302872224145E-4</v>
      </c>
      <c r="Y705" s="101">
        <f t="shared" si="156"/>
        <v>7.2572055442024349E-3</v>
      </c>
      <c r="Z705" s="101">
        <f t="shared" si="156"/>
        <v>2.290258782039668E-2</v>
      </c>
      <c r="AA705" s="101">
        <f t="shared" si="156"/>
        <v>1.3570568437461012E-2</v>
      </c>
      <c r="AB705" s="101">
        <f t="shared" si="156"/>
        <v>1.7475063291669017E-3</v>
      </c>
      <c r="AC705" s="101">
        <f t="shared" si="156"/>
        <v>0.70980706639193492</v>
      </c>
      <c r="AD705" s="101">
        <f t="shared" si="156"/>
        <v>2.2577849641341442E-2</v>
      </c>
      <c r="AE705" s="101">
        <f t="shared" si="156"/>
        <v>2.3084448746342114E-2</v>
      </c>
      <c r="AF705" s="101">
        <f t="shared" si="156"/>
        <v>6.9048184955664274E-3</v>
      </c>
      <c r="AG705" s="101">
        <f t="shared" si="156"/>
        <v>6.1947109037362384E-2</v>
      </c>
      <c r="AH705" s="101">
        <f t="shared" si="156"/>
        <v>1.4993754030535528E-3</v>
      </c>
      <c r="AI705" s="101">
        <f t="shared" si="156"/>
        <v>3.2247356997082449E-2</v>
      </c>
      <c r="AJ705" s="101">
        <f t="shared" si="156"/>
        <v>1.2586583693623751E-2</v>
      </c>
      <c r="AK705" s="101">
        <f t="shared" si="156"/>
        <v>1.3071740922019031E-2</v>
      </c>
      <c r="AL705" s="101">
        <f t="shared" si="156"/>
        <v>4.3626299734357259E-3</v>
      </c>
      <c r="AM705" s="380">
        <f t="shared" si="146"/>
        <v>24.556010292636827</v>
      </c>
    </row>
    <row r="706" spans="1:39" x14ac:dyDescent="0.2">
      <c r="A706" s="8"/>
      <c r="B706" s="117" t="s">
        <v>298</v>
      </c>
      <c r="C706" s="118" t="s">
        <v>83</v>
      </c>
      <c r="D706" s="119"/>
      <c r="E706" s="101"/>
      <c r="F706" s="101">
        <f t="shared" ref="F706:AL706" si="157">F668/1000000*F188</f>
        <v>7.2124878342369341</v>
      </c>
      <c r="G706" s="101">
        <f t="shared" si="157"/>
        <v>5.1661813504339005</v>
      </c>
      <c r="H706" s="101">
        <f t="shared" si="157"/>
        <v>5.8630986569222028</v>
      </c>
      <c r="I706" s="101">
        <f t="shared" si="157"/>
        <v>12.919255121325563</v>
      </c>
      <c r="J706" s="101">
        <f t="shared" si="157"/>
        <v>5.2312709735560814</v>
      </c>
      <c r="K706" s="101">
        <f t="shared" si="157"/>
        <v>1.8575370718270836</v>
      </c>
      <c r="L706" s="101">
        <f t="shared" si="157"/>
        <v>0.1310480457164154</v>
      </c>
      <c r="M706" s="101">
        <f t="shared" si="157"/>
        <v>3.3500045236635603</v>
      </c>
      <c r="N706" s="101">
        <f t="shared" si="157"/>
        <v>11.827051609820979</v>
      </c>
      <c r="O706" s="101">
        <f t="shared" si="157"/>
        <v>2.0133159531733735</v>
      </c>
      <c r="P706" s="101">
        <f t="shared" si="157"/>
        <v>1.7744001386977897</v>
      </c>
      <c r="Q706" s="101">
        <f t="shared" si="157"/>
        <v>3.4879013310346589E-2</v>
      </c>
      <c r="R706" s="101">
        <f t="shared" si="157"/>
        <v>1.7749433827951164</v>
      </c>
      <c r="S706" s="101">
        <f t="shared" si="157"/>
        <v>3.1206030833851277</v>
      </c>
      <c r="T706" s="101">
        <f t="shared" si="157"/>
        <v>3.7753593345683552</v>
      </c>
      <c r="U706" s="101">
        <f t="shared" si="157"/>
        <v>7.7659473473722462</v>
      </c>
      <c r="V706" s="101">
        <f t="shared" si="157"/>
        <v>1.0692397405451488</v>
      </c>
      <c r="W706" s="101">
        <f t="shared" si="157"/>
        <v>2.9179612088143417E-2</v>
      </c>
      <c r="X706" s="101">
        <f t="shared" si="157"/>
        <v>8.0755883093874097E-3</v>
      </c>
      <c r="Y706" s="101">
        <f t="shared" si="157"/>
        <v>0.14620796183078555</v>
      </c>
      <c r="Z706" s="101">
        <f t="shared" si="157"/>
        <v>0.25454415322247148</v>
      </c>
      <c r="AA706" s="101">
        <f t="shared" si="157"/>
        <v>0.97032564937626997</v>
      </c>
      <c r="AB706" s="101">
        <f t="shared" si="157"/>
        <v>1.9935284079428028E-2</v>
      </c>
      <c r="AC706" s="101">
        <f t="shared" si="157"/>
        <v>2.5665233344759462</v>
      </c>
      <c r="AD706" s="101">
        <f t="shared" si="157"/>
        <v>8.6115806187369665E-2</v>
      </c>
      <c r="AE706" s="101">
        <f t="shared" si="157"/>
        <v>0.20405188782678177</v>
      </c>
      <c r="AF706" s="101">
        <f t="shared" si="157"/>
        <v>5.5413430804095304E-2</v>
      </c>
      <c r="AG706" s="101">
        <f t="shared" si="157"/>
        <v>0.39067922198282118</v>
      </c>
      <c r="AH706" s="101">
        <f t="shared" si="157"/>
        <v>9.2579404330753318E-3</v>
      </c>
      <c r="AI706" s="101">
        <f t="shared" si="157"/>
        <v>0.21380727776235198</v>
      </c>
      <c r="AJ706" s="101">
        <f t="shared" si="157"/>
        <v>0.12239833396614475</v>
      </c>
      <c r="AK706" s="101">
        <f t="shared" si="157"/>
        <v>0.35264767485023835</v>
      </c>
      <c r="AL706" s="101">
        <f t="shared" si="157"/>
        <v>5.112827519651706E-2</v>
      </c>
      <c r="AM706" s="380">
        <f t="shared" si="146"/>
        <v>80.366914613742011</v>
      </c>
    </row>
    <row r="707" spans="1:39" x14ac:dyDescent="0.2">
      <c r="A707" s="8"/>
      <c r="B707" s="117" t="s">
        <v>299</v>
      </c>
      <c r="C707" s="118" t="s">
        <v>83</v>
      </c>
      <c r="D707" s="119"/>
      <c r="E707" s="101"/>
      <c r="F707" s="101">
        <f t="shared" ref="F707:AL707" si="158">F669/1000000*F189</f>
        <v>2.118784333312404E-2</v>
      </c>
      <c r="G707" s="101">
        <f t="shared" si="158"/>
        <v>1.6163621490618441E-2</v>
      </c>
      <c r="H707" s="101">
        <f t="shared" si="158"/>
        <v>4.4825001167382722E-2</v>
      </c>
      <c r="I707" s="101">
        <f t="shared" si="158"/>
        <v>8.0498068665654007E-3</v>
      </c>
      <c r="J707" s="101">
        <f t="shared" si="158"/>
        <v>1.924560303910321E-2</v>
      </c>
      <c r="K707" s="101">
        <f t="shared" si="158"/>
        <v>1.0041434447205334E-2</v>
      </c>
      <c r="L707" s="101">
        <f t="shared" si="158"/>
        <v>7.4700568751277239E-3</v>
      </c>
      <c r="M707" s="101">
        <f t="shared" si="158"/>
        <v>3.5143100506760153E-4</v>
      </c>
      <c r="N707" s="101">
        <f t="shared" si="158"/>
        <v>3.0552187159615641E-3</v>
      </c>
      <c r="O707" s="101">
        <f t="shared" si="158"/>
        <v>2.5697197171921115E-3</v>
      </c>
      <c r="P707" s="101">
        <f t="shared" si="158"/>
        <v>1.1451559557236349E-2</v>
      </c>
      <c r="Q707" s="101">
        <f t="shared" si="158"/>
        <v>3.0112958131615778E-3</v>
      </c>
      <c r="R707" s="101">
        <f t="shared" si="158"/>
        <v>0.15508222600411151</v>
      </c>
      <c r="S707" s="101">
        <f t="shared" si="158"/>
        <v>9.8593486805910138E-2</v>
      </c>
      <c r="T707" s="101">
        <f t="shared" si="158"/>
        <v>0.28789230095084545</v>
      </c>
      <c r="U707" s="101">
        <f t="shared" si="158"/>
        <v>0.2831312901957625</v>
      </c>
      <c r="V707" s="101">
        <f t="shared" si="158"/>
        <v>5.4058355624944932E-2</v>
      </c>
      <c r="W707" s="101">
        <f t="shared" si="158"/>
        <v>5.1714938885314751E-3</v>
      </c>
      <c r="X707" s="101">
        <f t="shared" si="158"/>
        <v>2.5366410151001693E-4</v>
      </c>
      <c r="Y707" s="101">
        <f t="shared" si="158"/>
        <v>1.2846460682144718E-2</v>
      </c>
      <c r="Z707" s="101">
        <f t="shared" si="158"/>
        <v>5.3571504362278895E-4</v>
      </c>
      <c r="AA707" s="101">
        <f t="shared" si="158"/>
        <v>8.7409242617345357E-3</v>
      </c>
      <c r="AB707" s="101">
        <f t="shared" si="158"/>
        <v>1.365184818771788E-3</v>
      </c>
      <c r="AC707" s="101">
        <f t="shared" si="158"/>
        <v>2.1748743361347932E-2</v>
      </c>
      <c r="AD707" s="101">
        <f t="shared" si="158"/>
        <v>5.6012323272267807E-3</v>
      </c>
      <c r="AE707" s="101">
        <f t="shared" si="158"/>
        <v>2.3660544027608137E-2</v>
      </c>
      <c r="AF707" s="101">
        <f t="shared" si="158"/>
        <v>2.9360545635527548E-3</v>
      </c>
      <c r="AG707" s="101">
        <f t="shared" si="158"/>
        <v>2.3826881786711364E-2</v>
      </c>
      <c r="AH707" s="101">
        <f t="shared" si="158"/>
        <v>1.3738620774585728E-3</v>
      </c>
      <c r="AI707" s="101">
        <f t="shared" si="158"/>
        <v>0</v>
      </c>
      <c r="AJ707" s="101">
        <f t="shared" si="158"/>
        <v>0</v>
      </c>
      <c r="AK707" s="101">
        <f t="shared" si="158"/>
        <v>3.2090441103366284E-4</v>
      </c>
      <c r="AL707" s="101">
        <f t="shared" si="158"/>
        <v>0</v>
      </c>
      <c r="AM707" s="380">
        <f t="shared" si="146"/>
        <v>1.134561916960575</v>
      </c>
    </row>
    <row r="708" spans="1:39" x14ac:dyDescent="0.2">
      <c r="A708" s="8"/>
      <c r="B708" s="117" t="s">
        <v>300</v>
      </c>
      <c r="C708" s="118" t="s">
        <v>83</v>
      </c>
      <c r="D708" s="119"/>
      <c r="E708" s="101"/>
      <c r="F708" s="101">
        <f t="shared" ref="F708:AL708" si="159">F670/1000000*F190</f>
        <v>36.548652965628889</v>
      </c>
      <c r="G708" s="101">
        <f t="shared" si="159"/>
        <v>9.8341322292983833</v>
      </c>
      <c r="H708" s="101">
        <f t="shared" si="159"/>
        <v>6.1755567820682016</v>
      </c>
      <c r="I708" s="101">
        <f t="shared" si="159"/>
        <v>120.36929172609769</v>
      </c>
      <c r="J708" s="101">
        <f t="shared" si="159"/>
        <v>8.71881888925064</v>
      </c>
      <c r="K708" s="101">
        <f t="shared" si="159"/>
        <v>11.437512036829725</v>
      </c>
      <c r="L708" s="101">
        <f t="shared" si="159"/>
        <v>3.8336101141467724E-2</v>
      </c>
      <c r="M708" s="101">
        <f t="shared" si="159"/>
        <v>57.925315326713019</v>
      </c>
      <c r="N708" s="101">
        <f t="shared" si="159"/>
        <v>88.408148097794324</v>
      </c>
      <c r="O708" s="101">
        <f t="shared" si="159"/>
        <v>1.6380807228349188</v>
      </c>
      <c r="P708" s="101">
        <f t="shared" si="159"/>
        <v>8.0631950651627357E-2</v>
      </c>
      <c r="Q708" s="101">
        <f t="shared" si="159"/>
        <v>5.6701250006009412</v>
      </c>
      <c r="R708" s="101">
        <f t="shared" si="159"/>
        <v>2.6839875763559305E-2</v>
      </c>
      <c r="S708" s="101">
        <f t="shared" si="159"/>
        <v>1.3726494835088669E-2</v>
      </c>
      <c r="T708" s="101">
        <f t="shared" si="159"/>
        <v>0.43891110726344096</v>
      </c>
      <c r="U708" s="101">
        <f t="shared" si="159"/>
        <v>23.48986947638279</v>
      </c>
      <c r="V708" s="101">
        <f t="shared" si="159"/>
        <v>5.0842594855403354</v>
      </c>
      <c r="W708" s="101">
        <f t="shared" si="159"/>
        <v>0.22733358606840737</v>
      </c>
      <c r="X708" s="101">
        <f t="shared" si="159"/>
        <v>0</v>
      </c>
      <c r="Y708" s="101">
        <f t="shared" si="159"/>
        <v>0</v>
      </c>
      <c r="Z708" s="101">
        <f t="shared" si="159"/>
        <v>0</v>
      </c>
      <c r="AA708" s="101">
        <f t="shared" si="159"/>
        <v>0</v>
      </c>
      <c r="AB708" s="101">
        <f t="shared" si="159"/>
        <v>0</v>
      </c>
      <c r="AC708" s="101">
        <f t="shared" si="159"/>
        <v>2.8485833111588699E-2</v>
      </c>
      <c r="AD708" s="101">
        <f t="shared" si="159"/>
        <v>4.8355636062818279E-3</v>
      </c>
      <c r="AE708" s="101">
        <f t="shared" si="159"/>
        <v>0</v>
      </c>
      <c r="AF708" s="101">
        <f t="shared" si="159"/>
        <v>2.5257588031785221E-2</v>
      </c>
      <c r="AG708" s="101">
        <f t="shared" si="159"/>
        <v>2.5396846735231338E-2</v>
      </c>
      <c r="AH708" s="101">
        <f t="shared" si="159"/>
        <v>0</v>
      </c>
      <c r="AI708" s="101">
        <f t="shared" si="159"/>
        <v>0</v>
      </c>
      <c r="AJ708" s="101">
        <f t="shared" si="159"/>
        <v>0</v>
      </c>
      <c r="AK708" s="101">
        <f t="shared" si="159"/>
        <v>0</v>
      </c>
      <c r="AL708" s="101">
        <f t="shared" si="159"/>
        <v>0</v>
      </c>
      <c r="AM708" s="380">
        <f t="shared" si="146"/>
        <v>376.20951768624832</v>
      </c>
    </row>
    <row r="709" spans="1:39" x14ac:dyDescent="0.2">
      <c r="A709" s="8"/>
      <c r="B709" s="117" t="s">
        <v>301</v>
      </c>
      <c r="C709" s="118" t="s">
        <v>83</v>
      </c>
      <c r="D709" s="119"/>
      <c r="E709" s="101"/>
      <c r="F709" s="101">
        <f t="shared" ref="F709:AL709" si="160">F671/1000000*F191</f>
        <v>0.12561925220021161</v>
      </c>
      <c r="G709" s="101">
        <f t="shared" si="160"/>
        <v>9.1363661071861571E-2</v>
      </c>
      <c r="H709" s="101">
        <f t="shared" si="160"/>
        <v>0.23377243561107389</v>
      </c>
      <c r="I709" s="101">
        <f t="shared" si="160"/>
        <v>1.5135970834580375</v>
      </c>
      <c r="J709" s="101">
        <f t="shared" si="160"/>
        <v>2.9801826662487891E-2</v>
      </c>
      <c r="K709" s="101">
        <f t="shared" si="160"/>
        <v>0.28486265701867314</v>
      </c>
      <c r="L709" s="101">
        <f t="shared" si="160"/>
        <v>1.1848229831030012E-2</v>
      </c>
      <c r="M709" s="101">
        <f t="shared" si="160"/>
        <v>1.7906129149186292</v>
      </c>
      <c r="N709" s="101">
        <f t="shared" si="160"/>
        <v>0.71796373299042393</v>
      </c>
      <c r="O709" s="101">
        <f t="shared" si="160"/>
        <v>2.1474126632952218E-2</v>
      </c>
      <c r="P709" s="101">
        <f t="shared" si="160"/>
        <v>1.2223011081512613E-2</v>
      </c>
      <c r="Q709" s="101">
        <f t="shared" si="160"/>
        <v>3.469477805693056E-2</v>
      </c>
      <c r="R709" s="101">
        <f t="shared" si="160"/>
        <v>0.18260070181365529</v>
      </c>
      <c r="S709" s="101">
        <f t="shared" si="160"/>
        <v>1.2843056011008429E-2</v>
      </c>
      <c r="T709" s="101">
        <f t="shared" si="160"/>
        <v>9.046575771029592E-3</v>
      </c>
      <c r="U709" s="101">
        <f t="shared" si="160"/>
        <v>0.14705933270424507</v>
      </c>
      <c r="V709" s="101">
        <f t="shared" si="160"/>
        <v>2.6793629847263255E-2</v>
      </c>
      <c r="W709" s="101">
        <f t="shared" si="160"/>
        <v>8.3884324321431602E-4</v>
      </c>
      <c r="X709" s="101">
        <f t="shared" si="160"/>
        <v>1.977157539635439E-3</v>
      </c>
      <c r="Y709" s="101">
        <f t="shared" si="160"/>
        <v>9.3982708018030322E-3</v>
      </c>
      <c r="Z709" s="101">
        <f t="shared" si="160"/>
        <v>7.7535366555342147E-3</v>
      </c>
      <c r="AA709" s="101">
        <f t="shared" si="160"/>
        <v>8.3401640952287352E-3</v>
      </c>
      <c r="AB709" s="101">
        <f t="shared" si="160"/>
        <v>3.304610796527553E-3</v>
      </c>
      <c r="AC709" s="101">
        <f t="shared" si="160"/>
        <v>1.8647865467111956E-2</v>
      </c>
      <c r="AD709" s="101">
        <f t="shared" si="160"/>
        <v>1.7275112758112211E-2</v>
      </c>
      <c r="AE709" s="101">
        <f t="shared" si="160"/>
        <v>6.9872750646777951E-4</v>
      </c>
      <c r="AF709" s="101">
        <f t="shared" si="160"/>
        <v>8.6502427398096743E-3</v>
      </c>
      <c r="AG709" s="101">
        <f t="shared" si="160"/>
        <v>1.6319246365323141E-3</v>
      </c>
      <c r="AH709" s="101">
        <f t="shared" si="160"/>
        <v>2.0176210551859095E-3</v>
      </c>
      <c r="AI709" s="101">
        <f t="shared" si="160"/>
        <v>3.5331087669757857E-2</v>
      </c>
      <c r="AJ709" s="101">
        <f t="shared" si="160"/>
        <v>3.1213952648261729E-2</v>
      </c>
      <c r="AK709" s="101">
        <f t="shared" si="160"/>
        <v>2.725791476259589E-2</v>
      </c>
      <c r="AL709" s="101">
        <f t="shared" si="160"/>
        <v>0.10069834462648031</v>
      </c>
      <c r="AM709" s="380">
        <f t="shared" si="146"/>
        <v>5.5212123826832862</v>
      </c>
    </row>
    <row r="710" spans="1:39" x14ac:dyDescent="0.2">
      <c r="A710" s="8"/>
      <c r="B710" s="117" t="s">
        <v>302</v>
      </c>
      <c r="C710" s="118" t="s">
        <v>83</v>
      </c>
      <c r="D710" s="119"/>
      <c r="E710" s="101"/>
      <c r="F710" s="101">
        <f t="shared" ref="F710:AL710" si="161">F672/1000000*F192</f>
        <v>1.3810744964993794E-12</v>
      </c>
      <c r="G710" s="101">
        <f t="shared" si="161"/>
        <v>2.0663012218709374E-12</v>
      </c>
      <c r="H710" s="101">
        <f t="shared" si="161"/>
        <v>1.3701409791409924E-12</v>
      </c>
      <c r="I710" s="101">
        <f t="shared" si="161"/>
        <v>1.5057272659015724E-12</v>
      </c>
      <c r="J710" s="101">
        <f t="shared" si="161"/>
        <v>1.489730909787111E-12</v>
      </c>
      <c r="K710" s="101">
        <f t="shared" si="161"/>
        <v>1.0614034020042908E-12</v>
      </c>
      <c r="L710" s="101">
        <f t="shared" si="161"/>
        <v>2.7135360601907277E-12</v>
      </c>
      <c r="M710" s="101">
        <f t="shared" si="161"/>
        <v>1.4003730131973605E-12</v>
      </c>
      <c r="N710" s="101">
        <f t="shared" si="161"/>
        <v>8.9795662861124661E-13</v>
      </c>
      <c r="O710" s="101">
        <f t="shared" si="161"/>
        <v>1.382791091696091E-12</v>
      </c>
      <c r="P710" s="101">
        <f t="shared" si="161"/>
        <v>1.2992394646822132E-12</v>
      </c>
      <c r="Q710" s="101">
        <f t="shared" si="161"/>
        <v>1.5643877951631546E-12</v>
      </c>
      <c r="R710" s="101">
        <f t="shared" si="161"/>
        <v>1.3034400291058779E-12</v>
      </c>
      <c r="S710" s="101">
        <f t="shared" si="161"/>
        <v>1.6744242356232111E-12</v>
      </c>
      <c r="T710" s="101">
        <f t="shared" si="161"/>
        <v>1.1265511669244032E-12</v>
      </c>
      <c r="U710" s="101">
        <f t="shared" si="161"/>
        <v>1.4016068440884444E-12</v>
      </c>
      <c r="V710" s="101">
        <f t="shared" si="161"/>
        <v>1.2170280084129698E-12</v>
      </c>
      <c r="W710" s="101">
        <f t="shared" si="161"/>
        <v>6.2275672777789857E-13</v>
      </c>
      <c r="X710" s="101">
        <f t="shared" si="161"/>
        <v>3.9752520671087923E-13</v>
      </c>
      <c r="Y710" s="101">
        <f t="shared" si="161"/>
        <v>1.1093487137671048E-12</v>
      </c>
      <c r="Z710" s="101">
        <f t="shared" si="161"/>
        <v>1.4702108531607362E-12</v>
      </c>
      <c r="AA710" s="101">
        <f t="shared" si="161"/>
        <v>1.1791947197139831E-12</v>
      </c>
      <c r="AB710" s="101">
        <f t="shared" si="161"/>
        <v>9.8723903606431919E-13</v>
      </c>
      <c r="AC710" s="101">
        <f t="shared" si="161"/>
        <v>9.072051694267465E-13</v>
      </c>
      <c r="AD710" s="101">
        <f t="shared" si="161"/>
        <v>1.5975273186315165E-12</v>
      </c>
      <c r="AE710" s="101">
        <f t="shared" si="161"/>
        <v>1.0032083073915357E-12</v>
      </c>
      <c r="AF710" s="101">
        <f t="shared" si="161"/>
        <v>7.1943903858267841E-13</v>
      </c>
      <c r="AG710" s="101">
        <f t="shared" si="161"/>
        <v>1.2414166913230023E-12</v>
      </c>
      <c r="AH710" s="101">
        <f t="shared" si="161"/>
        <v>1.2791328622411804E-12</v>
      </c>
      <c r="AI710" s="101">
        <f t="shared" si="161"/>
        <v>6.7248891254313427E-12</v>
      </c>
      <c r="AJ710" s="101">
        <f t="shared" si="161"/>
        <v>3.7963043134966439E-12</v>
      </c>
      <c r="AK710" s="101">
        <f t="shared" si="161"/>
        <v>5.2754266401245427E-12</v>
      </c>
      <c r="AL710" s="101">
        <f t="shared" si="161"/>
        <v>2.8333660258659585E-11</v>
      </c>
      <c r="AM710" s="380">
        <f t="shared" si="146"/>
        <v>8.1500197595403694E-11</v>
      </c>
    </row>
    <row r="711" spans="1:39" x14ac:dyDescent="0.2">
      <c r="A711" s="8"/>
      <c r="B711" s="117" t="s">
        <v>303</v>
      </c>
      <c r="C711" s="118" t="s">
        <v>83</v>
      </c>
      <c r="D711" s="119"/>
      <c r="E711" s="101"/>
      <c r="F711" s="101">
        <f t="shared" ref="F711:AL711" si="162">F673/1000000*F193</f>
        <v>7.9133838966458829E-4</v>
      </c>
      <c r="G711" s="101">
        <f t="shared" si="162"/>
        <v>9.147247312836424E-5</v>
      </c>
      <c r="H711" s="101">
        <f t="shared" si="162"/>
        <v>6.144955164964749E-3</v>
      </c>
      <c r="I711" s="101">
        <f t="shared" si="162"/>
        <v>6.5526447050814479E-2</v>
      </c>
      <c r="J711" s="101">
        <f t="shared" si="162"/>
        <v>8.0723552231664253E-5</v>
      </c>
      <c r="K711" s="101">
        <f t="shared" si="162"/>
        <v>7.2445305810384043E-5</v>
      </c>
      <c r="L711" s="101">
        <f t="shared" si="162"/>
        <v>2.2447916497083642E-4</v>
      </c>
      <c r="M711" s="101">
        <f t="shared" si="162"/>
        <v>0.1537885051350785</v>
      </c>
      <c r="N711" s="101">
        <f t="shared" si="162"/>
        <v>1.1634506526616661E-3</v>
      </c>
      <c r="O711" s="101">
        <f t="shared" si="162"/>
        <v>2.9637870939570026E-3</v>
      </c>
      <c r="P711" s="101">
        <f t="shared" si="162"/>
        <v>6.6943304961362938E-5</v>
      </c>
      <c r="Q711" s="101">
        <f t="shared" si="162"/>
        <v>7.7264368535754428E-5</v>
      </c>
      <c r="R711" s="101">
        <f t="shared" si="162"/>
        <v>0.20847656194572628</v>
      </c>
      <c r="S711" s="101">
        <f t="shared" si="162"/>
        <v>2.4788583015403712E-3</v>
      </c>
      <c r="T711" s="101">
        <f t="shared" si="162"/>
        <v>6.8385176304707894E-4</v>
      </c>
      <c r="U711" s="101">
        <f t="shared" si="162"/>
        <v>3.0841607743356887E-3</v>
      </c>
      <c r="V711" s="101">
        <f t="shared" si="162"/>
        <v>3.89790008624054E-3</v>
      </c>
      <c r="W711" s="101">
        <f t="shared" si="162"/>
        <v>1.5867136728489881E-3</v>
      </c>
      <c r="X711" s="101">
        <f t="shared" si="162"/>
        <v>1.0129659622007083E-5</v>
      </c>
      <c r="Y711" s="101">
        <f t="shared" si="162"/>
        <v>4.5191972645705495E-4</v>
      </c>
      <c r="Z711" s="101">
        <f t="shared" si="162"/>
        <v>3.3990195871239033E-5</v>
      </c>
      <c r="AA711" s="101">
        <f t="shared" si="162"/>
        <v>5.0780246482422665E-4</v>
      </c>
      <c r="AB711" s="101">
        <f t="shared" si="162"/>
        <v>3.2315718268890841E-6</v>
      </c>
      <c r="AC711" s="101">
        <f t="shared" si="162"/>
        <v>3.6978214338353123E-3</v>
      </c>
      <c r="AD711" s="101">
        <f t="shared" si="162"/>
        <v>2.6626161181556827E-3</v>
      </c>
      <c r="AE711" s="101">
        <f t="shared" si="162"/>
        <v>1.9598481473978666E-3</v>
      </c>
      <c r="AF711" s="101">
        <f t="shared" si="162"/>
        <v>1.200888309062703E-2</v>
      </c>
      <c r="AG711" s="101">
        <f t="shared" si="162"/>
        <v>1.6570935132474937E-4</v>
      </c>
      <c r="AH711" s="101">
        <f t="shared" si="162"/>
        <v>3.6134407222449077E-5</v>
      </c>
      <c r="AI711" s="101">
        <f t="shared" si="162"/>
        <v>1.2142241878232768E-3</v>
      </c>
      <c r="AJ711" s="101">
        <f t="shared" si="162"/>
        <v>1.2037493644325233E-3</v>
      </c>
      <c r="AK711" s="101">
        <f t="shared" si="162"/>
        <v>2.356948024768686E-3</v>
      </c>
      <c r="AL711" s="101">
        <f t="shared" si="162"/>
        <v>6.7510558778820272E-4</v>
      </c>
      <c r="AM711" s="380">
        <f t="shared" si="146"/>
        <v>0.47818797153249554</v>
      </c>
    </row>
    <row r="712" spans="1:39" x14ac:dyDescent="0.2">
      <c r="A712" s="8"/>
      <c r="B712" s="117" t="s">
        <v>304</v>
      </c>
      <c r="C712" s="118" t="s">
        <v>83</v>
      </c>
      <c r="D712" s="119"/>
      <c r="E712" s="101"/>
      <c r="F712" s="101">
        <f t="shared" ref="F712:AL712" si="163">F674/1000000*F194</f>
        <v>4.7071001330235625E-2</v>
      </c>
      <c r="G712" s="101">
        <f t="shared" si="163"/>
        <v>2.7994946528744507E-3</v>
      </c>
      <c r="H712" s="101">
        <f t="shared" si="163"/>
        <v>0.10630106440013212</v>
      </c>
      <c r="I712" s="101">
        <f t="shared" si="163"/>
        <v>0.37801684491920051</v>
      </c>
      <c r="J712" s="101">
        <f t="shared" si="163"/>
        <v>4.0386734506146809E-4</v>
      </c>
      <c r="K712" s="101">
        <f t="shared" si="163"/>
        <v>5.7469166108138105E-4</v>
      </c>
      <c r="L712" s="101">
        <f t="shared" si="163"/>
        <v>1.1848858074577045E-3</v>
      </c>
      <c r="M712" s="101">
        <f t="shared" si="163"/>
        <v>0.20682153936984676</v>
      </c>
      <c r="N712" s="101">
        <f t="shared" si="163"/>
        <v>1.5108787761676177E-2</v>
      </c>
      <c r="O712" s="101">
        <f t="shared" si="163"/>
        <v>3.7579381433152591E-3</v>
      </c>
      <c r="P712" s="101">
        <f t="shared" si="163"/>
        <v>1.4428965853931051E-4</v>
      </c>
      <c r="Q712" s="101">
        <f t="shared" si="163"/>
        <v>2.431720039018229E-4</v>
      </c>
      <c r="R712" s="101">
        <f t="shared" si="163"/>
        <v>0.7362467646168227</v>
      </c>
      <c r="S712" s="101">
        <f t="shared" si="163"/>
        <v>2.0215552599990722E-2</v>
      </c>
      <c r="T712" s="101">
        <f t="shared" si="163"/>
        <v>1.3700890288029238E-2</v>
      </c>
      <c r="U712" s="101">
        <f t="shared" si="163"/>
        <v>2.2983288948589226E-2</v>
      </c>
      <c r="V712" s="101">
        <f t="shared" si="163"/>
        <v>1.9006864433413824E-2</v>
      </c>
      <c r="W712" s="101">
        <f t="shared" si="163"/>
        <v>1.1955176894105411E-2</v>
      </c>
      <c r="X712" s="101">
        <f t="shared" si="163"/>
        <v>0</v>
      </c>
      <c r="Y712" s="101">
        <f t="shared" si="163"/>
        <v>4.474919781125411E-4</v>
      </c>
      <c r="Z712" s="101">
        <f t="shared" si="163"/>
        <v>1.4879947159936437E-4</v>
      </c>
      <c r="AA712" s="101">
        <f t="shared" si="163"/>
        <v>2.3257750353205095E-3</v>
      </c>
      <c r="AB712" s="101">
        <f t="shared" si="163"/>
        <v>0</v>
      </c>
      <c r="AC712" s="101">
        <f t="shared" si="163"/>
        <v>9.1268727249845562E-3</v>
      </c>
      <c r="AD712" s="101">
        <f t="shared" si="163"/>
        <v>2.5891568257720394E-2</v>
      </c>
      <c r="AE712" s="101">
        <f t="shared" si="163"/>
        <v>1.666311707874658E-2</v>
      </c>
      <c r="AF712" s="101">
        <f t="shared" si="163"/>
        <v>6.2082742184677037E-3</v>
      </c>
      <c r="AG712" s="101">
        <f t="shared" si="163"/>
        <v>5.7486080423203964E-4</v>
      </c>
      <c r="AH712" s="101">
        <f t="shared" si="163"/>
        <v>3.9744040314849678E-4</v>
      </c>
      <c r="AI712" s="101">
        <f t="shared" si="163"/>
        <v>1.189648210725089E-2</v>
      </c>
      <c r="AJ712" s="101">
        <f t="shared" si="163"/>
        <v>1.5109525766085166E-2</v>
      </c>
      <c r="AK712" s="101">
        <f t="shared" si="163"/>
        <v>1.6217651937455911E-2</v>
      </c>
      <c r="AL712" s="101">
        <f t="shared" si="163"/>
        <v>1.1545388608270972E-2</v>
      </c>
      <c r="AM712" s="380">
        <f t="shared" si="146"/>
        <v>1.703089363225669</v>
      </c>
    </row>
    <row r="713" spans="1:39" x14ac:dyDescent="0.2">
      <c r="A713" s="8"/>
      <c r="B713" s="117" t="s">
        <v>305</v>
      </c>
      <c r="C713" s="118" t="s">
        <v>83</v>
      </c>
      <c r="D713" s="119"/>
      <c r="E713" s="101"/>
      <c r="F713" s="101">
        <f t="shared" ref="F713:AL713" si="164">F675/1000000*F195</f>
        <v>1.8447116533842695E-2</v>
      </c>
      <c r="G713" s="101">
        <f t="shared" si="164"/>
        <v>7.4192054801676258E-4</v>
      </c>
      <c r="H713" s="101">
        <f t="shared" si="164"/>
        <v>2.3408555858788475E-2</v>
      </c>
      <c r="I713" s="101">
        <f t="shared" si="164"/>
        <v>0.18471848560306667</v>
      </c>
      <c r="J713" s="101">
        <f t="shared" si="164"/>
        <v>4.2016370579635667E-4</v>
      </c>
      <c r="K713" s="101">
        <f t="shared" si="164"/>
        <v>4.3225713160268976E-4</v>
      </c>
      <c r="L713" s="101">
        <f t="shared" si="164"/>
        <v>1.4190978287038167E-3</v>
      </c>
      <c r="M713" s="101">
        <f t="shared" si="164"/>
        <v>0.20200062402761984</v>
      </c>
      <c r="N713" s="101">
        <f t="shared" si="164"/>
        <v>3.7206777632567721E-4</v>
      </c>
      <c r="O713" s="101">
        <f t="shared" si="164"/>
        <v>1.5028956618353195E-2</v>
      </c>
      <c r="P713" s="101">
        <f t="shared" si="164"/>
        <v>7.2620247407538822E-4</v>
      </c>
      <c r="Q713" s="101">
        <f t="shared" si="164"/>
        <v>1.1433964099961853E-3</v>
      </c>
      <c r="R713" s="101">
        <f t="shared" si="164"/>
        <v>0.42858336912345474</v>
      </c>
      <c r="S713" s="101">
        <f t="shared" si="164"/>
        <v>8.3044835794108644E-3</v>
      </c>
      <c r="T713" s="101">
        <f t="shared" si="164"/>
        <v>1.6177811246414868E-2</v>
      </c>
      <c r="U713" s="101">
        <f t="shared" si="164"/>
        <v>1.2996793935786019E-2</v>
      </c>
      <c r="V713" s="101">
        <f t="shared" si="164"/>
        <v>1.4951330059304801E-2</v>
      </c>
      <c r="W713" s="101">
        <f t="shared" si="164"/>
        <v>9.5850383318859169E-3</v>
      </c>
      <c r="X713" s="101">
        <f t="shared" si="164"/>
        <v>6.0858199633519801E-4</v>
      </c>
      <c r="Y713" s="101">
        <f t="shared" si="164"/>
        <v>2.8294903595685456E-3</v>
      </c>
      <c r="Z713" s="101">
        <f t="shared" si="164"/>
        <v>3.9875144380001684E-4</v>
      </c>
      <c r="AA713" s="101">
        <f t="shared" si="164"/>
        <v>1.6095508767197727E-3</v>
      </c>
      <c r="AB713" s="101">
        <f t="shared" si="164"/>
        <v>6.9187653756966626E-5</v>
      </c>
      <c r="AC713" s="101">
        <f t="shared" si="164"/>
        <v>4.2276532619910656E-2</v>
      </c>
      <c r="AD713" s="101">
        <f t="shared" si="164"/>
        <v>0.13795719908609053</v>
      </c>
      <c r="AE713" s="101">
        <f t="shared" si="164"/>
        <v>4.7755365514409016E-2</v>
      </c>
      <c r="AF713" s="101">
        <f t="shared" si="164"/>
        <v>0.16282193031504361</v>
      </c>
      <c r="AG713" s="101">
        <f t="shared" si="164"/>
        <v>3.6247966518144943E-3</v>
      </c>
      <c r="AH713" s="101">
        <f t="shared" si="164"/>
        <v>4.5873285919676809E-4</v>
      </c>
      <c r="AI713" s="101">
        <f t="shared" si="164"/>
        <v>1.2374682081664734E-2</v>
      </c>
      <c r="AJ713" s="101">
        <f t="shared" si="164"/>
        <v>1.7930969126952988E-2</v>
      </c>
      <c r="AK713" s="101">
        <f t="shared" si="164"/>
        <v>5.1903708112968818E-3</v>
      </c>
      <c r="AL713" s="101">
        <f t="shared" si="164"/>
        <v>5.6527979838725114E-3</v>
      </c>
      <c r="AM713" s="380">
        <f t="shared" si="146"/>
        <v>1.3810166101728776</v>
      </c>
    </row>
    <row r="714" spans="1:39" x14ac:dyDescent="0.2">
      <c r="A714" s="8"/>
      <c r="B714" s="117" t="s">
        <v>306</v>
      </c>
      <c r="C714" s="118" t="s">
        <v>83</v>
      </c>
      <c r="D714" s="119"/>
      <c r="E714" s="101"/>
      <c r="F714" s="101">
        <f t="shared" ref="F714:AL714" si="165">F676/1000000*F196</f>
        <v>1.2389686948543218E-2</v>
      </c>
      <c r="G714" s="101">
        <f t="shared" si="165"/>
        <v>1.0011070880228997E-3</v>
      </c>
      <c r="H714" s="101">
        <f t="shared" si="165"/>
        <v>1.9605954652611998E-2</v>
      </c>
      <c r="I714" s="101">
        <f t="shared" si="165"/>
        <v>6.7581372470096462E-3</v>
      </c>
      <c r="J714" s="101">
        <f t="shared" si="165"/>
        <v>0</v>
      </c>
      <c r="K714" s="101">
        <f t="shared" si="165"/>
        <v>0</v>
      </c>
      <c r="L714" s="101">
        <f t="shared" si="165"/>
        <v>3.7293136097637145E-5</v>
      </c>
      <c r="M714" s="101">
        <f t="shared" si="165"/>
        <v>0.10257807669635127</v>
      </c>
      <c r="N714" s="101">
        <f t="shared" si="165"/>
        <v>0.16267143500503692</v>
      </c>
      <c r="O714" s="101">
        <f t="shared" si="165"/>
        <v>9.4801744071317095E-3</v>
      </c>
      <c r="P714" s="101">
        <f t="shared" si="165"/>
        <v>3.0292791342023538E-3</v>
      </c>
      <c r="Q714" s="101">
        <f t="shared" si="165"/>
        <v>5.5568602454127486E-5</v>
      </c>
      <c r="R714" s="101">
        <f t="shared" si="165"/>
        <v>0</v>
      </c>
      <c r="S714" s="101">
        <f t="shared" si="165"/>
        <v>0.10464874037643557</v>
      </c>
      <c r="T714" s="101">
        <f t="shared" si="165"/>
        <v>2.5680444067081785E-2</v>
      </c>
      <c r="U714" s="101">
        <f t="shared" si="165"/>
        <v>0.34436641806836404</v>
      </c>
      <c r="V714" s="101">
        <f t="shared" si="165"/>
        <v>0.11859329003121151</v>
      </c>
      <c r="W714" s="101">
        <f t="shared" si="165"/>
        <v>0</v>
      </c>
      <c r="X714" s="101">
        <f t="shared" si="165"/>
        <v>0</v>
      </c>
      <c r="Y714" s="101">
        <f t="shared" si="165"/>
        <v>5.3159025712664207E-5</v>
      </c>
      <c r="Z714" s="101">
        <f t="shared" si="165"/>
        <v>4.4332926900630346E-3</v>
      </c>
      <c r="AA714" s="101">
        <f t="shared" si="165"/>
        <v>6.1814981125366498E-3</v>
      </c>
      <c r="AB714" s="101">
        <f t="shared" si="165"/>
        <v>1.5076005586058074E-3</v>
      </c>
      <c r="AC714" s="101">
        <f t="shared" si="165"/>
        <v>0.14441243107386176</v>
      </c>
      <c r="AD714" s="101">
        <f t="shared" si="165"/>
        <v>4.5248478971071415E-4</v>
      </c>
      <c r="AE714" s="101">
        <f t="shared" si="165"/>
        <v>7.3324535155705802E-3</v>
      </c>
      <c r="AF714" s="101">
        <f t="shared" si="165"/>
        <v>3.4948180576451528E-3</v>
      </c>
      <c r="AG714" s="101">
        <f t="shared" si="165"/>
        <v>9.9271721271381591E-4</v>
      </c>
      <c r="AH714" s="101">
        <f t="shared" si="165"/>
        <v>1.9417084543627342E-3</v>
      </c>
      <c r="AI714" s="101">
        <f t="shared" si="165"/>
        <v>1.8189184523474799E-3</v>
      </c>
      <c r="AJ714" s="101">
        <f t="shared" si="165"/>
        <v>0</v>
      </c>
      <c r="AK714" s="101">
        <f t="shared" si="165"/>
        <v>0.31115593554933457</v>
      </c>
      <c r="AL714" s="101">
        <f t="shared" si="165"/>
        <v>4.4188729382500539E-3</v>
      </c>
      <c r="AM714" s="380">
        <f t="shared" si="146"/>
        <v>1.3990914958912695</v>
      </c>
    </row>
    <row r="715" spans="1:39" x14ac:dyDescent="0.2">
      <c r="A715" s="8"/>
      <c r="B715" s="117" t="s">
        <v>307</v>
      </c>
      <c r="C715" s="118" t="s">
        <v>83</v>
      </c>
      <c r="D715" s="119"/>
      <c r="E715" s="101"/>
      <c r="F715" s="101">
        <f t="shared" ref="F715:AL715" si="166">F677/1000000*F197</f>
        <v>2.8935036478903312E-3</v>
      </c>
      <c r="G715" s="101">
        <f t="shared" si="166"/>
        <v>5.9497320476813143E-4</v>
      </c>
      <c r="H715" s="101">
        <f t="shared" si="166"/>
        <v>0</v>
      </c>
      <c r="I715" s="101">
        <f t="shared" si="166"/>
        <v>2.1858782147538918E-5</v>
      </c>
      <c r="J715" s="101">
        <f t="shared" si="166"/>
        <v>2.0927048930992039E-3</v>
      </c>
      <c r="K715" s="101">
        <f t="shared" si="166"/>
        <v>0</v>
      </c>
      <c r="L715" s="101">
        <f t="shared" si="166"/>
        <v>1.6581633290819773E-4</v>
      </c>
      <c r="M715" s="101">
        <f t="shared" si="166"/>
        <v>2.2569680103230409E-5</v>
      </c>
      <c r="N715" s="101">
        <f t="shared" si="166"/>
        <v>2.4262964421945454E-3</v>
      </c>
      <c r="O715" s="101">
        <f t="shared" si="166"/>
        <v>0</v>
      </c>
      <c r="P715" s="101">
        <f t="shared" si="166"/>
        <v>1.2796206443355411E-3</v>
      </c>
      <c r="Q715" s="101">
        <f t="shared" si="166"/>
        <v>8.3254396503684702E-4</v>
      </c>
      <c r="R715" s="101">
        <f t="shared" si="166"/>
        <v>1.4915887637420306E-4</v>
      </c>
      <c r="S715" s="101">
        <f t="shared" si="166"/>
        <v>8.2208883412840342E-2</v>
      </c>
      <c r="T715" s="101">
        <f t="shared" si="166"/>
        <v>1.528919732897799E-2</v>
      </c>
      <c r="U715" s="101">
        <f t="shared" si="166"/>
        <v>1.8389959612391399E-2</v>
      </c>
      <c r="V715" s="101">
        <f t="shared" si="166"/>
        <v>1.3261117235383453E-2</v>
      </c>
      <c r="W715" s="101">
        <f t="shared" si="166"/>
        <v>3.0398142808302832E-4</v>
      </c>
      <c r="X715" s="101">
        <f t="shared" si="166"/>
        <v>1.5860004169152247E-3</v>
      </c>
      <c r="Y715" s="101">
        <f t="shared" si="166"/>
        <v>6.2425463751313612E-4</v>
      </c>
      <c r="Z715" s="101">
        <f t="shared" si="166"/>
        <v>5.8635023137486629E-3</v>
      </c>
      <c r="AA715" s="101">
        <f t="shared" si="166"/>
        <v>0.74276878436974769</v>
      </c>
      <c r="AB715" s="101">
        <f t="shared" si="166"/>
        <v>7.8795009489716974E-3</v>
      </c>
      <c r="AC715" s="101">
        <f t="shared" si="166"/>
        <v>0.33194151248635284</v>
      </c>
      <c r="AD715" s="101">
        <f t="shared" si="166"/>
        <v>2.4703193435565634E-2</v>
      </c>
      <c r="AE715" s="101">
        <f t="shared" si="166"/>
        <v>9.5441029512778781E-3</v>
      </c>
      <c r="AF715" s="101">
        <f t="shared" si="166"/>
        <v>3.7004004728175195E-3</v>
      </c>
      <c r="AG715" s="101">
        <f t="shared" si="166"/>
        <v>0.47062444624572392</v>
      </c>
      <c r="AH715" s="101">
        <f t="shared" si="166"/>
        <v>8.4752006583764333E-2</v>
      </c>
      <c r="AI715" s="101">
        <f t="shared" si="166"/>
        <v>4.7680357041300261E-2</v>
      </c>
      <c r="AJ715" s="101">
        <f t="shared" si="166"/>
        <v>1.1439184019459207E-2</v>
      </c>
      <c r="AK715" s="101">
        <f t="shared" si="166"/>
        <v>2.4368738660898771E-2</v>
      </c>
      <c r="AL715" s="101">
        <f t="shared" si="166"/>
        <v>2.4967189463827179E-2</v>
      </c>
      <c r="AM715" s="380">
        <f t="shared" si="146"/>
        <v>1.9323753595344184</v>
      </c>
    </row>
    <row r="716" spans="1:39" x14ac:dyDescent="0.2">
      <c r="A716" s="8"/>
      <c r="B716" s="117" t="s">
        <v>308</v>
      </c>
      <c r="C716" s="118" t="s">
        <v>83</v>
      </c>
      <c r="D716" s="119"/>
      <c r="E716" s="101"/>
      <c r="F716" s="101">
        <f t="shared" ref="F716:AL716" si="167">F678/1000000*F198</f>
        <v>0</v>
      </c>
      <c r="G716" s="101">
        <f t="shared" si="167"/>
        <v>0</v>
      </c>
      <c r="H716" s="101">
        <f t="shared" si="167"/>
        <v>0</v>
      </c>
      <c r="I716" s="101">
        <f t="shared" si="167"/>
        <v>0</v>
      </c>
      <c r="J716" s="101">
        <f t="shared" si="167"/>
        <v>0</v>
      </c>
      <c r="K716" s="101">
        <f t="shared" si="167"/>
        <v>0</v>
      </c>
      <c r="L716" s="101">
        <f t="shared" si="167"/>
        <v>0</v>
      </c>
      <c r="M716" s="101">
        <f t="shared" si="167"/>
        <v>0</v>
      </c>
      <c r="N716" s="101">
        <f t="shared" si="167"/>
        <v>0</v>
      </c>
      <c r="O716" s="101">
        <f t="shared" si="167"/>
        <v>0</v>
      </c>
      <c r="P716" s="101">
        <f t="shared" si="167"/>
        <v>0</v>
      </c>
      <c r="Q716" s="101">
        <f t="shared" si="167"/>
        <v>0</v>
      </c>
      <c r="R716" s="101">
        <f t="shared" si="167"/>
        <v>0</v>
      </c>
      <c r="S716" s="101">
        <f t="shared" si="167"/>
        <v>0</v>
      </c>
      <c r="T716" s="101">
        <f t="shared" si="167"/>
        <v>0</v>
      </c>
      <c r="U716" s="101">
        <f t="shared" si="167"/>
        <v>0</v>
      </c>
      <c r="V716" s="101">
        <f t="shared" si="167"/>
        <v>0</v>
      </c>
      <c r="W716" s="101">
        <f t="shared" si="167"/>
        <v>0</v>
      </c>
      <c r="X716" s="101">
        <f t="shared" si="167"/>
        <v>0</v>
      </c>
      <c r="Y716" s="101">
        <f t="shared" si="167"/>
        <v>0</v>
      </c>
      <c r="Z716" s="101">
        <f t="shared" si="167"/>
        <v>0</v>
      </c>
      <c r="AA716" s="101">
        <f t="shared" si="167"/>
        <v>0</v>
      </c>
      <c r="AB716" s="101">
        <f t="shared" si="167"/>
        <v>0</v>
      </c>
      <c r="AC716" s="101">
        <f t="shared" si="167"/>
        <v>0</v>
      </c>
      <c r="AD716" s="101">
        <f t="shared" si="167"/>
        <v>0</v>
      </c>
      <c r="AE716" s="101">
        <f t="shared" si="167"/>
        <v>0</v>
      </c>
      <c r="AF716" s="101">
        <f t="shared" si="167"/>
        <v>0</v>
      </c>
      <c r="AG716" s="101">
        <f t="shared" si="167"/>
        <v>0</v>
      </c>
      <c r="AH716" s="101">
        <f t="shared" si="167"/>
        <v>0</v>
      </c>
      <c r="AI716" s="101">
        <f t="shared" si="167"/>
        <v>0</v>
      </c>
      <c r="AJ716" s="101">
        <f t="shared" si="167"/>
        <v>0</v>
      </c>
      <c r="AK716" s="101">
        <f t="shared" si="167"/>
        <v>0</v>
      </c>
      <c r="AL716" s="101">
        <f t="shared" si="167"/>
        <v>0</v>
      </c>
      <c r="AM716" s="380">
        <f t="shared" si="146"/>
        <v>0</v>
      </c>
    </row>
    <row r="717" spans="1:39" x14ac:dyDescent="0.2">
      <c r="A717" s="8"/>
      <c r="B717" s="117" t="s">
        <v>309</v>
      </c>
      <c r="C717" s="118" t="s">
        <v>83</v>
      </c>
      <c r="D717" s="119"/>
      <c r="E717" s="101"/>
      <c r="F717" s="101">
        <f t="shared" ref="F717:AL717" si="168">F679/1000000*F199</f>
        <v>0.44963491964800478</v>
      </c>
      <c r="G717" s="101">
        <f t="shared" si="168"/>
        <v>9.3256905232981385E-2</v>
      </c>
      <c r="H717" s="101">
        <f t="shared" si="168"/>
        <v>3.4907476468656981E-2</v>
      </c>
      <c r="I717" s="101">
        <f t="shared" si="168"/>
        <v>9.3486781002773259E-2</v>
      </c>
      <c r="J717" s="101">
        <f t="shared" si="168"/>
        <v>0.23647327280520283</v>
      </c>
      <c r="K717" s="101">
        <f t="shared" si="168"/>
        <v>0.17529719446074329</v>
      </c>
      <c r="L717" s="101">
        <f t="shared" si="168"/>
        <v>3.5389930676324792</v>
      </c>
      <c r="M717" s="101">
        <f t="shared" si="168"/>
        <v>5.3166848748727542</v>
      </c>
      <c r="N717" s="101">
        <f t="shared" si="168"/>
        <v>0.72887621544320036</v>
      </c>
      <c r="O717" s="101">
        <f t="shared" si="168"/>
        <v>0.10974298309649116</v>
      </c>
      <c r="P717" s="101">
        <f t="shared" si="168"/>
        <v>5.8473934633919623E-2</v>
      </c>
      <c r="Q717" s="101">
        <f t="shared" si="168"/>
        <v>4.6170028250588038</v>
      </c>
      <c r="R717" s="101">
        <f t="shared" si="168"/>
        <v>22.971800128346853</v>
      </c>
      <c r="S717" s="101">
        <f t="shared" si="168"/>
        <v>0.23339609346614898</v>
      </c>
      <c r="T717" s="101">
        <f t="shared" si="168"/>
        <v>0.72731234744308026</v>
      </c>
      <c r="U717" s="101">
        <f t="shared" si="168"/>
        <v>0.30243481751186535</v>
      </c>
      <c r="V717" s="101">
        <f t="shared" si="168"/>
        <v>8.0606341187865735E-2</v>
      </c>
      <c r="W717" s="101">
        <f t="shared" si="168"/>
        <v>2.2175563297884383E-2</v>
      </c>
      <c r="X717" s="101">
        <f t="shared" si="168"/>
        <v>2.1241729263511182E-2</v>
      </c>
      <c r="Y717" s="101">
        <f t="shared" si="168"/>
        <v>0.22520685155022543</v>
      </c>
      <c r="Z717" s="101">
        <f t="shared" si="168"/>
        <v>1.8775958301697388E-2</v>
      </c>
      <c r="AA717" s="101">
        <f t="shared" si="168"/>
        <v>0.11968797694268968</v>
      </c>
      <c r="AB717" s="101">
        <f t="shared" si="168"/>
        <v>4.2494607296941541E-3</v>
      </c>
      <c r="AC717" s="101">
        <f t="shared" si="168"/>
        <v>0.31534196505664613</v>
      </c>
      <c r="AD717" s="101">
        <f t="shared" si="168"/>
        <v>2.0750873579280796E-2</v>
      </c>
      <c r="AE717" s="101">
        <f t="shared" si="168"/>
        <v>6.4790174972470943E-2</v>
      </c>
      <c r="AF717" s="101">
        <f t="shared" si="168"/>
        <v>2.4237473820322566E-2</v>
      </c>
      <c r="AG717" s="101">
        <f t="shared" si="168"/>
        <v>1.4153282512435614E-2</v>
      </c>
      <c r="AH717" s="101">
        <f t="shared" si="168"/>
        <v>6.8801982702178339E-3</v>
      </c>
      <c r="AI717" s="101">
        <f t="shared" si="168"/>
        <v>1.3114620547203457</v>
      </c>
      <c r="AJ717" s="101">
        <f t="shared" si="168"/>
        <v>1.6213584410492232</v>
      </c>
      <c r="AK717" s="101">
        <f t="shared" si="168"/>
        <v>0.30420744488297413</v>
      </c>
      <c r="AL717" s="101">
        <f t="shared" si="168"/>
        <v>0.24275800144318441</v>
      </c>
      <c r="AM717" s="380">
        <f t="shared" si="146"/>
        <v>44.105657628704641</v>
      </c>
    </row>
    <row r="718" spans="1:39" x14ac:dyDescent="0.2">
      <c r="A718" s="8"/>
      <c r="B718" s="117" t="s">
        <v>310</v>
      </c>
      <c r="C718" s="118" t="s">
        <v>83</v>
      </c>
      <c r="D718" s="119"/>
      <c r="E718" s="101"/>
      <c r="F718" s="101">
        <f t="shared" ref="F718:AL718" si="169">F680/1000000*F200</f>
        <v>0.43898652764955287</v>
      </c>
      <c r="G718" s="101">
        <f t="shared" si="169"/>
        <v>4.0107719232660315E-2</v>
      </c>
      <c r="H718" s="101">
        <f t="shared" si="169"/>
        <v>3.0510069685181298E-2</v>
      </c>
      <c r="I718" s="101">
        <f t="shared" si="169"/>
        <v>2.9588723251872784</v>
      </c>
      <c r="J718" s="101">
        <f t="shared" si="169"/>
        <v>0.15884949461588907</v>
      </c>
      <c r="K718" s="101">
        <f t="shared" si="169"/>
        <v>7.2380713234593178E-2</v>
      </c>
      <c r="L718" s="101">
        <f t="shared" si="169"/>
        <v>0.60789954007530989</v>
      </c>
      <c r="M718" s="101">
        <f t="shared" si="169"/>
        <v>6.1617158970967205</v>
      </c>
      <c r="N718" s="101">
        <f t="shared" si="169"/>
        <v>0.20454622798318681</v>
      </c>
      <c r="O718" s="101">
        <f t="shared" si="169"/>
        <v>7.1459356291513676E-2</v>
      </c>
      <c r="P718" s="101">
        <f t="shared" si="169"/>
        <v>1.6284589651556523E-2</v>
      </c>
      <c r="Q718" s="101">
        <f t="shared" si="169"/>
        <v>5.6789207411925502E-2</v>
      </c>
      <c r="R718" s="101">
        <f t="shared" si="169"/>
        <v>1.0538021722618875</v>
      </c>
      <c r="S718" s="101">
        <f t="shared" si="169"/>
        <v>9.2592003009704993E-2</v>
      </c>
      <c r="T718" s="101">
        <f t="shared" si="169"/>
        <v>0.66090907348317951</v>
      </c>
      <c r="U718" s="101">
        <f t="shared" si="169"/>
        <v>0.24431134425220064</v>
      </c>
      <c r="V718" s="101">
        <f t="shared" si="169"/>
        <v>0.1361395543097893</v>
      </c>
      <c r="W718" s="101">
        <f t="shared" si="169"/>
        <v>6.4088468307328447E-3</v>
      </c>
      <c r="X718" s="101">
        <f t="shared" si="169"/>
        <v>1.5501070494952522E-2</v>
      </c>
      <c r="Y718" s="101">
        <f t="shared" si="169"/>
        <v>0.32383604374540664</v>
      </c>
      <c r="Z718" s="101">
        <f t="shared" si="169"/>
        <v>9.6596413461169234E-2</v>
      </c>
      <c r="AA718" s="101">
        <f t="shared" si="169"/>
        <v>7.5972642677907376E-2</v>
      </c>
      <c r="AB718" s="101">
        <f t="shared" si="169"/>
        <v>3.1392138910911836E-3</v>
      </c>
      <c r="AC718" s="101">
        <f t="shared" si="169"/>
        <v>0.36957849889851402</v>
      </c>
      <c r="AD718" s="101">
        <f t="shared" si="169"/>
        <v>7.8396013655941066E-2</v>
      </c>
      <c r="AE718" s="101">
        <f t="shared" si="169"/>
        <v>4.0957352639268099E-2</v>
      </c>
      <c r="AF718" s="101">
        <f t="shared" si="169"/>
        <v>1.5974580812480783E-2</v>
      </c>
      <c r="AG718" s="101">
        <f t="shared" si="169"/>
        <v>1.2262152081413352E-2</v>
      </c>
      <c r="AH718" s="101">
        <f t="shared" si="169"/>
        <v>9.9942749382739438E-3</v>
      </c>
      <c r="AI718" s="101">
        <f t="shared" si="169"/>
        <v>2.9782749205678223</v>
      </c>
      <c r="AJ718" s="101">
        <f t="shared" si="169"/>
        <v>3.0637067035714316</v>
      </c>
      <c r="AK718" s="101">
        <f t="shared" si="169"/>
        <v>0.51600630598789976</v>
      </c>
      <c r="AL718" s="101">
        <f t="shared" si="169"/>
        <v>11.672781809194205</v>
      </c>
      <c r="AM718" s="380">
        <f t="shared" si="146"/>
        <v>32.285542658880644</v>
      </c>
    </row>
    <row r="719" spans="1:39" x14ac:dyDescent="0.2">
      <c r="A719" s="8"/>
      <c r="B719" s="117" t="s">
        <v>311</v>
      </c>
      <c r="C719" s="118" t="s">
        <v>83</v>
      </c>
      <c r="D719" s="119"/>
      <c r="E719" s="101"/>
      <c r="F719" s="101">
        <f t="shared" ref="F719:AL719" si="170">F681/1000000*F201</f>
        <v>6.6588737051237745E-2</v>
      </c>
      <c r="G719" s="101">
        <f t="shared" si="170"/>
        <v>0.22085395551346901</v>
      </c>
      <c r="H719" s="101">
        <f t="shared" si="170"/>
        <v>5.3544752528058535E-2</v>
      </c>
      <c r="I719" s="101">
        <f t="shared" si="170"/>
        <v>0.39549976911711787</v>
      </c>
      <c r="J719" s="101">
        <f t="shared" si="170"/>
        <v>0.78382334314448898</v>
      </c>
      <c r="K719" s="101">
        <f t="shared" si="170"/>
        <v>0.11856075362440958</v>
      </c>
      <c r="L719" s="101">
        <f t="shared" si="170"/>
        <v>0.20782956282927037</v>
      </c>
      <c r="M719" s="101">
        <f t="shared" si="170"/>
        <v>0.20334999847248764</v>
      </c>
      <c r="N719" s="101">
        <f t="shared" si="170"/>
        <v>8.4071644838974335E-2</v>
      </c>
      <c r="O719" s="101">
        <f t="shared" si="170"/>
        <v>1.6535293967539354E-2</v>
      </c>
      <c r="P719" s="101">
        <f t="shared" si="170"/>
        <v>7.0579736861732911E-2</v>
      </c>
      <c r="Q719" s="101">
        <f t="shared" si="170"/>
        <v>0.13946953234728052</v>
      </c>
      <c r="R719" s="101">
        <f t="shared" si="170"/>
        <v>0.31490817788711956</v>
      </c>
      <c r="S719" s="101">
        <f t="shared" si="170"/>
        <v>0.24654501872459178</v>
      </c>
      <c r="T719" s="101">
        <f t="shared" si="170"/>
        <v>3.8436272589378047</v>
      </c>
      <c r="U719" s="101">
        <f t="shared" si="170"/>
        <v>1.267106971142631</v>
      </c>
      <c r="V719" s="101">
        <f t="shared" si="170"/>
        <v>0.4169350644200418</v>
      </c>
      <c r="W719" s="101">
        <f t="shared" si="170"/>
        <v>3.4648661435013987E-3</v>
      </c>
      <c r="X719" s="101">
        <f t="shared" si="170"/>
        <v>6.3860463651610869E-2</v>
      </c>
      <c r="Y719" s="101">
        <f t="shared" si="170"/>
        <v>0.11781914511392232</v>
      </c>
      <c r="Z719" s="101">
        <f t="shared" si="170"/>
        <v>2.8632609028107079</v>
      </c>
      <c r="AA719" s="101">
        <f t="shared" si="170"/>
        <v>1.328910746673891</v>
      </c>
      <c r="AB719" s="101">
        <f t="shared" si="170"/>
        <v>6.1366609602664232E-3</v>
      </c>
      <c r="AC719" s="101">
        <f t="shared" si="170"/>
        <v>5.0511103902434309</v>
      </c>
      <c r="AD719" s="101">
        <f t="shared" si="170"/>
        <v>0.25104464740800808</v>
      </c>
      <c r="AE719" s="101">
        <f t="shared" si="170"/>
        <v>0.10824536744070259</v>
      </c>
      <c r="AF719" s="101">
        <f t="shared" si="170"/>
        <v>9.5660677867493243E-2</v>
      </c>
      <c r="AG719" s="101">
        <f t="shared" si="170"/>
        <v>0.99288140603702413</v>
      </c>
      <c r="AH719" s="101">
        <f t="shared" si="170"/>
        <v>0.93769683773693568</v>
      </c>
      <c r="AI719" s="101">
        <f t="shared" si="170"/>
        <v>11.957459535945702</v>
      </c>
      <c r="AJ719" s="101">
        <f t="shared" si="170"/>
        <v>9.7743723985673086</v>
      </c>
      <c r="AK719" s="101">
        <f t="shared" si="170"/>
        <v>4.5607893517232538</v>
      </c>
      <c r="AL719" s="101">
        <f t="shared" si="170"/>
        <v>30.417595944919054</v>
      </c>
      <c r="AM719" s="380">
        <f t="shared" si="146"/>
        <v>76.980138914651064</v>
      </c>
    </row>
    <row r="720" spans="1:39" x14ac:dyDescent="0.2">
      <c r="A720" s="8"/>
      <c r="B720" s="117" t="s">
        <v>312</v>
      </c>
      <c r="C720" s="118" t="s">
        <v>83</v>
      </c>
      <c r="D720" s="119"/>
      <c r="E720" s="101"/>
      <c r="F720" s="101">
        <f t="shared" ref="F720:AL720" si="171">F682/1000000*F202</f>
        <v>0</v>
      </c>
      <c r="G720" s="101">
        <f t="shared" si="171"/>
        <v>0</v>
      </c>
      <c r="H720" s="101">
        <f t="shared" si="171"/>
        <v>0</v>
      </c>
      <c r="I720" s="101">
        <f t="shared" si="171"/>
        <v>0</v>
      </c>
      <c r="J720" s="101">
        <f t="shared" si="171"/>
        <v>0</v>
      </c>
      <c r="K720" s="101">
        <f t="shared" si="171"/>
        <v>0</v>
      </c>
      <c r="L720" s="101">
        <f t="shared" si="171"/>
        <v>0</v>
      </c>
      <c r="M720" s="101">
        <f t="shared" si="171"/>
        <v>0</v>
      </c>
      <c r="N720" s="101">
        <f t="shared" si="171"/>
        <v>0</v>
      </c>
      <c r="O720" s="101">
        <f t="shared" si="171"/>
        <v>0</v>
      </c>
      <c r="P720" s="101">
        <f t="shared" si="171"/>
        <v>0</v>
      </c>
      <c r="Q720" s="101">
        <f t="shared" si="171"/>
        <v>0</v>
      </c>
      <c r="R720" s="101">
        <f t="shared" si="171"/>
        <v>0</v>
      </c>
      <c r="S720" s="101">
        <f t="shared" si="171"/>
        <v>0</v>
      </c>
      <c r="T720" s="101">
        <f t="shared" si="171"/>
        <v>0</v>
      </c>
      <c r="U720" s="101">
        <f t="shared" si="171"/>
        <v>0</v>
      </c>
      <c r="V720" s="101">
        <f t="shared" si="171"/>
        <v>0</v>
      </c>
      <c r="W720" s="101">
        <f t="shared" si="171"/>
        <v>0</v>
      </c>
      <c r="X720" s="101">
        <f t="shared" si="171"/>
        <v>0</v>
      </c>
      <c r="Y720" s="101">
        <f t="shared" si="171"/>
        <v>0</v>
      </c>
      <c r="Z720" s="101">
        <f t="shared" si="171"/>
        <v>1.1022963489528871E-2</v>
      </c>
      <c r="AA720" s="101">
        <f t="shared" si="171"/>
        <v>9.3145963168663106E-3</v>
      </c>
      <c r="AB720" s="101">
        <f t="shared" si="171"/>
        <v>0</v>
      </c>
      <c r="AC720" s="101">
        <f t="shared" si="171"/>
        <v>5.6704442383721668E-3</v>
      </c>
      <c r="AD720" s="101">
        <f t="shared" si="171"/>
        <v>0</v>
      </c>
      <c r="AE720" s="101">
        <f t="shared" si="171"/>
        <v>0</v>
      </c>
      <c r="AF720" s="101">
        <f t="shared" si="171"/>
        <v>0</v>
      </c>
      <c r="AG720" s="101">
        <f t="shared" si="171"/>
        <v>0</v>
      </c>
      <c r="AH720" s="101">
        <f t="shared" si="171"/>
        <v>0</v>
      </c>
      <c r="AI720" s="101">
        <f t="shared" si="171"/>
        <v>0.16163907851419046</v>
      </c>
      <c r="AJ720" s="101">
        <f t="shared" si="171"/>
        <v>0.26284549090107528</v>
      </c>
      <c r="AK720" s="101">
        <f t="shared" si="171"/>
        <v>0.14214463524449419</v>
      </c>
      <c r="AL720" s="101">
        <f t="shared" si="171"/>
        <v>5.6579345879788634E-2</v>
      </c>
      <c r="AM720" s="380">
        <f t="shared" si="146"/>
        <v>0.64921655458431593</v>
      </c>
    </row>
    <row r="721" spans="1:39" x14ac:dyDescent="0.2">
      <c r="A721" s="8"/>
      <c r="B721" s="117" t="s">
        <v>313</v>
      </c>
      <c r="C721" s="118" t="s">
        <v>83</v>
      </c>
      <c r="D721" s="119"/>
      <c r="E721" s="101"/>
      <c r="F721" s="101">
        <f t="shared" ref="F721:AL721" si="172">F683/1000000*F203</f>
        <v>0</v>
      </c>
      <c r="G721" s="101">
        <f t="shared" si="172"/>
        <v>0</v>
      </c>
      <c r="H721" s="101">
        <f t="shared" si="172"/>
        <v>0</v>
      </c>
      <c r="I721" s="101">
        <f t="shared" si="172"/>
        <v>0</v>
      </c>
      <c r="J721" s="101">
        <f t="shared" si="172"/>
        <v>0</v>
      </c>
      <c r="K721" s="101">
        <f t="shared" si="172"/>
        <v>0</v>
      </c>
      <c r="L721" s="101">
        <f t="shared" si="172"/>
        <v>0</v>
      </c>
      <c r="M721" s="101">
        <f t="shared" si="172"/>
        <v>0</v>
      </c>
      <c r="N721" s="101">
        <f t="shared" si="172"/>
        <v>0</v>
      </c>
      <c r="O721" s="101">
        <f t="shared" si="172"/>
        <v>0</v>
      </c>
      <c r="P721" s="101">
        <f t="shared" si="172"/>
        <v>0</v>
      </c>
      <c r="Q721" s="101">
        <f t="shared" si="172"/>
        <v>0</v>
      </c>
      <c r="R721" s="101">
        <f t="shared" si="172"/>
        <v>0</v>
      </c>
      <c r="S721" s="101">
        <f t="shared" si="172"/>
        <v>0</v>
      </c>
      <c r="T721" s="101">
        <f t="shared" si="172"/>
        <v>0</v>
      </c>
      <c r="U721" s="101">
        <f t="shared" si="172"/>
        <v>0</v>
      </c>
      <c r="V721" s="101">
        <f t="shared" si="172"/>
        <v>0</v>
      </c>
      <c r="W721" s="101">
        <f t="shared" si="172"/>
        <v>0</v>
      </c>
      <c r="X721" s="101">
        <f t="shared" si="172"/>
        <v>0</v>
      </c>
      <c r="Y721" s="101">
        <f t="shared" si="172"/>
        <v>0</v>
      </c>
      <c r="Z721" s="101">
        <f t="shared" si="172"/>
        <v>0</v>
      </c>
      <c r="AA721" s="101">
        <f t="shared" si="172"/>
        <v>0</v>
      </c>
      <c r="AB721" s="101">
        <f t="shared" si="172"/>
        <v>0</v>
      </c>
      <c r="AC721" s="101">
        <f t="shared" si="172"/>
        <v>0</v>
      </c>
      <c r="AD721" s="101">
        <f t="shared" si="172"/>
        <v>0</v>
      </c>
      <c r="AE721" s="101">
        <f t="shared" si="172"/>
        <v>0</v>
      </c>
      <c r="AF721" s="101">
        <f t="shared" si="172"/>
        <v>0</v>
      </c>
      <c r="AG721" s="101">
        <f t="shared" si="172"/>
        <v>0</v>
      </c>
      <c r="AH721" s="101">
        <f t="shared" si="172"/>
        <v>0</v>
      </c>
      <c r="AI721" s="101">
        <f t="shared" si="172"/>
        <v>0</v>
      </c>
      <c r="AJ721" s="101">
        <f t="shared" si="172"/>
        <v>7.3914170661477053E-3</v>
      </c>
      <c r="AK721" s="101">
        <f t="shared" si="172"/>
        <v>0</v>
      </c>
      <c r="AL721" s="101">
        <f t="shared" si="172"/>
        <v>0</v>
      </c>
      <c r="AM721" s="380">
        <f t="shared" si="146"/>
        <v>7.3914170661477053E-3</v>
      </c>
    </row>
    <row r="722" spans="1:39" x14ac:dyDescent="0.2">
      <c r="A722" s="8"/>
      <c r="B722" s="117" t="s">
        <v>314</v>
      </c>
      <c r="C722" s="118" t="s">
        <v>83</v>
      </c>
      <c r="D722" s="119"/>
      <c r="E722" s="101"/>
      <c r="F722" s="101">
        <f t="shared" ref="F722:AL722" si="173">F684/1000000*F204</f>
        <v>2.0225535767647209E-2</v>
      </c>
      <c r="G722" s="101">
        <f t="shared" si="173"/>
        <v>9.4642343027107785E-3</v>
      </c>
      <c r="H722" s="101">
        <f t="shared" si="173"/>
        <v>6.1697859762908924E-4</v>
      </c>
      <c r="I722" s="101">
        <f t="shared" si="173"/>
        <v>0</v>
      </c>
      <c r="J722" s="101">
        <f t="shared" si="173"/>
        <v>4.3028548167308688E-3</v>
      </c>
      <c r="K722" s="101">
        <f t="shared" si="173"/>
        <v>7.6550652020224342E-5</v>
      </c>
      <c r="L722" s="101">
        <f t="shared" si="173"/>
        <v>0</v>
      </c>
      <c r="M722" s="101">
        <f t="shared" si="173"/>
        <v>0</v>
      </c>
      <c r="N722" s="101">
        <f t="shared" si="173"/>
        <v>0.24136499726913851</v>
      </c>
      <c r="O722" s="101">
        <f t="shared" si="173"/>
        <v>1.8845791843047351E-2</v>
      </c>
      <c r="P722" s="101">
        <f t="shared" si="173"/>
        <v>3.9118627178777822E-2</v>
      </c>
      <c r="Q722" s="101">
        <f t="shared" si="173"/>
        <v>2.8567081476892385E-4</v>
      </c>
      <c r="R722" s="101">
        <f t="shared" si="173"/>
        <v>4.3701269757590554E-3</v>
      </c>
      <c r="S722" s="101">
        <f t="shared" si="173"/>
        <v>7.7546857005073664E-3</v>
      </c>
      <c r="T722" s="101">
        <f t="shared" si="173"/>
        <v>7.6965682147490097E-2</v>
      </c>
      <c r="U722" s="101">
        <f t="shared" si="173"/>
        <v>7.5193522041798622E-3</v>
      </c>
      <c r="V722" s="101">
        <f t="shared" si="173"/>
        <v>1.0818378644889117E-3</v>
      </c>
      <c r="W722" s="101">
        <f t="shared" si="173"/>
        <v>7.3893189484302022E-3</v>
      </c>
      <c r="X722" s="101">
        <f t="shared" si="173"/>
        <v>0</v>
      </c>
      <c r="Y722" s="101">
        <f t="shared" si="173"/>
        <v>0</v>
      </c>
      <c r="Z722" s="101">
        <f t="shared" si="173"/>
        <v>0</v>
      </c>
      <c r="AA722" s="101">
        <f t="shared" si="173"/>
        <v>5.1807646743382832E-4</v>
      </c>
      <c r="AB722" s="101">
        <f t="shared" si="173"/>
        <v>1.7119986201087398E-4</v>
      </c>
      <c r="AC722" s="101">
        <f t="shared" si="173"/>
        <v>4.5957374397068276E-2</v>
      </c>
      <c r="AD722" s="101">
        <f t="shared" si="173"/>
        <v>0</v>
      </c>
      <c r="AE722" s="101">
        <f t="shared" si="173"/>
        <v>5.3792145003311864E-3</v>
      </c>
      <c r="AF722" s="101">
        <f t="shared" si="173"/>
        <v>0</v>
      </c>
      <c r="AG722" s="101">
        <f t="shared" si="173"/>
        <v>2.4904701759993629E-3</v>
      </c>
      <c r="AH722" s="101">
        <f t="shared" si="173"/>
        <v>9.0573129550972558E-5</v>
      </c>
      <c r="AI722" s="101">
        <f t="shared" si="173"/>
        <v>0</v>
      </c>
      <c r="AJ722" s="101">
        <f t="shared" si="173"/>
        <v>0</v>
      </c>
      <c r="AK722" s="101">
        <f t="shared" si="173"/>
        <v>1.3114981696702658E-3</v>
      </c>
      <c r="AL722" s="101">
        <f t="shared" si="173"/>
        <v>0</v>
      </c>
      <c r="AM722" s="380">
        <f t="shared" si="146"/>
        <v>0.49530065178539101</v>
      </c>
    </row>
    <row r="723" spans="1:39" x14ac:dyDescent="0.2">
      <c r="A723" s="8"/>
      <c r="B723" s="117" t="s">
        <v>315</v>
      </c>
      <c r="C723" s="118" t="s">
        <v>83</v>
      </c>
      <c r="D723" s="119"/>
      <c r="E723" s="101"/>
      <c r="F723" s="101">
        <f t="shared" ref="F723:AL723" si="174">F685/1000000*F205</f>
        <v>9.8621028627089657E-2</v>
      </c>
      <c r="G723" s="101">
        <f t="shared" si="174"/>
        <v>0.91432728207499225</v>
      </c>
      <c r="H723" s="101">
        <f t="shared" si="174"/>
        <v>1.6745539765030088E-2</v>
      </c>
      <c r="I723" s="101">
        <f t="shared" si="174"/>
        <v>0.50177769789646909</v>
      </c>
      <c r="J723" s="101">
        <f t="shared" si="174"/>
        <v>0.40529841632695141</v>
      </c>
      <c r="K723" s="101">
        <f t="shared" si="174"/>
        <v>1.3389040184416199</v>
      </c>
      <c r="L723" s="101">
        <f t="shared" si="174"/>
        <v>1.2901928760247671E-4</v>
      </c>
      <c r="M723" s="101">
        <f t="shared" si="174"/>
        <v>0.75164940936249669</v>
      </c>
      <c r="N723" s="101">
        <f t="shared" si="174"/>
        <v>2.1839611491934606E-2</v>
      </c>
      <c r="O723" s="101">
        <f t="shared" si="174"/>
        <v>2.4784975276767308E-4</v>
      </c>
      <c r="P723" s="101">
        <f t="shared" si="174"/>
        <v>8.0268035659747253E-4</v>
      </c>
      <c r="Q723" s="101">
        <f t="shared" si="174"/>
        <v>0</v>
      </c>
      <c r="R723" s="101">
        <f t="shared" si="174"/>
        <v>1.9865701147949873E-4</v>
      </c>
      <c r="S723" s="101">
        <f t="shared" si="174"/>
        <v>0</v>
      </c>
      <c r="T723" s="101">
        <f t="shared" si="174"/>
        <v>0</v>
      </c>
      <c r="U723" s="101">
        <f t="shared" si="174"/>
        <v>1.585531559589675E-3</v>
      </c>
      <c r="V723" s="101">
        <f t="shared" si="174"/>
        <v>0</v>
      </c>
      <c r="W723" s="101">
        <f t="shared" si="174"/>
        <v>0</v>
      </c>
      <c r="X723" s="101">
        <f t="shared" si="174"/>
        <v>0</v>
      </c>
      <c r="Y723" s="101">
        <f t="shared" si="174"/>
        <v>0</v>
      </c>
      <c r="Z723" s="101">
        <f t="shared" si="174"/>
        <v>0</v>
      </c>
      <c r="AA723" s="101">
        <f t="shared" si="174"/>
        <v>0</v>
      </c>
      <c r="AB723" s="101">
        <f t="shared" si="174"/>
        <v>1.2338728793576502E-4</v>
      </c>
      <c r="AC723" s="101">
        <f t="shared" si="174"/>
        <v>1.8150963162972935E-3</v>
      </c>
      <c r="AD723" s="101">
        <f t="shared" si="174"/>
        <v>0</v>
      </c>
      <c r="AE723" s="101">
        <f t="shared" si="174"/>
        <v>0</v>
      </c>
      <c r="AF723" s="101">
        <f t="shared" si="174"/>
        <v>0</v>
      </c>
      <c r="AG723" s="101">
        <f t="shared" si="174"/>
        <v>5.9545975128902389E-5</v>
      </c>
      <c r="AH723" s="101">
        <f t="shared" si="174"/>
        <v>0</v>
      </c>
      <c r="AI723" s="101">
        <f t="shared" si="174"/>
        <v>0</v>
      </c>
      <c r="AJ723" s="101">
        <f t="shared" si="174"/>
        <v>0</v>
      </c>
      <c r="AK723" s="101">
        <f t="shared" si="174"/>
        <v>0</v>
      </c>
      <c r="AL723" s="101">
        <f t="shared" si="174"/>
        <v>0</v>
      </c>
      <c r="AM723" s="380">
        <f t="shared" si="146"/>
        <v>4.0541247715339805</v>
      </c>
    </row>
    <row r="724" spans="1:39" x14ac:dyDescent="0.2">
      <c r="A724" s="8"/>
      <c r="B724" s="117" t="s">
        <v>316</v>
      </c>
      <c r="C724" s="118" t="s">
        <v>83</v>
      </c>
      <c r="D724" s="119"/>
      <c r="E724" s="101"/>
      <c r="F724" s="101">
        <f t="shared" ref="F724:AL724" si="175">F686/1000000*F206</f>
        <v>0.90695901870670859</v>
      </c>
      <c r="G724" s="101">
        <f t="shared" si="175"/>
        <v>4.4269287810928502</v>
      </c>
      <c r="H724" s="101">
        <f t="shared" si="175"/>
        <v>0.99823198509148892</v>
      </c>
      <c r="I724" s="101">
        <f t="shared" si="175"/>
        <v>19.44878420526496</v>
      </c>
      <c r="J724" s="101">
        <f t="shared" si="175"/>
        <v>42.402290855752987</v>
      </c>
      <c r="K724" s="101">
        <f t="shared" si="175"/>
        <v>10.574350280309094</v>
      </c>
      <c r="L724" s="101">
        <f t="shared" si="175"/>
        <v>29.753476878687685</v>
      </c>
      <c r="M724" s="101">
        <f t="shared" si="175"/>
        <v>22.608789089613389</v>
      </c>
      <c r="N724" s="101">
        <f t="shared" si="175"/>
        <v>7.1096239115688356</v>
      </c>
      <c r="O724" s="101">
        <f t="shared" si="175"/>
        <v>10.830135048885936</v>
      </c>
      <c r="P724" s="101">
        <f t="shared" si="175"/>
        <v>31.560303030575025</v>
      </c>
      <c r="Q724" s="101">
        <f t="shared" si="175"/>
        <v>5.148293727393904</v>
      </c>
      <c r="R724" s="101">
        <f t="shared" si="175"/>
        <v>94.386275821418963</v>
      </c>
      <c r="S724" s="101">
        <f t="shared" si="175"/>
        <v>29.567304297564601</v>
      </c>
      <c r="T724" s="101">
        <f t="shared" si="175"/>
        <v>82.218792381754866</v>
      </c>
      <c r="U724" s="101">
        <f t="shared" si="175"/>
        <v>13.64249874547771</v>
      </c>
      <c r="V724" s="101">
        <f t="shared" si="175"/>
        <v>33.190680008491533</v>
      </c>
      <c r="W724" s="101">
        <f t="shared" si="175"/>
        <v>2.4269635978249293</v>
      </c>
      <c r="X724" s="101">
        <f t="shared" si="175"/>
        <v>0.39366893588323293</v>
      </c>
      <c r="Y724" s="101">
        <f t="shared" si="175"/>
        <v>6.7782260666250469</v>
      </c>
      <c r="Z724" s="101">
        <f t="shared" si="175"/>
        <v>0.81015077671122071</v>
      </c>
      <c r="AA724" s="101">
        <f t="shared" si="175"/>
        <v>5.1428823459938426</v>
      </c>
      <c r="AB724" s="101">
        <f t="shared" si="175"/>
        <v>4.6200259401071886</v>
      </c>
      <c r="AC724" s="101">
        <f t="shared" si="175"/>
        <v>17.748783543489072</v>
      </c>
      <c r="AD724" s="101">
        <f t="shared" si="175"/>
        <v>2.4494663857793046</v>
      </c>
      <c r="AE724" s="101">
        <f t="shared" si="175"/>
        <v>14.928746902551721</v>
      </c>
      <c r="AF724" s="101">
        <f t="shared" si="175"/>
        <v>2.769512580589176</v>
      </c>
      <c r="AG724" s="101">
        <f t="shared" si="175"/>
        <v>7.9612538289297916</v>
      </c>
      <c r="AH724" s="101">
        <f t="shared" si="175"/>
        <v>4.0864308337082189</v>
      </c>
      <c r="AI724" s="101">
        <f t="shared" si="175"/>
        <v>0.90832811354902465</v>
      </c>
      <c r="AJ724" s="101">
        <f t="shared" si="175"/>
        <v>1.4833871593863581</v>
      </c>
      <c r="AK724" s="101">
        <f t="shared" si="175"/>
        <v>0.29428064121186992</v>
      </c>
      <c r="AL724" s="101">
        <f t="shared" si="175"/>
        <v>0.88183702384582441</v>
      </c>
      <c r="AM724" s="380">
        <f t="shared" si="146"/>
        <v>512.45766274383641</v>
      </c>
    </row>
    <row r="725" spans="1:39" x14ac:dyDescent="0.2">
      <c r="A725" s="8"/>
      <c r="B725" s="117" t="s">
        <v>317</v>
      </c>
      <c r="C725" s="118" t="s">
        <v>83</v>
      </c>
      <c r="D725" s="119"/>
      <c r="E725" s="101"/>
      <c r="F725" s="101">
        <f t="shared" ref="F725:AL725" si="176">F687/1000000*F207</f>
        <v>0.21406908455661716</v>
      </c>
      <c r="G725" s="101">
        <f t="shared" si="176"/>
        <v>0.16775291449999027</v>
      </c>
      <c r="H725" s="101">
        <f t="shared" si="176"/>
        <v>0.13249338911764699</v>
      </c>
      <c r="I725" s="101">
        <f t="shared" si="176"/>
        <v>0.58186587771062281</v>
      </c>
      <c r="J725" s="101">
        <f t="shared" si="176"/>
        <v>0.46349614715161092</v>
      </c>
      <c r="K725" s="101">
        <f t="shared" si="176"/>
        <v>0.14782051994321865</v>
      </c>
      <c r="L725" s="101">
        <f t="shared" si="176"/>
        <v>0.2916936131433277</v>
      </c>
      <c r="M725" s="101">
        <f t="shared" si="176"/>
        <v>0.32778544463319659</v>
      </c>
      <c r="N725" s="101">
        <f t="shared" si="176"/>
        <v>0.47533363113174104</v>
      </c>
      <c r="O725" s="101">
        <f t="shared" si="176"/>
        <v>0.22759182543712242</v>
      </c>
      <c r="P725" s="101">
        <f t="shared" si="176"/>
        <v>0.72738078778120951</v>
      </c>
      <c r="Q725" s="101">
        <f t="shared" si="176"/>
        <v>0.16128520438551769</v>
      </c>
      <c r="R725" s="101">
        <f t="shared" si="176"/>
        <v>0.68651598027414296</v>
      </c>
      <c r="S725" s="101">
        <f t="shared" si="176"/>
        <v>0.34700021759484734</v>
      </c>
      <c r="T725" s="101">
        <f t="shared" si="176"/>
        <v>0.74732485508097346</v>
      </c>
      <c r="U725" s="101">
        <f t="shared" si="176"/>
        <v>0.83740850571123371</v>
      </c>
      <c r="V725" s="101">
        <f t="shared" si="176"/>
        <v>0.69517977988304147</v>
      </c>
      <c r="W725" s="101">
        <f t="shared" si="176"/>
        <v>0.12749780523322082</v>
      </c>
      <c r="X725" s="101">
        <f t="shared" si="176"/>
        <v>3.4946468550360939E-2</v>
      </c>
      <c r="Y725" s="101">
        <f t="shared" si="176"/>
        <v>7.0181209841174277E-2</v>
      </c>
      <c r="Z725" s="101">
        <f t="shared" si="176"/>
        <v>0.16330525714547622</v>
      </c>
      <c r="AA725" s="101">
        <f t="shared" si="176"/>
        <v>0.15426894854040632</v>
      </c>
      <c r="AB725" s="101">
        <f t="shared" si="176"/>
        <v>0.16933157383507463</v>
      </c>
      <c r="AC725" s="101">
        <f t="shared" si="176"/>
        <v>0.4295793362009902</v>
      </c>
      <c r="AD725" s="101">
        <f t="shared" si="176"/>
        <v>0.10697311761756104</v>
      </c>
      <c r="AE725" s="101">
        <f t="shared" si="176"/>
        <v>0.12500908344807543</v>
      </c>
      <c r="AF725" s="101">
        <f t="shared" si="176"/>
        <v>5.1404597891281288E-2</v>
      </c>
      <c r="AG725" s="101">
        <f t="shared" si="176"/>
        <v>0.21017481044938563</v>
      </c>
      <c r="AH725" s="101">
        <f t="shared" si="176"/>
        <v>0.24838883400219186</v>
      </c>
      <c r="AI725" s="101">
        <f t="shared" si="176"/>
        <v>0.22286446935715437</v>
      </c>
      <c r="AJ725" s="101">
        <f t="shared" si="176"/>
        <v>0.25122566867023155</v>
      </c>
      <c r="AK725" s="101">
        <f t="shared" si="176"/>
        <v>0.55972445484448441</v>
      </c>
      <c r="AL725" s="101">
        <f t="shared" si="176"/>
        <v>0.43460068682866365</v>
      </c>
      <c r="AM725" s="380">
        <f t="shared" si="146"/>
        <v>10.591474100491794</v>
      </c>
    </row>
    <row r="726" spans="1:39" x14ac:dyDescent="0.2">
      <c r="A726" s="8"/>
      <c r="B726" s="117" t="s">
        <v>318</v>
      </c>
      <c r="C726" s="118" t="s">
        <v>83</v>
      </c>
      <c r="D726" s="119"/>
      <c r="E726" s="101"/>
      <c r="F726" s="101">
        <f t="shared" ref="F726:AL726" si="177">F688/1000000*F208</f>
        <v>4.7286876293066786</v>
      </c>
      <c r="G726" s="101">
        <f t="shared" si="177"/>
        <v>9.0041286051174527</v>
      </c>
      <c r="H726" s="101">
        <f t="shared" si="177"/>
        <v>1.1896075916176838</v>
      </c>
      <c r="I726" s="101">
        <f t="shared" si="177"/>
        <v>13.609943209553881</v>
      </c>
      <c r="J726" s="101">
        <f t="shared" si="177"/>
        <v>4.6028152350931304</v>
      </c>
      <c r="K726" s="101">
        <f t="shared" si="177"/>
        <v>1.0992107129357851</v>
      </c>
      <c r="L726" s="101">
        <f t="shared" si="177"/>
        <v>3.783917512142577</v>
      </c>
      <c r="M726" s="101">
        <f t="shared" si="177"/>
        <v>3.7860354301219465</v>
      </c>
      <c r="N726" s="101">
        <f t="shared" si="177"/>
        <v>173.08970635200509</v>
      </c>
      <c r="O726" s="101">
        <f t="shared" si="177"/>
        <v>21.976340760022072</v>
      </c>
      <c r="P726" s="101">
        <f t="shared" si="177"/>
        <v>17.366313703138832</v>
      </c>
      <c r="Q726" s="101">
        <f t="shared" si="177"/>
        <v>3.136522218219512</v>
      </c>
      <c r="R726" s="101">
        <f t="shared" si="177"/>
        <v>8.7769884051592637</v>
      </c>
      <c r="S726" s="101">
        <f t="shared" si="177"/>
        <v>25.82829811418231</v>
      </c>
      <c r="T726" s="101">
        <f t="shared" si="177"/>
        <v>32.736511576691534</v>
      </c>
      <c r="U726" s="101">
        <f t="shared" si="177"/>
        <v>30.257065685084996</v>
      </c>
      <c r="V726" s="101">
        <f t="shared" si="177"/>
        <v>42.25246654028247</v>
      </c>
      <c r="W726" s="101">
        <f t="shared" si="177"/>
        <v>2.773032253850868</v>
      </c>
      <c r="X726" s="101">
        <f t="shared" si="177"/>
        <v>1.0250965507823913</v>
      </c>
      <c r="Y726" s="101">
        <f t="shared" si="177"/>
        <v>5.6611214148802818</v>
      </c>
      <c r="Z726" s="101">
        <f t="shared" si="177"/>
        <v>42.236790863319357</v>
      </c>
      <c r="AA726" s="101">
        <f t="shared" si="177"/>
        <v>33.22482940107566</v>
      </c>
      <c r="AB726" s="101">
        <f t="shared" si="177"/>
        <v>22.488380752351084</v>
      </c>
      <c r="AC726" s="101">
        <f t="shared" si="177"/>
        <v>75.874204653963162</v>
      </c>
      <c r="AD726" s="101">
        <f t="shared" si="177"/>
        <v>2.5326183575267804</v>
      </c>
      <c r="AE726" s="101">
        <f t="shared" si="177"/>
        <v>4.9356823445816058</v>
      </c>
      <c r="AF726" s="101">
        <f t="shared" si="177"/>
        <v>0.3210295310102757</v>
      </c>
      <c r="AG726" s="101">
        <f t="shared" si="177"/>
        <v>25.941272765144998</v>
      </c>
      <c r="AH726" s="101">
        <f t="shared" si="177"/>
        <v>3.0762689990524099</v>
      </c>
      <c r="AI726" s="101">
        <f t="shared" si="177"/>
        <v>24.791086170830088</v>
      </c>
      <c r="AJ726" s="101">
        <f t="shared" si="177"/>
        <v>30.541608044628546</v>
      </c>
      <c r="AK726" s="101">
        <f t="shared" si="177"/>
        <v>17.074333352964384</v>
      </c>
      <c r="AL726" s="101">
        <f t="shared" si="177"/>
        <v>11.023789933841437</v>
      </c>
      <c r="AM726" s="380">
        <f t="shared" si="146"/>
        <v>700.7457046704784</v>
      </c>
    </row>
    <row r="727" spans="1:39" x14ac:dyDescent="0.2">
      <c r="A727" s="8"/>
      <c r="B727" s="61" t="s">
        <v>319</v>
      </c>
      <c r="C727" s="118" t="s">
        <v>83</v>
      </c>
      <c r="D727" s="119"/>
      <c r="E727" s="101"/>
      <c r="F727" s="101">
        <f t="shared" ref="F727:AL727" si="178">F689/1000000*F209</f>
        <v>3.5917350040502711</v>
      </c>
      <c r="G727" s="101">
        <f t="shared" si="178"/>
        <v>8.1925372871994604</v>
      </c>
      <c r="H727" s="101">
        <f t="shared" si="178"/>
        <v>3.2009664617871265</v>
      </c>
      <c r="I727" s="101">
        <f t="shared" si="178"/>
        <v>14.071604345945428</v>
      </c>
      <c r="J727" s="101">
        <f t="shared" si="178"/>
        <v>66.585631888964983</v>
      </c>
      <c r="K727" s="101">
        <f t="shared" si="178"/>
        <v>26.235170191151024</v>
      </c>
      <c r="L727" s="101">
        <f t="shared" si="178"/>
        <v>122.39737309791309</v>
      </c>
      <c r="M727" s="101">
        <f t="shared" si="178"/>
        <v>17.795599922238893</v>
      </c>
      <c r="N727" s="101">
        <f t="shared" si="178"/>
        <v>14.129964172221563</v>
      </c>
      <c r="O727" s="101">
        <f t="shared" si="178"/>
        <v>23.968405703431284</v>
      </c>
      <c r="P727" s="101">
        <f t="shared" si="178"/>
        <v>55.076311756600546</v>
      </c>
      <c r="Q727" s="101">
        <f t="shared" si="178"/>
        <v>9.3598846080571807</v>
      </c>
      <c r="R727" s="101">
        <f t="shared" si="178"/>
        <v>642.09537114440548</v>
      </c>
      <c r="S727" s="101">
        <f t="shared" si="178"/>
        <v>207.58883916142241</v>
      </c>
      <c r="T727" s="101">
        <f t="shared" si="178"/>
        <v>546.29995518841804</v>
      </c>
      <c r="U727" s="101">
        <f t="shared" si="178"/>
        <v>198.50359873507756</v>
      </c>
      <c r="V727" s="101">
        <f t="shared" si="178"/>
        <v>460.6161375978333</v>
      </c>
      <c r="W727" s="101">
        <f t="shared" si="178"/>
        <v>40.001530979910832</v>
      </c>
      <c r="X727" s="101">
        <f t="shared" si="178"/>
        <v>5.5917881271791519</v>
      </c>
      <c r="Y727" s="101">
        <f t="shared" si="178"/>
        <v>39.25998847012405</v>
      </c>
      <c r="Z727" s="101">
        <f t="shared" si="178"/>
        <v>21.161067704674402</v>
      </c>
      <c r="AA727" s="101">
        <f t="shared" si="178"/>
        <v>26.658932121271558</v>
      </c>
      <c r="AB727" s="101">
        <f t="shared" si="178"/>
        <v>174.00900796026488</v>
      </c>
      <c r="AC727" s="101">
        <f t="shared" si="178"/>
        <v>165.75852740784507</v>
      </c>
      <c r="AD727" s="101">
        <f t="shared" si="178"/>
        <v>8.1561823816370325</v>
      </c>
      <c r="AE727" s="101">
        <f t="shared" si="178"/>
        <v>134.38631115382898</v>
      </c>
      <c r="AF727" s="101">
        <f t="shared" si="178"/>
        <v>14.851528444214452</v>
      </c>
      <c r="AG727" s="101">
        <f t="shared" si="178"/>
        <v>88.340406007805385</v>
      </c>
      <c r="AH727" s="101">
        <f t="shared" si="178"/>
        <v>136.9838979091293</v>
      </c>
      <c r="AI727" s="101">
        <f t="shared" si="178"/>
        <v>7.3529306504619028</v>
      </c>
      <c r="AJ727" s="101">
        <f t="shared" si="178"/>
        <v>4.5432868421908177</v>
      </c>
      <c r="AK727" s="101">
        <f t="shared" si="178"/>
        <v>5.7842543892944631</v>
      </c>
      <c r="AL727" s="101">
        <f t="shared" si="178"/>
        <v>3.0553444356587018</v>
      </c>
      <c r="AM727" s="380">
        <f t="shared" si="146"/>
        <v>3295.6040712522085</v>
      </c>
    </row>
    <row r="728" spans="1:39" x14ac:dyDescent="0.2">
      <c r="A728" s="8"/>
      <c r="B728" s="61" t="s">
        <v>320</v>
      </c>
      <c r="C728" s="118" t="s">
        <v>83</v>
      </c>
      <c r="D728" s="119"/>
      <c r="E728" s="101"/>
      <c r="F728" s="101">
        <f t="shared" ref="F728:AL728" si="179">F690/1000000*F210</f>
        <v>0</v>
      </c>
      <c r="G728" s="101">
        <f t="shared" si="179"/>
        <v>5.6547328389079498E-9</v>
      </c>
      <c r="H728" s="101">
        <f t="shared" si="179"/>
        <v>0</v>
      </c>
      <c r="I728" s="101">
        <f t="shared" si="179"/>
        <v>0</v>
      </c>
      <c r="J728" s="101">
        <f t="shared" si="179"/>
        <v>151.63138429046677</v>
      </c>
      <c r="K728" s="101">
        <f t="shared" si="179"/>
        <v>68.669997176800251</v>
      </c>
      <c r="L728" s="101">
        <f t="shared" si="179"/>
        <v>127.3610637423261</v>
      </c>
      <c r="M728" s="101">
        <f t="shared" si="179"/>
        <v>0</v>
      </c>
      <c r="N728" s="101">
        <f t="shared" si="179"/>
        <v>0</v>
      </c>
      <c r="O728" s="101">
        <f t="shared" si="179"/>
        <v>0</v>
      </c>
      <c r="P728" s="101">
        <f t="shared" si="179"/>
        <v>303.80584785754922</v>
      </c>
      <c r="Q728" s="101">
        <f t="shared" si="179"/>
        <v>0</v>
      </c>
      <c r="R728" s="101">
        <f t="shared" si="179"/>
        <v>114.79834651766433</v>
      </c>
      <c r="S728" s="101">
        <f t="shared" si="179"/>
        <v>128.91223900395025</v>
      </c>
      <c r="T728" s="101">
        <f t="shared" si="179"/>
        <v>283.86005625076132</v>
      </c>
      <c r="U728" s="101">
        <f t="shared" si="179"/>
        <v>0</v>
      </c>
      <c r="V728" s="101">
        <f t="shared" si="179"/>
        <v>937.5945178367499</v>
      </c>
      <c r="W728" s="101">
        <f t="shared" si="179"/>
        <v>189.30829711891209</v>
      </c>
      <c r="X728" s="101">
        <f t="shared" si="179"/>
        <v>107.08158694636151</v>
      </c>
      <c r="Y728" s="101">
        <f t="shared" si="179"/>
        <v>126.40152391702573</v>
      </c>
      <c r="Z728" s="101">
        <f t="shared" si="179"/>
        <v>65.36511982279373</v>
      </c>
      <c r="AA728" s="101">
        <f t="shared" si="179"/>
        <v>123.81048915988258</v>
      </c>
      <c r="AB728" s="101">
        <f t="shared" si="179"/>
        <v>186.67549285576436</v>
      </c>
      <c r="AC728" s="101">
        <f t="shared" si="179"/>
        <v>186.47779773689021</v>
      </c>
      <c r="AD728" s="101">
        <f t="shared" si="179"/>
        <v>0</v>
      </c>
      <c r="AE728" s="101">
        <f t="shared" si="179"/>
        <v>146.13996660817236</v>
      </c>
      <c r="AF728" s="101">
        <f t="shared" si="179"/>
        <v>0</v>
      </c>
      <c r="AG728" s="101">
        <f t="shared" si="179"/>
        <v>120.0675639460413</v>
      </c>
      <c r="AH728" s="101">
        <f t="shared" si="179"/>
        <v>266.3891923375262</v>
      </c>
      <c r="AI728" s="101">
        <f t="shared" si="179"/>
        <v>0</v>
      </c>
      <c r="AJ728" s="101">
        <f t="shared" si="179"/>
        <v>0</v>
      </c>
      <c r="AK728" s="101">
        <f t="shared" si="179"/>
        <v>0</v>
      </c>
      <c r="AL728" s="101">
        <f t="shared" si="179"/>
        <v>0</v>
      </c>
      <c r="AM728" s="380">
        <f t="shared" si="146"/>
        <v>3634.350483131293</v>
      </c>
    </row>
    <row r="729" spans="1:39" x14ac:dyDescent="0.2">
      <c r="A729" s="8"/>
      <c r="B729" s="61" t="s">
        <v>839</v>
      </c>
      <c r="C729" s="118" t="s">
        <v>83</v>
      </c>
      <c r="D729" s="119"/>
      <c r="E729" s="101"/>
      <c r="F729" s="101">
        <f t="shared" ref="F729:AL729" si="180">F691/1000000*F211</f>
        <v>0</v>
      </c>
      <c r="G729" s="101">
        <f t="shared" si="180"/>
        <v>0</v>
      </c>
      <c r="H729" s="101">
        <f t="shared" si="180"/>
        <v>0</v>
      </c>
      <c r="I729" s="101">
        <f t="shared" si="180"/>
        <v>0</v>
      </c>
      <c r="J729" s="101">
        <f t="shared" si="180"/>
        <v>0</v>
      </c>
      <c r="K729" s="101">
        <f t="shared" si="180"/>
        <v>0</v>
      </c>
      <c r="L729" s="101">
        <f t="shared" si="180"/>
        <v>0</v>
      </c>
      <c r="M729" s="101">
        <f t="shared" si="180"/>
        <v>0</v>
      </c>
      <c r="N729" s="101">
        <f t="shared" si="180"/>
        <v>0</v>
      </c>
      <c r="O729" s="101">
        <f t="shared" si="180"/>
        <v>0</v>
      </c>
      <c r="P729" s="101">
        <f t="shared" si="180"/>
        <v>0</v>
      </c>
      <c r="Q729" s="101">
        <f t="shared" si="180"/>
        <v>0</v>
      </c>
      <c r="R729" s="101">
        <f t="shared" si="180"/>
        <v>0</v>
      </c>
      <c r="S729" s="101">
        <f t="shared" si="180"/>
        <v>0</v>
      </c>
      <c r="T729" s="101">
        <f t="shared" si="180"/>
        <v>0</v>
      </c>
      <c r="U729" s="101">
        <f t="shared" si="180"/>
        <v>0</v>
      </c>
      <c r="V729" s="101">
        <f t="shared" si="180"/>
        <v>0</v>
      </c>
      <c r="W729" s="101">
        <f t="shared" si="180"/>
        <v>0</v>
      </c>
      <c r="X729" s="101">
        <f t="shared" si="180"/>
        <v>0</v>
      </c>
      <c r="Y729" s="101">
        <f t="shared" si="180"/>
        <v>0</v>
      </c>
      <c r="Z729" s="101">
        <f t="shared" si="180"/>
        <v>0</v>
      </c>
      <c r="AA729" s="101">
        <f t="shared" si="180"/>
        <v>0</v>
      </c>
      <c r="AB729" s="101">
        <f t="shared" si="180"/>
        <v>0</v>
      </c>
      <c r="AC729" s="101">
        <f t="shared" si="180"/>
        <v>0</v>
      </c>
      <c r="AD729" s="101">
        <f t="shared" si="180"/>
        <v>0</v>
      </c>
      <c r="AE729" s="101">
        <f t="shared" si="180"/>
        <v>0</v>
      </c>
      <c r="AF729" s="101">
        <f t="shared" si="180"/>
        <v>0</v>
      </c>
      <c r="AG729" s="101">
        <f t="shared" si="180"/>
        <v>0</v>
      </c>
      <c r="AH729" s="101">
        <f t="shared" si="180"/>
        <v>0</v>
      </c>
      <c r="AI729" s="101">
        <f t="shared" si="180"/>
        <v>0</v>
      </c>
      <c r="AJ729" s="101">
        <f t="shared" si="180"/>
        <v>0</v>
      </c>
      <c r="AK729" s="101">
        <f t="shared" si="180"/>
        <v>0</v>
      </c>
      <c r="AL729" s="101">
        <f t="shared" si="180"/>
        <v>0</v>
      </c>
      <c r="AM729" s="380">
        <f t="shared" si="146"/>
        <v>0</v>
      </c>
    </row>
    <row r="730" spans="1:39" x14ac:dyDescent="0.2">
      <c r="A730" s="8"/>
      <c r="B730" s="61"/>
      <c r="C730" s="118"/>
      <c r="D730" s="119"/>
      <c r="E730" s="101"/>
      <c r="F730" s="101"/>
      <c r="G730" s="101"/>
      <c r="H730" s="101"/>
      <c r="I730" s="101"/>
      <c r="J730" s="101"/>
      <c r="K730" s="101"/>
      <c r="L730" s="101"/>
      <c r="M730" s="101"/>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c r="AJ730" s="101"/>
      <c r="AK730" s="101"/>
      <c r="AL730" s="101"/>
      <c r="AM730" s="380"/>
    </row>
    <row r="731" spans="1:39" x14ac:dyDescent="0.2">
      <c r="A731" s="8"/>
      <c r="B731" s="187" t="s">
        <v>321</v>
      </c>
      <c r="C731" s="126" t="s">
        <v>176</v>
      </c>
      <c r="D731" s="127"/>
      <c r="E731" s="122"/>
      <c r="F731" s="122">
        <f>SUM(F694:F727,F729)</f>
        <v>213.29792396744685</v>
      </c>
      <c r="G731" s="122">
        <f t="shared" ref="G731:AL731" si="181">SUM(G694:G727,G729)</f>
        <v>147.21339844673085</v>
      </c>
      <c r="H731" s="122">
        <f t="shared" si="181"/>
        <v>160.09385564286657</v>
      </c>
      <c r="I731" s="122">
        <f t="shared" si="181"/>
        <v>482.93764963210901</v>
      </c>
      <c r="J731" s="122">
        <f t="shared" si="181"/>
        <v>247.46625044208736</v>
      </c>
      <c r="K731" s="122">
        <f t="shared" si="181"/>
        <v>120.70825889203581</v>
      </c>
      <c r="L731" s="122">
        <f t="shared" si="181"/>
        <v>186.30883651625015</v>
      </c>
      <c r="M731" s="122">
        <f t="shared" si="181"/>
        <v>295.47333668581086</v>
      </c>
      <c r="N731" s="122">
        <f t="shared" si="181"/>
        <v>605.61311143424689</v>
      </c>
      <c r="O731" s="122">
        <f t="shared" si="181"/>
        <v>223.88443943870934</v>
      </c>
      <c r="P731" s="122">
        <f t="shared" si="181"/>
        <v>300.86809580706256</v>
      </c>
      <c r="Q731" s="122">
        <f t="shared" si="181"/>
        <v>108.36447589712095</v>
      </c>
      <c r="R731" s="122">
        <f t="shared" si="181"/>
        <v>936.83695695727079</v>
      </c>
      <c r="S731" s="122">
        <f t="shared" si="181"/>
        <v>433.13355306788924</v>
      </c>
      <c r="T731" s="122">
        <f t="shared" si="181"/>
        <v>918.34579641657297</v>
      </c>
      <c r="U731" s="122">
        <f t="shared" si="181"/>
        <v>817.01222169165317</v>
      </c>
      <c r="V731" s="122">
        <f t="shared" si="181"/>
        <v>714.17432680988691</v>
      </c>
      <c r="W731" s="122">
        <f t="shared" si="181"/>
        <v>63.466222223699233</v>
      </c>
      <c r="X731" s="122">
        <f t="shared" si="181"/>
        <v>9.3497873641305436</v>
      </c>
      <c r="Y731" s="122">
        <f t="shared" si="181"/>
        <v>90.468655629714164</v>
      </c>
      <c r="Z731" s="122">
        <f t="shared" si="181"/>
        <v>78.2820941084819</v>
      </c>
      <c r="AA731" s="122">
        <f t="shared" si="181"/>
        <v>117.99811816192934</v>
      </c>
      <c r="AB731" s="122">
        <f t="shared" si="181"/>
        <v>218.43120856992994</v>
      </c>
      <c r="AC731" s="122">
        <f t="shared" si="181"/>
        <v>538.25449600102468</v>
      </c>
      <c r="AD731" s="122">
        <f t="shared" si="181"/>
        <v>42.643567993972745</v>
      </c>
      <c r="AE731" s="122">
        <f t="shared" si="181"/>
        <v>220.83996101746919</v>
      </c>
      <c r="AF731" s="122">
        <f t="shared" si="181"/>
        <v>75.024349387531274</v>
      </c>
      <c r="AG731" s="122">
        <f t="shared" si="181"/>
        <v>156.7417948453425</v>
      </c>
      <c r="AH731" s="122">
        <f t="shared" si="181"/>
        <v>151.6460150349333</v>
      </c>
      <c r="AI731" s="122">
        <f t="shared" si="181"/>
        <v>77.606858573879862</v>
      </c>
      <c r="AJ731" s="122">
        <f t="shared" si="181"/>
        <v>63.283885257194434</v>
      </c>
      <c r="AK731" s="122">
        <f t="shared" si="181"/>
        <v>60.924416155414065</v>
      </c>
      <c r="AL731" s="122">
        <f t="shared" si="181"/>
        <v>61.399363087700614</v>
      </c>
      <c r="AM731" s="380">
        <f t="shared" si="146"/>
        <v>8938.0932811581006</v>
      </c>
    </row>
    <row r="732" spans="1:39" x14ac:dyDescent="0.2">
      <c r="A732" s="8"/>
      <c r="B732" s="187" t="s">
        <v>322</v>
      </c>
      <c r="C732" s="126" t="s">
        <v>176</v>
      </c>
      <c r="D732" s="127"/>
      <c r="E732" s="122"/>
      <c r="F732" s="122">
        <f>F728</f>
        <v>0</v>
      </c>
      <c r="G732" s="122">
        <f t="shared" ref="G732:AL732" si="182">G728</f>
        <v>5.6547328389079498E-9</v>
      </c>
      <c r="H732" s="122">
        <f t="shared" si="182"/>
        <v>0</v>
      </c>
      <c r="I732" s="122">
        <f t="shared" si="182"/>
        <v>0</v>
      </c>
      <c r="J732" s="122">
        <f t="shared" si="182"/>
        <v>151.63138429046677</v>
      </c>
      <c r="K732" s="122">
        <f t="shared" si="182"/>
        <v>68.669997176800251</v>
      </c>
      <c r="L732" s="122">
        <f t="shared" si="182"/>
        <v>127.3610637423261</v>
      </c>
      <c r="M732" s="122">
        <f t="shared" si="182"/>
        <v>0</v>
      </c>
      <c r="N732" s="122">
        <f t="shared" si="182"/>
        <v>0</v>
      </c>
      <c r="O732" s="122">
        <f t="shared" si="182"/>
        <v>0</v>
      </c>
      <c r="P732" s="122">
        <f t="shared" si="182"/>
        <v>303.80584785754922</v>
      </c>
      <c r="Q732" s="122">
        <f t="shared" si="182"/>
        <v>0</v>
      </c>
      <c r="R732" s="122">
        <f t="shared" si="182"/>
        <v>114.79834651766433</v>
      </c>
      <c r="S732" s="122">
        <f t="shared" si="182"/>
        <v>128.91223900395025</v>
      </c>
      <c r="T732" s="122">
        <f t="shared" si="182"/>
        <v>283.86005625076132</v>
      </c>
      <c r="U732" s="122">
        <f t="shared" si="182"/>
        <v>0</v>
      </c>
      <c r="V732" s="122">
        <f t="shared" si="182"/>
        <v>937.5945178367499</v>
      </c>
      <c r="W732" s="122">
        <f t="shared" si="182"/>
        <v>189.30829711891209</v>
      </c>
      <c r="X732" s="122">
        <f t="shared" si="182"/>
        <v>107.08158694636151</v>
      </c>
      <c r="Y732" s="122">
        <f t="shared" si="182"/>
        <v>126.40152391702573</v>
      </c>
      <c r="Z732" s="122">
        <f t="shared" si="182"/>
        <v>65.36511982279373</v>
      </c>
      <c r="AA732" s="122">
        <f t="shared" si="182"/>
        <v>123.81048915988258</v>
      </c>
      <c r="AB732" s="122">
        <f t="shared" si="182"/>
        <v>186.67549285576436</v>
      </c>
      <c r="AC732" s="122">
        <f t="shared" si="182"/>
        <v>186.47779773689021</v>
      </c>
      <c r="AD732" s="122">
        <f t="shared" si="182"/>
        <v>0</v>
      </c>
      <c r="AE732" s="122">
        <f t="shared" si="182"/>
        <v>146.13996660817236</v>
      </c>
      <c r="AF732" s="122">
        <f t="shared" si="182"/>
        <v>0</v>
      </c>
      <c r="AG732" s="122">
        <f t="shared" si="182"/>
        <v>120.0675639460413</v>
      </c>
      <c r="AH732" s="122">
        <f t="shared" si="182"/>
        <v>266.3891923375262</v>
      </c>
      <c r="AI732" s="122">
        <f t="shared" si="182"/>
        <v>0</v>
      </c>
      <c r="AJ732" s="122">
        <f t="shared" si="182"/>
        <v>0</v>
      </c>
      <c r="AK732" s="122">
        <f t="shared" si="182"/>
        <v>0</v>
      </c>
      <c r="AL732" s="122">
        <f t="shared" si="182"/>
        <v>0</v>
      </c>
      <c r="AM732" s="380">
        <f t="shared" si="146"/>
        <v>3634.350483131293</v>
      </c>
    </row>
    <row r="733" spans="1:39" x14ac:dyDescent="0.2">
      <c r="A733" s="8"/>
      <c r="B733" s="60"/>
      <c r="C733" s="22"/>
      <c r="D733" s="8"/>
      <c r="E733" s="11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c r="AG733" s="25"/>
      <c r="AH733" s="25"/>
      <c r="AI733" s="25"/>
      <c r="AJ733" s="25"/>
      <c r="AK733" s="25"/>
      <c r="AL733" s="25"/>
      <c r="AM733" s="107"/>
    </row>
    <row r="734" spans="1:39" x14ac:dyDescent="0.2">
      <c r="A734" s="8"/>
      <c r="B734" s="62" t="s">
        <v>323</v>
      </c>
      <c r="C734" s="22"/>
      <c r="D734" s="8"/>
      <c r="E734" s="54"/>
      <c r="F734" s="25"/>
      <c r="G734" s="25"/>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107"/>
    </row>
    <row r="735" spans="1:39" x14ac:dyDescent="0.2">
      <c r="A735" s="8"/>
      <c r="B735" s="63" t="s">
        <v>324</v>
      </c>
      <c r="C735" s="123" t="s">
        <v>216</v>
      </c>
      <c r="D735" s="95" t="s">
        <v>840</v>
      </c>
      <c r="E735" s="102"/>
      <c r="F735" s="106">
        <v>0.217</v>
      </c>
      <c r="G735" s="106">
        <v>0.217</v>
      </c>
      <c r="H735" s="106">
        <v>0.217</v>
      </c>
      <c r="I735" s="106">
        <v>0.217</v>
      </c>
      <c r="J735" s="106">
        <v>0.217</v>
      </c>
      <c r="K735" s="106">
        <v>0.217</v>
      </c>
      <c r="L735" s="106">
        <v>0.217</v>
      </c>
      <c r="M735" s="106">
        <v>0.217</v>
      </c>
      <c r="N735" s="106">
        <v>0.217</v>
      </c>
      <c r="O735" s="106">
        <v>0.217</v>
      </c>
      <c r="P735" s="106">
        <v>0.217</v>
      </c>
      <c r="Q735" s="106">
        <v>0.217</v>
      </c>
      <c r="R735" s="106">
        <v>0.217</v>
      </c>
      <c r="S735" s="106">
        <v>0.217</v>
      </c>
      <c r="T735" s="106">
        <v>0.217</v>
      </c>
      <c r="U735" s="106">
        <v>0.217</v>
      </c>
      <c r="V735" s="106">
        <v>0.217</v>
      </c>
      <c r="W735" s="106">
        <v>0.217</v>
      </c>
      <c r="X735" s="106">
        <v>0.217</v>
      </c>
      <c r="Y735" s="106">
        <v>0.217</v>
      </c>
      <c r="Z735" s="106">
        <v>0.217</v>
      </c>
      <c r="AA735" s="106">
        <v>0.217</v>
      </c>
      <c r="AB735" s="106">
        <v>0.217</v>
      </c>
      <c r="AC735" s="106">
        <v>0.217</v>
      </c>
      <c r="AD735" s="106">
        <v>0.217</v>
      </c>
      <c r="AE735" s="106">
        <v>0.217</v>
      </c>
      <c r="AF735" s="106">
        <v>0.217</v>
      </c>
      <c r="AG735" s="106">
        <v>0.217</v>
      </c>
      <c r="AH735" s="106">
        <v>0.217</v>
      </c>
      <c r="AI735" s="106">
        <v>0.217</v>
      </c>
      <c r="AJ735" s="106">
        <v>0.217</v>
      </c>
      <c r="AK735" s="106">
        <v>0.217</v>
      </c>
      <c r="AL735" s="106">
        <v>0.217</v>
      </c>
      <c r="AM735" s="383">
        <f t="shared" ref="AM735:AM764" si="183">AVERAGE(F735:AL735)</f>
        <v>0.21699999999999989</v>
      </c>
    </row>
    <row r="736" spans="1:39" x14ac:dyDescent="0.2">
      <c r="A736" s="8"/>
      <c r="B736" s="95" t="s">
        <v>95</v>
      </c>
      <c r="C736" s="123" t="s">
        <v>216</v>
      </c>
      <c r="D736" s="95" t="s">
        <v>840</v>
      </c>
      <c r="E736" s="102"/>
      <c r="F736" s="106">
        <v>0.22700000000000001</v>
      </c>
      <c r="G736" s="106">
        <v>0.22700000000000001</v>
      </c>
      <c r="H736" s="106">
        <v>0.22700000000000001</v>
      </c>
      <c r="I736" s="106">
        <v>0.22700000000000001</v>
      </c>
      <c r="J736" s="106">
        <v>0.22700000000000001</v>
      </c>
      <c r="K736" s="106">
        <v>0.22700000000000001</v>
      </c>
      <c r="L736" s="106">
        <v>0.22700000000000001</v>
      </c>
      <c r="M736" s="106">
        <v>0.22700000000000001</v>
      </c>
      <c r="N736" s="106">
        <v>0.22700000000000001</v>
      </c>
      <c r="O736" s="106">
        <v>0.22700000000000001</v>
      </c>
      <c r="P736" s="106">
        <v>0.22700000000000001</v>
      </c>
      <c r="Q736" s="106">
        <v>0.22700000000000001</v>
      </c>
      <c r="R736" s="106">
        <v>0.22700000000000001</v>
      </c>
      <c r="S736" s="106">
        <v>0.22700000000000001</v>
      </c>
      <c r="T736" s="106">
        <v>0.22700000000000001</v>
      </c>
      <c r="U736" s="106">
        <v>0.22700000000000001</v>
      </c>
      <c r="V736" s="106">
        <v>0.22700000000000001</v>
      </c>
      <c r="W736" s="106">
        <v>0.22700000000000001</v>
      </c>
      <c r="X736" s="106">
        <v>0.22700000000000001</v>
      </c>
      <c r="Y736" s="106">
        <v>0.22700000000000001</v>
      </c>
      <c r="Z736" s="106">
        <v>0.22700000000000001</v>
      </c>
      <c r="AA736" s="106">
        <v>0.22700000000000001</v>
      </c>
      <c r="AB736" s="106">
        <v>0.22700000000000001</v>
      </c>
      <c r="AC736" s="106">
        <v>0.22700000000000001</v>
      </c>
      <c r="AD736" s="106">
        <v>0.22700000000000001</v>
      </c>
      <c r="AE736" s="106">
        <v>0.22700000000000001</v>
      </c>
      <c r="AF736" s="106">
        <v>0.22700000000000001</v>
      </c>
      <c r="AG736" s="106">
        <v>0.22700000000000001</v>
      </c>
      <c r="AH736" s="106">
        <v>0.22700000000000001</v>
      </c>
      <c r="AI736" s="106">
        <v>0.22700000000000001</v>
      </c>
      <c r="AJ736" s="106">
        <v>0.22700000000000001</v>
      </c>
      <c r="AK736" s="106">
        <v>0.22700000000000001</v>
      </c>
      <c r="AL736" s="106">
        <v>0.22700000000000001</v>
      </c>
      <c r="AM736" s="383">
        <f t="shared" si="183"/>
        <v>0.22700000000000012</v>
      </c>
    </row>
    <row r="737" spans="1:39" x14ac:dyDescent="0.2">
      <c r="A737" s="8"/>
      <c r="B737" s="95" t="s">
        <v>96</v>
      </c>
      <c r="C737" s="123" t="s">
        <v>216</v>
      </c>
      <c r="D737" s="95" t="s">
        <v>840</v>
      </c>
      <c r="E737" s="102"/>
      <c r="F737" s="106">
        <v>0.251</v>
      </c>
      <c r="G737" s="106">
        <v>0.251</v>
      </c>
      <c r="H737" s="106">
        <v>0.251</v>
      </c>
      <c r="I737" s="106">
        <v>0.251</v>
      </c>
      <c r="J737" s="106">
        <v>0.251</v>
      </c>
      <c r="K737" s="106">
        <v>0.251</v>
      </c>
      <c r="L737" s="106">
        <v>0.251</v>
      </c>
      <c r="M737" s="106">
        <v>0.251</v>
      </c>
      <c r="N737" s="106">
        <v>0.251</v>
      </c>
      <c r="O737" s="106">
        <v>0.251</v>
      </c>
      <c r="P737" s="106">
        <v>0.251</v>
      </c>
      <c r="Q737" s="106">
        <v>0.251</v>
      </c>
      <c r="R737" s="106">
        <v>0.251</v>
      </c>
      <c r="S737" s="106">
        <v>0.251</v>
      </c>
      <c r="T737" s="106">
        <v>0.251</v>
      </c>
      <c r="U737" s="106">
        <v>0.251</v>
      </c>
      <c r="V737" s="106">
        <v>0.251</v>
      </c>
      <c r="W737" s="106">
        <v>0.251</v>
      </c>
      <c r="X737" s="106">
        <v>0.251</v>
      </c>
      <c r="Y737" s="106">
        <v>0.251</v>
      </c>
      <c r="Z737" s="106">
        <v>0.251</v>
      </c>
      <c r="AA737" s="106">
        <v>0.251</v>
      </c>
      <c r="AB737" s="106">
        <v>0.251</v>
      </c>
      <c r="AC737" s="106">
        <v>0.251</v>
      </c>
      <c r="AD737" s="106">
        <v>0.251</v>
      </c>
      <c r="AE737" s="106">
        <v>0.251</v>
      </c>
      <c r="AF737" s="106">
        <v>0.251</v>
      </c>
      <c r="AG737" s="106">
        <v>0.251</v>
      </c>
      <c r="AH737" s="106">
        <v>0.251</v>
      </c>
      <c r="AI737" s="106">
        <v>0.251</v>
      </c>
      <c r="AJ737" s="106">
        <v>0.251</v>
      </c>
      <c r="AK737" s="106">
        <v>0.251</v>
      </c>
      <c r="AL737" s="106">
        <v>0.251</v>
      </c>
      <c r="AM737" s="383">
        <f t="shared" si="183"/>
        <v>0.25100000000000011</v>
      </c>
    </row>
    <row r="738" spans="1:39" x14ac:dyDescent="0.2">
      <c r="A738" s="8"/>
      <c r="B738" s="95" t="s">
        <v>97</v>
      </c>
      <c r="C738" s="123" t="s">
        <v>216</v>
      </c>
      <c r="D738" s="95" t="s">
        <v>840</v>
      </c>
      <c r="E738" s="102"/>
      <c r="F738" s="106">
        <v>0.27600000000000002</v>
      </c>
      <c r="G738" s="106">
        <v>0.27600000000000002</v>
      </c>
      <c r="H738" s="106">
        <v>0.27600000000000002</v>
      </c>
      <c r="I738" s="106">
        <v>0.27600000000000002</v>
      </c>
      <c r="J738" s="106">
        <v>0.27600000000000002</v>
      </c>
      <c r="K738" s="106">
        <v>0.27600000000000002</v>
      </c>
      <c r="L738" s="106">
        <v>0.27600000000000002</v>
      </c>
      <c r="M738" s="106">
        <v>0.27600000000000002</v>
      </c>
      <c r="N738" s="106">
        <v>0.27600000000000002</v>
      </c>
      <c r="O738" s="106">
        <v>0.27600000000000002</v>
      </c>
      <c r="P738" s="106">
        <v>0.27600000000000002</v>
      </c>
      <c r="Q738" s="106">
        <v>0.27600000000000002</v>
      </c>
      <c r="R738" s="106">
        <v>0.27600000000000002</v>
      </c>
      <c r="S738" s="106">
        <v>0.27600000000000002</v>
      </c>
      <c r="T738" s="106">
        <v>0.27600000000000002</v>
      </c>
      <c r="U738" s="106">
        <v>0.27600000000000002</v>
      </c>
      <c r="V738" s="106">
        <v>0.27600000000000002</v>
      </c>
      <c r="W738" s="106">
        <v>0.27600000000000002</v>
      </c>
      <c r="X738" s="106">
        <v>0.27600000000000002</v>
      </c>
      <c r="Y738" s="106">
        <v>0.27600000000000002</v>
      </c>
      <c r="Z738" s="106">
        <v>0.27600000000000002</v>
      </c>
      <c r="AA738" s="106">
        <v>0.27600000000000002</v>
      </c>
      <c r="AB738" s="106">
        <v>0.27600000000000002</v>
      </c>
      <c r="AC738" s="106">
        <v>0.27600000000000002</v>
      </c>
      <c r="AD738" s="106">
        <v>0.27600000000000002</v>
      </c>
      <c r="AE738" s="106">
        <v>0.27600000000000002</v>
      </c>
      <c r="AF738" s="106">
        <v>0.27600000000000002</v>
      </c>
      <c r="AG738" s="106">
        <v>0.27600000000000002</v>
      </c>
      <c r="AH738" s="106">
        <v>0.27600000000000002</v>
      </c>
      <c r="AI738" s="106">
        <v>0.27600000000000002</v>
      </c>
      <c r="AJ738" s="106">
        <v>0.27600000000000002</v>
      </c>
      <c r="AK738" s="106">
        <v>0.27600000000000002</v>
      </c>
      <c r="AL738" s="106">
        <v>0.27600000000000002</v>
      </c>
      <c r="AM738" s="383">
        <f t="shared" si="183"/>
        <v>0.27599999999999986</v>
      </c>
    </row>
    <row r="739" spans="1:39" x14ac:dyDescent="0.2">
      <c r="A739" s="8"/>
      <c r="B739" s="95" t="s">
        <v>98</v>
      </c>
      <c r="C739" s="123" t="s">
        <v>216</v>
      </c>
      <c r="D739" s="95" t="s">
        <v>840</v>
      </c>
      <c r="E739" s="102"/>
      <c r="F739" s="106">
        <v>0.25133299999999997</v>
      </c>
      <c r="G739" s="106">
        <v>0.25133299999999997</v>
      </c>
      <c r="H739" s="106">
        <v>0.25133299999999997</v>
      </c>
      <c r="I739" s="106">
        <v>0.25133299999999997</v>
      </c>
      <c r="J739" s="106">
        <v>0.25133299999999997</v>
      </c>
      <c r="K739" s="106">
        <v>0.25133299999999997</v>
      </c>
      <c r="L739" s="106">
        <v>0.25133299999999997</v>
      </c>
      <c r="M739" s="106">
        <v>0.25133299999999997</v>
      </c>
      <c r="N739" s="106">
        <v>0.25133299999999997</v>
      </c>
      <c r="O739" s="106">
        <v>0.25133299999999997</v>
      </c>
      <c r="P739" s="106">
        <v>0.25133299999999997</v>
      </c>
      <c r="Q739" s="106">
        <v>0.25133299999999997</v>
      </c>
      <c r="R739" s="106">
        <v>0.25133299999999997</v>
      </c>
      <c r="S739" s="106">
        <v>0.25133299999999997</v>
      </c>
      <c r="T739" s="106">
        <v>0.25133299999999997</v>
      </c>
      <c r="U739" s="106">
        <v>0.25133299999999997</v>
      </c>
      <c r="V739" s="106">
        <v>0.25133299999999997</v>
      </c>
      <c r="W739" s="106">
        <v>0.25133299999999997</v>
      </c>
      <c r="X739" s="106">
        <v>0.25133299999999997</v>
      </c>
      <c r="Y739" s="106">
        <v>0.25133299999999997</v>
      </c>
      <c r="Z739" s="106">
        <v>0.25133299999999997</v>
      </c>
      <c r="AA739" s="106">
        <v>0.25133299999999997</v>
      </c>
      <c r="AB739" s="106">
        <v>0.25133299999999997</v>
      </c>
      <c r="AC739" s="106">
        <v>0.25133299999999997</v>
      </c>
      <c r="AD739" s="106">
        <v>0.25133299999999997</v>
      </c>
      <c r="AE739" s="106">
        <v>0.25133299999999997</v>
      </c>
      <c r="AF739" s="106">
        <v>0.25133299999999997</v>
      </c>
      <c r="AG739" s="106">
        <v>0.25133299999999997</v>
      </c>
      <c r="AH739" s="106">
        <v>0.25133299999999997</v>
      </c>
      <c r="AI739" s="106">
        <v>0.25133299999999997</v>
      </c>
      <c r="AJ739" s="106">
        <v>0.25133299999999997</v>
      </c>
      <c r="AK739" s="106">
        <v>0.25133299999999997</v>
      </c>
      <c r="AL739" s="106">
        <v>0.25133299999999997</v>
      </c>
      <c r="AM739" s="383">
        <f t="shared" si="183"/>
        <v>0.25133299999999986</v>
      </c>
    </row>
    <row r="740" spans="1:39" x14ac:dyDescent="0.2">
      <c r="A740" s="8"/>
      <c r="B740" s="95" t="s">
        <v>99</v>
      </c>
      <c r="C740" s="123" t="s">
        <v>216</v>
      </c>
      <c r="D740" s="95" t="s">
        <v>840</v>
      </c>
      <c r="E740" s="102"/>
      <c r="F740" s="106">
        <v>0.27600000000000002</v>
      </c>
      <c r="G740" s="106">
        <v>0.27600000000000002</v>
      </c>
      <c r="H740" s="106">
        <v>0.27600000000000002</v>
      </c>
      <c r="I740" s="106">
        <v>0.27600000000000002</v>
      </c>
      <c r="J740" s="106">
        <v>0.27600000000000002</v>
      </c>
      <c r="K740" s="106">
        <v>0.27600000000000002</v>
      </c>
      <c r="L740" s="106">
        <v>0.27600000000000002</v>
      </c>
      <c r="M740" s="106">
        <v>0.27600000000000002</v>
      </c>
      <c r="N740" s="106">
        <v>0.27600000000000002</v>
      </c>
      <c r="O740" s="106">
        <v>0.27600000000000002</v>
      </c>
      <c r="P740" s="106">
        <v>0.27600000000000002</v>
      </c>
      <c r="Q740" s="106">
        <v>0.27600000000000002</v>
      </c>
      <c r="R740" s="106">
        <v>0.27600000000000002</v>
      </c>
      <c r="S740" s="106">
        <v>0.27600000000000002</v>
      </c>
      <c r="T740" s="106">
        <v>0.27600000000000002</v>
      </c>
      <c r="U740" s="106">
        <v>0.27600000000000002</v>
      </c>
      <c r="V740" s="106">
        <v>0.27600000000000002</v>
      </c>
      <c r="W740" s="106">
        <v>0.27600000000000002</v>
      </c>
      <c r="X740" s="106">
        <v>0.27600000000000002</v>
      </c>
      <c r="Y740" s="106">
        <v>0.27600000000000002</v>
      </c>
      <c r="Z740" s="106">
        <v>0.27600000000000002</v>
      </c>
      <c r="AA740" s="106">
        <v>0.27600000000000002</v>
      </c>
      <c r="AB740" s="106">
        <v>0.27600000000000002</v>
      </c>
      <c r="AC740" s="106">
        <v>0.27600000000000002</v>
      </c>
      <c r="AD740" s="106">
        <v>0.27600000000000002</v>
      </c>
      <c r="AE740" s="106">
        <v>0.27600000000000002</v>
      </c>
      <c r="AF740" s="106">
        <v>0.27600000000000002</v>
      </c>
      <c r="AG740" s="106">
        <v>0.27600000000000002</v>
      </c>
      <c r="AH740" s="106">
        <v>0.27600000000000002</v>
      </c>
      <c r="AI740" s="106">
        <v>0.27600000000000002</v>
      </c>
      <c r="AJ740" s="106">
        <v>0.27600000000000002</v>
      </c>
      <c r="AK740" s="106">
        <v>0.27600000000000002</v>
      </c>
      <c r="AL740" s="106">
        <v>0.27600000000000002</v>
      </c>
      <c r="AM740" s="383">
        <f t="shared" si="183"/>
        <v>0.27599999999999986</v>
      </c>
    </row>
    <row r="741" spans="1:39" x14ac:dyDescent="0.2">
      <c r="A741" s="8"/>
      <c r="B741" s="95" t="s">
        <v>100</v>
      </c>
      <c r="C741" s="123" t="s">
        <v>216</v>
      </c>
      <c r="D741" s="95" t="s">
        <v>840</v>
      </c>
      <c r="E741" s="102"/>
      <c r="F741" s="106">
        <v>0.27600000000000002</v>
      </c>
      <c r="G741" s="106">
        <v>0.27600000000000002</v>
      </c>
      <c r="H741" s="106">
        <v>0.27600000000000002</v>
      </c>
      <c r="I741" s="106">
        <v>0.27600000000000002</v>
      </c>
      <c r="J741" s="106">
        <v>0.27600000000000002</v>
      </c>
      <c r="K741" s="106">
        <v>0.27600000000000002</v>
      </c>
      <c r="L741" s="106">
        <v>0.27600000000000002</v>
      </c>
      <c r="M741" s="106">
        <v>0.27600000000000002</v>
      </c>
      <c r="N741" s="106">
        <v>0.27600000000000002</v>
      </c>
      <c r="O741" s="106">
        <v>0.27600000000000002</v>
      </c>
      <c r="P741" s="106">
        <v>0.27600000000000002</v>
      </c>
      <c r="Q741" s="106">
        <v>0.27600000000000002</v>
      </c>
      <c r="R741" s="106">
        <v>0.27600000000000002</v>
      </c>
      <c r="S741" s="106">
        <v>0.27600000000000002</v>
      </c>
      <c r="T741" s="106">
        <v>0.27600000000000002</v>
      </c>
      <c r="U741" s="106">
        <v>0.27600000000000002</v>
      </c>
      <c r="V741" s="106">
        <v>0.27600000000000002</v>
      </c>
      <c r="W741" s="106">
        <v>0.27600000000000002</v>
      </c>
      <c r="X741" s="106">
        <v>0.27600000000000002</v>
      </c>
      <c r="Y741" s="106">
        <v>0.27600000000000002</v>
      </c>
      <c r="Z741" s="106">
        <v>0.27600000000000002</v>
      </c>
      <c r="AA741" s="106">
        <v>0.27600000000000002</v>
      </c>
      <c r="AB741" s="106">
        <v>0.27600000000000002</v>
      </c>
      <c r="AC741" s="106">
        <v>0.27600000000000002</v>
      </c>
      <c r="AD741" s="106">
        <v>0.27600000000000002</v>
      </c>
      <c r="AE741" s="106">
        <v>0.27600000000000002</v>
      </c>
      <c r="AF741" s="106">
        <v>0.27600000000000002</v>
      </c>
      <c r="AG741" s="106">
        <v>0.27600000000000002</v>
      </c>
      <c r="AH741" s="106">
        <v>0.27600000000000002</v>
      </c>
      <c r="AI741" s="106">
        <v>0.27600000000000002</v>
      </c>
      <c r="AJ741" s="106">
        <v>0.27600000000000002</v>
      </c>
      <c r="AK741" s="106">
        <v>0.27600000000000002</v>
      </c>
      <c r="AL741" s="106">
        <v>0.27600000000000002</v>
      </c>
      <c r="AM741" s="383">
        <f t="shared" si="183"/>
        <v>0.27599999999999986</v>
      </c>
    </row>
    <row r="742" spans="1:39" x14ac:dyDescent="0.2">
      <c r="A742" s="8"/>
      <c r="B742" s="95" t="s">
        <v>101</v>
      </c>
      <c r="C742" s="123" t="s">
        <v>216</v>
      </c>
      <c r="D742" s="95" t="s">
        <v>840</v>
      </c>
      <c r="E742" s="102"/>
      <c r="F742" s="106">
        <v>0.27600000000000002</v>
      </c>
      <c r="G742" s="106">
        <v>0.27600000000000002</v>
      </c>
      <c r="H742" s="106">
        <v>0.27600000000000002</v>
      </c>
      <c r="I742" s="106">
        <v>0.27600000000000002</v>
      </c>
      <c r="J742" s="106">
        <v>0.27600000000000002</v>
      </c>
      <c r="K742" s="106">
        <v>0.27600000000000002</v>
      </c>
      <c r="L742" s="106">
        <v>0.27600000000000002</v>
      </c>
      <c r="M742" s="106">
        <v>0.27600000000000002</v>
      </c>
      <c r="N742" s="106">
        <v>0.27600000000000002</v>
      </c>
      <c r="O742" s="106">
        <v>0.27600000000000002</v>
      </c>
      <c r="P742" s="106">
        <v>0.27600000000000002</v>
      </c>
      <c r="Q742" s="106">
        <v>0.27600000000000002</v>
      </c>
      <c r="R742" s="106">
        <v>0.27600000000000002</v>
      </c>
      <c r="S742" s="106">
        <v>0.27600000000000002</v>
      </c>
      <c r="T742" s="106">
        <v>0.27600000000000002</v>
      </c>
      <c r="U742" s="106">
        <v>0.27600000000000002</v>
      </c>
      <c r="V742" s="106">
        <v>0.27600000000000002</v>
      </c>
      <c r="W742" s="106">
        <v>0.27600000000000002</v>
      </c>
      <c r="X742" s="106">
        <v>0.27600000000000002</v>
      </c>
      <c r="Y742" s="106">
        <v>0.27600000000000002</v>
      </c>
      <c r="Z742" s="106">
        <v>0.27600000000000002</v>
      </c>
      <c r="AA742" s="106">
        <v>0.27600000000000002</v>
      </c>
      <c r="AB742" s="106">
        <v>0.27600000000000002</v>
      </c>
      <c r="AC742" s="106">
        <v>0.27600000000000002</v>
      </c>
      <c r="AD742" s="106">
        <v>0.27600000000000002</v>
      </c>
      <c r="AE742" s="106">
        <v>0.27600000000000002</v>
      </c>
      <c r="AF742" s="106">
        <v>0.27600000000000002</v>
      </c>
      <c r="AG742" s="106">
        <v>0.27600000000000002</v>
      </c>
      <c r="AH742" s="106">
        <v>0.27600000000000002</v>
      </c>
      <c r="AI742" s="106">
        <v>0.27600000000000002</v>
      </c>
      <c r="AJ742" s="106">
        <v>0.27600000000000002</v>
      </c>
      <c r="AK742" s="106">
        <v>0.27600000000000002</v>
      </c>
      <c r="AL742" s="106">
        <v>0.27600000000000002</v>
      </c>
      <c r="AM742" s="383">
        <f t="shared" si="183"/>
        <v>0.27599999999999986</v>
      </c>
    </row>
    <row r="743" spans="1:39" x14ac:dyDescent="0.2">
      <c r="A743" s="8"/>
      <c r="B743" s="95" t="s">
        <v>102</v>
      </c>
      <c r="C743" s="123" t="s">
        <v>216</v>
      </c>
      <c r="D743" s="95" t="s">
        <v>840</v>
      </c>
      <c r="E743" s="102"/>
      <c r="F743" s="106">
        <v>0.315</v>
      </c>
      <c r="G743" s="106">
        <v>0.315</v>
      </c>
      <c r="H743" s="106">
        <v>0.315</v>
      </c>
      <c r="I743" s="106">
        <v>0.315</v>
      </c>
      <c r="J743" s="106">
        <v>0.315</v>
      </c>
      <c r="K743" s="106">
        <v>0.315</v>
      </c>
      <c r="L743" s="106">
        <v>0.315</v>
      </c>
      <c r="M743" s="106">
        <v>0.315</v>
      </c>
      <c r="N743" s="106">
        <v>0.315</v>
      </c>
      <c r="O743" s="106">
        <v>0.315</v>
      </c>
      <c r="P743" s="106">
        <v>0.315</v>
      </c>
      <c r="Q743" s="106">
        <v>0.315</v>
      </c>
      <c r="R743" s="106">
        <v>0.315</v>
      </c>
      <c r="S743" s="106">
        <v>0.315</v>
      </c>
      <c r="T743" s="106">
        <v>0.315</v>
      </c>
      <c r="U743" s="106">
        <v>0.315</v>
      </c>
      <c r="V743" s="106">
        <v>0.315</v>
      </c>
      <c r="W743" s="106">
        <v>0.315</v>
      </c>
      <c r="X743" s="106">
        <v>0.315</v>
      </c>
      <c r="Y743" s="106">
        <v>0.315</v>
      </c>
      <c r="Z743" s="106">
        <v>0.315</v>
      </c>
      <c r="AA743" s="106">
        <v>0.315</v>
      </c>
      <c r="AB743" s="106">
        <v>0.315</v>
      </c>
      <c r="AC743" s="106">
        <v>0.315</v>
      </c>
      <c r="AD743" s="106">
        <v>0.315</v>
      </c>
      <c r="AE743" s="106">
        <v>0.315</v>
      </c>
      <c r="AF743" s="106">
        <v>0.315</v>
      </c>
      <c r="AG743" s="106">
        <v>0.315</v>
      </c>
      <c r="AH743" s="106">
        <v>0.315</v>
      </c>
      <c r="AI743" s="106">
        <v>0.315</v>
      </c>
      <c r="AJ743" s="106">
        <v>0.315</v>
      </c>
      <c r="AK743" s="106">
        <v>0.315</v>
      </c>
      <c r="AL743" s="106">
        <v>0.315</v>
      </c>
      <c r="AM743" s="383">
        <f t="shared" si="183"/>
        <v>0.31500000000000006</v>
      </c>
    </row>
    <row r="744" spans="1:39" x14ac:dyDescent="0.2">
      <c r="A744" s="8"/>
      <c r="B744" s="95" t="s">
        <v>103</v>
      </c>
      <c r="C744" s="123" t="s">
        <v>216</v>
      </c>
      <c r="D744" s="95" t="s">
        <v>840</v>
      </c>
      <c r="E744" s="102"/>
      <c r="F744" s="106">
        <v>0.23799999999999999</v>
      </c>
      <c r="G744" s="106">
        <v>0.23799999999999999</v>
      </c>
      <c r="H744" s="106">
        <v>0.23799999999999999</v>
      </c>
      <c r="I744" s="106">
        <v>0.23799999999999999</v>
      </c>
      <c r="J744" s="106">
        <v>0.23799999999999999</v>
      </c>
      <c r="K744" s="106">
        <v>0.23799999999999999</v>
      </c>
      <c r="L744" s="106">
        <v>0.23799999999999999</v>
      </c>
      <c r="M744" s="106">
        <v>0.23799999999999999</v>
      </c>
      <c r="N744" s="106">
        <v>0.23799999999999999</v>
      </c>
      <c r="O744" s="106">
        <v>0.23799999999999999</v>
      </c>
      <c r="P744" s="106">
        <v>0.23799999999999999</v>
      </c>
      <c r="Q744" s="106">
        <v>0.23799999999999999</v>
      </c>
      <c r="R744" s="106">
        <v>0.23799999999999999</v>
      </c>
      <c r="S744" s="106">
        <v>0.23799999999999999</v>
      </c>
      <c r="T744" s="106">
        <v>0.23799999999999999</v>
      </c>
      <c r="U744" s="106">
        <v>0.23799999999999999</v>
      </c>
      <c r="V744" s="106">
        <v>0.23799999999999999</v>
      </c>
      <c r="W744" s="106">
        <v>0.23799999999999999</v>
      </c>
      <c r="X744" s="106">
        <v>0.23799999999999999</v>
      </c>
      <c r="Y744" s="106">
        <v>0.23799999999999999</v>
      </c>
      <c r="Z744" s="106">
        <v>0.23799999999999999</v>
      </c>
      <c r="AA744" s="106">
        <v>0.23799999999999999</v>
      </c>
      <c r="AB744" s="106">
        <v>0.23799999999999999</v>
      </c>
      <c r="AC744" s="106">
        <v>0.23799999999999999</v>
      </c>
      <c r="AD744" s="106">
        <v>0.23799999999999999</v>
      </c>
      <c r="AE744" s="106">
        <v>0.23799999999999999</v>
      </c>
      <c r="AF744" s="106">
        <v>0.23799999999999999</v>
      </c>
      <c r="AG744" s="106">
        <v>0.23799999999999999</v>
      </c>
      <c r="AH744" s="106">
        <v>0.23799999999999999</v>
      </c>
      <c r="AI744" s="106">
        <v>0.23799999999999999</v>
      </c>
      <c r="AJ744" s="106">
        <v>0.23799999999999999</v>
      </c>
      <c r="AK744" s="106">
        <v>0.23799999999999999</v>
      </c>
      <c r="AL744" s="106">
        <v>0.23799999999999999</v>
      </c>
      <c r="AM744" s="383">
        <f t="shared" si="183"/>
        <v>0.23799999999999977</v>
      </c>
    </row>
    <row r="745" spans="1:39" x14ac:dyDescent="0.2">
      <c r="A745" s="8"/>
      <c r="B745" s="95" t="s">
        <v>104</v>
      </c>
      <c r="C745" s="123" t="s">
        <v>216</v>
      </c>
      <c r="D745" s="95" t="s">
        <v>840</v>
      </c>
      <c r="E745" s="102"/>
      <c r="F745" s="106">
        <v>0.28933300000000001</v>
      </c>
      <c r="G745" s="106">
        <v>0.28933300000000001</v>
      </c>
      <c r="H745" s="106">
        <v>0.28933300000000001</v>
      </c>
      <c r="I745" s="106">
        <v>0.28933300000000001</v>
      </c>
      <c r="J745" s="106">
        <v>0.28933300000000001</v>
      </c>
      <c r="K745" s="106">
        <v>0.28933300000000001</v>
      </c>
      <c r="L745" s="106">
        <v>0.28933300000000001</v>
      </c>
      <c r="M745" s="106">
        <v>0.28933300000000001</v>
      </c>
      <c r="N745" s="106">
        <v>0.28933300000000001</v>
      </c>
      <c r="O745" s="106">
        <v>0.28933300000000001</v>
      </c>
      <c r="P745" s="106">
        <v>0.28933300000000001</v>
      </c>
      <c r="Q745" s="106">
        <v>0.28933300000000001</v>
      </c>
      <c r="R745" s="106">
        <v>0.28933300000000001</v>
      </c>
      <c r="S745" s="106">
        <v>0.28933300000000001</v>
      </c>
      <c r="T745" s="106">
        <v>0.28933300000000001</v>
      </c>
      <c r="U745" s="106">
        <v>0.28933300000000001</v>
      </c>
      <c r="V745" s="106">
        <v>0.28933300000000001</v>
      </c>
      <c r="W745" s="106">
        <v>0.28933300000000001</v>
      </c>
      <c r="X745" s="106">
        <v>0.28933300000000001</v>
      </c>
      <c r="Y745" s="106">
        <v>0.28933300000000001</v>
      </c>
      <c r="Z745" s="106">
        <v>0.28933300000000001</v>
      </c>
      <c r="AA745" s="106">
        <v>0.28933300000000001</v>
      </c>
      <c r="AB745" s="106">
        <v>0.28933300000000001</v>
      </c>
      <c r="AC745" s="106">
        <v>0.28933300000000001</v>
      </c>
      <c r="AD745" s="106">
        <v>0.28933300000000001</v>
      </c>
      <c r="AE745" s="106">
        <v>0.28933300000000001</v>
      </c>
      <c r="AF745" s="106">
        <v>0.28933300000000001</v>
      </c>
      <c r="AG745" s="106">
        <v>0.28933300000000001</v>
      </c>
      <c r="AH745" s="106">
        <v>0.28933300000000001</v>
      </c>
      <c r="AI745" s="106">
        <v>0.28933300000000001</v>
      </c>
      <c r="AJ745" s="106">
        <v>0.28933300000000001</v>
      </c>
      <c r="AK745" s="106">
        <v>0.28933300000000001</v>
      </c>
      <c r="AL745" s="106">
        <v>0.28933300000000001</v>
      </c>
      <c r="AM745" s="383">
        <f t="shared" si="183"/>
        <v>0.2893329999999999</v>
      </c>
    </row>
    <row r="746" spans="1:39" x14ac:dyDescent="0.2">
      <c r="A746" s="8"/>
      <c r="B746" s="95" t="s">
        <v>105</v>
      </c>
      <c r="C746" s="123" t="s">
        <v>216</v>
      </c>
      <c r="D746" s="95" t="s">
        <v>840</v>
      </c>
      <c r="E746" s="102"/>
      <c r="F746" s="106">
        <v>0.27600000000000002</v>
      </c>
      <c r="G746" s="106">
        <v>0.27600000000000002</v>
      </c>
      <c r="H746" s="106">
        <v>0.27600000000000002</v>
      </c>
      <c r="I746" s="106">
        <v>0.27600000000000002</v>
      </c>
      <c r="J746" s="106">
        <v>0.27600000000000002</v>
      </c>
      <c r="K746" s="106">
        <v>0.27600000000000002</v>
      </c>
      <c r="L746" s="106">
        <v>0.27600000000000002</v>
      </c>
      <c r="M746" s="106">
        <v>0.27600000000000002</v>
      </c>
      <c r="N746" s="106">
        <v>0.27600000000000002</v>
      </c>
      <c r="O746" s="106">
        <v>0.27600000000000002</v>
      </c>
      <c r="P746" s="106">
        <v>0.27600000000000002</v>
      </c>
      <c r="Q746" s="106">
        <v>0.27600000000000002</v>
      </c>
      <c r="R746" s="106">
        <v>0.27600000000000002</v>
      </c>
      <c r="S746" s="106">
        <v>0.27600000000000002</v>
      </c>
      <c r="T746" s="106">
        <v>0.27600000000000002</v>
      </c>
      <c r="U746" s="106">
        <v>0.27600000000000002</v>
      </c>
      <c r="V746" s="106">
        <v>0.27600000000000002</v>
      </c>
      <c r="W746" s="106">
        <v>0.27600000000000002</v>
      </c>
      <c r="X746" s="106">
        <v>0.27600000000000002</v>
      </c>
      <c r="Y746" s="106">
        <v>0.27600000000000002</v>
      </c>
      <c r="Z746" s="106">
        <v>0.27600000000000002</v>
      </c>
      <c r="AA746" s="106">
        <v>0.27600000000000002</v>
      </c>
      <c r="AB746" s="106">
        <v>0.27600000000000002</v>
      </c>
      <c r="AC746" s="106">
        <v>0.27600000000000002</v>
      </c>
      <c r="AD746" s="106">
        <v>0.27600000000000002</v>
      </c>
      <c r="AE746" s="106">
        <v>0.27600000000000002</v>
      </c>
      <c r="AF746" s="106">
        <v>0.27600000000000002</v>
      </c>
      <c r="AG746" s="106">
        <v>0.27600000000000002</v>
      </c>
      <c r="AH746" s="106">
        <v>0.27600000000000002</v>
      </c>
      <c r="AI746" s="106">
        <v>0.27600000000000002</v>
      </c>
      <c r="AJ746" s="106">
        <v>0.27600000000000002</v>
      </c>
      <c r="AK746" s="106">
        <v>0.27600000000000002</v>
      </c>
      <c r="AL746" s="106">
        <v>0.27600000000000002</v>
      </c>
      <c r="AM746" s="383">
        <f t="shared" si="183"/>
        <v>0.27599999999999986</v>
      </c>
    </row>
    <row r="747" spans="1:39" x14ac:dyDescent="0.2">
      <c r="A747" s="8"/>
      <c r="B747" s="95" t="s">
        <v>106</v>
      </c>
      <c r="C747" s="123" t="s">
        <v>216</v>
      </c>
      <c r="D747" s="95" t="s">
        <v>840</v>
      </c>
      <c r="E747" s="102"/>
      <c r="F747" s="106">
        <v>0.27600000000000002</v>
      </c>
      <c r="G747" s="106">
        <v>0.27600000000000002</v>
      </c>
      <c r="H747" s="106">
        <v>0.27600000000000002</v>
      </c>
      <c r="I747" s="106">
        <v>0.27600000000000002</v>
      </c>
      <c r="J747" s="106">
        <v>0.27600000000000002</v>
      </c>
      <c r="K747" s="106">
        <v>0.27600000000000002</v>
      </c>
      <c r="L747" s="106">
        <v>0.27600000000000002</v>
      </c>
      <c r="M747" s="106">
        <v>0.27600000000000002</v>
      </c>
      <c r="N747" s="106">
        <v>0.27600000000000002</v>
      </c>
      <c r="O747" s="106">
        <v>0.27600000000000002</v>
      </c>
      <c r="P747" s="106">
        <v>0.27600000000000002</v>
      </c>
      <c r="Q747" s="106">
        <v>0.27600000000000002</v>
      </c>
      <c r="R747" s="106">
        <v>0.27600000000000002</v>
      </c>
      <c r="S747" s="106">
        <v>0.27600000000000002</v>
      </c>
      <c r="T747" s="106">
        <v>0.27600000000000002</v>
      </c>
      <c r="U747" s="106">
        <v>0.27600000000000002</v>
      </c>
      <c r="V747" s="106">
        <v>0.27600000000000002</v>
      </c>
      <c r="W747" s="106">
        <v>0.27600000000000002</v>
      </c>
      <c r="X747" s="106">
        <v>0.27600000000000002</v>
      </c>
      <c r="Y747" s="106">
        <v>0.27600000000000002</v>
      </c>
      <c r="Z747" s="106">
        <v>0.27600000000000002</v>
      </c>
      <c r="AA747" s="106">
        <v>0.27600000000000002</v>
      </c>
      <c r="AB747" s="106">
        <v>0.27600000000000002</v>
      </c>
      <c r="AC747" s="106">
        <v>0.27600000000000002</v>
      </c>
      <c r="AD747" s="106">
        <v>0.27600000000000002</v>
      </c>
      <c r="AE747" s="106">
        <v>0.27600000000000002</v>
      </c>
      <c r="AF747" s="106">
        <v>0.27600000000000002</v>
      </c>
      <c r="AG747" s="106">
        <v>0.27600000000000002</v>
      </c>
      <c r="AH747" s="106">
        <v>0.27600000000000002</v>
      </c>
      <c r="AI747" s="106">
        <v>0.27600000000000002</v>
      </c>
      <c r="AJ747" s="106">
        <v>0.27600000000000002</v>
      </c>
      <c r="AK747" s="106">
        <v>0.27600000000000002</v>
      </c>
      <c r="AL747" s="106">
        <v>0.27600000000000002</v>
      </c>
      <c r="AM747" s="383">
        <f t="shared" si="183"/>
        <v>0.27599999999999986</v>
      </c>
    </row>
    <row r="748" spans="1:39" x14ac:dyDescent="0.2">
      <c r="A748" s="8"/>
      <c r="B748" s="95" t="s">
        <v>107</v>
      </c>
      <c r="C748" s="123" t="s">
        <v>216</v>
      </c>
      <c r="D748" s="95" t="s">
        <v>840</v>
      </c>
      <c r="E748" s="102"/>
      <c r="F748" s="106">
        <v>0.27600000000000002</v>
      </c>
      <c r="G748" s="106">
        <v>0.27600000000000002</v>
      </c>
      <c r="H748" s="106">
        <v>0.27600000000000002</v>
      </c>
      <c r="I748" s="106">
        <v>0.27600000000000002</v>
      </c>
      <c r="J748" s="106">
        <v>0.27600000000000002</v>
      </c>
      <c r="K748" s="106">
        <v>0.27600000000000002</v>
      </c>
      <c r="L748" s="106">
        <v>0.27600000000000002</v>
      </c>
      <c r="M748" s="106">
        <v>0.27600000000000002</v>
      </c>
      <c r="N748" s="106">
        <v>0.27600000000000002</v>
      </c>
      <c r="O748" s="106">
        <v>0.27600000000000002</v>
      </c>
      <c r="P748" s="106">
        <v>0.27600000000000002</v>
      </c>
      <c r="Q748" s="106">
        <v>0.27600000000000002</v>
      </c>
      <c r="R748" s="106">
        <v>0.27600000000000002</v>
      </c>
      <c r="S748" s="106">
        <v>0.27600000000000002</v>
      </c>
      <c r="T748" s="106">
        <v>0.27600000000000002</v>
      </c>
      <c r="U748" s="106">
        <v>0.27600000000000002</v>
      </c>
      <c r="V748" s="106">
        <v>0.27600000000000002</v>
      </c>
      <c r="W748" s="106">
        <v>0.27600000000000002</v>
      </c>
      <c r="X748" s="106">
        <v>0.27600000000000002</v>
      </c>
      <c r="Y748" s="106">
        <v>0.27600000000000002</v>
      </c>
      <c r="Z748" s="106">
        <v>0.27600000000000002</v>
      </c>
      <c r="AA748" s="106">
        <v>0.27600000000000002</v>
      </c>
      <c r="AB748" s="106">
        <v>0.27600000000000002</v>
      </c>
      <c r="AC748" s="106">
        <v>0.27600000000000002</v>
      </c>
      <c r="AD748" s="106">
        <v>0.27600000000000002</v>
      </c>
      <c r="AE748" s="106">
        <v>0.27600000000000002</v>
      </c>
      <c r="AF748" s="106">
        <v>0.27600000000000002</v>
      </c>
      <c r="AG748" s="106">
        <v>0.27600000000000002</v>
      </c>
      <c r="AH748" s="106">
        <v>0.27600000000000002</v>
      </c>
      <c r="AI748" s="106">
        <v>0.27600000000000002</v>
      </c>
      <c r="AJ748" s="106">
        <v>0.27600000000000002</v>
      </c>
      <c r="AK748" s="106">
        <v>0.27600000000000002</v>
      </c>
      <c r="AL748" s="106">
        <v>0.27600000000000002</v>
      </c>
      <c r="AM748" s="383">
        <f t="shared" si="183"/>
        <v>0.27599999999999986</v>
      </c>
    </row>
    <row r="749" spans="1:39" x14ac:dyDescent="0.2">
      <c r="A749" s="8"/>
      <c r="B749" s="95" t="s">
        <v>108</v>
      </c>
      <c r="C749" s="123" t="s">
        <v>216</v>
      </c>
      <c r="D749" s="95" t="s">
        <v>840</v>
      </c>
      <c r="E749" s="102"/>
      <c r="F749" s="106">
        <v>0.27600000000000002</v>
      </c>
      <c r="G749" s="106">
        <v>0.27600000000000002</v>
      </c>
      <c r="H749" s="106">
        <v>0.27600000000000002</v>
      </c>
      <c r="I749" s="106">
        <v>0.27600000000000002</v>
      </c>
      <c r="J749" s="106">
        <v>0.27600000000000002</v>
      </c>
      <c r="K749" s="106">
        <v>0.27600000000000002</v>
      </c>
      <c r="L749" s="106">
        <v>0.27600000000000002</v>
      </c>
      <c r="M749" s="106">
        <v>0.27600000000000002</v>
      </c>
      <c r="N749" s="106">
        <v>0.27600000000000002</v>
      </c>
      <c r="O749" s="106">
        <v>0.27600000000000002</v>
      </c>
      <c r="P749" s="106">
        <v>0.27600000000000002</v>
      </c>
      <c r="Q749" s="106">
        <v>0.27600000000000002</v>
      </c>
      <c r="R749" s="106">
        <v>0.27600000000000002</v>
      </c>
      <c r="S749" s="106">
        <v>0.27600000000000002</v>
      </c>
      <c r="T749" s="106">
        <v>0.27600000000000002</v>
      </c>
      <c r="U749" s="106">
        <v>0.27600000000000002</v>
      </c>
      <c r="V749" s="106">
        <v>0.27600000000000002</v>
      </c>
      <c r="W749" s="106">
        <v>0.27600000000000002</v>
      </c>
      <c r="X749" s="106">
        <v>0.27600000000000002</v>
      </c>
      <c r="Y749" s="106">
        <v>0.27600000000000002</v>
      </c>
      <c r="Z749" s="106">
        <v>0.27600000000000002</v>
      </c>
      <c r="AA749" s="106">
        <v>0.27600000000000002</v>
      </c>
      <c r="AB749" s="106">
        <v>0.27600000000000002</v>
      </c>
      <c r="AC749" s="106">
        <v>0.27600000000000002</v>
      </c>
      <c r="AD749" s="106">
        <v>0.27600000000000002</v>
      </c>
      <c r="AE749" s="106">
        <v>0.27600000000000002</v>
      </c>
      <c r="AF749" s="106">
        <v>0.27600000000000002</v>
      </c>
      <c r="AG749" s="106">
        <v>0.27600000000000002</v>
      </c>
      <c r="AH749" s="106">
        <v>0.27600000000000002</v>
      </c>
      <c r="AI749" s="106">
        <v>0.27600000000000002</v>
      </c>
      <c r="AJ749" s="106">
        <v>0.27600000000000002</v>
      </c>
      <c r="AK749" s="106">
        <v>0.27600000000000002</v>
      </c>
      <c r="AL749" s="106">
        <v>0.27600000000000002</v>
      </c>
      <c r="AM749" s="383">
        <f t="shared" si="183"/>
        <v>0.27599999999999986</v>
      </c>
    </row>
    <row r="750" spans="1:39" x14ac:dyDescent="0.2">
      <c r="A750" s="8"/>
      <c r="B750" s="95" t="s">
        <v>109</v>
      </c>
      <c r="C750" s="123" t="s">
        <v>216</v>
      </c>
      <c r="D750" s="95" t="s">
        <v>840</v>
      </c>
      <c r="E750" s="102"/>
      <c r="F750" s="106">
        <v>0.27600000000000002</v>
      </c>
      <c r="G750" s="106">
        <v>0.27600000000000002</v>
      </c>
      <c r="H750" s="106">
        <v>0.27600000000000002</v>
      </c>
      <c r="I750" s="106">
        <v>0.27600000000000002</v>
      </c>
      <c r="J750" s="106">
        <v>0.27600000000000002</v>
      </c>
      <c r="K750" s="106">
        <v>0.27600000000000002</v>
      </c>
      <c r="L750" s="106">
        <v>0.27600000000000002</v>
      </c>
      <c r="M750" s="106">
        <v>0.27600000000000002</v>
      </c>
      <c r="N750" s="106">
        <v>0.27600000000000002</v>
      </c>
      <c r="O750" s="106">
        <v>0.27600000000000002</v>
      </c>
      <c r="P750" s="106">
        <v>0.27600000000000002</v>
      </c>
      <c r="Q750" s="106">
        <v>0.27600000000000002</v>
      </c>
      <c r="R750" s="106">
        <v>0.27600000000000002</v>
      </c>
      <c r="S750" s="106">
        <v>0.27600000000000002</v>
      </c>
      <c r="T750" s="106">
        <v>0.27600000000000002</v>
      </c>
      <c r="U750" s="106">
        <v>0.27600000000000002</v>
      </c>
      <c r="V750" s="106">
        <v>0.27600000000000002</v>
      </c>
      <c r="W750" s="106">
        <v>0.27600000000000002</v>
      </c>
      <c r="X750" s="106">
        <v>0.27600000000000002</v>
      </c>
      <c r="Y750" s="106">
        <v>0.27600000000000002</v>
      </c>
      <c r="Z750" s="106">
        <v>0.27600000000000002</v>
      </c>
      <c r="AA750" s="106">
        <v>0.27600000000000002</v>
      </c>
      <c r="AB750" s="106">
        <v>0.27600000000000002</v>
      </c>
      <c r="AC750" s="106">
        <v>0.27600000000000002</v>
      </c>
      <c r="AD750" s="106">
        <v>0.27600000000000002</v>
      </c>
      <c r="AE750" s="106">
        <v>0.27600000000000002</v>
      </c>
      <c r="AF750" s="106">
        <v>0.27600000000000002</v>
      </c>
      <c r="AG750" s="106">
        <v>0.27600000000000002</v>
      </c>
      <c r="AH750" s="106">
        <v>0.27600000000000002</v>
      </c>
      <c r="AI750" s="106">
        <v>0.27600000000000002</v>
      </c>
      <c r="AJ750" s="106">
        <v>0.27600000000000002</v>
      </c>
      <c r="AK750" s="106">
        <v>0.27600000000000002</v>
      </c>
      <c r="AL750" s="106">
        <v>0.27600000000000002</v>
      </c>
      <c r="AM750" s="383">
        <f t="shared" si="183"/>
        <v>0.27599999999999986</v>
      </c>
    </row>
    <row r="751" spans="1:39" x14ac:dyDescent="0.2">
      <c r="A751" s="8"/>
      <c r="B751" s="95" t="s">
        <v>110</v>
      </c>
      <c r="C751" s="123" t="s">
        <v>216</v>
      </c>
      <c r="D751" s="95" t="s">
        <v>840</v>
      </c>
      <c r="E751" s="102"/>
      <c r="F751" s="106">
        <v>0.254714</v>
      </c>
      <c r="G751" s="106">
        <v>0.254714</v>
      </c>
      <c r="H751" s="106">
        <v>0.254714</v>
      </c>
      <c r="I751" s="106">
        <v>0.254714</v>
      </c>
      <c r="J751" s="106">
        <v>0.254714</v>
      </c>
      <c r="K751" s="106">
        <v>0.254714</v>
      </c>
      <c r="L751" s="106">
        <v>0.254714</v>
      </c>
      <c r="M751" s="106">
        <v>0.254714</v>
      </c>
      <c r="N751" s="106">
        <v>0.254714</v>
      </c>
      <c r="O751" s="106">
        <v>0.254714</v>
      </c>
      <c r="P751" s="106">
        <v>0.254714</v>
      </c>
      <c r="Q751" s="106">
        <v>0.254714</v>
      </c>
      <c r="R751" s="106">
        <v>0.254714</v>
      </c>
      <c r="S751" s="106">
        <v>0.254714</v>
      </c>
      <c r="T751" s="106">
        <v>0.254714</v>
      </c>
      <c r="U751" s="106">
        <v>0.254714</v>
      </c>
      <c r="V751" s="106">
        <v>0.254714</v>
      </c>
      <c r="W751" s="106">
        <v>0.254714</v>
      </c>
      <c r="X751" s="106">
        <v>0.254714</v>
      </c>
      <c r="Y751" s="106">
        <v>0.254714</v>
      </c>
      <c r="Z751" s="106">
        <v>0.254714</v>
      </c>
      <c r="AA751" s="106">
        <v>0.254714</v>
      </c>
      <c r="AB751" s="106">
        <v>0.254714</v>
      </c>
      <c r="AC751" s="106">
        <v>0.254714</v>
      </c>
      <c r="AD751" s="106">
        <v>0.254714</v>
      </c>
      <c r="AE751" s="106">
        <v>0.254714</v>
      </c>
      <c r="AF751" s="106">
        <v>0.254714</v>
      </c>
      <c r="AG751" s="106">
        <v>0.254714</v>
      </c>
      <c r="AH751" s="106">
        <v>0.254714</v>
      </c>
      <c r="AI751" s="106">
        <v>0.254714</v>
      </c>
      <c r="AJ751" s="106">
        <v>0.254714</v>
      </c>
      <c r="AK751" s="106">
        <v>0.254714</v>
      </c>
      <c r="AL751" s="106">
        <v>0.254714</v>
      </c>
      <c r="AM751" s="383">
        <f t="shared" si="183"/>
        <v>0.25471399999999994</v>
      </c>
    </row>
    <row r="752" spans="1:39" x14ac:dyDescent="0.2">
      <c r="A752" s="8"/>
      <c r="B752" s="95" t="s">
        <v>111</v>
      </c>
      <c r="C752" s="123" t="s">
        <v>216</v>
      </c>
      <c r="D752" s="95" t="s">
        <v>840</v>
      </c>
      <c r="E752" s="102"/>
      <c r="F752" s="106">
        <v>0.254714</v>
      </c>
      <c r="G752" s="106">
        <v>0.254714</v>
      </c>
      <c r="H752" s="106">
        <v>0.254714</v>
      </c>
      <c r="I752" s="106">
        <v>0.254714</v>
      </c>
      <c r="J752" s="106">
        <v>0.254714</v>
      </c>
      <c r="K752" s="106">
        <v>0.254714</v>
      </c>
      <c r="L752" s="106">
        <v>0.254714</v>
      </c>
      <c r="M752" s="106">
        <v>0.254714</v>
      </c>
      <c r="N752" s="106">
        <v>0.254714</v>
      </c>
      <c r="O752" s="106">
        <v>0.254714</v>
      </c>
      <c r="P752" s="106">
        <v>0.254714</v>
      </c>
      <c r="Q752" s="106">
        <v>0.254714</v>
      </c>
      <c r="R752" s="106">
        <v>0.254714</v>
      </c>
      <c r="S752" s="106">
        <v>0.254714</v>
      </c>
      <c r="T752" s="106">
        <v>0.254714</v>
      </c>
      <c r="U752" s="106">
        <v>0.254714</v>
      </c>
      <c r="V752" s="106">
        <v>0.254714</v>
      </c>
      <c r="W752" s="106">
        <v>0.254714</v>
      </c>
      <c r="X752" s="106">
        <v>0.254714</v>
      </c>
      <c r="Y752" s="106">
        <v>0.254714</v>
      </c>
      <c r="Z752" s="106">
        <v>0.254714</v>
      </c>
      <c r="AA752" s="106">
        <v>0.254714</v>
      </c>
      <c r="AB752" s="106">
        <v>0.254714</v>
      </c>
      <c r="AC752" s="106">
        <v>0.254714</v>
      </c>
      <c r="AD752" s="106">
        <v>0.254714</v>
      </c>
      <c r="AE752" s="106">
        <v>0.254714</v>
      </c>
      <c r="AF752" s="106">
        <v>0.254714</v>
      </c>
      <c r="AG752" s="106">
        <v>0.254714</v>
      </c>
      <c r="AH752" s="106">
        <v>0.254714</v>
      </c>
      <c r="AI752" s="106">
        <v>0.254714</v>
      </c>
      <c r="AJ752" s="106">
        <v>0.254714</v>
      </c>
      <c r="AK752" s="106">
        <v>0.254714</v>
      </c>
      <c r="AL752" s="106">
        <v>0.254714</v>
      </c>
      <c r="AM752" s="383">
        <f t="shared" si="183"/>
        <v>0.25471399999999994</v>
      </c>
    </row>
    <row r="753" spans="1:39" x14ac:dyDescent="0.2">
      <c r="A753" s="8"/>
      <c r="B753" s="95" t="s">
        <v>112</v>
      </c>
      <c r="C753" s="123" t="s">
        <v>216</v>
      </c>
      <c r="D753" s="95" t="s">
        <v>840</v>
      </c>
      <c r="E753" s="102"/>
      <c r="F753" s="106">
        <v>0.254714</v>
      </c>
      <c r="G753" s="106">
        <v>0.254714</v>
      </c>
      <c r="H753" s="106">
        <v>0.254714</v>
      </c>
      <c r="I753" s="106">
        <v>0.254714</v>
      </c>
      <c r="J753" s="106">
        <v>0.254714</v>
      </c>
      <c r="K753" s="106">
        <v>0.254714</v>
      </c>
      <c r="L753" s="106">
        <v>0.254714</v>
      </c>
      <c r="M753" s="106">
        <v>0.254714</v>
      </c>
      <c r="N753" s="106">
        <v>0.254714</v>
      </c>
      <c r="O753" s="106">
        <v>0.254714</v>
      </c>
      <c r="P753" s="106">
        <v>0.254714</v>
      </c>
      <c r="Q753" s="106">
        <v>0.254714</v>
      </c>
      <c r="R753" s="106">
        <v>0.254714</v>
      </c>
      <c r="S753" s="106">
        <v>0.254714</v>
      </c>
      <c r="T753" s="106">
        <v>0.254714</v>
      </c>
      <c r="U753" s="106">
        <v>0.254714</v>
      </c>
      <c r="V753" s="106">
        <v>0.254714</v>
      </c>
      <c r="W753" s="106">
        <v>0.254714</v>
      </c>
      <c r="X753" s="106">
        <v>0.254714</v>
      </c>
      <c r="Y753" s="106">
        <v>0.254714</v>
      </c>
      <c r="Z753" s="106">
        <v>0.254714</v>
      </c>
      <c r="AA753" s="106">
        <v>0.254714</v>
      </c>
      <c r="AB753" s="106">
        <v>0.254714</v>
      </c>
      <c r="AC753" s="106">
        <v>0.254714</v>
      </c>
      <c r="AD753" s="106">
        <v>0.254714</v>
      </c>
      <c r="AE753" s="106">
        <v>0.254714</v>
      </c>
      <c r="AF753" s="106">
        <v>0.254714</v>
      </c>
      <c r="AG753" s="106">
        <v>0.254714</v>
      </c>
      <c r="AH753" s="106">
        <v>0.254714</v>
      </c>
      <c r="AI753" s="106">
        <v>0.254714</v>
      </c>
      <c r="AJ753" s="106">
        <v>0.254714</v>
      </c>
      <c r="AK753" s="106">
        <v>0.254714</v>
      </c>
      <c r="AL753" s="106">
        <v>0.254714</v>
      </c>
      <c r="AM753" s="383">
        <f t="shared" si="183"/>
        <v>0.25471399999999994</v>
      </c>
    </row>
    <row r="754" spans="1:39" x14ac:dyDescent="0.2">
      <c r="A754" s="8"/>
      <c r="B754" s="95" t="s">
        <v>113</v>
      </c>
      <c r="C754" s="123" t="s">
        <v>216</v>
      </c>
      <c r="D754" s="95" t="s">
        <v>840</v>
      </c>
      <c r="E754" s="102"/>
      <c r="F754" s="106">
        <v>0.254714</v>
      </c>
      <c r="G754" s="106">
        <v>0.254714</v>
      </c>
      <c r="H754" s="106">
        <v>0.254714</v>
      </c>
      <c r="I754" s="106">
        <v>0.254714</v>
      </c>
      <c r="J754" s="106">
        <v>0.254714</v>
      </c>
      <c r="K754" s="106">
        <v>0.254714</v>
      </c>
      <c r="L754" s="106">
        <v>0.254714</v>
      </c>
      <c r="M754" s="106">
        <v>0.254714</v>
      </c>
      <c r="N754" s="106">
        <v>0.254714</v>
      </c>
      <c r="O754" s="106">
        <v>0.254714</v>
      </c>
      <c r="P754" s="106">
        <v>0.254714</v>
      </c>
      <c r="Q754" s="106">
        <v>0.254714</v>
      </c>
      <c r="R754" s="106">
        <v>0.254714</v>
      </c>
      <c r="S754" s="106">
        <v>0.254714</v>
      </c>
      <c r="T754" s="106">
        <v>0.254714</v>
      </c>
      <c r="U754" s="106">
        <v>0.254714</v>
      </c>
      <c r="V754" s="106">
        <v>0.254714</v>
      </c>
      <c r="W754" s="106">
        <v>0.254714</v>
      </c>
      <c r="X754" s="106">
        <v>0.254714</v>
      </c>
      <c r="Y754" s="106">
        <v>0.254714</v>
      </c>
      <c r="Z754" s="106">
        <v>0.254714</v>
      </c>
      <c r="AA754" s="106">
        <v>0.254714</v>
      </c>
      <c r="AB754" s="106">
        <v>0.254714</v>
      </c>
      <c r="AC754" s="106">
        <v>0.254714</v>
      </c>
      <c r="AD754" s="106">
        <v>0.254714</v>
      </c>
      <c r="AE754" s="106">
        <v>0.254714</v>
      </c>
      <c r="AF754" s="106">
        <v>0.254714</v>
      </c>
      <c r="AG754" s="106">
        <v>0.254714</v>
      </c>
      <c r="AH754" s="106">
        <v>0.254714</v>
      </c>
      <c r="AI754" s="106">
        <v>0.254714</v>
      </c>
      <c r="AJ754" s="106">
        <v>0.254714</v>
      </c>
      <c r="AK754" s="106">
        <v>0.254714</v>
      </c>
      <c r="AL754" s="106">
        <v>0.254714</v>
      </c>
      <c r="AM754" s="383">
        <f t="shared" si="183"/>
        <v>0.25471399999999994</v>
      </c>
    </row>
    <row r="755" spans="1:39" x14ac:dyDescent="0.2">
      <c r="A755" s="8"/>
      <c r="B755" s="95" t="s">
        <v>114</v>
      </c>
      <c r="C755" s="123" t="s">
        <v>216</v>
      </c>
      <c r="D755" s="95" t="s">
        <v>840</v>
      </c>
      <c r="E755" s="102"/>
      <c r="F755" s="106">
        <v>0.254714</v>
      </c>
      <c r="G755" s="106">
        <v>0.254714</v>
      </c>
      <c r="H755" s="106">
        <v>0.254714</v>
      </c>
      <c r="I755" s="106">
        <v>0.254714</v>
      </c>
      <c r="J755" s="106">
        <v>0.254714</v>
      </c>
      <c r="K755" s="106">
        <v>0.254714</v>
      </c>
      <c r="L755" s="106">
        <v>0.254714</v>
      </c>
      <c r="M755" s="106">
        <v>0.254714</v>
      </c>
      <c r="N755" s="106">
        <v>0.254714</v>
      </c>
      <c r="O755" s="106">
        <v>0.254714</v>
      </c>
      <c r="P755" s="106">
        <v>0.254714</v>
      </c>
      <c r="Q755" s="106">
        <v>0.254714</v>
      </c>
      <c r="R755" s="106">
        <v>0.254714</v>
      </c>
      <c r="S755" s="106">
        <v>0.254714</v>
      </c>
      <c r="T755" s="106">
        <v>0.254714</v>
      </c>
      <c r="U755" s="106">
        <v>0.254714</v>
      </c>
      <c r="V755" s="106">
        <v>0.254714</v>
      </c>
      <c r="W755" s="106">
        <v>0.254714</v>
      </c>
      <c r="X755" s="106">
        <v>0.254714</v>
      </c>
      <c r="Y755" s="106">
        <v>0.254714</v>
      </c>
      <c r="Z755" s="106">
        <v>0.254714</v>
      </c>
      <c r="AA755" s="106">
        <v>0.254714</v>
      </c>
      <c r="AB755" s="106">
        <v>0.254714</v>
      </c>
      <c r="AC755" s="106">
        <v>0.254714</v>
      </c>
      <c r="AD755" s="106">
        <v>0.254714</v>
      </c>
      <c r="AE755" s="106">
        <v>0.254714</v>
      </c>
      <c r="AF755" s="106">
        <v>0.254714</v>
      </c>
      <c r="AG755" s="106">
        <v>0.254714</v>
      </c>
      <c r="AH755" s="106">
        <v>0.254714</v>
      </c>
      <c r="AI755" s="106">
        <v>0.254714</v>
      </c>
      <c r="AJ755" s="106">
        <v>0.254714</v>
      </c>
      <c r="AK755" s="106">
        <v>0.254714</v>
      </c>
      <c r="AL755" s="106">
        <v>0.254714</v>
      </c>
      <c r="AM755" s="383">
        <f t="shared" si="183"/>
        <v>0.25471399999999994</v>
      </c>
    </row>
    <row r="756" spans="1:39" x14ac:dyDescent="0.2">
      <c r="A756" s="8"/>
      <c r="B756" s="95" t="s">
        <v>115</v>
      </c>
      <c r="C756" s="123" t="s">
        <v>216</v>
      </c>
      <c r="D756" s="95" t="s">
        <v>840</v>
      </c>
      <c r="E756" s="102"/>
      <c r="F756" s="106">
        <v>0.254714</v>
      </c>
      <c r="G756" s="106">
        <v>0.254714</v>
      </c>
      <c r="H756" s="106">
        <v>0.254714</v>
      </c>
      <c r="I756" s="106">
        <v>0.254714</v>
      </c>
      <c r="J756" s="106">
        <v>0.254714</v>
      </c>
      <c r="K756" s="106">
        <v>0.254714</v>
      </c>
      <c r="L756" s="106">
        <v>0.254714</v>
      </c>
      <c r="M756" s="106">
        <v>0.254714</v>
      </c>
      <c r="N756" s="106">
        <v>0.254714</v>
      </c>
      <c r="O756" s="106">
        <v>0.254714</v>
      </c>
      <c r="P756" s="106">
        <v>0.254714</v>
      </c>
      <c r="Q756" s="106">
        <v>0.254714</v>
      </c>
      <c r="R756" s="106">
        <v>0.254714</v>
      </c>
      <c r="S756" s="106">
        <v>0.254714</v>
      </c>
      <c r="T756" s="106">
        <v>0.254714</v>
      </c>
      <c r="U756" s="106">
        <v>0.254714</v>
      </c>
      <c r="V756" s="106">
        <v>0.254714</v>
      </c>
      <c r="W756" s="106">
        <v>0.254714</v>
      </c>
      <c r="X756" s="106">
        <v>0.254714</v>
      </c>
      <c r="Y756" s="106">
        <v>0.254714</v>
      </c>
      <c r="Z756" s="106">
        <v>0.254714</v>
      </c>
      <c r="AA756" s="106">
        <v>0.254714</v>
      </c>
      <c r="AB756" s="106">
        <v>0.254714</v>
      </c>
      <c r="AC756" s="106">
        <v>0.254714</v>
      </c>
      <c r="AD756" s="106">
        <v>0.254714</v>
      </c>
      <c r="AE756" s="106">
        <v>0.254714</v>
      </c>
      <c r="AF756" s="106">
        <v>0.254714</v>
      </c>
      <c r="AG756" s="106">
        <v>0.254714</v>
      </c>
      <c r="AH756" s="106">
        <v>0.254714</v>
      </c>
      <c r="AI756" s="106">
        <v>0.254714</v>
      </c>
      <c r="AJ756" s="106">
        <v>0.254714</v>
      </c>
      <c r="AK756" s="106">
        <v>0.254714</v>
      </c>
      <c r="AL756" s="106">
        <v>0.254714</v>
      </c>
      <c r="AM756" s="383">
        <f t="shared" si="183"/>
        <v>0.25471399999999994</v>
      </c>
    </row>
    <row r="757" spans="1:39" x14ac:dyDescent="0.2">
      <c r="A757" s="8"/>
      <c r="B757" s="95" t="s">
        <v>116</v>
      </c>
      <c r="C757" s="123" t="s">
        <v>216</v>
      </c>
      <c r="D757" s="95" t="s">
        <v>840</v>
      </c>
      <c r="E757" s="102"/>
      <c r="F757" s="106">
        <v>0.254714</v>
      </c>
      <c r="G757" s="106">
        <v>0.254714</v>
      </c>
      <c r="H757" s="106">
        <v>0.254714</v>
      </c>
      <c r="I757" s="106">
        <v>0.254714</v>
      </c>
      <c r="J757" s="106">
        <v>0.254714</v>
      </c>
      <c r="K757" s="106">
        <v>0.254714</v>
      </c>
      <c r="L757" s="106">
        <v>0.254714</v>
      </c>
      <c r="M757" s="106">
        <v>0.254714</v>
      </c>
      <c r="N757" s="106">
        <v>0.254714</v>
      </c>
      <c r="O757" s="106">
        <v>0.254714</v>
      </c>
      <c r="P757" s="106">
        <v>0.254714</v>
      </c>
      <c r="Q757" s="106">
        <v>0.254714</v>
      </c>
      <c r="R757" s="106">
        <v>0.254714</v>
      </c>
      <c r="S757" s="106">
        <v>0.254714</v>
      </c>
      <c r="T757" s="106">
        <v>0.254714</v>
      </c>
      <c r="U757" s="106">
        <v>0.254714</v>
      </c>
      <c r="V757" s="106">
        <v>0.254714</v>
      </c>
      <c r="W757" s="106">
        <v>0.254714</v>
      </c>
      <c r="X757" s="106">
        <v>0.254714</v>
      </c>
      <c r="Y757" s="106">
        <v>0.254714</v>
      </c>
      <c r="Z757" s="106">
        <v>0.254714</v>
      </c>
      <c r="AA757" s="106">
        <v>0.254714</v>
      </c>
      <c r="AB757" s="106">
        <v>0.254714</v>
      </c>
      <c r="AC757" s="106">
        <v>0.254714</v>
      </c>
      <c r="AD757" s="106">
        <v>0.254714</v>
      </c>
      <c r="AE757" s="106">
        <v>0.254714</v>
      </c>
      <c r="AF757" s="106">
        <v>0.254714</v>
      </c>
      <c r="AG757" s="106">
        <v>0.254714</v>
      </c>
      <c r="AH757" s="106">
        <v>0.254714</v>
      </c>
      <c r="AI757" s="106">
        <v>0.254714</v>
      </c>
      <c r="AJ757" s="106">
        <v>0.254714</v>
      </c>
      <c r="AK757" s="106">
        <v>0.254714</v>
      </c>
      <c r="AL757" s="106">
        <v>0.254714</v>
      </c>
      <c r="AM757" s="383">
        <f t="shared" si="183"/>
        <v>0.25471399999999994</v>
      </c>
    </row>
    <row r="758" spans="1:39" x14ac:dyDescent="0.2">
      <c r="A758" s="8"/>
      <c r="B758" s="95" t="s">
        <v>117</v>
      </c>
      <c r="C758" s="123" t="s">
        <v>216</v>
      </c>
      <c r="D758" s="95" t="s">
        <v>840</v>
      </c>
      <c r="E758" s="102"/>
      <c r="F758" s="106">
        <v>0.254714</v>
      </c>
      <c r="G758" s="106">
        <v>0.254714</v>
      </c>
      <c r="H758" s="106">
        <v>0.254714</v>
      </c>
      <c r="I758" s="106">
        <v>0.254714</v>
      </c>
      <c r="J758" s="106">
        <v>0.254714</v>
      </c>
      <c r="K758" s="106">
        <v>0.254714</v>
      </c>
      <c r="L758" s="106">
        <v>0.254714</v>
      </c>
      <c r="M758" s="106">
        <v>0.254714</v>
      </c>
      <c r="N758" s="106">
        <v>0.254714</v>
      </c>
      <c r="O758" s="106">
        <v>0.254714</v>
      </c>
      <c r="P758" s="106">
        <v>0.254714</v>
      </c>
      <c r="Q758" s="106">
        <v>0.254714</v>
      </c>
      <c r="R758" s="106">
        <v>0.254714</v>
      </c>
      <c r="S758" s="106">
        <v>0.254714</v>
      </c>
      <c r="T758" s="106">
        <v>0.254714</v>
      </c>
      <c r="U758" s="106">
        <v>0.254714</v>
      </c>
      <c r="V758" s="106">
        <v>0.254714</v>
      </c>
      <c r="W758" s="106">
        <v>0.254714</v>
      </c>
      <c r="X758" s="106">
        <v>0.254714</v>
      </c>
      <c r="Y758" s="106">
        <v>0.254714</v>
      </c>
      <c r="Z758" s="106">
        <v>0.254714</v>
      </c>
      <c r="AA758" s="106">
        <v>0.254714</v>
      </c>
      <c r="AB758" s="106">
        <v>0.254714</v>
      </c>
      <c r="AC758" s="106">
        <v>0.254714</v>
      </c>
      <c r="AD758" s="106">
        <v>0.254714</v>
      </c>
      <c r="AE758" s="106">
        <v>0.254714</v>
      </c>
      <c r="AF758" s="106">
        <v>0.254714</v>
      </c>
      <c r="AG758" s="106">
        <v>0.254714</v>
      </c>
      <c r="AH758" s="106">
        <v>0.254714</v>
      </c>
      <c r="AI758" s="106">
        <v>0.254714</v>
      </c>
      <c r="AJ758" s="106">
        <v>0.254714</v>
      </c>
      <c r="AK758" s="106">
        <v>0.254714</v>
      </c>
      <c r="AL758" s="106">
        <v>0.254714</v>
      </c>
      <c r="AM758" s="383">
        <f t="shared" si="183"/>
        <v>0.25471399999999994</v>
      </c>
    </row>
    <row r="759" spans="1:39" x14ac:dyDescent="0.2">
      <c r="A759" s="8"/>
      <c r="B759" s="95" t="s">
        <v>118</v>
      </c>
      <c r="C759" s="123" t="s">
        <v>216</v>
      </c>
      <c r="D759" s="95" t="s">
        <v>840</v>
      </c>
      <c r="E759" s="102"/>
      <c r="F759" s="106">
        <v>0.23300000000000001</v>
      </c>
      <c r="G759" s="106">
        <v>0.23300000000000001</v>
      </c>
      <c r="H759" s="106">
        <v>0.23300000000000001</v>
      </c>
      <c r="I759" s="106">
        <v>0.23300000000000001</v>
      </c>
      <c r="J759" s="106">
        <v>0.23300000000000001</v>
      </c>
      <c r="K759" s="106">
        <v>0.23300000000000001</v>
      </c>
      <c r="L759" s="106">
        <v>0.23300000000000001</v>
      </c>
      <c r="M759" s="106">
        <v>0.23300000000000001</v>
      </c>
      <c r="N759" s="106">
        <v>0.23300000000000001</v>
      </c>
      <c r="O759" s="106">
        <v>0.23300000000000001</v>
      </c>
      <c r="P759" s="106">
        <v>0.23300000000000001</v>
      </c>
      <c r="Q759" s="106">
        <v>0.23300000000000001</v>
      </c>
      <c r="R759" s="106">
        <v>0.23300000000000001</v>
      </c>
      <c r="S759" s="106">
        <v>0.23300000000000001</v>
      </c>
      <c r="T759" s="106">
        <v>0.23300000000000001</v>
      </c>
      <c r="U759" s="106">
        <v>0.23300000000000001</v>
      </c>
      <c r="V759" s="106">
        <v>0.23300000000000001</v>
      </c>
      <c r="W759" s="106">
        <v>0.23300000000000001</v>
      </c>
      <c r="X759" s="106">
        <v>0.23300000000000001</v>
      </c>
      <c r="Y759" s="106">
        <v>0.23300000000000001</v>
      </c>
      <c r="Z759" s="106">
        <v>0.23300000000000001</v>
      </c>
      <c r="AA759" s="106">
        <v>0.23300000000000001</v>
      </c>
      <c r="AB759" s="106">
        <v>0.23300000000000001</v>
      </c>
      <c r="AC759" s="106">
        <v>0.23300000000000001</v>
      </c>
      <c r="AD759" s="106">
        <v>0.23300000000000001</v>
      </c>
      <c r="AE759" s="106">
        <v>0.23300000000000001</v>
      </c>
      <c r="AF759" s="106">
        <v>0.23300000000000001</v>
      </c>
      <c r="AG759" s="106">
        <v>0.23300000000000001</v>
      </c>
      <c r="AH759" s="106">
        <v>0.23300000000000001</v>
      </c>
      <c r="AI759" s="106">
        <v>0.23300000000000001</v>
      </c>
      <c r="AJ759" s="106">
        <v>0.23300000000000001</v>
      </c>
      <c r="AK759" s="106">
        <v>0.23300000000000001</v>
      </c>
      <c r="AL759" s="106">
        <v>0.23300000000000001</v>
      </c>
      <c r="AM759" s="383">
        <f t="shared" si="183"/>
        <v>0.23299999999999987</v>
      </c>
    </row>
    <row r="760" spans="1:39" x14ac:dyDescent="0.2">
      <c r="A760" s="8"/>
      <c r="B760" s="95" t="s">
        <v>119</v>
      </c>
      <c r="C760" s="123" t="s">
        <v>216</v>
      </c>
      <c r="D760" s="95" t="s">
        <v>840</v>
      </c>
      <c r="E760" s="102"/>
      <c r="F760" s="106">
        <v>0.254714</v>
      </c>
      <c r="G760" s="106">
        <v>0.254714</v>
      </c>
      <c r="H760" s="106">
        <v>0.254714</v>
      </c>
      <c r="I760" s="106">
        <v>0.254714</v>
      </c>
      <c r="J760" s="106">
        <v>0.254714</v>
      </c>
      <c r="K760" s="106">
        <v>0.254714</v>
      </c>
      <c r="L760" s="106">
        <v>0.254714</v>
      </c>
      <c r="M760" s="106">
        <v>0.254714</v>
      </c>
      <c r="N760" s="106">
        <v>0.254714</v>
      </c>
      <c r="O760" s="106">
        <v>0.254714</v>
      </c>
      <c r="P760" s="106">
        <v>0.254714</v>
      </c>
      <c r="Q760" s="106">
        <v>0.254714</v>
      </c>
      <c r="R760" s="106">
        <v>0.254714</v>
      </c>
      <c r="S760" s="106">
        <v>0.254714</v>
      </c>
      <c r="T760" s="106">
        <v>0.254714</v>
      </c>
      <c r="U760" s="106">
        <v>0.254714</v>
      </c>
      <c r="V760" s="106">
        <v>0.254714</v>
      </c>
      <c r="W760" s="106">
        <v>0.254714</v>
      </c>
      <c r="X760" s="106">
        <v>0.254714</v>
      </c>
      <c r="Y760" s="106">
        <v>0.254714</v>
      </c>
      <c r="Z760" s="106">
        <v>0.254714</v>
      </c>
      <c r="AA760" s="106">
        <v>0.254714</v>
      </c>
      <c r="AB760" s="106">
        <v>0.254714</v>
      </c>
      <c r="AC760" s="106">
        <v>0.254714</v>
      </c>
      <c r="AD760" s="106">
        <v>0.254714</v>
      </c>
      <c r="AE760" s="106">
        <v>0.254714</v>
      </c>
      <c r="AF760" s="106">
        <v>0.254714</v>
      </c>
      <c r="AG760" s="106">
        <v>0.254714</v>
      </c>
      <c r="AH760" s="106">
        <v>0.254714</v>
      </c>
      <c r="AI760" s="106">
        <v>0.254714</v>
      </c>
      <c r="AJ760" s="106">
        <v>0.254714</v>
      </c>
      <c r="AK760" s="106">
        <v>0.254714</v>
      </c>
      <c r="AL760" s="106">
        <v>0.254714</v>
      </c>
      <c r="AM760" s="383">
        <f t="shared" si="183"/>
        <v>0.25471399999999994</v>
      </c>
    </row>
    <row r="761" spans="1:39" x14ac:dyDescent="0.2">
      <c r="A761" s="8"/>
      <c r="B761" s="95" t="s">
        <v>120</v>
      </c>
      <c r="C761" s="123" t="s">
        <v>216</v>
      </c>
      <c r="D761" s="95" t="s">
        <v>840</v>
      </c>
      <c r="E761" s="102"/>
      <c r="F761" s="106">
        <v>0.25700000000000001</v>
      </c>
      <c r="G761" s="106">
        <v>0.25700000000000001</v>
      </c>
      <c r="H761" s="106">
        <v>0.25700000000000001</v>
      </c>
      <c r="I761" s="106">
        <v>0.25700000000000001</v>
      </c>
      <c r="J761" s="106">
        <v>0.25700000000000001</v>
      </c>
      <c r="K761" s="106">
        <v>0.25700000000000001</v>
      </c>
      <c r="L761" s="106">
        <v>0.25700000000000001</v>
      </c>
      <c r="M761" s="106">
        <v>0.25700000000000001</v>
      </c>
      <c r="N761" s="106">
        <v>0.25700000000000001</v>
      </c>
      <c r="O761" s="106">
        <v>0.25700000000000001</v>
      </c>
      <c r="P761" s="106">
        <v>0.25700000000000001</v>
      </c>
      <c r="Q761" s="106">
        <v>0.25700000000000001</v>
      </c>
      <c r="R761" s="106">
        <v>0.25700000000000001</v>
      </c>
      <c r="S761" s="106">
        <v>0.25700000000000001</v>
      </c>
      <c r="T761" s="106">
        <v>0.25700000000000001</v>
      </c>
      <c r="U761" s="106">
        <v>0.25700000000000001</v>
      </c>
      <c r="V761" s="106">
        <v>0.25700000000000001</v>
      </c>
      <c r="W761" s="106">
        <v>0.25700000000000001</v>
      </c>
      <c r="X761" s="106">
        <v>0.25700000000000001</v>
      </c>
      <c r="Y761" s="106">
        <v>0.25700000000000001</v>
      </c>
      <c r="Z761" s="106">
        <v>0.25700000000000001</v>
      </c>
      <c r="AA761" s="106">
        <v>0.25700000000000001</v>
      </c>
      <c r="AB761" s="106">
        <v>0.25700000000000001</v>
      </c>
      <c r="AC761" s="106">
        <v>0.25700000000000001</v>
      </c>
      <c r="AD761" s="106">
        <v>0.25700000000000001</v>
      </c>
      <c r="AE761" s="106">
        <v>0.25700000000000001</v>
      </c>
      <c r="AF761" s="106">
        <v>0.25700000000000001</v>
      </c>
      <c r="AG761" s="106">
        <v>0.25700000000000001</v>
      </c>
      <c r="AH761" s="106">
        <v>0.25700000000000001</v>
      </c>
      <c r="AI761" s="106">
        <v>0.25700000000000001</v>
      </c>
      <c r="AJ761" s="106">
        <v>0.25700000000000001</v>
      </c>
      <c r="AK761" s="106">
        <v>0.25700000000000001</v>
      </c>
      <c r="AL761" s="106">
        <v>0.25700000000000001</v>
      </c>
      <c r="AM761" s="383">
        <f t="shared" si="183"/>
        <v>0.2569999999999999</v>
      </c>
    </row>
    <row r="762" spans="1:39" x14ac:dyDescent="0.2">
      <c r="A762" s="8"/>
      <c r="B762" s="95" t="s">
        <v>127</v>
      </c>
      <c r="C762" s="123" t="s">
        <v>216</v>
      </c>
      <c r="D762" s="95" t="s">
        <v>840</v>
      </c>
      <c r="E762" s="102"/>
      <c r="F762" s="106">
        <v>0.23799999999999999</v>
      </c>
      <c r="G762" s="106">
        <v>0.23799999999999999</v>
      </c>
      <c r="H762" s="106">
        <v>0.23799999999999999</v>
      </c>
      <c r="I762" s="106">
        <v>0.23799999999999999</v>
      </c>
      <c r="J762" s="106">
        <v>0.23799999999999999</v>
      </c>
      <c r="K762" s="106">
        <v>0.23799999999999999</v>
      </c>
      <c r="L762" s="106">
        <v>0.23799999999999999</v>
      </c>
      <c r="M762" s="106">
        <v>0.23799999999999999</v>
      </c>
      <c r="N762" s="106">
        <v>0.23799999999999999</v>
      </c>
      <c r="O762" s="106">
        <v>0.23799999999999999</v>
      </c>
      <c r="P762" s="106">
        <v>0.23799999999999999</v>
      </c>
      <c r="Q762" s="106">
        <v>0.23799999999999999</v>
      </c>
      <c r="R762" s="106">
        <v>0.23799999999999999</v>
      </c>
      <c r="S762" s="106">
        <v>0.23799999999999999</v>
      </c>
      <c r="T762" s="106">
        <v>0.23799999999999999</v>
      </c>
      <c r="U762" s="106">
        <v>0.23799999999999999</v>
      </c>
      <c r="V762" s="106">
        <v>0.23799999999999999</v>
      </c>
      <c r="W762" s="106">
        <v>0.23799999999999999</v>
      </c>
      <c r="X762" s="106">
        <v>0.23799999999999999</v>
      </c>
      <c r="Y762" s="106">
        <v>0.23799999999999999</v>
      </c>
      <c r="Z762" s="106">
        <v>0.23799999999999999</v>
      </c>
      <c r="AA762" s="106">
        <v>0.23799999999999999</v>
      </c>
      <c r="AB762" s="106">
        <v>0.23799999999999999</v>
      </c>
      <c r="AC762" s="106">
        <v>0.23799999999999999</v>
      </c>
      <c r="AD762" s="106">
        <v>0.23799999999999999</v>
      </c>
      <c r="AE762" s="106">
        <v>0.23799999999999999</v>
      </c>
      <c r="AF762" s="106">
        <v>0.23799999999999999</v>
      </c>
      <c r="AG762" s="106">
        <v>0.23799999999999999</v>
      </c>
      <c r="AH762" s="106">
        <v>0.23799999999999999</v>
      </c>
      <c r="AI762" s="106">
        <v>0.23799999999999999</v>
      </c>
      <c r="AJ762" s="106">
        <v>0.23799999999999999</v>
      </c>
      <c r="AK762" s="106">
        <v>0.23799999999999999</v>
      </c>
      <c r="AL762" s="106">
        <v>0.23799999999999999</v>
      </c>
      <c r="AM762" s="383">
        <f t="shared" si="183"/>
        <v>0.23799999999999977</v>
      </c>
    </row>
    <row r="763" spans="1:39" x14ac:dyDescent="0.2">
      <c r="A763" s="8"/>
      <c r="B763" s="95" t="s">
        <v>128</v>
      </c>
      <c r="C763" s="123" t="s">
        <v>216</v>
      </c>
      <c r="D763" s="95" t="s">
        <v>840</v>
      </c>
      <c r="E763" s="102"/>
      <c r="F763" s="106">
        <v>0.2475</v>
      </c>
      <c r="G763" s="106">
        <v>0.2475</v>
      </c>
      <c r="H763" s="106">
        <v>0.2475</v>
      </c>
      <c r="I763" s="106">
        <v>0.2475</v>
      </c>
      <c r="J763" s="106">
        <v>0.2475</v>
      </c>
      <c r="K763" s="106">
        <v>0.2475</v>
      </c>
      <c r="L763" s="106">
        <v>0.2475</v>
      </c>
      <c r="M763" s="106">
        <v>0.2475</v>
      </c>
      <c r="N763" s="106">
        <v>0.2475</v>
      </c>
      <c r="O763" s="106">
        <v>0.2475</v>
      </c>
      <c r="P763" s="106">
        <v>0.2475</v>
      </c>
      <c r="Q763" s="106">
        <v>0.2475</v>
      </c>
      <c r="R763" s="106">
        <v>0.2475</v>
      </c>
      <c r="S763" s="106">
        <v>0.2475</v>
      </c>
      <c r="T763" s="106">
        <v>0.2475</v>
      </c>
      <c r="U763" s="106">
        <v>0.2475</v>
      </c>
      <c r="V763" s="106">
        <v>0.2475</v>
      </c>
      <c r="W763" s="106">
        <v>0.2475</v>
      </c>
      <c r="X763" s="106">
        <v>0.2475</v>
      </c>
      <c r="Y763" s="106">
        <v>0.2475</v>
      </c>
      <c r="Z763" s="106">
        <v>0.2475</v>
      </c>
      <c r="AA763" s="106">
        <v>0.2475</v>
      </c>
      <c r="AB763" s="106">
        <v>0.2475</v>
      </c>
      <c r="AC763" s="106">
        <v>0.2475</v>
      </c>
      <c r="AD763" s="106">
        <v>0.2475</v>
      </c>
      <c r="AE763" s="106">
        <v>0.2475</v>
      </c>
      <c r="AF763" s="106">
        <v>0.2475</v>
      </c>
      <c r="AG763" s="106">
        <v>0.2475</v>
      </c>
      <c r="AH763" s="106">
        <v>0.2475</v>
      </c>
      <c r="AI763" s="106">
        <v>0.2475</v>
      </c>
      <c r="AJ763" s="106">
        <v>0.2475</v>
      </c>
      <c r="AK763" s="106">
        <v>0.2475</v>
      </c>
      <c r="AL763" s="106">
        <v>0.2475</v>
      </c>
      <c r="AM763" s="383">
        <f t="shared" si="183"/>
        <v>0.24749999999999986</v>
      </c>
    </row>
    <row r="764" spans="1:39" x14ac:dyDescent="0.2">
      <c r="A764" s="8"/>
      <c r="B764" s="95" t="s">
        <v>174</v>
      </c>
      <c r="C764" s="123" t="s">
        <v>216</v>
      </c>
      <c r="D764" s="95" t="s">
        <v>840</v>
      </c>
      <c r="E764" s="102"/>
      <c r="F764" s="106">
        <v>0.2475</v>
      </c>
      <c r="G764" s="106">
        <v>0.2475</v>
      </c>
      <c r="H764" s="106">
        <v>0.2475</v>
      </c>
      <c r="I764" s="106">
        <v>0.2475</v>
      </c>
      <c r="J764" s="106">
        <v>0.2475</v>
      </c>
      <c r="K764" s="106">
        <v>0.2475</v>
      </c>
      <c r="L764" s="106">
        <v>0.2475</v>
      </c>
      <c r="M764" s="106">
        <v>0.2475</v>
      </c>
      <c r="N764" s="106">
        <v>0.2475</v>
      </c>
      <c r="O764" s="106">
        <v>0.2475</v>
      </c>
      <c r="P764" s="106">
        <v>0.2475</v>
      </c>
      <c r="Q764" s="106">
        <v>0.2475</v>
      </c>
      <c r="R764" s="106">
        <v>0.2475</v>
      </c>
      <c r="S764" s="106">
        <v>0.2475</v>
      </c>
      <c r="T764" s="106">
        <v>0.2475</v>
      </c>
      <c r="U764" s="106">
        <v>0.2475</v>
      </c>
      <c r="V764" s="106">
        <v>0.2475</v>
      </c>
      <c r="W764" s="106">
        <v>0.2475</v>
      </c>
      <c r="X764" s="106">
        <v>0.2475</v>
      </c>
      <c r="Y764" s="106">
        <v>0.2475</v>
      </c>
      <c r="Z764" s="106">
        <v>0.2475</v>
      </c>
      <c r="AA764" s="106">
        <v>0.2475</v>
      </c>
      <c r="AB764" s="106">
        <v>0.2475</v>
      </c>
      <c r="AC764" s="106">
        <v>0.2475</v>
      </c>
      <c r="AD764" s="106">
        <v>0.2475</v>
      </c>
      <c r="AE764" s="106">
        <v>0.2475</v>
      </c>
      <c r="AF764" s="106">
        <v>0.2475</v>
      </c>
      <c r="AG764" s="106">
        <v>0.2475</v>
      </c>
      <c r="AH764" s="106">
        <v>0.2475</v>
      </c>
      <c r="AI764" s="106">
        <v>0.2475</v>
      </c>
      <c r="AJ764" s="106">
        <v>0.2475</v>
      </c>
      <c r="AK764" s="106">
        <v>0.2475</v>
      </c>
      <c r="AL764" s="106">
        <v>0.2475</v>
      </c>
      <c r="AM764" s="383">
        <f t="shared" si="183"/>
        <v>0.24749999999999986</v>
      </c>
    </row>
    <row r="765" spans="1:39" x14ac:dyDescent="0.2">
      <c r="A765" s="8"/>
      <c r="B765" s="268"/>
      <c r="C765" s="215"/>
      <c r="D765" s="268"/>
      <c r="E765" s="27"/>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c r="AF765" s="31"/>
      <c r="AG765" s="31"/>
      <c r="AH765" s="31"/>
      <c r="AI765" s="31"/>
      <c r="AJ765" s="31"/>
      <c r="AK765" s="31"/>
      <c r="AL765" s="31"/>
      <c r="AM765" s="107"/>
    </row>
    <row r="766" spans="1:39" x14ac:dyDescent="0.2">
      <c r="A766" s="8"/>
      <c r="B766" s="64" t="s">
        <v>325</v>
      </c>
      <c r="C766" s="18"/>
      <c r="D766" s="19"/>
      <c r="E766" s="54"/>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c r="AJ766" s="31"/>
      <c r="AK766" s="31"/>
      <c r="AL766" s="31"/>
      <c r="AM766" s="107"/>
    </row>
    <row r="767" spans="1:39" x14ac:dyDescent="0.2">
      <c r="A767" s="8"/>
      <c r="B767" s="278" t="s">
        <v>870</v>
      </c>
      <c r="C767" s="128" t="s">
        <v>176</v>
      </c>
      <c r="D767" s="129"/>
      <c r="E767" s="101"/>
      <c r="F767" s="101">
        <f t="shared" ref="F767:F783" si="184">F621*F735</f>
        <v>443.36570433673938</v>
      </c>
      <c r="G767" s="101">
        <f t="shared" ref="G767:AL775" si="185">G621*G735</f>
        <v>230.80200563409383</v>
      </c>
      <c r="H767" s="101">
        <f t="shared" si="185"/>
        <v>255.83022344723224</v>
      </c>
      <c r="I767" s="101">
        <f t="shared" si="185"/>
        <v>827.75944920411234</v>
      </c>
      <c r="J767" s="101">
        <f t="shared" si="185"/>
        <v>194.96259852481194</v>
      </c>
      <c r="K767" s="101">
        <f t="shared" si="185"/>
        <v>107.29468244620195</v>
      </c>
      <c r="L767" s="101">
        <f t="shared" si="185"/>
        <v>32.216890046539085</v>
      </c>
      <c r="M767" s="101">
        <f t="shared" si="185"/>
        <v>369.67849840232805</v>
      </c>
      <c r="N767" s="101">
        <f t="shared" si="185"/>
        <v>701.66831101822333</v>
      </c>
      <c r="O767" s="101">
        <f t="shared" si="185"/>
        <v>298.04388610192916</v>
      </c>
      <c r="P767" s="101">
        <f t="shared" si="185"/>
        <v>329.1936766701873</v>
      </c>
      <c r="Q767" s="101">
        <f t="shared" si="185"/>
        <v>284.83444061137237</v>
      </c>
      <c r="R767" s="101">
        <f t="shared" si="185"/>
        <v>293.26136843815721</v>
      </c>
      <c r="S767" s="101">
        <f t="shared" si="185"/>
        <v>403.92582648555583</v>
      </c>
      <c r="T767" s="101">
        <f t="shared" si="185"/>
        <v>561.27971928130876</v>
      </c>
      <c r="U767" s="101">
        <f t="shared" si="185"/>
        <v>1168.6689908871995</v>
      </c>
      <c r="V767" s="101">
        <f t="shared" si="185"/>
        <v>449.74811470633693</v>
      </c>
      <c r="W767" s="101">
        <f t="shared" si="185"/>
        <v>46.578325308962249</v>
      </c>
      <c r="X767" s="101">
        <f t="shared" si="185"/>
        <v>8.8289743854637965</v>
      </c>
      <c r="Y767" s="101">
        <f t="shared" si="185"/>
        <v>103.88544187433745</v>
      </c>
      <c r="Z767" s="101">
        <f t="shared" si="185"/>
        <v>26.959440336832586</v>
      </c>
      <c r="AA767" s="101">
        <f t="shared" si="185"/>
        <v>124.89306452942833</v>
      </c>
      <c r="AB767" s="101">
        <f t="shared" si="185"/>
        <v>16.552947727101166</v>
      </c>
      <c r="AC767" s="101">
        <f t="shared" si="185"/>
        <v>1002.7398031142482</v>
      </c>
      <c r="AD767" s="101">
        <f t="shared" si="185"/>
        <v>63.414376270078385</v>
      </c>
      <c r="AE767" s="101">
        <f t="shared" si="185"/>
        <v>260.52377220151095</v>
      </c>
      <c r="AF767" s="101">
        <f t="shared" si="185"/>
        <v>130.62552272089309</v>
      </c>
      <c r="AG767" s="101">
        <f t="shared" si="185"/>
        <v>87.20708460584035</v>
      </c>
      <c r="AH767" s="101">
        <f t="shared" si="185"/>
        <v>11.222960414952427</v>
      </c>
      <c r="AI767" s="101">
        <f t="shared" si="185"/>
        <v>38.772825604817989</v>
      </c>
      <c r="AJ767" s="101">
        <f t="shared" si="185"/>
        <v>101.9563705516952</v>
      </c>
      <c r="AK767" s="101">
        <f t="shared" si="185"/>
        <v>44.6099031758541</v>
      </c>
      <c r="AL767" s="101">
        <f t="shared" si="185"/>
        <v>2.9498379636870382</v>
      </c>
      <c r="AM767" s="379">
        <f t="shared" ref="AM767:AM799" si="186">SUM(F767:AL767)</f>
        <v>9024.2550370280351</v>
      </c>
    </row>
    <row r="768" spans="1:39" x14ac:dyDescent="0.2">
      <c r="A768" s="8"/>
      <c r="B768" s="107" t="s">
        <v>841</v>
      </c>
      <c r="C768" s="128" t="s">
        <v>176</v>
      </c>
      <c r="D768" s="129"/>
      <c r="E768" s="101"/>
      <c r="F768" s="101">
        <f t="shared" si="184"/>
        <v>103.60269768226499</v>
      </c>
      <c r="G768" s="101">
        <f t="shared" ref="G768:U768" si="187">G622*G736</f>
        <v>114.63601557541817</v>
      </c>
      <c r="H768" s="101">
        <f t="shared" si="187"/>
        <v>84.956981559724468</v>
      </c>
      <c r="I768" s="101">
        <f t="shared" si="187"/>
        <v>147.45458305834018</v>
      </c>
      <c r="J768" s="101">
        <f t="shared" si="187"/>
        <v>62.595247397625918</v>
      </c>
      <c r="K768" s="101">
        <f t="shared" si="187"/>
        <v>20.698173283699539</v>
      </c>
      <c r="L768" s="101">
        <f t="shared" si="187"/>
        <v>15.065112378054195</v>
      </c>
      <c r="M768" s="101">
        <f t="shared" si="187"/>
        <v>91.068538650443273</v>
      </c>
      <c r="N768" s="101">
        <f t="shared" si="187"/>
        <v>194.46482148086741</v>
      </c>
      <c r="O768" s="101">
        <f t="shared" si="187"/>
        <v>153.58160900608016</v>
      </c>
      <c r="P768" s="101">
        <f t="shared" si="187"/>
        <v>133.94760573675802</v>
      </c>
      <c r="Q768" s="101">
        <f t="shared" si="187"/>
        <v>14.400219084165212</v>
      </c>
      <c r="R768" s="101">
        <f t="shared" si="187"/>
        <v>31.498040135984642</v>
      </c>
      <c r="S768" s="101">
        <f t="shared" si="187"/>
        <v>46.45540972870117</v>
      </c>
      <c r="T768" s="101">
        <f t="shared" si="187"/>
        <v>133.14789193550294</v>
      </c>
      <c r="U768" s="101">
        <f t="shared" si="187"/>
        <v>301.82703335309066</v>
      </c>
      <c r="V768" s="101">
        <f t="shared" si="185"/>
        <v>67.34970504911206</v>
      </c>
      <c r="W768" s="101">
        <f t="shared" si="185"/>
        <v>6.9524033298472991</v>
      </c>
      <c r="X768" s="101">
        <f t="shared" si="185"/>
        <v>1.3777531544568904</v>
      </c>
      <c r="Y768" s="101">
        <f t="shared" si="185"/>
        <v>6.2408957235542948</v>
      </c>
      <c r="Z768" s="101">
        <f t="shared" si="185"/>
        <v>5.7206472449468242</v>
      </c>
      <c r="AA768" s="101">
        <f t="shared" si="185"/>
        <v>7.5746705380942618</v>
      </c>
      <c r="AB768" s="101">
        <f t="shared" si="185"/>
        <v>7.9604037883722176</v>
      </c>
      <c r="AC768" s="101">
        <f t="shared" si="185"/>
        <v>64.467195280525303</v>
      </c>
      <c r="AD768" s="101">
        <f t="shared" si="185"/>
        <v>1.1305718964607361</v>
      </c>
      <c r="AE768" s="101">
        <f t="shared" si="185"/>
        <v>2.5836979510906635</v>
      </c>
      <c r="AF768" s="101">
        <f t="shared" si="185"/>
        <v>0.72217074401085524</v>
      </c>
      <c r="AG768" s="101">
        <f t="shared" si="185"/>
        <v>4.8847769005140043</v>
      </c>
      <c r="AH768" s="101">
        <f t="shared" si="185"/>
        <v>0.20006782473060156</v>
      </c>
      <c r="AI768" s="101">
        <f t="shared" si="185"/>
        <v>0.95886337359445906</v>
      </c>
      <c r="AJ768" s="101">
        <f t="shared" si="185"/>
        <v>3.7310531433069198</v>
      </c>
      <c r="AK768" s="101">
        <f t="shared" si="185"/>
        <v>1.1138271546775544</v>
      </c>
      <c r="AL768" s="101">
        <f t="shared" si="185"/>
        <v>0</v>
      </c>
      <c r="AM768" s="379">
        <f t="shared" si="186"/>
        <v>1832.3686831440164</v>
      </c>
    </row>
    <row r="769" spans="1:39" x14ac:dyDescent="0.2">
      <c r="A769" s="8"/>
      <c r="B769" s="107" t="s">
        <v>842</v>
      </c>
      <c r="C769" s="128" t="s">
        <v>176</v>
      </c>
      <c r="D769" s="129"/>
      <c r="E769" s="101"/>
      <c r="F769" s="101">
        <f t="shared" si="184"/>
        <v>2.4212541394817859</v>
      </c>
      <c r="G769" s="101">
        <f t="shared" si="185"/>
        <v>0.2321942055137701</v>
      </c>
      <c r="H769" s="101">
        <f t="shared" si="185"/>
        <v>0.39828522367350255</v>
      </c>
      <c r="I769" s="101">
        <f t="shared" si="185"/>
        <v>0.62907042958071746</v>
      </c>
      <c r="J769" s="101">
        <f t="shared" si="185"/>
        <v>0.77014120816087461</v>
      </c>
      <c r="K769" s="101">
        <f t="shared" si="185"/>
        <v>1.2798513679908951E-2</v>
      </c>
      <c r="L769" s="101">
        <f t="shared" si="185"/>
        <v>0</v>
      </c>
      <c r="M769" s="101">
        <f t="shared" si="185"/>
        <v>3.5478886446844333</v>
      </c>
      <c r="N769" s="101">
        <f t="shared" si="185"/>
        <v>10.117808425057637</v>
      </c>
      <c r="O769" s="101">
        <f t="shared" si="185"/>
        <v>8.2684027574899268</v>
      </c>
      <c r="P769" s="101">
        <f t="shared" si="185"/>
        <v>2.7788147712933857</v>
      </c>
      <c r="Q769" s="101">
        <f t="shared" si="185"/>
        <v>0.31612961198968847</v>
      </c>
      <c r="R769" s="101">
        <f t="shared" si="185"/>
        <v>6.7885412182707361</v>
      </c>
      <c r="S769" s="101">
        <f t="shared" si="185"/>
        <v>44.213616210819858</v>
      </c>
      <c r="T769" s="101">
        <f t="shared" si="185"/>
        <v>34.770626504102296</v>
      </c>
      <c r="U769" s="101">
        <f t="shared" si="185"/>
        <v>63.677669010758024</v>
      </c>
      <c r="V769" s="101">
        <f t="shared" si="185"/>
        <v>14.649042559090663</v>
      </c>
      <c r="W769" s="101">
        <f t="shared" si="185"/>
        <v>1.4614177002349622</v>
      </c>
      <c r="X769" s="101">
        <f t="shared" si="185"/>
        <v>0.50871388538413231</v>
      </c>
      <c r="Y769" s="101">
        <f t="shared" si="185"/>
        <v>2.1817118289244766</v>
      </c>
      <c r="Z769" s="101">
        <f t="shared" si="185"/>
        <v>4.706635167936593</v>
      </c>
      <c r="AA769" s="101">
        <f t="shared" si="185"/>
        <v>6.0710077392804509</v>
      </c>
      <c r="AB769" s="101">
        <f t="shared" si="185"/>
        <v>17.667584908394097</v>
      </c>
      <c r="AC769" s="101">
        <f t="shared" si="185"/>
        <v>162.83099339641655</v>
      </c>
      <c r="AD769" s="101">
        <f t="shared" si="185"/>
        <v>2.3464130646273818</v>
      </c>
      <c r="AE769" s="101">
        <f t="shared" si="185"/>
        <v>1.8108326913897599</v>
      </c>
      <c r="AF769" s="101">
        <f t="shared" si="185"/>
        <v>1.5991666178886639</v>
      </c>
      <c r="AG769" s="101">
        <f t="shared" si="185"/>
        <v>8.5484275688494176</v>
      </c>
      <c r="AH769" s="101">
        <f t="shared" si="185"/>
        <v>0.43976151628848337</v>
      </c>
      <c r="AI769" s="101">
        <f t="shared" si="185"/>
        <v>2.7313874503926243</v>
      </c>
      <c r="AJ769" s="101">
        <f t="shared" si="185"/>
        <v>9.1477081858229603</v>
      </c>
      <c r="AK769" s="101">
        <f t="shared" si="185"/>
        <v>1.6771149892867545</v>
      </c>
      <c r="AL769" s="101">
        <f t="shared" si="185"/>
        <v>1.910598189863252E-2</v>
      </c>
      <c r="AM769" s="379">
        <f t="shared" si="186"/>
        <v>417.3402661266631</v>
      </c>
    </row>
    <row r="770" spans="1:39" x14ac:dyDescent="0.2">
      <c r="A770" s="8"/>
      <c r="B770" s="107" t="s">
        <v>843</v>
      </c>
      <c r="C770" s="128" t="s">
        <v>176</v>
      </c>
      <c r="D770" s="129"/>
      <c r="E770" s="101"/>
      <c r="F770" s="101">
        <f t="shared" si="184"/>
        <v>3.1345895775930714E-2</v>
      </c>
      <c r="G770" s="101">
        <f t="shared" si="185"/>
        <v>5.0513585701612261E-3</v>
      </c>
      <c r="H770" s="101">
        <f t="shared" si="185"/>
        <v>4.6016358179312503E-3</v>
      </c>
      <c r="I770" s="101">
        <f t="shared" si="185"/>
        <v>8.3079081092604524E-3</v>
      </c>
      <c r="J770" s="101">
        <f t="shared" si="185"/>
        <v>0</v>
      </c>
      <c r="K770" s="101">
        <f t="shared" si="185"/>
        <v>0</v>
      </c>
      <c r="L770" s="101">
        <f t="shared" si="185"/>
        <v>0</v>
      </c>
      <c r="M770" s="101">
        <f t="shared" si="185"/>
        <v>1.7672604096904632E-2</v>
      </c>
      <c r="N770" s="101">
        <f t="shared" si="185"/>
        <v>0.40481813288043417</v>
      </c>
      <c r="O770" s="101">
        <f t="shared" si="185"/>
        <v>2.5133269298174685</v>
      </c>
      <c r="P770" s="101">
        <f t="shared" si="185"/>
        <v>0.75824940809493646</v>
      </c>
      <c r="Q770" s="101">
        <f t="shared" si="185"/>
        <v>0.84523094636705043</v>
      </c>
      <c r="R770" s="101">
        <f t="shared" si="185"/>
        <v>1.617778870038426E-2</v>
      </c>
      <c r="S770" s="101">
        <f t="shared" si="185"/>
        <v>0.12286989936995624</v>
      </c>
      <c r="T770" s="101">
        <f t="shared" si="185"/>
        <v>0.14528344266777762</v>
      </c>
      <c r="U770" s="101">
        <f t="shared" si="185"/>
        <v>0.85441981466480232</v>
      </c>
      <c r="V770" s="101">
        <f t="shared" si="185"/>
        <v>3.0287682489964576</v>
      </c>
      <c r="W770" s="101">
        <f t="shared" si="185"/>
        <v>1.4445134323319517</v>
      </c>
      <c r="X770" s="101">
        <f t="shared" si="185"/>
        <v>0.26755953716545994</v>
      </c>
      <c r="Y770" s="101">
        <f t="shared" si="185"/>
        <v>1.0116822558234067</v>
      </c>
      <c r="Z770" s="101">
        <f t="shared" si="185"/>
        <v>0.83917922425834968</v>
      </c>
      <c r="AA770" s="101">
        <f t="shared" si="185"/>
        <v>1.0701149451998209</v>
      </c>
      <c r="AB770" s="101">
        <f t="shared" si="185"/>
        <v>1.6073338074433587</v>
      </c>
      <c r="AC770" s="101">
        <f t="shared" si="185"/>
        <v>26.906740585852877</v>
      </c>
      <c r="AD770" s="101">
        <f t="shared" si="185"/>
        <v>0.3145248648800168</v>
      </c>
      <c r="AE770" s="101">
        <f t="shared" si="185"/>
        <v>1.0828704911279783</v>
      </c>
      <c r="AF770" s="101">
        <f t="shared" si="185"/>
        <v>0.2795258677178632</v>
      </c>
      <c r="AG770" s="101">
        <f t="shared" si="185"/>
        <v>0.40620752870069149</v>
      </c>
      <c r="AH770" s="101">
        <f t="shared" si="185"/>
        <v>6.7741363879869855E-3</v>
      </c>
      <c r="AI770" s="101">
        <f t="shared" si="185"/>
        <v>3.2811297001575646E-2</v>
      </c>
      <c r="AJ770" s="101">
        <f t="shared" si="185"/>
        <v>0.18217321963133432</v>
      </c>
      <c r="AK770" s="101">
        <f t="shared" si="185"/>
        <v>1.0734182686276128E-2</v>
      </c>
      <c r="AL770" s="101">
        <f t="shared" si="185"/>
        <v>0</v>
      </c>
      <c r="AM770" s="379">
        <f t="shared" si="186"/>
        <v>44.218869390138401</v>
      </c>
    </row>
    <row r="771" spans="1:39" x14ac:dyDescent="0.2">
      <c r="A771" s="8"/>
      <c r="B771" s="107" t="s">
        <v>844</v>
      </c>
      <c r="C771" s="128" t="s">
        <v>176</v>
      </c>
      <c r="D771" s="129"/>
      <c r="E771" s="101"/>
      <c r="F771" s="101">
        <f t="shared" si="184"/>
        <v>0.34566542587057997</v>
      </c>
      <c r="G771" s="101">
        <f t="shared" si="185"/>
        <v>0.47146743980789041</v>
      </c>
      <c r="H771" s="101">
        <f t="shared" si="185"/>
        <v>0.37285472665883801</v>
      </c>
      <c r="I771" s="101">
        <f t="shared" si="185"/>
        <v>0.85528758705138563</v>
      </c>
      <c r="J771" s="101">
        <f t="shared" si="185"/>
        <v>0.12905981754743087</v>
      </c>
      <c r="K771" s="101">
        <f t="shared" si="185"/>
        <v>2.0582309981014884E-2</v>
      </c>
      <c r="L771" s="101">
        <f t="shared" si="185"/>
        <v>8.6523648576844418E-3</v>
      </c>
      <c r="M771" s="101">
        <f t="shared" si="185"/>
        <v>0.16067128329590302</v>
      </c>
      <c r="N771" s="101">
        <f t="shared" si="185"/>
        <v>0.6426970035150068</v>
      </c>
      <c r="O771" s="101">
        <f t="shared" si="185"/>
        <v>1.378593075306046</v>
      </c>
      <c r="P771" s="101">
        <f t="shared" si="185"/>
        <v>0.18363410142071249</v>
      </c>
      <c r="Q771" s="101">
        <f t="shared" si="185"/>
        <v>7.9808389143064401E-2</v>
      </c>
      <c r="R771" s="101">
        <f t="shared" si="185"/>
        <v>0.58962612666588698</v>
      </c>
      <c r="S771" s="101">
        <f t="shared" si="185"/>
        <v>0.70180203283575449</v>
      </c>
      <c r="T771" s="101">
        <f t="shared" si="185"/>
        <v>1.2855118139366621</v>
      </c>
      <c r="U771" s="101">
        <f t="shared" si="185"/>
        <v>1.9353334745717297</v>
      </c>
      <c r="V771" s="101">
        <f t="shared" si="185"/>
        <v>0.26425788504988679</v>
      </c>
      <c r="W771" s="101">
        <f t="shared" si="185"/>
        <v>5.7367035457493252E-3</v>
      </c>
      <c r="X771" s="101">
        <f t="shared" si="185"/>
        <v>0</v>
      </c>
      <c r="Y771" s="101">
        <f t="shared" si="185"/>
        <v>5.5769287622430795E-3</v>
      </c>
      <c r="Z771" s="101">
        <f t="shared" si="185"/>
        <v>2.9740140947759112E-2</v>
      </c>
      <c r="AA771" s="101">
        <f t="shared" si="185"/>
        <v>4.8350673525445398E-3</v>
      </c>
      <c r="AB771" s="101">
        <f t="shared" si="185"/>
        <v>0.11427817760831362</v>
      </c>
      <c r="AC771" s="101">
        <f t="shared" si="185"/>
        <v>0.3739195390537664</v>
      </c>
      <c r="AD771" s="101">
        <f t="shared" si="185"/>
        <v>2.4945756337651871E-2</v>
      </c>
      <c r="AE771" s="101">
        <f t="shared" si="185"/>
        <v>1.2496254174588967E-2</v>
      </c>
      <c r="AF771" s="101">
        <f t="shared" si="185"/>
        <v>1.3828496966259287E-2</v>
      </c>
      <c r="AG771" s="101">
        <f t="shared" si="185"/>
        <v>3.5073914756272598E-2</v>
      </c>
      <c r="AH771" s="101">
        <f t="shared" si="185"/>
        <v>4.6935521407402512E-3</v>
      </c>
      <c r="AI771" s="101">
        <f t="shared" si="185"/>
        <v>9.7532200688275235E-3</v>
      </c>
      <c r="AJ771" s="101">
        <f t="shared" si="185"/>
        <v>2.8562029281406401E-2</v>
      </c>
      <c r="AK771" s="101">
        <f t="shared" si="185"/>
        <v>1.9693669425859886E-3</v>
      </c>
      <c r="AL771" s="101">
        <f t="shared" si="185"/>
        <v>2.301540262695482E-3</v>
      </c>
      <c r="AM771" s="379">
        <f t="shared" si="186"/>
        <v>10.09321554571688</v>
      </c>
    </row>
    <row r="772" spans="1:39" x14ac:dyDescent="0.2">
      <c r="A772" s="8"/>
      <c r="B772" s="107" t="s">
        <v>845</v>
      </c>
      <c r="C772" s="128" t="s">
        <v>176</v>
      </c>
      <c r="D772" s="129"/>
      <c r="E772" s="101"/>
      <c r="F772" s="101">
        <f t="shared" si="184"/>
        <v>9.0025949029480508</v>
      </c>
      <c r="G772" s="101">
        <f t="shared" si="185"/>
        <v>2.1467074239128046</v>
      </c>
      <c r="H772" s="101">
        <f t="shared" si="185"/>
        <v>0.2750849743052628</v>
      </c>
      <c r="I772" s="101">
        <f t="shared" si="185"/>
        <v>12.574708439934174</v>
      </c>
      <c r="J772" s="101">
        <f t="shared" si="185"/>
        <v>2.4310059202315726</v>
      </c>
      <c r="K772" s="101">
        <f t="shared" si="185"/>
        <v>1.2445503401091855</v>
      </c>
      <c r="L772" s="101">
        <f t="shared" si="185"/>
        <v>0.12660453087538837</v>
      </c>
      <c r="M772" s="101">
        <f t="shared" si="185"/>
        <v>3.7082892927076783</v>
      </c>
      <c r="N772" s="101">
        <f t="shared" si="185"/>
        <v>2.6854135260258056</v>
      </c>
      <c r="O772" s="101">
        <f t="shared" si="185"/>
        <v>0.34032207763026751</v>
      </c>
      <c r="P772" s="101">
        <f t="shared" si="185"/>
        <v>0.44517029803059122</v>
      </c>
      <c r="Q772" s="101">
        <f t="shared" si="185"/>
        <v>1.8779655619154088E-2</v>
      </c>
      <c r="R772" s="101">
        <f t="shared" si="185"/>
        <v>0.44153666023483257</v>
      </c>
      <c r="S772" s="101">
        <f t="shared" si="185"/>
        <v>0.38452433912774625</v>
      </c>
      <c r="T772" s="101">
        <f t="shared" si="185"/>
        <v>0.99403181717445632</v>
      </c>
      <c r="U772" s="101">
        <f t="shared" si="185"/>
        <v>1.3991286932838236</v>
      </c>
      <c r="V772" s="101">
        <f t="shared" si="185"/>
        <v>0.28688996732452765</v>
      </c>
      <c r="W772" s="101">
        <f t="shared" si="185"/>
        <v>4.773759828851061E-2</v>
      </c>
      <c r="X772" s="101">
        <f t="shared" si="185"/>
        <v>8.1612234461950087E-4</v>
      </c>
      <c r="Y772" s="101">
        <f t="shared" si="185"/>
        <v>1.3730224043046843E-2</v>
      </c>
      <c r="Z772" s="101">
        <f t="shared" si="185"/>
        <v>5.4796087462225362E-2</v>
      </c>
      <c r="AA772" s="101">
        <f t="shared" si="185"/>
        <v>2.4334441871177805E-2</v>
      </c>
      <c r="AB772" s="101">
        <f t="shared" si="185"/>
        <v>3.0888440434007898E-3</v>
      </c>
      <c r="AC772" s="101">
        <f t="shared" si="185"/>
        <v>2.1706098386967709</v>
      </c>
      <c r="AD772" s="101">
        <f t="shared" si="185"/>
        <v>3.6826951278465678E-2</v>
      </c>
      <c r="AE772" s="101">
        <f t="shared" si="185"/>
        <v>8.4761888417508466E-2</v>
      </c>
      <c r="AF772" s="101">
        <f t="shared" si="185"/>
        <v>1.1154634647822315E-2</v>
      </c>
      <c r="AG772" s="101">
        <f t="shared" si="185"/>
        <v>0.13179498373379703</v>
      </c>
      <c r="AH772" s="101">
        <f t="shared" si="185"/>
        <v>2.4252662758214071E-3</v>
      </c>
      <c r="AI772" s="101">
        <f t="shared" si="185"/>
        <v>2.6568370954114868E-2</v>
      </c>
      <c r="AJ772" s="101">
        <f t="shared" si="185"/>
        <v>3.1856570346080589E-2</v>
      </c>
      <c r="AK772" s="101">
        <f t="shared" si="185"/>
        <v>1.0703106659969023E-2</v>
      </c>
      <c r="AL772" s="101">
        <f t="shared" si="185"/>
        <v>3.7330886173101408E-3</v>
      </c>
      <c r="AM772" s="379">
        <f t="shared" si="186"/>
        <v>41.160280877155955</v>
      </c>
    </row>
    <row r="773" spans="1:39" x14ac:dyDescent="0.2">
      <c r="A773" s="8"/>
      <c r="B773" s="107" t="s">
        <v>846</v>
      </c>
      <c r="C773" s="128" t="s">
        <v>176</v>
      </c>
      <c r="D773" s="129"/>
      <c r="E773" s="101"/>
      <c r="F773" s="101">
        <f t="shared" si="184"/>
        <v>9.5407988533069368</v>
      </c>
      <c r="G773" s="101">
        <f t="shared" si="185"/>
        <v>6.3386675317095342</v>
      </c>
      <c r="H773" s="101">
        <f t="shared" si="185"/>
        <v>4.3022947516805852</v>
      </c>
      <c r="I773" s="101">
        <f t="shared" si="185"/>
        <v>16.430727440370799</v>
      </c>
      <c r="J773" s="101">
        <f t="shared" si="185"/>
        <v>5.5746544285888957</v>
      </c>
      <c r="K773" s="101">
        <f t="shared" si="185"/>
        <v>1.2441479914230724</v>
      </c>
      <c r="L773" s="101">
        <f t="shared" si="185"/>
        <v>0.16499293793363701</v>
      </c>
      <c r="M773" s="101">
        <f t="shared" si="185"/>
        <v>3.7307211164946747</v>
      </c>
      <c r="N773" s="101">
        <f t="shared" si="185"/>
        <v>10.487585236092359</v>
      </c>
      <c r="O773" s="101">
        <f t="shared" si="185"/>
        <v>2.0022471515010127</v>
      </c>
      <c r="P773" s="101">
        <f t="shared" si="185"/>
        <v>1.5085495034314178</v>
      </c>
      <c r="Q773" s="101">
        <f t="shared" si="185"/>
        <v>5.0897521551826086E-2</v>
      </c>
      <c r="R773" s="101">
        <f t="shared" si="185"/>
        <v>1.3458277731107564</v>
      </c>
      <c r="S773" s="101">
        <f t="shared" si="185"/>
        <v>3.3092268901807844</v>
      </c>
      <c r="T773" s="101">
        <f t="shared" si="185"/>
        <v>4.3382513069104744</v>
      </c>
      <c r="U773" s="101">
        <f t="shared" si="185"/>
        <v>8.1266279145084397</v>
      </c>
      <c r="V773" s="101">
        <f t="shared" si="185"/>
        <v>1.3856542508047183</v>
      </c>
      <c r="W773" s="101">
        <f t="shared" si="185"/>
        <v>3.8790568396682504E-2</v>
      </c>
      <c r="X773" s="101">
        <f t="shared" si="185"/>
        <v>1.7035740670770898E-2</v>
      </c>
      <c r="Y773" s="101">
        <f t="shared" si="185"/>
        <v>0.16312853164150576</v>
      </c>
      <c r="Z773" s="101">
        <f t="shared" si="185"/>
        <v>0.53963944574721845</v>
      </c>
      <c r="AA773" s="101">
        <f t="shared" si="185"/>
        <v>0.59674023133439646</v>
      </c>
      <c r="AB773" s="101">
        <f t="shared" si="185"/>
        <v>2.710363881926425E-2</v>
      </c>
      <c r="AC773" s="101">
        <f t="shared" si="185"/>
        <v>4.6031776919349845</v>
      </c>
      <c r="AD773" s="101">
        <f t="shared" si="185"/>
        <v>5.8300455057137705E-2</v>
      </c>
      <c r="AE773" s="101">
        <f t="shared" si="185"/>
        <v>6.5144720570769921E-2</v>
      </c>
      <c r="AF773" s="101">
        <f t="shared" si="185"/>
        <v>3.1408309634742795E-2</v>
      </c>
      <c r="AG773" s="101">
        <f t="shared" si="185"/>
        <v>0.10245625396520278</v>
      </c>
      <c r="AH773" s="101">
        <f t="shared" si="185"/>
        <v>9.2883171602549403E-3</v>
      </c>
      <c r="AI773" s="101">
        <f t="shared" si="185"/>
        <v>0.11441359848007698</v>
      </c>
      <c r="AJ773" s="101">
        <f t="shared" si="185"/>
        <v>0.33577717717356725</v>
      </c>
      <c r="AK773" s="101">
        <f t="shared" si="185"/>
        <v>0.15187521550971003</v>
      </c>
      <c r="AL773" s="101">
        <f t="shared" si="185"/>
        <v>2.923803625827907E-2</v>
      </c>
      <c r="AM773" s="379">
        <f t="shared" si="186"/>
        <v>86.76539053195448</v>
      </c>
    </row>
    <row r="774" spans="1:39" x14ac:dyDescent="0.2">
      <c r="A774" s="8"/>
      <c r="B774" s="107" t="s">
        <v>847</v>
      </c>
      <c r="C774" s="128" t="s">
        <v>176</v>
      </c>
      <c r="D774" s="129"/>
      <c r="E774" s="101"/>
      <c r="F774" s="101">
        <f t="shared" si="184"/>
        <v>3.8810041879563099E-2</v>
      </c>
      <c r="G774" s="101">
        <f t="shared" si="185"/>
        <v>1.5407019083628005E-2</v>
      </c>
      <c r="H774" s="101">
        <f t="shared" si="185"/>
        <v>3.9551490589642205E-2</v>
      </c>
      <c r="I774" s="101">
        <f t="shared" si="185"/>
        <v>1.5036795325138744E-2</v>
      </c>
      <c r="J774" s="101">
        <f t="shared" si="185"/>
        <v>2.936778111717573E-2</v>
      </c>
      <c r="K774" s="101">
        <f t="shared" si="185"/>
        <v>5.7733475288409986E-3</v>
      </c>
      <c r="L774" s="101">
        <f t="shared" si="185"/>
        <v>1.1496417409514573E-2</v>
      </c>
      <c r="M774" s="101">
        <f t="shared" si="185"/>
        <v>6.291385505104004E-4</v>
      </c>
      <c r="N774" s="101">
        <f t="shared" si="185"/>
        <v>3.617863030509553E-3</v>
      </c>
      <c r="O774" s="101">
        <f t="shared" si="185"/>
        <v>3.0658121367073679E-3</v>
      </c>
      <c r="P774" s="101">
        <f t="shared" si="185"/>
        <v>1.0900927440049977E-2</v>
      </c>
      <c r="Q774" s="101">
        <f t="shared" si="185"/>
        <v>5.2567195314313997E-3</v>
      </c>
      <c r="R774" s="101">
        <f t="shared" si="185"/>
        <v>0.13298419035768097</v>
      </c>
      <c r="S774" s="101">
        <f t="shared" si="185"/>
        <v>0.10868593214381915</v>
      </c>
      <c r="T774" s="101">
        <f t="shared" si="185"/>
        <v>0.37411170317374359</v>
      </c>
      <c r="U774" s="101">
        <f t="shared" si="185"/>
        <v>0.31736099147809388</v>
      </c>
      <c r="V774" s="101">
        <f t="shared" si="185"/>
        <v>7.6372195252389918E-2</v>
      </c>
      <c r="W774" s="101">
        <f t="shared" si="185"/>
        <v>6.8856955803846317E-3</v>
      </c>
      <c r="X774" s="101">
        <f t="shared" si="185"/>
        <v>5.437677708493053E-4</v>
      </c>
      <c r="Y774" s="101">
        <f t="shared" si="185"/>
        <v>1.4909125724531519E-2</v>
      </c>
      <c r="Z774" s="101">
        <f t="shared" si="185"/>
        <v>9.3024132523506116E-4</v>
      </c>
      <c r="AA774" s="101">
        <f t="shared" si="185"/>
        <v>1.228497215874969E-2</v>
      </c>
      <c r="AB774" s="101">
        <f t="shared" si="185"/>
        <v>2.6534166304123469E-3</v>
      </c>
      <c r="AC774" s="101">
        <f t="shared" si="185"/>
        <v>5.0028255651556747E-2</v>
      </c>
      <c r="AD774" s="101">
        <f t="shared" si="185"/>
        <v>5.4116424349537505E-3</v>
      </c>
      <c r="AE774" s="101">
        <f t="shared" si="185"/>
        <v>4.834305524194614E-2</v>
      </c>
      <c r="AF774" s="101">
        <f t="shared" si="185"/>
        <v>2.9946008136294594E-3</v>
      </c>
      <c r="AG774" s="101">
        <f t="shared" si="185"/>
        <v>2.9684831465348723E-2</v>
      </c>
      <c r="AH774" s="101">
        <f t="shared" si="185"/>
        <v>1.4815892988873959E-3</v>
      </c>
      <c r="AI774" s="101">
        <f t="shared" si="185"/>
        <v>0</v>
      </c>
      <c r="AJ774" s="101">
        <f t="shared" si="185"/>
        <v>0</v>
      </c>
      <c r="AK774" s="101">
        <f t="shared" si="185"/>
        <v>2.0724574128023733E-4</v>
      </c>
      <c r="AL774" s="101">
        <f t="shared" si="185"/>
        <v>0</v>
      </c>
      <c r="AM774" s="379">
        <f t="shared" si="186"/>
        <v>1.3647868058662045</v>
      </c>
    </row>
    <row r="775" spans="1:39" x14ac:dyDescent="0.2">
      <c r="A775" s="8"/>
      <c r="B775" s="107" t="s">
        <v>848</v>
      </c>
      <c r="C775" s="128" t="s">
        <v>176</v>
      </c>
      <c r="D775" s="129"/>
      <c r="E775" s="101"/>
      <c r="F775" s="101">
        <f t="shared" si="184"/>
        <v>30.149082907360409</v>
      </c>
      <c r="G775" s="101">
        <f t="shared" si="185"/>
        <v>8.85868502582648</v>
      </c>
      <c r="H775" s="101">
        <f t="shared" si="185"/>
        <v>3.710512517897647</v>
      </c>
      <c r="I775" s="101">
        <f t="shared" si="185"/>
        <v>106.6992780559049</v>
      </c>
      <c r="J775" s="101">
        <f t="shared" si="185"/>
        <v>7.7810164630319214</v>
      </c>
      <c r="K775" s="101">
        <f t="shared" si="185"/>
        <v>5.49226357686626</v>
      </c>
      <c r="L775" s="101">
        <f t="shared" si="185"/>
        <v>3.1131557207636891E-2</v>
      </c>
      <c r="M775" s="101">
        <f t="shared" si="185"/>
        <v>44.76939771477015</v>
      </c>
      <c r="N775" s="101">
        <f t="shared" si="185"/>
        <v>51.022287928551989</v>
      </c>
      <c r="O775" s="101">
        <f t="shared" si="185"/>
        <v>1.0420090993827775</v>
      </c>
      <c r="P775" s="101">
        <f t="shared" si="185"/>
        <v>5.2042726537484575E-2</v>
      </c>
      <c r="Q775" s="101">
        <f t="shared" si="185"/>
        <v>5.1120534491346827</v>
      </c>
      <c r="R775" s="101">
        <f t="shared" si="185"/>
        <v>1.7854380611548291E-2</v>
      </c>
      <c r="S775" s="101">
        <f t="shared" si="185"/>
        <v>1.0416362420951102E-2</v>
      </c>
      <c r="T775" s="101">
        <f t="shared" si="185"/>
        <v>0.34486729776516606</v>
      </c>
      <c r="U775" s="101">
        <f t="shared" ref="G775:AL783" si="188">U629*U743</f>
        <v>15.314004168270545</v>
      </c>
      <c r="V775" s="101">
        <f t="shared" si="188"/>
        <v>3.8981043755903451</v>
      </c>
      <c r="W775" s="101">
        <f t="shared" si="188"/>
        <v>0.16587265740053678</v>
      </c>
      <c r="X775" s="101">
        <f t="shared" si="188"/>
        <v>0</v>
      </c>
      <c r="Y775" s="101">
        <f t="shared" si="188"/>
        <v>0</v>
      </c>
      <c r="Z775" s="101">
        <f t="shared" si="188"/>
        <v>0</v>
      </c>
      <c r="AA775" s="101">
        <f t="shared" si="188"/>
        <v>0</v>
      </c>
      <c r="AB775" s="101">
        <f t="shared" si="188"/>
        <v>0</v>
      </c>
      <c r="AC775" s="101">
        <f t="shared" si="188"/>
        <v>2.5211901195290334E-2</v>
      </c>
      <c r="AD775" s="101">
        <f t="shared" si="188"/>
        <v>2.2006729813079501E-3</v>
      </c>
      <c r="AE775" s="101">
        <f t="shared" si="188"/>
        <v>0</v>
      </c>
      <c r="AF775" s="101">
        <f t="shared" si="188"/>
        <v>1.1894424017435148E-2</v>
      </c>
      <c r="AG775" s="101">
        <f t="shared" si="188"/>
        <v>1.5863432690185402E-2</v>
      </c>
      <c r="AH775" s="101">
        <f t="shared" si="188"/>
        <v>0</v>
      </c>
      <c r="AI775" s="101">
        <f t="shared" si="188"/>
        <v>0</v>
      </c>
      <c r="AJ775" s="101">
        <f t="shared" si="188"/>
        <v>0</v>
      </c>
      <c r="AK775" s="101">
        <f t="shared" si="188"/>
        <v>0</v>
      </c>
      <c r="AL775" s="101">
        <f t="shared" si="188"/>
        <v>0</v>
      </c>
      <c r="AM775" s="379">
        <f t="shared" si="186"/>
        <v>284.52605069541568</v>
      </c>
    </row>
    <row r="776" spans="1:39" x14ac:dyDescent="0.2">
      <c r="A776" s="8"/>
      <c r="B776" s="107" t="s">
        <v>849</v>
      </c>
      <c r="C776" s="128" t="s">
        <v>176</v>
      </c>
      <c r="D776" s="129"/>
      <c r="E776" s="101"/>
      <c r="F776" s="101">
        <f t="shared" si="184"/>
        <v>0.8618055619698608</v>
      </c>
      <c r="G776" s="101">
        <f t="shared" si="188"/>
        <v>0.71111239177939567</v>
      </c>
      <c r="H776" s="101">
        <f t="shared" si="188"/>
        <v>1.0358524639869366</v>
      </c>
      <c r="I776" s="101">
        <f t="shared" si="188"/>
        <v>10.271714535610402</v>
      </c>
      <c r="J776" s="101">
        <f t="shared" si="188"/>
        <v>0.22095674751947145</v>
      </c>
      <c r="K776" s="101">
        <f t="shared" si="188"/>
        <v>1.2451395682539854</v>
      </c>
      <c r="L776" s="101">
        <f t="shared" si="188"/>
        <v>9.4348364278730695E-2</v>
      </c>
      <c r="M776" s="101">
        <f t="shared" si="188"/>
        <v>11.227448221836276</v>
      </c>
      <c r="N776" s="101">
        <f t="shared" si="188"/>
        <v>3.0928698265037737</v>
      </c>
      <c r="O776" s="101">
        <f t="shared" si="188"/>
        <v>0.13139360941527969</v>
      </c>
      <c r="P776" s="101">
        <f t="shared" si="188"/>
        <v>6.0150120430343561E-2</v>
      </c>
      <c r="Q776" s="101">
        <f t="shared" si="188"/>
        <v>0.26559376361241399</v>
      </c>
      <c r="R776" s="101">
        <f t="shared" si="188"/>
        <v>1.0165737987322132</v>
      </c>
      <c r="S776" s="101">
        <f t="shared" si="188"/>
        <v>0.10933351724494517</v>
      </c>
      <c r="T776" s="101">
        <f t="shared" si="188"/>
        <v>6.6949073235039916E-2</v>
      </c>
      <c r="U776" s="101">
        <f t="shared" si="188"/>
        <v>0.91781521865430438</v>
      </c>
      <c r="V776" s="101">
        <f t="shared" si="188"/>
        <v>0.19141339801673535</v>
      </c>
      <c r="W776" s="101">
        <f t="shared" si="188"/>
        <v>6.4429029818303613E-3</v>
      </c>
      <c r="X776" s="101">
        <f t="shared" si="188"/>
        <v>2.6529986244479813E-2</v>
      </c>
      <c r="Y776" s="101">
        <f t="shared" si="188"/>
        <v>7.1353448792641924E-2</v>
      </c>
      <c r="Z776" s="101">
        <f t="shared" si="188"/>
        <v>6.7090153429805566E-2</v>
      </c>
      <c r="AA776" s="101">
        <f t="shared" si="188"/>
        <v>6.1209059063629487E-2</v>
      </c>
      <c r="AB776" s="101">
        <f t="shared" si="188"/>
        <v>1.9248845983215725E-2</v>
      </c>
      <c r="AC776" s="101">
        <f t="shared" si="188"/>
        <v>0.21510446874558109</v>
      </c>
      <c r="AD776" s="101">
        <f t="shared" si="188"/>
        <v>8.9656336627470953E-2</v>
      </c>
      <c r="AE776" s="101">
        <f t="shared" si="188"/>
        <v>8.5731285696908043E-3</v>
      </c>
      <c r="AF776" s="101">
        <f t="shared" si="188"/>
        <v>4.6454899330878825E-2</v>
      </c>
      <c r="AG776" s="101">
        <f t="shared" si="188"/>
        <v>1.2681123130376108E-2</v>
      </c>
      <c r="AH776" s="101">
        <f t="shared" si="188"/>
        <v>1.1158947873678531E-2</v>
      </c>
      <c r="AI776" s="101">
        <f t="shared" si="188"/>
        <v>9.2095633104301522E-2</v>
      </c>
      <c r="AJ776" s="101">
        <f t="shared" si="188"/>
        <v>0.29956841661721523</v>
      </c>
      <c r="AK776" s="101">
        <f t="shared" si="188"/>
        <v>9.1923562192031585E-2</v>
      </c>
      <c r="AL776" s="101">
        <f t="shared" si="188"/>
        <v>0.23108229328521926</v>
      </c>
      <c r="AM776" s="379">
        <f t="shared" si="186"/>
        <v>32.870643387052155</v>
      </c>
    </row>
    <row r="777" spans="1:39" x14ac:dyDescent="0.2">
      <c r="A777" s="8"/>
      <c r="B777" s="107" t="s">
        <v>850</v>
      </c>
      <c r="C777" s="128" t="s">
        <v>176</v>
      </c>
      <c r="D777" s="129"/>
      <c r="E777" s="101"/>
      <c r="F777" s="101">
        <f t="shared" si="184"/>
        <v>1.4129959597315527E-12</v>
      </c>
      <c r="G777" s="101">
        <f t="shared" si="188"/>
        <v>1.684431702324663E-12</v>
      </c>
      <c r="H777" s="101">
        <f t="shared" si="188"/>
        <v>7.9712553155966201E-13</v>
      </c>
      <c r="I777" s="101">
        <f t="shared" si="188"/>
        <v>1.274463194608999E-12</v>
      </c>
      <c r="J777" s="101">
        <f t="shared" si="188"/>
        <v>1.5300923476497902E-12</v>
      </c>
      <c r="K777" s="101">
        <f t="shared" si="188"/>
        <v>8.034539905367787E-13</v>
      </c>
      <c r="L777" s="101">
        <f t="shared" si="188"/>
        <v>1.6485966846776918E-12</v>
      </c>
      <c r="M777" s="101">
        <f t="shared" si="188"/>
        <v>1.4329790666109716E-12</v>
      </c>
      <c r="N777" s="101">
        <f t="shared" si="188"/>
        <v>9.2936280595611621E-13</v>
      </c>
      <c r="O777" s="101">
        <f t="shared" si="188"/>
        <v>1.3736955737487705E-12</v>
      </c>
      <c r="P777" s="101">
        <f t="shared" si="188"/>
        <v>9.6235939754779865E-13</v>
      </c>
      <c r="Q777" s="101">
        <f t="shared" si="188"/>
        <v>1.3407780639391615E-12</v>
      </c>
      <c r="R777" s="101">
        <f t="shared" si="188"/>
        <v>8.3963635648043136E-13</v>
      </c>
      <c r="S777" s="101">
        <f t="shared" si="188"/>
        <v>9.6125598163719705E-13</v>
      </c>
      <c r="T777" s="101">
        <f t="shared" si="188"/>
        <v>1.1351405551837802E-12</v>
      </c>
      <c r="U777" s="101">
        <f t="shared" si="188"/>
        <v>1.2652099472858635E-12</v>
      </c>
      <c r="V777" s="101">
        <f t="shared" si="188"/>
        <v>1.3825445738960969E-12</v>
      </c>
      <c r="W777" s="101">
        <f t="shared" si="188"/>
        <v>9.1006430122370862E-13</v>
      </c>
      <c r="X777" s="101">
        <f t="shared" si="188"/>
        <v>7.285478664274758E-13</v>
      </c>
      <c r="Y777" s="101">
        <f t="shared" si="188"/>
        <v>8.4683997983008828E-13</v>
      </c>
      <c r="Z777" s="101">
        <f t="shared" si="188"/>
        <v>2.5425553939624707E-12</v>
      </c>
      <c r="AA777" s="101">
        <f t="shared" si="188"/>
        <v>1.0529838007414238E-12</v>
      </c>
      <c r="AB777" s="101">
        <f t="shared" si="188"/>
        <v>9.0836357998602271E-13</v>
      </c>
      <c r="AC777" s="101">
        <f t="shared" si="188"/>
        <v>1.7790566405698377E-12</v>
      </c>
      <c r="AD777" s="101">
        <f t="shared" si="188"/>
        <v>1.3555000285209054E-12</v>
      </c>
      <c r="AE777" s="101">
        <f t="shared" si="188"/>
        <v>1.8079506835772393E-12</v>
      </c>
      <c r="AF777" s="101">
        <f t="shared" si="188"/>
        <v>7.6925814808449662E-13</v>
      </c>
      <c r="AG777" s="101">
        <f t="shared" si="188"/>
        <v>1.3574117198519847E-12</v>
      </c>
      <c r="AH777" s="101">
        <f t="shared" si="188"/>
        <v>1.3773848344047846E-12</v>
      </c>
      <c r="AI777" s="101">
        <f t="shared" si="188"/>
        <v>1.3695874762269263E-12</v>
      </c>
      <c r="AJ777" s="101">
        <f t="shared" si="188"/>
        <v>8.0580582230732478E-12</v>
      </c>
      <c r="AK777" s="101">
        <f t="shared" si="188"/>
        <v>1.4906538739590765E-12</v>
      </c>
      <c r="AL777" s="101">
        <f t="shared" si="188"/>
        <v>9.5233849493006388E-12</v>
      </c>
      <c r="AM777" s="379">
        <f t="shared" si="186"/>
        <v>5.6651723233115651E-11</v>
      </c>
    </row>
    <row r="778" spans="1:39" x14ac:dyDescent="0.2">
      <c r="A778" s="8"/>
      <c r="B778" s="107" t="s">
        <v>851</v>
      </c>
      <c r="C778" s="128" t="s">
        <v>176</v>
      </c>
      <c r="D778" s="129"/>
      <c r="E778" s="101"/>
      <c r="F778" s="101">
        <f t="shared" si="184"/>
        <v>7.0205869098868643E-3</v>
      </c>
      <c r="G778" s="101">
        <f t="shared" si="188"/>
        <v>8.6830334374366587E-4</v>
      </c>
      <c r="H778" s="101">
        <f t="shared" si="188"/>
        <v>4.9044238103778254E-2</v>
      </c>
      <c r="I778" s="101">
        <f t="shared" si="188"/>
        <v>0.65763504555709751</v>
      </c>
      <c r="J778" s="101">
        <f t="shared" si="188"/>
        <v>5.3531278715526515E-4</v>
      </c>
      <c r="K778" s="101">
        <f t="shared" si="188"/>
        <v>1.4884681780359202E-4</v>
      </c>
      <c r="L778" s="101">
        <f t="shared" si="188"/>
        <v>9.9146931699115861E-4</v>
      </c>
      <c r="M778" s="101">
        <f t="shared" si="188"/>
        <v>1.4181574902915068</v>
      </c>
      <c r="N778" s="101">
        <f t="shared" si="188"/>
        <v>5.1168520119254492E-3</v>
      </c>
      <c r="O778" s="101">
        <f t="shared" si="188"/>
        <v>1.5316170673010271E-2</v>
      </c>
      <c r="P778" s="101">
        <f t="shared" si="188"/>
        <v>3.0504039241726689E-4</v>
      </c>
      <c r="Q778" s="101">
        <f t="shared" si="188"/>
        <v>6.2397790630652642E-4</v>
      </c>
      <c r="R778" s="101">
        <f t="shared" si="188"/>
        <v>0.53180390792542465</v>
      </c>
      <c r="S778" s="101">
        <f t="shared" si="188"/>
        <v>1.6974297412956082E-2</v>
      </c>
      <c r="T778" s="101">
        <f t="shared" si="188"/>
        <v>4.719902701294988E-3</v>
      </c>
      <c r="U778" s="101">
        <f t="shared" si="188"/>
        <v>2.3898744357001681E-2</v>
      </c>
      <c r="V778" s="101">
        <f t="shared" si="188"/>
        <v>2.4638787393707076E-2</v>
      </c>
      <c r="W778" s="101">
        <f t="shared" si="188"/>
        <v>1.7522681134372362E-2</v>
      </c>
      <c r="X778" s="101">
        <f t="shared" si="188"/>
        <v>1.2342963933465197E-4</v>
      </c>
      <c r="Y778" s="101">
        <f t="shared" si="188"/>
        <v>1.7916320659434092E-3</v>
      </c>
      <c r="Z778" s="101">
        <f t="shared" si="188"/>
        <v>2.4164386424929587E-4</v>
      </c>
      <c r="AA778" s="101">
        <f t="shared" si="188"/>
        <v>2.1336713399298288E-3</v>
      </c>
      <c r="AB778" s="101">
        <f t="shared" si="188"/>
        <v>2.6118152615752792E-5</v>
      </c>
      <c r="AC778" s="101">
        <f t="shared" si="188"/>
        <v>4.4031236146121318E-2</v>
      </c>
      <c r="AD778" s="101">
        <f t="shared" si="188"/>
        <v>8.8033708939490394E-3</v>
      </c>
      <c r="AE778" s="101">
        <f t="shared" si="188"/>
        <v>1.3502443326968785E-2</v>
      </c>
      <c r="AF778" s="101">
        <f t="shared" si="188"/>
        <v>3.4818028964660783E-2</v>
      </c>
      <c r="AG778" s="101">
        <f t="shared" si="188"/>
        <v>1.5039258238523565E-3</v>
      </c>
      <c r="AH778" s="101">
        <f t="shared" si="188"/>
        <v>1.0173698426933856E-4</v>
      </c>
      <c r="AI778" s="101">
        <f t="shared" si="188"/>
        <v>1.9970465116317775E-3</v>
      </c>
      <c r="AJ778" s="101">
        <f t="shared" si="188"/>
        <v>1.0774423900756091E-2</v>
      </c>
      <c r="AK778" s="101">
        <f t="shared" si="188"/>
        <v>3.5705297246943169E-3</v>
      </c>
      <c r="AL778" s="101">
        <f t="shared" si="188"/>
        <v>2.0561516702309588E-3</v>
      </c>
      <c r="AM778" s="379">
        <f t="shared" si="186"/>
        <v>2.9007970440455884</v>
      </c>
    </row>
    <row r="779" spans="1:39" x14ac:dyDescent="0.2">
      <c r="A779" s="8"/>
      <c r="B779" s="107" t="s">
        <v>852</v>
      </c>
      <c r="C779" s="128" t="s">
        <v>176</v>
      </c>
      <c r="D779" s="129"/>
      <c r="E779" s="101"/>
      <c r="F779" s="101">
        <f t="shared" si="184"/>
        <v>0.15381746351073211</v>
      </c>
      <c r="G779" s="101">
        <f t="shared" si="188"/>
        <v>1.2779197908724413E-2</v>
      </c>
      <c r="H779" s="101">
        <f t="shared" si="188"/>
        <v>0.19341196856741771</v>
      </c>
      <c r="I779" s="101">
        <f t="shared" si="188"/>
        <v>0.96715391772423309</v>
      </c>
      <c r="J779" s="101">
        <f t="shared" si="188"/>
        <v>1.2786125061309446E-3</v>
      </c>
      <c r="K779" s="101">
        <f t="shared" si="188"/>
        <v>1.202878721385813E-3</v>
      </c>
      <c r="L779" s="101">
        <f t="shared" si="188"/>
        <v>2.4898851556388324E-3</v>
      </c>
      <c r="M779" s="101">
        <f t="shared" si="188"/>
        <v>0.57953097580265522</v>
      </c>
      <c r="N779" s="101">
        <f t="shared" si="188"/>
        <v>3.6666905804325946E-2</v>
      </c>
      <c r="O779" s="101">
        <f t="shared" si="188"/>
        <v>1.017246518802576E-2</v>
      </c>
      <c r="P779" s="101">
        <f t="shared" si="188"/>
        <v>3.3237969972245397E-4</v>
      </c>
      <c r="Q779" s="101">
        <f t="shared" si="188"/>
        <v>1.1302241321778596E-3</v>
      </c>
      <c r="R779" s="101">
        <f t="shared" si="188"/>
        <v>1.3382836668433422</v>
      </c>
      <c r="S779" s="101">
        <f t="shared" si="188"/>
        <v>6.0765591568002035E-2</v>
      </c>
      <c r="T779" s="101">
        <f t="shared" si="188"/>
        <v>4.6323939462430304E-2</v>
      </c>
      <c r="U779" s="101">
        <f t="shared" si="188"/>
        <v>5.772186109720126E-2</v>
      </c>
      <c r="V779" s="101">
        <f t="shared" si="188"/>
        <v>3.9511371506614483E-2</v>
      </c>
      <c r="W779" s="101">
        <f t="shared" si="188"/>
        <v>2.5947218819546102E-2</v>
      </c>
      <c r="X779" s="101">
        <f t="shared" si="188"/>
        <v>0</v>
      </c>
      <c r="Y779" s="101">
        <f t="shared" si="188"/>
        <v>9.319752738859271E-4</v>
      </c>
      <c r="Z779" s="101">
        <f t="shared" si="188"/>
        <v>7.0326244187770626E-4</v>
      </c>
      <c r="AA779" s="101">
        <f t="shared" si="188"/>
        <v>5.7402811454268189E-3</v>
      </c>
      <c r="AB779" s="101">
        <f t="shared" si="188"/>
        <v>0</v>
      </c>
      <c r="AC779" s="101">
        <f t="shared" si="188"/>
        <v>3.537777454037748E-2</v>
      </c>
      <c r="AD779" s="101">
        <f t="shared" si="188"/>
        <v>5.5376099183186936E-2</v>
      </c>
      <c r="AE779" s="101">
        <f t="shared" si="188"/>
        <v>0.10773270101725797</v>
      </c>
      <c r="AF779" s="101">
        <f t="shared" si="188"/>
        <v>1.892452619440271E-2</v>
      </c>
      <c r="AG779" s="101">
        <f t="shared" si="188"/>
        <v>2.3242490004990969E-3</v>
      </c>
      <c r="AH779" s="101">
        <f t="shared" si="188"/>
        <v>6.1884070035160609E-4</v>
      </c>
      <c r="AI779" s="101">
        <f t="shared" si="188"/>
        <v>1.5656028760187086E-2</v>
      </c>
      <c r="AJ779" s="101">
        <f t="shared" si="188"/>
        <v>6.218324316814812E-2</v>
      </c>
      <c r="AK779" s="101">
        <f t="shared" si="188"/>
        <v>1.0377557802843046E-2</v>
      </c>
      <c r="AL779" s="101">
        <f t="shared" si="188"/>
        <v>6.8571182495262145E-3</v>
      </c>
      <c r="AM779" s="379">
        <f t="shared" si="186"/>
        <v>3.8513241814962775</v>
      </c>
    </row>
    <row r="780" spans="1:39" x14ac:dyDescent="0.2">
      <c r="A780" s="8"/>
      <c r="B780" s="107" t="s">
        <v>853</v>
      </c>
      <c r="C780" s="128" t="s">
        <v>176</v>
      </c>
      <c r="D780" s="129"/>
      <c r="E780" s="101"/>
      <c r="F780" s="101">
        <f t="shared" si="184"/>
        <v>7.2530656974358246E-2</v>
      </c>
      <c r="G780" s="101">
        <f t="shared" si="188"/>
        <v>3.6701332047682335E-3</v>
      </c>
      <c r="H780" s="101">
        <f t="shared" si="188"/>
        <v>6.379521042901054E-2</v>
      </c>
      <c r="I780" s="101">
        <f t="shared" si="188"/>
        <v>0.69026980881138533</v>
      </c>
      <c r="J780" s="101">
        <f t="shared" si="188"/>
        <v>1.85752483377548E-3</v>
      </c>
      <c r="K780" s="101">
        <f t="shared" si="188"/>
        <v>1.2725296254416762E-3</v>
      </c>
      <c r="L780" s="101">
        <f t="shared" si="188"/>
        <v>5.6749058272557206E-3</v>
      </c>
      <c r="M780" s="101">
        <f t="shared" si="188"/>
        <v>0.82049461810264168</v>
      </c>
      <c r="N780" s="101">
        <f t="shared" si="188"/>
        <v>1.3295366616764201E-3</v>
      </c>
      <c r="O780" s="101">
        <f t="shared" si="188"/>
        <v>3.1641782904320799E-2</v>
      </c>
      <c r="P780" s="101">
        <f t="shared" si="188"/>
        <v>1.5300070524611857E-3</v>
      </c>
      <c r="Q780" s="101">
        <f t="shared" si="188"/>
        <v>3.9574003876480879E-3</v>
      </c>
      <c r="R780" s="101">
        <f t="shared" si="188"/>
        <v>0.89160329328768284</v>
      </c>
      <c r="S780" s="101">
        <f t="shared" si="188"/>
        <v>3.4751448872735069E-2</v>
      </c>
      <c r="T780" s="101">
        <f t="shared" si="188"/>
        <v>7.2479920351277427E-2</v>
      </c>
      <c r="U780" s="101">
        <f t="shared" si="188"/>
        <v>5.1180693514008765E-2</v>
      </c>
      <c r="V780" s="101">
        <f t="shared" si="188"/>
        <v>4.6072637647590453E-2</v>
      </c>
      <c r="W780" s="101">
        <f t="shared" si="188"/>
        <v>3.1755364542010486E-2</v>
      </c>
      <c r="X780" s="101">
        <f t="shared" si="188"/>
        <v>2.3679926131702847E-3</v>
      </c>
      <c r="Y780" s="101">
        <f t="shared" si="188"/>
        <v>9.2468510434676916E-3</v>
      </c>
      <c r="Z780" s="101">
        <f t="shared" si="188"/>
        <v>1.9843689069602493E-3</v>
      </c>
      <c r="AA780" s="101">
        <f t="shared" si="188"/>
        <v>4.3659676445059175E-3</v>
      </c>
      <c r="AB780" s="101">
        <f t="shared" si="188"/>
        <v>2.733804237864424E-4</v>
      </c>
      <c r="AC780" s="101">
        <f t="shared" si="188"/>
        <v>0.15102037979933924</v>
      </c>
      <c r="AD780" s="101">
        <f t="shared" si="188"/>
        <v>0.33052607376674348</v>
      </c>
      <c r="AE780" s="101">
        <f t="shared" si="188"/>
        <v>0.19009598664968166</v>
      </c>
      <c r="AF780" s="101">
        <f t="shared" si="188"/>
        <v>0.32767820085640054</v>
      </c>
      <c r="AG780" s="101">
        <f t="shared" si="188"/>
        <v>1.0544074198744818E-2</v>
      </c>
      <c r="AH780" s="101">
        <f t="shared" si="188"/>
        <v>1.2571276307966517E-3</v>
      </c>
      <c r="AI780" s="101">
        <f t="shared" si="188"/>
        <v>1.4606099654856999E-2</v>
      </c>
      <c r="AJ780" s="101">
        <f t="shared" si="188"/>
        <v>7.1546003880773992E-2</v>
      </c>
      <c r="AK780" s="101">
        <f t="shared" si="188"/>
        <v>8.112483759909625E-3</v>
      </c>
      <c r="AL780" s="101">
        <f t="shared" si="188"/>
        <v>8.362339328690507E-3</v>
      </c>
      <c r="AM780" s="379">
        <f t="shared" si="186"/>
        <v>3.9578548031878769</v>
      </c>
    </row>
    <row r="781" spans="1:39" x14ac:dyDescent="0.2">
      <c r="A781" s="8"/>
      <c r="B781" s="107" t="s">
        <v>854</v>
      </c>
      <c r="C781" s="128" t="s">
        <v>176</v>
      </c>
      <c r="D781" s="129"/>
      <c r="E781" s="101"/>
      <c r="F781" s="101">
        <f t="shared" si="184"/>
        <v>2.2196663977793601E-2</v>
      </c>
      <c r="G781" s="101">
        <f t="shared" si="188"/>
        <v>2.3320064084979353E-3</v>
      </c>
      <c r="H781" s="101">
        <f t="shared" si="188"/>
        <v>3.212742009316738E-2</v>
      </c>
      <c r="I781" s="101">
        <f t="shared" si="188"/>
        <v>1.6583000153288091E-2</v>
      </c>
      <c r="J781" s="101">
        <f t="shared" si="188"/>
        <v>0</v>
      </c>
      <c r="K781" s="101">
        <f t="shared" si="188"/>
        <v>0</v>
      </c>
      <c r="L781" s="101">
        <f t="shared" si="188"/>
        <v>9.6507176575148562E-5</v>
      </c>
      <c r="M781" s="101">
        <f t="shared" si="188"/>
        <v>0.16660637381766255</v>
      </c>
      <c r="N781" s="101">
        <f t="shared" si="188"/>
        <v>0.32293643853837073</v>
      </c>
      <c r="O781" s="101">
        <f t="shared" si="188"/>
        <v>2.4007821991186472E-2</v>
      </c>
      <c r="P781" s="101">
        <f t="shared" si="188"/>
        <v>4.4631833407646473E-3</v>
      </c>
      <c r="Q781" s="101">
        <f t="shared" si="188"/>
        <v>1.7659752065279054E-4</v>
      </c>
      <c r="R781" s="101">
        <f t="shared" si="188"/>
        <v>0</v>
      </c>
      <c r="S781" s="101">
        <f t="shared" si="188"/>
        <v>0.22514006886313331</v>
      </c>
      <c r="T781" s="101">
        <f t="shared" si="188"/>
        <v>5.4522205241418764E-2</v>
      </c>
      <c r="U781" s="101">
        <f t="shared" si="188"/>
        <v>0.65985008255682043</v>
      </c>
      <c r="V781" s="101">
        <f t="shared" si="188"/>
        <v>0.44249175046141737</v>
      </c>
      <c r="W781" s="101">
        <f t="shared" si="188"/>
        <v>0</v>
      </c>
      <c r="X781" s="101">
        <f t="shared" si="188"/>
        <v>0</v>
      </c>
      <c r="Y781" s="101">
        <f t="shared" si="188"/>
        <v>9.6667648089231791E-5</v>
      </c>
      <c r="Z781" s="101">
        <f t="shared" si="188"/>
        <v>1.3588965279033775E-2</v>
      </c>
      <c r="AA781" s="101">
        <f t="shared" si="188"/>
        <v>1.4346850325885554E-2</v>
      </c>
      <c r="AB781" s="101">
        <f t="shared" si="188"/>
        <v>2.9033376356816451E-3</v>
      </c>
      <c r="AC781" s="101">
        <f t="shared" si="188"/>
        <v>0.53214806892355115</v>
      </c>
      <c r="AD781" s="101">
        <f t="shared" si="188"/>
        <v>7.1216262248841511E-4</v>
      </c>
      <c r="AE781" s="101">
        <f t="shared" si="188"/>
        <v>2.9819179715217178E-2</v>
      </c>
      <c r="AF781" s="101">
        <f t="shared" si="188"/>
        <v>3.7342446988003443E-3</v>
      </c>
      <c r="AG781" s="101">
        <f t="shared" si="188"/>
        <v>2.799031488635236E-3</v>
      </c>
      <c r="AH781" s="101">
        <f t="shared" si="188"/>
        <v>5.3538791535305075E-3</v>
      </c>
      <c r="AI781" s="101">
        <f t="shared" si="188"/>
        <v>2.0324175090039314E-3</v>
      </c>
      <c r="AJ781" s="101">
        <f t="shared" si="188"/>
        <v>0</v>
      </c>
      <c r="AK781" s="101">
        <f t="shared" si="188"/>
        <v>0.30653390362642086</v>
      </c>
      <c r="AL781" s="101">
        <f t="shared" si="188"/>
        <v>5.2961482415039849E-3</v>
      </c>
      <c r="AM781" s="379">
        <f t="shared" si="186"/>
        <v>2.8928949770085906</v>
      </c>
    </row>
    <row r="782" spans="1:39" x14ac:dyDescent="0.2">
      <c r="A782" s="8"/>
      <c r="B782" s="107" t="s">
        <v>855</v>
      </c>
      <c r="C782" s="128" t="s">
        <v>176</v>
      </c>
      <c r="D782" s="129"/>
      <c r="E782" s="101"/>
      <c r="F782" s="101">
        <f t="shared" si="184"/>
        <v>1.0480034753070425E-2</v>
      </c>
      <c r="G782" s="101">
        <f t="shared" si="188"/>
        <v>2.4133554692594913E-3</v>
      </c>
      <c r="H782" s="101">
        <f t="shared" si="188"/>
        <v>0</v>
      </c>
      <c r="I782" s="101">
        <f t="shared" si="188"/>
        <v>1.0071780545243019E-4</v>
      </c>
      <c r="J782" s="101">
        <f t="shared" si="188"/>
        <v>5.8220534429780334E-3</v>
      </c>
      <c r="K782" s="101">
        <f t="shared" si="188"/>
        <v>0</v>
      </c>
      <c r="L782" s="101">
        <f t="shared" si="188"/>
        <v>7.0932774782734187E-4</v>
      </c>
      <c r="M782" s="101">
        <f t="shared" si="188"/>
        <v>1.0695355358676809E-4</v>
      </c>
      <c r="N782" s="101">
        <f t="shared" si="188"/>
        <v>6.2387735793035014E-3</v>
      </c>
      <c r="O782" s="101">
        <f t="shared" si="188"/>
        <v>0</v>
      </c>
      <c r="P782" s="101">
        <f t="shared" si="188"/>
        <v>2.7322738028032235E-3</v>
      </c>
      <c r="Q782" s="101">
        <f t="shared" si="188"/>
        <v>3.5044796876209324E-3</v>
      </c>
      <c r="R782" s="101">
        <f t="shared" si="188"/>
        <v>8.085415181046168E-4</v>
      </c>
      <c r="S782" s="101">
        <f t="shared" si="188"/>
        <v>0.16870030653628437</v>
      </c>
      <c r="T782" s="101">
        <f t="shared" si="188"/>
        <v>5.2512093469873462E-2</v>
      </c>
      <c r="U782" s="101">
        <f t="shared" si="188"/>
        <v>5.186339030386241E-2</v>
      </c>
      <c r="V782" s="101">
        <f t="shared" si="188"/>
        <v>4.2882220796353294E-2</v>
      </c>
      <c r="W782" s="101">
        <f t="shared" si="188"/>
        <v>8.2708258325316347E-4</v>
      </c>
      <c r="X782" s="101">
        <f t="shared" si="188"/>
        <v>7.8814340433687544E-3</v>
      </c>
      <c r="Y782" s="101">
        <f t="shared" si="188"/>
        <v>2.0176273216572999E-3</v>
      </c>
      <c r="Z782" s="101">
        <f t="shared" si="188"/>
        <v>4.0004097950408574E-2</v>
      </c>
      <c r="AA782" s="101">
        <f t="shared" si="188"/>
        <v>2.001376374370599</v>
      </c>
      <c r="AB782" s="101">
        <f t="shared" si="188"/>
        <v>4.0783651705621426E-2</v>
      </c>
      <c r="AC782" s="101">
        <f t="shared" si="188"/>
        <v>1.1062297878873815</v>
      </c>
      <c r="AD782" s="101">
        <f t="shared" si="188"/>
        <v>5.323961131572167E-2</v>
      </c>
      <c r="AE782" s="101">
        <f t="shared" si="188"/>
        <v>4.4035546406420531E-2</v>
      </c>
      <c r="AF782" s="101">
        <f t="shared" si="188"/>
        <v>5.7730499895834071E-3</v>
      </c>
      <c r="AG782" s="101">
        <f t="shared" si="188"/>
        <v>1.5127305090932115</v>
      </c>
      <c r="AH782" s="101">
        <f t="shared" si="188"/>
        <v>0.21520941267634694</v>
      </c>
      <c r="AI782" s="101">
        <f t="shared" si="188"/>
        <v>3.4226391897190449E-2</v>
      </c>
      <c r="AJ782" s="101">
        <f t="shared" si="188"/>
        <v>7.2525496962660918E-2</v>
      </c>
      <c r="AK782" s="101">
        <f t="shared" si="188"/>
        <v>7.6104999266340637E-2</v>
      </c>
      <c r="AL782" s="101">
        <f t="shared" si="188"/>
        <v>7.4243636006557187E-2</v>
      </c>
      <c r="AM782" s="379">
        <f t="shared" si="186"/>
        <v>5.6360832319427034</v>
      </c>
    </row>
    <row r="783" spans="1:39" x14ac:dyDescent="0.2">
      <c r="A783" s="8"/>
      <c r="B783" s="107" t="s">
        <v>856</v>
      </c>
      <c r="C783" s="128" t="s">
        <v>176</v>
      </c>
      <c r="D783" s="129"/>
      <c r="E783" s="101"/>
      <c r="F783" s="101">
        <f t="shared" si="184"/>
        <v>3.5648762729846739E-2</v>
      </c>
      <c r="G783" s="101">
        <f t="shared" si="188"/>
        <v>5.2172541155741919E-3</v>
      </c>
      <c r="H783" s="101">
        <f t="shared" si="188"/>
        <v>1.7722538420786946E-3</v>
      </c>
      <c r="I783" s="101">
        <f t="shared" si="188"/>
        <v>6.1719240920186736E-3</v>
      </c>
      <c r="J783" s="101">
        <f t="shared" si="188"/>
        <v>2.6023060669315597E-3</v>
      </c>
      <c r="K783" s="101">
        <f t="shared" si="188"/>
        <v>6.5850734520053172E-3</v>
      </c>
      <c r="L783" s="101">
        <f t="shared" si="188"/>
        <v>7.2657173715199299E-3</v>
      </c>
      <c r="M783" s="101">
        <f t="shared" si="188"/>
        <v>8.0976765395899333E-2</v>
      </c>
      <c r="N783" s="101">
        <f t="shared" si="188"/>
        <v>4.5597920051539072E-2</v>
      </c>
      <c r="O783" s="101">
        <f t="shared" si="188"/>
        <v>1.1336467050783557E-2</v>
      </c>
      <c r="P783" s="101">
        <f t="shared" si="188"/>
        <v>4.3259950850994454E-2</v>
      </c>
      <c r="Q783" s="101">
        <f t="shared" si="188"/>
        <v>1.6983971046076889E-2</v>
      </c>
      <c r="R783" s="101">
        <f t="shared" si="188"/>
        <v>5.4541811943044798E-2</v>
      </c>
      <c r="S783" s="101">
        <f t="shared" si="188"/>
        <v>0.1169406619886552</v>
      </c>
      <c r="T783" s="101">
        <f t="shared" ref="G783:AL791" si="189">T637*T751</f>
        <v>0.24169129120461771</v>
      </c>
      <c r="U783" s="101">
        <f t="shared" si="189"/>
        <v>0.31451513462650549</v>
      </c>
      <c r="V783" s="101">
        <f t="shared" si="189"/>
        <v>1.4910642270097193E-2</v>
      </c>
      <c r="W783" s="101">
        <f t="shared" si="189"/>
        <v>9.1526205467004032E-4</v>
      </c>
      <c r="X783" s="101">
        <f t="shared" si="189"/>
        <v>6.4595333400329661E-3</v>
      </c>
      <c r="Y783" s="101">
        <f t="shared" si="189"/>
        <v>2.7587094035724902E-2</v>
      </c>
      <c r="Z783" s="101">
        <f t="shared" si="189"/>
        <v>0.15640116724334061</v>
      </c>
      <c r="AA783" s="101">
        <f t="shared" si="189"/>
        <v>7.4646197269732803E-2</v>
      </c>
      <c r="AB783" s="101">
        <f t="shared" si="189"/>
        <v>2.4140897126345595E-4</v>
      </c>
      <c r="AC783" s="101">
        <f t="shared" si="189"/>
        <v>0.61230490147603323</v>
      </c>
      <c r="AD783" s="101">
        <f t="shared" si="189"/>
        <v>2.1067864101627504E-2</v>
      </c>
      <c r="AE783" s="101">
        <f t="shared" si="189"/>
        <v>1.8448077462557767E-2</v>
      </c>
      <c r="AF783" s="101">
        <f t="shared" si="189"/>
        <v>4.1903202192588229E-3</v>
      </c>
      <c r="AG783" s="101">
        <f t="shared" si="189"/>
        <v>5.499685274160579E-2</v>
      </c>
      <c r="AH783" s="101">
        <f t="shared" si="189"/>
        <v>2.5448770230970274E-3</v>
      </c>
      <c r="AI783" s="101">
        <f t="shared" si="189"/>
        <v>0.68073278002735682</v>
      </c>
      <c r="AJ783" s="101">
        <f t="shared" si="189"/>
        <v>1.2568487797178882</v>
      </c>
      <c r="AK783" s="101">
        <f t="shared" si="189"/>
        <v>0.39192850635487403</v>
      </c>
      <c r="AL783" s="101">
        <f t="shared" si="189"/>
        <v>0.48260962953264247</v>
      </c>
      <c r="AM783" s="379">
        <f t="shared" si="186"/>
        <v>4.7979411596698949</v>
      </c>
    </row>
    <row r="784" spans="1:39" x14ac:dyDescent="0.2">
      <c r="A784" s="8"/>
      <c r="B784" s="107" t="s">
        <v>857</v>
      </c>
      <c r="C784" s="128" t="s">
        <v>176</v>
      </c>
      <c r="D784" s="129"/>
      <c r="E784" s="101"/>
      <c r="F784" s="101">
        <f t="shared" ref="F784:F796" si="190">F638*F752</f>
        <v>2.2835971585559001E-2</v>
      </c>
      <c r="G784" s="101">
        <f t="shared" si="189"/>
        <v>4.7899718995343572E-3</v>
      </c>
      <c r="H784" s="101">
        <f t="shared" si="189"/>
        <v>1.245995739542766E-3</v>
      </c>
      <c r="I784" s="101">
        <f t="shared" si="189"/>
        <v>3.6215156825215302E-3</v>
      </c>
      <c r="J784" s="101">
        <f t="shared" si="189"/>
        <v>8.7308688731391002E-3</v>
      </c>
      <c r="K784" s="101">
        <f t="shared" si="189"/>
        <v>5.1520229167115652E-3</v>
      </c>
      <c r="L784" s="101">
        <f t="shared" si="189"/>
        <v>0.11981094359290037</v>
      </c>
      <c r="M784" s="101">
        <f t="shared" si="189"/>
        <v>0.25420182273190561</v>
      </c>
      <c r="N784" s="101">
        <f t="shared" si="189"/>
        <v>3.1302517130388001E-2</v>
      </c>
      <c r="O784" s="101">
        <f t="shared" si="189"/>
        <v>6.7650477193550536E-3</v>
      </c>
      <c r="P784" s="101">
        <f t="shared" si="189"/>
        <v>1.444392517526391E-3</v>
      </c>
      <c r="Q784" s="101">
        <f t="shared" si="189"/>
        <v>0.16981219777972589</v>
      </c>
      <c r="R784" s="101">
        <f t="shared" si="189"/>
        <v>0.62858709383563083</v>
      </c>
      <c r="S784" s="101">
        <f t="shared" si="189"/>
        <v>1.1034491443946592E-2</v>
      </c>
      <c r="T784" s="101">
        <f t="shared" si="189"/>
        <v>3.2176612351785726E-2</v>
      </c>
      <c r="U784" s="101">
        <f t="shared" si="189"/>
        <v>1.4599115978910865E-2</v>
      </c>
      <c r="V784" s="101">
        <f t="shared" si="189"/>
        <v>6.2652786266199842E-3</v>
      </c>
      <c r="W784" s="101">
        <f t="shared" si="189"/>
        <v>9.6466934525092261E-4</v>
      </c>
      <c r="X784" s="101">
        <f t="shared" si="189"/>
        <v>1.532164910582907E-3</v>
      </c>
      <c r="Y784" s="101">
        <f t="shared" si="189"/>
        <v>1.4790562428861943E-2</v>
      </c>
      <c r="Z784" s="101">
        <f t="shared" si="189"/>
        <v>1.5754281351957396E-3</v>
      </c>
      <c r="AA784" s="101">
        <f t="shared" si="189"/>
        <v>7.099824999397401E-3</v>
      </c>
      <c r="AB784" s="101">
        <f t="shared" si="189"/>
        <v>2.3084655212221336E-4</v>
      </c>
      <c r="AC784" s="101">
        <f t="shared" si="189"/>
        <v>3.5675528335913337E-2</v>
      </c>
      <c r="AD784" s="101">
        <f t="shared" si="189"/>
        <v>9.3563604457841789E-4</v>
      </c>
      <c r="AE784" s="101">
        <f t="shared" si="189"/>
        <v>8.1046195566927392E-3</v>
      </c>
      <c r="AF784" s="101">
        <f t="shared" si="189"/>
        <v>1.0333997476863214E-3</v>
      </c>
      <c r="AG784" s="101">
        <f t="shared" si="189"/>
        <v>7.2632627757832676E-4</v>
      </c>
      <c r="AH784" s="101">
        <f t="shared" si="189"/>
        <v>2.9803556514279664E-4</v>
      </c>
      <c r="AI784" s="101">
        <f t="shared" si="189"/>
        <v>2.9297432182951454E-2</v>
      </c>
      <c r="AJ784" s="101">
        <f t="shared" si="189"/>
        <v>0.15129570814365542</v>
      </c>
      <c r="AK784" s="101">
        <f t="shared" si="189"/>
        <v>4.0447986203212818E-3</v>
      </c>
      <c r="AL784" s="101">
        <f t="shared" si="189"/>
        <v>9.2919064823179E-3</v>
      </c>
      <c r="AM784" s="379">
        <f t="shared" si="186"/>
        <v>1.589272747733953</v>
      </c>
    </row>
    <row r="785" spans="1:39" x14ac:dyDescent="0.2">
      <c r="A785" s="8"/>
      <c r="B785" s="107" t="s">
        <v>858</v>
      </c>
      <c r="C785" s="128" t="s">
        <v>176</v>
      </c>
      <c r="D785" s="129"/>
      <c r="E785" s="101"/>
      <c r="F785" s="101">
        <f t="shared" si="190"/>
        <v>0.13605116577378068</v>
      </c>
      <c r="G785" s="101">
        <f t="shared" si="189"/>
        <v>1.3459060620188425E-2</v>
      </c>
      <c r="H785" s="101">
        <f t="shared" si="189"/>
        <v>6.3269365578222771E-3</v>
      </c>
      <c r="I785" s="101">
        <f t="shared" si="189"/>
        <v>0.63460524360159865</v>
      </c>
      <c r="J785" s="101">
        <f t="shared" si="189"/>
        <v>3.81687105670959E-2</v>
      </c>
      <c r="K785" s="101">
        <f t="shared" si="189"/>
        <v>1.4165040436363855E-2</v>
      </c>
      <c r="L785" s="101">
        <f t="shared" si="189"/>
        <v>0.18941376844480459</v>
      </c>
      <c r="M785" s="101">
        <f t="shared" si="189"/>
        <v>1.3730130249474963</v>
      </c>
      <c r="N785" s="101">
        <f t="shared" si="189"/>
        <v>5.4480834130346108E-2</v>
      </c>
      <c r="O785" s="101">
        <f t="shared" si="189"/>
        <v>1.8424738847270923E-2</v>
      </c>
      <c r="P785" s="101">
        <f t="shared" si="189"/>
        <v>4.4734792215993142E-3</v>
      </c>
      <c r="Q785" s="101">
        <f t="shared" si="189"/>
        <v>2.7879831220769456E-2</v>
      </c>
      <c r="R785" s="101">
        <f t="shared" si="189"/>
        <v>0.29125302111061918</v>
      </c>
      <c r="S785" s="101">
        <f t="shared" si="189"/>
        <v>3.2911785759180995E-2</v>
      </c>
      <c r="T785" s="101">
        <f t="shared" si="189"/>
        <v>0.24121542605373517</v>
      </c>
      <c r="U785" s="101">
        <f t="shared" si="189"/>
        <v>0.11512918216958103</v>
      </c>
      <c r="V785" s="101">
        <f t="shared" si="189"/>
        <v>4.2027940565348483E-2</v>
      </c>
      <c r="W785" s="101">
        <f t="shared" si="189"/>
        <v>1.4853844833456222E-3</v>
      </c>
      <c r="X785" s="101">
        <f t="shared" si="189"/>
        <v>8.0502585810365221E-3</v>
      </c>
      <c r="Y785" s="101">
        <f t="shared" si="189"/>
        <v>9.3531213236490413E-2</v>
      </c>
      <c r="Z785" s="101">
        <f t="shared" si="189"/>
        <v>3.6833992774492577E-2</v>
      </c>
      <c r="AA785" s="101">
        <f t="shared" si="189"/>
        <v>3.2182322896786228E-2</v>
      </c>
      <c r="AB785" s="101">
        <f t="shared" si="189"/>
        <v>1.1706710801485296E-3</v>
      </c>
      <c r="AC785" s="101">
        <f t="shared" si="189"/>
        <v>0.16260796714333087</v>
      </c>
      <c r="AD785" s="101">
        <f t="shared" si="189"/>
        <v>2.4582909912137109E-2</v>
      </c>
      <c r="AE785" s="101">
        <f t="shared" si="189"/>
        <v>1.5513261242289527E-2</v>
      </c>
      <c r="AF785" s="101">
        <f t="shared" si="189"/>
        <v>8.2933862613926591E-3</v>
      </c>
      <c r="AG785" s="101">
        <f t="shared" si="189"/>
        <v>8.4437419340095445E-3</v>
      </c>
      <c r="AH785" s="101">
        <f t="shared" si="189"/>
        <v>2.0862489559995761E-3</v>
      </c>
      <c r="AI785" s="101">
        <f t="shared" si="189"/>
        <v>0.3456581706837194</v>
      </c>
      <c r="AJ785" s="101">
        <f t="shared" si="189"/>
        <v>1.3526757359492072</v>
      </c>
      <c r="AK785" s="101">
        <f t="shared" si="189"/>
        <v>9.102407870210473E-2</v>
      </c>
      <c r="AL785" s="101">
        <f t="shared" si="189"/>
        <v>1.2039397006910879</v>
      </c>
      <c r="AM785" s="379">
        <f t="shared" si="186"/>
        <v>6.6210782345551795</v>
      </c>
    </row>
    <row r="786" spans="1:39" x14ac:dyDescent="0.2">
      <c r="A786" s="8"/>
      <c r="B786" s="107" t="s">
        <v>859</v>
      </c>
      <c r="C786" s="128" t="s">
        <v>176</v>
      </c>
      <c r="D786" s="129"/>
      <c r="E786" s="101"/>
      <c r="F786" s="101">
        <f t="shared" si="190"/>
        <v>7.6615795576467582E-2</v>
      </c>
      <c r="G786" s="101">
        <f t="shared" si="189"/>
        <v>0.17151769813822101</v>
      </c>
      <c r="H786" s="101">
        <f t="shared" si="189"/>
        <v>2.4081612521251218E-2</v>
      </c>
      <c r="I786" s="101">
        <f t="shared" si="189"/>
        <v>0.24690438582020982</v>
      </c>
      <c r="J786" s="101">
        <f t="shared" si="189"/>
        <v>0.50886794838028271</v>
      </c>
      <c r="K786" s="101">
        <f t="shared" si="189"/>
        <v>6.2309223183151873E-2</v>
      </c>
      <c r="L786" s="101">
        <f t="shared" si="189"/>
        <v>0.13687862648331528</v>
      </c>
      <c r="M786" s="101">
        <f t="shared" si="189"/>
        <v>0.10807818175251263</v>
      </c>
      <c r="N786" s="101">
        <f t="shared" si="189"/>
        <v>4.8713598296100391E-2</v>
      </c>
      <c r="O786" s="101">
        <f t="shared" si="189"/>
        <v>9.7583335479411032E-3</v>
      </c>
      <c r="P786" s="101">
        <f t="shared" si="189"/>
        <v>7.8747941526042545E-2</v>
      </c>
      <c r="Q786" s="101">
        <f t="shared" si="189"/>
        <v>0.11435834533861708</v>
      </c>
      <c r="R786" s="101">
        <f t="shared" si="189"/>
        <v>0.18711165862374946</v>
      </c>
      <c r="S786" s="101">
        <f t="shared" si="189"/>
        <v>0.1258028958462804</v>
      </c>
      <c r="T786" s="101">
        <f t="shared" si="189"/>
        <v>1.5001703564690987</v>
      </c>
      <c r="U786" s="101">
        <f t="shared" si="189"/>
        <v>0.59158976097789129</v>
      </c>
      <c r="V786" s="101">
        <f t="shared" si="189"/>
        <v>0.27954969878894514</v>
      </c>
      <c r="W786" s="101">
        <f t="shared" si="189"/>
        <v>2.5218526882347819E-3</v>
      </c>
      <c r="X786" s="101">
        <f t="shared" si="189"/>
        <v>6.5382459417099761E-2</v>
      </c>
      <c r="Y786" s="101">
        <f t="shared" si="189"/>
        <v>0.1138768216924437</v>
      </c>
      <c r="Z786" s="101">
        <f t="shared" si="189"/>
        <v>1.5419561754271029</v>
      </c>
      <c r="AA786" s="101">
        <f t="shared" si="189"/>
        <v>0.83595407986135639</v>
      </c>
      <c r="AB786" s="101">
        <f t="shared" si="189"/>
        <v>5.9544350891296014E-3</v>
      </c>
      <c r="AC786" s="101">
        <f t="shared" si="189"/>
        <v>3.6621010324139123</v>
      </c>
      <c r="AD786" s="101">
        <f t="shared" si="189"/>
        <v>0.12182744219949057</v>
      </c>
      <c r="AE786" s="101">
        <f t="shared" si="189"/>
        <v>9.3653754497253272E-2</v>
      </c>
      <c r="AF786" s="101">
        <f t="shared" si="189"/>
        <v>4.5824228119145487E-2</v>
      </c>
      <c r="AG786" s="101">
        <f t="shared" si="189"/>
        <v>0.50072551578499791</v>
      </c>
      <c r="AH786" s="101">
        <f t="shared" si="189"/>
        <v>0.30326876495548694</v>
      </c>
      <c r="AI786" s="101">
        <f t="shared" si="189"/>
        <v>2.134311593764513</v>
      </c>
      <c r="AJ786" s="101">
        <f t="shared" si="189"/>
        <v>5.8945232954673585</v>
      </c>
      <c r="AK786" s="101">
        <f t="shared" si="189"/>
        <v>1.0724034307553181</v>
      </c>
      <c r="AL786" s="101">
        <f t="shared" si="189"/>
        <v>3.7320047366034501</v>
      </c>
      <c r="AM786" s="379">
        <f t="shared" si="186"/>
        <v>24.397345680006374</v>
      </c>
    </row>
    <row r="787" spans="1:39" x14ac:dyDescent="0.2">
      <c r="A787" s="8"/>
      <c r="B787" s="107" t="s">
        <v>860</v>
      </c>
      <c r="C787" s="128" t="s">
        <v>176</v>
      </c>
      <c r="D787" s="129"/>
      <c r="E787" s="101"/>
      <c r="F787" s="101">
        <f t="shared" si="190"/>
        <v>0</v>
      </c>
      <c r="G787" s="101">
        <f t="shared" si="189"/>
        <v>0</v>
      </c>
      <c r="H787" s="101">
        <f t="shared" si="189"/>
        <v>0</v>
      </c>
      <c r="I787" s="101">
        <f t="shared" si="189"/>
        <v>0</v>
      </c>
      <c r="J787" s="101">
        <f t="shared" si="189"/>
        <v>0</v>
      </c>
      <c r="K787" s="101">
        <f t="shared" si="189"/>
        <v>0</v>
      </c>
      <c r="L787" s="101">
        <f t="shared" si="189"/>
        <v>0</v>
      </c>
      <c r="M787" s="101">
        <f t="shared" si="189"/>
        <v>0</v>
      </c>
      <c r="N787" s="101">
        <f t="shared" si="189"/>
        <v>0</v>
      </c>
      <c r="O787" s="101">
        <f t="shared" si="189"/>
        <v>0</v>
      </c>
      <c r="P787" s="101">
        <f t="shared" si="189"/>
        <v>0</v>
      </c>
      <c r="Q787" s="101">
        <f t="shared" si="189"/>
        <v>0</v>
      </c>
      <c r="R787" s="101">
        <f t="shared" si="189"/>
        <v>0</v>
      </c>
      <c r="S787" s="101">
        <f t="shared" si="189"/>
        <v>5.579332230463811E-6</v>
      </c>
      <c r="T787" s="101">
        <f t="shared" si="189"/>
        <v>0</v>
      </c>
      <c r="U787" s="101">
        <f t="shared" si="189"/>
        <v>0</v>
      </c>
      <c r="V787" s="101">
        <f t="shared" si="189"/>
        <v>0</v>
      </c>
      <c r="W787" s="101">
        <f t="shared" si="189"/>
        <v>0</v>
      </c>
      <c r="X787" s="101">
        <f t="shared" si="189"/>
        <v>0</v>
      </c>
      <c r="Y787" s="101">
        <f t="shared" si="189"/>
        <v>0</v>
      </c>
      <c r="Z787" s="101">
        <f t="shared" si="189"/>
        <v>1.5780864776303895E-2</v>
      </c>
      <c r="AA787" s="101">
        <f t="shared" si="189"/>
        <v>7.803518786582332E-3</v>
      </c>
      <c r="AB787" s="101">
        <f t="shared" si="189"/>
        <v>0</v>
      </c>
      <c r="AC787" s="101">
        <f t="shared" si="189"/>
        <v>5.9393386967242709E-3</v>
      </c>
      <c r="AD787" s="101">
        <f t="shared" si="189"/>
        <v>0</v>
      </c>
      <c r="AE787" s="101">
        <f t="shared" si="189"/>
        <v>0</v>
      </c>
      <c r="AF787" s="101">
        <f t="shared" si="189"/>
        <v>0</v>
      </c>
      <c r="AG787" s="101">
        <f t="shared" si="189"/>
        <v>0</v>
      </c>
      <c r="AH787" s="101">
        <f t="shared" si="189"/>
        <v>0</v>
      </c>
      <c r="AI787" s="101">
        <f t="shared" si="189"/>
        <v>5.283330779634187E-2</v>
      </c>
      <c r="AJ787" s="101">
        <f t="shared" si="189"/>
        <v>0.2949414988165458</v>
      </c>
      <c r="AK787" s="101">
        <f t="shared" si="189"/>
        <v>3.6294206469725733E-2</v>
      </c>
      <c r="AL787" s="101">
        <f t="shared" si="189"/>
        <v>2.2221961182324997E-2</v>
      </c>
      <c r="AM787" s="379">
        <f t="shared" si="186"/>
        <v>0.4358202758567794</v>
      </c>
    </row>
    <row r="788" spans="1:39" x14ac:dyDescent="0.2">
      <c r="A788" s="8"/>
      <c r="B788" s="107" t="s">
        <v>861</v>
      </c>
      <c r="C788" s="128" t="s">
        <v>176</v>
      </c>
      <c r="D788" s="129"/>
      <c r="E788" s="101"/>
      <c r="F788" s="101">
        <f t="shared" si="190"/>
        <v>0</v>
      </c>
      <c r="G788" s="101">
        <f t="shared" si="189"/>
        <v>0</v>
      </c>
      <c r="H788" s="101">
        <f t="shared" si="189"/>
        <v>0</v>
      </c>
      <c r="I788" s="101">
        <f t="shared" si="189"/>
        <v>0</v>
      </c>
      <c r="J788" s="101">
        <f t="shared" si="189"/>
        <v>0</v>
      </c>
      <c r="K788" s="101">
        <f t="shared" si="189"/>
        <v>0</v>
      </c>
      <c r="L788" s="101">
        <f t="shared" si="189"/>
        <v>0</v>
      </c>
      <c r="M788" s="101">
        <f t="shared" si="189"/>
        <v>0</v>
      </c>
      <c r="N788" s="101">
        <f t="shared" si="189"/>
        <v>0</v>
      </c>
      <c r="O788" s="101">
        <f t="shared" si="189"/>
        <v>0</v>
      </c>
      <c r="P788" s="101">
        <f t="shared" si="189"/>
        <v>0</v>
      </c>
      <c r="Q788" s="101">
        <f t="shared" si="189"/>
        <v>0</v>
      </c>
      <c r="R788" s="101">
        <f t="shared" si="189"/>
        <v>0</v>
      </c>
      <c r="S788" s="101">
        <f t="shared" si="189"/>
        <v>0</v>
      </c>
      <c r="T788" s="101">
        <f t="shared" si="189"/>
        <v>0</v>
      </c>
      <c r="U788" s="101">
        <f t="shared" si="189"/>
        <v>0</v>
      </c>
      <c r="V788" s="101">
        <f t="shared" si="189"/>
        <v>0</v>
      </c>
      <c r="W788" s="101">
        <f t="shared" si="189"/>
        <v>0</v>
      </c>
      <c r="X788" s="101">
        <f t="shared" si="189"/>
        <v>0</v>
      </c>
      <c r="Y788" s="101">
        <f t="shared" si="189"/>
        <v>0</v>
      </c>
      <c r="Z788" s="101">
        <f t="shared" si="189"/>
        <v>0</v>
      </c>
      <c r="AA788" s="101">
        <f t="shared" si="189"/>
        <v>0</v>
      </c>
      <c r="AB788" s="101">
        <f t="shared" si="189"/>
        <v>0</v>
      </c>
      <c r="AC788" s="101">
        <f t="shared" si="189"/>
        <v>0</v>
      </c>
      <c r="AD788" s="101">
        <f t="shared" si="189"/>
        <v>0</v>
      </c>
      <c r="AE788" s="101">
        <f t="shared" si="189"/>
        <v>0</v>
      </c>
      <c r="AF788" s="101">
        <f t="shared" si="189"/>
        <v>0</v>
      </c>
      <c r="AG788" s="101">
        <f t="shared" si="189"/>
        <v>0</v>
      </c>
      <c r="AH788" s="101">
        <f t="shared" si="189"/>
        <v>0</v>
      </c>
      <c r="AI788" s="101">
        <f t="shared" si="189"/>
        <v>0</v>
      </c>
      <c r="AJ788" s="101">
        <f t="shared" si="189"/>
        <v>6.4316754362259134E-3</v>
      </c>
      <c r="AK788" s="101">
        <f t="shared" si="189"/>
        <v>0</v>
      </c>
      <c r="AL788" s="101">
        <f t="shared" si="189"/>
        <v>0</v>
      </c>
      <c r="AM788" s="379">
        <f t="shared" si="186"/>
        <v>6.4316754362259134E-3</v>
      </c>
    </row>
    <row r="789" spans="1:39" x14ac:dyDescent="0.2">
      <c r="A789" s="8"/>
      <c r="B789" s="107" t="s">
        <v>862</v>
      </c>
      <c r="C789" s="128" t="s">
        <v>176</v>
      </c>
      <c r="D789" s="129"/>
      <c r="E789" s="101"/>
      <c r="F789" s="101">
        <f t="shared" si="190"/>
        <v>5.5807125562572744E-2</v>
      </c>
      <c r="G789" s="101">
        <f t="shared" si="189"/>
        <v>2.8875126459449885E-2</v>
      </c>
      <c r="H789" s="101">
        <f t="shared" si="189"/>
        <v>1.1484926472518306E-3</v>
      </c>
      <c r="I789" s="101">
        <f t="shared" si="189"/>
        <v>0</v>
      </c>
      <c r="J789" s="101">
        <f t="shared" si="189"/>
        <v>1.2374163151868019E-2</v>
      </c>
      <c r="K789" s="101">
        <f t="shared" si="189"/>
        <v>1.2577092254268174E-4</v>
      </c>
      <c r="L789" s="101">
        <f t="shared" si="189"/>
        <v>0</v>
      </c>
      <c r="M789" s="101">
        <f t="shared" si="189"/>
        <v>0</v>
      </c>
      <c r="N789" s="101">
        <f t="shared" si="189"/>
        <v>0.51049376212699638</v>
      </c>
      <c r="O789" s="101">
        <f t="shared" si="189"/>
        <v>4.5316471993461463E-2</v>
      </c>
      <c r="P789" s="101">
        <f t="shared" si="189"/>
        <v>8.2491175009744538E-2</v>
      </c>
      <c r="Q789" s="101">
        <f t="shared" si="189"/>
        <v>9.4329192147052951E-4</v>
      </c>
      <c r="R789" s="101">
        <f t="shared" si="189"/>
        <v>9.8598274900649086E-3</v>
      </c>
      <c r="S789" s="101">
        <f t="shared" si="189"/>
        <v>1.8612145108806318E-2</v>
      </c>
      <c r="T789" s="101">
        <f t="shared" si="189"/>
        <v>0.20256834762187584</v>
      </c>
      <c r="U789" s="101">
        <f t="shared" si="189"/>
        <v>1.853725892827604E-2</v>
      </c>
      <c r="V789" s="101">
        <f t="shared" si="189"/>
        <v>3.0031382634087924E-3</v>
      </c>
      <c r="W789" s="101">
        <f t="shared" si="189"/>
        <v>2.053257083994393E-2</v>
      </c>
      <c r="X789" s="101">
        <f t="shared" si="189"/>
        <v>0</v>
      </c>
      <c r="Y789" s="101">
        <f t="shared" si="189"/>
        <v>0</v>
      </c>
      <c r="Z789" s="101">
        <f t="shared" si="189"/>
        <v>0</v>
      </c>
      <c r="AA789" s="101">
        <f t="shared" si="189"/>
        <v>1.3569297089418024E-3</v>
      </c>
      <c r="AB789" s="101">
        <f t="shared" si="189"/>
        <v>4.4335532445803443E-4</v>
      </c>
      <c r="AC789" s="101">
        <f t="shared" si="189"/>
        <v>0.16637720765161271</v>
      </c>
      <c r="AD789" s="101">
        <f t="shared" si="189"/>
        <v>0</v>
      </c>
      <c r="AE789" s="101">
        <f t="shared" si="189"/>
        <v>2.4541010753197125E-2</v>
      </c>
      <c r="AF789" s="101">
        <f t="shared" si="189"/>
        <v>0</v>
      </c>
      <c r="AG789" s="101">
        <f t="shared" si="189"/>
        <v>7.3892689780658488E-3</v>
      </c>
      <c r="AH789" s="101">
        <f t="shared" si="189"/>
        <v>2.5437464691107557E-4</v>
      </c>
      <c r="AI789" s="101">
        <f t="shared" si="189"/>
        <v>0</v>
      </c>
      <c r="AJ789" s="101">
        <f t="shared" si="189"/>
        <v>0</v>
      </c>
      <c r="AK789" s="101">
        <f t="shared" si="189"/>
        <v>1.2873230127767275E-3</v>
      </c>
      <c r="AL789" s="101">
        <f t="shared" si="189"/>
        <v>0</v>
      </c>
      <c r="AM789" s="379">
        <f t="shared" si="186"/>
        <v>1.2123381381236973</v>
      </c>
    </row>
    <row r="790" spans="1:39" x14ac:dyDescent="0.2">
      <c r="A790" s="8"/>
      <c r="B790" s="107" t="s">
        <v>863</v>
      </c>
      <c r="C790" s="128" t="s">
        <v>176</v>
      </c>
      <c r="D790" s="129"/>
      <c r="E790" s="101"/>
      <c r="F790" s="101">
        <f t="shared" si="190"/>
        <v>0.27211917602231772</v>
      </c>
      <c r="G790" s="101">
        <f t="shared" si="189"/>
        <v>2.7895881537588894</v>
      </c>
      <c r="H790" s="101">
        <f t="shared" si="189"/>
        <v>3.117146910493326E-2</v>
      </c>
      <c r="I790" s="101">
        <f t="shared" si="189"/>
        <v>1.458189825072659</v>
      </c>
      <c r="J790" s="101">
        <f t="shared" si="189"/>
        <v>1.1655584356048034</v>
      </c>
      <c r="K790" s="101">
        <f t="shared" si="189"/>
        <v>2.1997878417941759</v>
      </c>
      <c r="L790" s="101">
        <f t="shared" si="189"/>
        <v>3.8855137329737283E-4</v>
      </c>
      <c r="M790" s="101">
        <f t="shared" si="189"/>
        <v>2.0318559883652125</v>
      </c>
      <c r="N790" s="101">
        <f t="shared" si="189"/>
        <v>4.6191392952797526E-2</v>
      </c>
      <c r="O790" s="101">
        <f t="shared" si="189"/>
        <v>5.9597794952968386E-4</v>
      </c>
      <c r="P790" s="101">
        <f t="shared" si="189"/>
        <v>1.69264748147624E-3</v>
      </c>
      <c r="Q790" s="101">
        <f t="shared" si="189"/>
        <v>0</v>
      </c>
      <c r="R790" s="101">
        <f t="shared" si="189"/>
        <v>4.482075403631692E-4</v>
      </c>
      <c r="S790" s="101">
        <f t="shared" si="189"/>
        <v>0</v>
      </c>
      <c r="T790" s="101">
        <f t="shared" si="189"/>
        <v>0</v>
      </c>
      <c r="U790" s="101">
        <f t="shared" si="189"/>
        <v>3.9087687690342564E-3</v>
      </c>
      <c r="V790" s="101">
        <f t="shared" si="189"/>
        <v>0</v>
      </c>
      <c r="W790" s="101">
        <f t="shared" si="189"/>
        <v>0</v>
      </c>
      <c r="X790" s="101">
        <f t="shared" si="189"/>
        <v>0</v>
      </c>
      <c r="Y790" s="101">
        <f t="shared" si="189"/>
        <v>0</v>
      </c>
      <c r="Z790" s="101">
        <f t="shared" si="189"/>
        <v>0</v>
      </c>
      <c r="AA790" s="101">
        <f t="shared" si="189"/>
        <v>0</v>
      </c>
      <c r="AB790" s="101">
        <f t="shared" si="189"/>
        <v>3.1953536897876353E-4</v>
      </c>
      <c r="AC790" s="101">
        <f t="shared" si="189"/>
        <v>6.5711033470949717E-3</v>
      </c>
      <c r="AD790" s="101">
        <f t="shared" si="189"/>
        <v>0</v>
      </c>
      <c r="AE790" s="101">
        <f t="shared" si="189"/>
        <v>0</v>
      </c>
      <c r="AF790" s="101">
        <f t="shared" si="189"/>
        <v>0</v>
      </c>
      <c r="AG790" s="101">
        <f t="shared" si="189"/>
        <v>1.7667395941094435E-4</v>
      </c>
      <c r="AH790" s="101">
        <f t="shared" si="189"/>
        <v>0</v>
      </c>
      <c r="AI790" s="101">
        <f t="shared" si="189"/>
        <v>0</v>
      </c>
      <c r="AJ790" s="101">
        <f t="shared" si="189"/>
        <v>0</v>
      </c>
      <c r="AK790" s="101">
        <f t="shared" si="189"/>
        <v>0</v>
      </c>
      <c r="AL790" s="101">
        <f t="shared" si="189"/>
        <v>0</v>
      </c>
      <c r="AM790" s="379">
        <f t="shared" si="186"/>
        <v>10.008563748464978</v>
      </c>
    </row>
    <row r="791" spans="1:39" x14ac:dyDescent="0.2">
      <c r="A791" s="8"/>
      <c r="B791" s="107" t="s">
        <v>864</v>
      </c>
      <c r="C791" s="128" t="s">
        <v>176</v>
      </c>
      <c r="D791" s="129"/>
      <c r="E791" s="101"/>
      <c r="F791" s="101">
        <f t="shared" si="190"/>
        <v>1.791420552692067</v>
      </c>
      <c r="G791" s="101">
        <f t="shared" si="189"/>
        <v>8.5232905870869651</v>
      </c>
      <c r="H791" s="101">
        <f t="shared" si="189"/>
        <v>1.495093254725413</v>
      </c>
      <c r="I791" s="101">
        <f t="shared" si="189"/>
        <v>37.464043598618673</v>
      </c>
      <c r="J791" s="101">
        <f t="shared" si="189"/>
        <v>73.136107291134579</v>
      </c>
      <c r="K791" s="101">
        <f t="shared" si="189"/>
        <v>21.851514898952644</v>
      </c>
      <c r="L791" s="101">
        <f t="shared" si="189"/>
        <v>51.699748455919298</v>
      </c>
      <c r="M791" s="101">
        <f t="shared" si="189"/>
        <v>58.044601622635746</v>
      </c>
      <c r="N791" s="101">
        <f t="shared" si="189"/>
        <v>15.631391469598805</v>
      </c>
      <c r="O791" s="101">
        <f t="shared" si="189"/>
        <v>17.994605991116813</v>
      </c>
      <c r="P791" s="101">
        <f t="shared" si="189"/>
        <v>50.115302290658953</v>
      </c>
      <c r="Q791" s="101">
        <f t="shared" si="189"/>
        <v>11.222219517176288</v>
      </c>
      <c r="R791" s="101">
        <f t="shared" si="189"/>
        <v>159.98538024313783</v>
      </c>
      <c r="S791" s="101">
        <f t="shared" ref="G791:AL796" si="191">S645*S759</f>
        <v>50.778689345926296</v>
      </c>
      <c r="T791" s="101">
        <f t="shared" si="191"/>
        <v>173.37785974950981</v>
      </c>
      <c r="U791" s="101">
        <f t="shared" si="191"/>
        <v>23.981826454889788</v>
      </c>
      <c r="V791" s="101">
        <f t="shared" si="191"/>
        <v>65.613862414676248</v>
      </c>
      <c r="W791" s="101">
        <f t="shared" si="191"/>
        <v>5.0629259616237539</v>
      </c>
      <c r="X791" s="101">
        <f t="shared" si="191"/>
        <v>1.258051341237121</v>
      </c>
      <c r="Y791" s="101">
        <f t="shared" si="191"/>
        <v>11.518108009097759</v>
      </c>
      <c r="Z791" s="101">
        <f t="shared" si="191"/>
        <v>1.0390989677082254</v>
      </c>
      <c r="AA791" s="101">
        <f t="shared" si="191"/>
        <v>7.8249398733228901</v>
      </c>
      <c r="AB791" s="101">
        <f t="shared" si="191"/>
        <v>7.5673452169023152</v>
      </c>
      <c r="AC791" s="101">
        <f t="shared" si="191"/>
        <v>37.154751979703057</v>
      </c>
      <c r="AD791" s="101">
        <f t="shared" si="191"/>
        <v>3.2224323741128678</v>
      </c>
      <c r="AE791" s="101">
        <f t="shared" si="191"/>
        <v>34.508621830605939</v>
      </c>
      <c r="AF791" s="101">
        <f t="shared" si="191"/>
        <v>3.7186548391232805</v>
      </c>
      <c r="AG791" s="101">
        <f t="shared" si="191"/>
        <v>14.478757517235309</v>
      </c>
      <c r="AH791" s="101">
        <f t="shared" si="191"/>
        <v>6.1068709174969191</v>
      </c>
      <c r="AI791" s="101">
        <f t="shared" si="191"/>
        <v>0.68381019053500014</v>
      </c>
      <c r="AJ791" s="101">
        <f t="shared" si="191"/>
        <v>3.0260816082428965</v>
      </c>
      <c r="AK791" s="101">
        <f t="shared" si="191"/>
        <v>0.27529203844074968</v>
      </c>
      <c r="AL791" s="101">
        <f t="shared" si="191"/>
        <v>0.57204400706978187</v>
      </c>
      <c r="AM791" s="379">
        <f t="shared" si="186"/>
        <v>960.72474441091401</v>
      </c>
    </row>
    <row r="792" spans="1:39" x14ac:dyDescent="0.2">
      <c r="A792" s="8"/>
      <c r="B792" s="107" t="s">
        <v>865</v>
      </c>
      <c r="C792" s="128" t="s">
        <v>176</v>
      </c>
      <c r="D792" s="129"/>
      <c r="E792" s="101"/>
      <c r="F792" s="101">
        <f t="shared" si="190"/>
        <v>3.2642365072299701E-2</v>
      </c>
      <c r="G792" s="101">
        <f t="shared" si="191"/>
        <v>2.5869631634321395E-2</v>
      </c>
      <c r="H792" s="101">
        <f t="shared" si="191"/>
        <v>1.41990901539986E-2</v>
      </c>
      <c r="I792" s="101">
        <f t="shared" si="191"/>
        <v>6.7675466433330722E-2</v>
      </c>
      <c r="J792" s="101">
        <f t="shared" si="191"/>
        <v>5.1379483718094879E-2</v>
      </c>
      <c r="K792" s="101">
        <f t="shared" si="191"/>
        <v>1.3043848625256718E-2</v>
      </c>
      <c r="L792" s="101">
        <f t="shared" si="191"/>
        <v>2.9649126334344637E-2</v>
      </c>
      <c r="M792" s="101">
        <f t="shared" si="191"/>
        <v>4.7053898246998481E-2</v>
      </c>
      <c r="N792" s="101">
        <f t="shared" si="191"/>
        <v>6.1290368161801154E-2</v>
      </c>
      <c r="O792" s="101">
        <f t="shared" si="191"/>
        <v>4.2122968204447379E-2</v>
      </c>
      <c r="P792" s="101">
        <f t="shared" si="191"/>
        <v>5.3945216686876789E-2</v>
      </c>
      <c r="Q792" s="101">
        <f t="shared" si="191"/>
        <v>1.7810309865033607E-2</v>
      </c>
      <c r="R792" s="101">
        <f t="shared" si="191"/>
        <v>5.6401322281652427E-2</v>
      </c>
      <c r="S792" s="101">
        <f t="shared" si="191"/>
        <v>4.9255722145682461E-2</v>
      </c>
      <c r="T792" s="101">
        <f t="shared" si="191"/>
        <v>9.926519232341996E-2</v>
      </c>
      <c r="U792" s="101">
        <f t="shared" si="191"/>
        <v>0.12136692344048421</v>
      </c>
      <c r="V792" s="101">
        <f t="shared" si="191"/>
        <v>0.1622319979230728</v>
      </c>
      <c r="W792" s="101">
        <f t="shared" si="191"/>
        <v>1.6652319323030306E-2</v>
      </c>
      <c r="X792" s="101">
        <f t="shared" si="191"/>
        <v>7.5681048840156107E-3</v>
      </c>
      <c r="Y792" s="101">
        <f t="shared" si="191"/>
        <v>1.3838599619563557E-2</v>
      </c>
      <c r="Z792" s="101">
        <f t="shared" si="191"/>
        <v>4.1140053759293582E-2</v>
      </c>
      <c r="AA792" s="101">
        <f t="shared" si="191"/>
        <v>2.7475388453757774E-2</v>
      </c>
      <c r="AB792" s="101">
        <f t="shared" si="191"/>
        <v>2.7618222309854237E-2</v>
      </c>
      <c r="AC792" s="101">
        <f t="shared" si="191"/>
        <v>0.14591509776432746</v>
      </c>
      <c r="AD792" s="101">
        <f t="shared" si="191"/>
        <v>1.4481495603153434E-2</v>
      </c>
      <c r="AE792" s="101">
        <f t="shared" si="191"/>
        <v>4.6949746898647726E-2</v>
      </c>
      <c r="AF792" s="101">
        <f t="shared" si="191"/>
        <v>6.580382949870814E-3</v>
      </c>
      <c r="AG792" s="101">
        <f t="shared" si="191"/>
        <v>3.2383474946192051E-2</v>
      </c>
      <c r="AH792" s="101">
        <f t="shared" si="191"/>
        <v>3.2304826388197358E-2</v>
      </c>
      <c r="AI792" s="101">
        <f t="shared" si="191"/>
        <v>1.4947992382568212E-2</v>
      </c>
      <c r="AJ792" s="101">
        <f t="shared" si="191"/>
        <v>7.0384946738745374E-2</v>
      </c>
      <c r="AK792" s="101">
        <f t="shared" si="191"/>
        <v>2.2344443961158086E-2</v>
      </c>
      <c r="AL792" s="101">
        <f t="shared" si="191"/>
        <v>4.9944755234729798E-2</v>
      </c>
      <c r="AM792" s="379">
        <f t="shared" si="186"/>
        <v>1.515732782468221</v>
      </c>
    </row>
    <row r="793" spans="1:39" x14ac:dyDescent="0.2">
      <c r="A793" s="8"/>
      <c r="B793" s="107" t="s">
        <v>866</v>
      </c>
      <c r="C793" s="128" t="s">
        <v>176</v>
      </c>
      <c r="D793" s="129"/>
      <c r="E793" s="101"/>
      <c r="F793" s="101">
        <f t="shared" si="190"/>
        <v>0.43471274430046081</v>
      </c>
      <c r="G793" s="101">
        <f t="shared" si="191"/>
        <v>0.8503212291655049</v>
      </c>
      <c r="H793" s="101">
        <f t="shared" si="191"/>
        <v>9.2439452711679554E-2</v>
      </c>
      <c r="I793" s="101">
        <f t="shared" si="191"/>
        <v>1.2866241470802549</v>
      </c>
      <c r="J793" s="101">
        <f t="shared" si="191"/>
        <v>0.42315713056640697</v>
      </c>
      <c r="K793" s="101">
        <f t="shared" si="191"/>
        <v>6.1290065678194429E-2</v>
      </c>
      <c r="L793" s="101">
        <f t="shared" si="191"/>
        <v>0.31963704137424453</v>
      </c>
      <c r="M793" s="101">
        <f t="shared" si="191"/>
        <v>0.33889916017110849</v>
      </c>
      <c r="N793" s="101">
        <f t="shared" si="191"/>
        <v>11.844402368498447</v>
      </c>
      <c r="O793" s="101">
        <f t="shared" si="191"/>
        <v>1.7953268117746981</v>
      </c>
      <c r="P793" s="101">
        <f t="shared" si="191"/>
        <v>1.1204200483780209</v>
      </c>
      <c r="Q793" s="101">
        <f t="shared" si="191"/>
        <v>0.29110926520247599</v>
      </c>
      <c r="R793" s="101">
        <f t="shared" si="191"/>
        <v>0.59251098492672005</v>
      </c>
      <c r="S793" s="101">
        <f t="shared" si="191"/>
        <v>2.0126477263205262</v>
      </c>
      <c r="T793" s="101">
        <f t="shared" si="191"/>
        <v>2.6919394968446229</v>
      </c>
      <c r="U793" s="101">
        <f t="shared" si="191"/>
        <v>2.8047430147931149</v>
      </c>
      <c r="V793" s="101">
        <f t="shared" si="191"/>
        <v>3.6089553056748436</v>
      </c>
      <c r="W793" s="101">
        <f t="shared" si="191"/>
        <v>0.25434832172760835</v>
      </c>
      <c r="X793" s="101">
        <f t="shared" si="191"/>
        <v>0.15843452937293934</v>
      </c>
      <c r="Y793" s="101">
        <f t="shared" si="191"/>
        <v>0.4569794744866793</v>
      </c>
      <c r="Z793" s="101">
        <f t="shared" si="191"/>
        <v>4.3956706484681023</v>
      </c>
      <c r="AA793" s="101">
        <f t="shared" si="191"/>
        <v>2.478619890940347</v>
      </c>
      <c r="AB793" s="101">
        <f t="shared" si="191"/>
        <v>1.6570100548255582</v>
      </c>
      <c r="AC793" s="101">
        <f t="shared" si="191"/>
        <v>9.4257127670698395</v>
      </c>
      <c r="AD793" s="101">
        <f t="shared" si="191"/>
        <v>0.15383246157702657</v>
      </c>
      <c r="AE793" s="101">
        <f t="shared" si="191"/>
        <v>0.54878334933178408</v>
      </c>
      <c r="AF793" s="101">
        <f t="shared" si="191"/>
        <v>1.7043508520116213E-2</v>
      </c>
      <c r="AG793" s="101">
        <f t="shared" si="191"/>
        <v>2.0940407569497372</v>
      </c>
      <c r="AH793" s="101">
        <f t="shared" si="191"/>
        <v>0.21201868478043356</v>
      </c>
      <c r="AI793" s="101">
        <f t="shared" si="191"/>
        <v>0.80355430808114414</v>
      </c>
      <c r="AJ793" s="101">
        <f t="shared" si="191"/>
        <v>3.6474671011848114</v>
      </c>
      <c r="AK793" s="101">
        <f t="shared" si="191"/>
        <v>0.68792093249215625</v>
      </c>
      <c r="AL793" s="101">
        <f t="shared" si="191"/>
        <v>0.38367354895418582</v>
      </c>
      <c r="AM793" s="379">
        <f t="shared" si="186"/>
        <v>57.944246332223784</v>
      </c>
    </row>
    <row r="794" spans="1:39" x14ac:dyDescent="0.2">
      <c r="A794" s="8"/>
      <c r="B794" s="107" t="s">
        <v>867</v>
      </c>
      <c r="C794" s="128" t="s">
        <v>176</v>
      </c>
      <c r="D794" s="129"/>
      <c r="E794" s="101"/>
      <c r="F794" s="101">
        <f t="shared" si="190"/>
        <v>0.79817031170888908</v>
      </c>
      <c r="G794" s="101">
        <f t="shared" si="191"/>
        <v>1.9010374353492978</v>
      </c>
      <c r="H794" s="101">
        <f t="shared" si="191"/>
        <v>0.53086490421274657</v>
      </c>
      <c r="I794" s="101">
        <f t="shared" si="191"/>
        <v>2.9734205622214844</v>
      </c>
      <c r="J794" s="101">
        <f t="shared" si="191"/>
        <v>13.321273001332079</v>
      </c>
      <c r="K794" s="101">
        <f t="shared" si="191"/>
        <v>2.8709468119817307</v>
      </c>
      <c r="L794" s="101">
        <f t="shared" si="191"/>
        <v>20.518484519757475</v>
      </c>
      <c r="M794" s="101">
        <f t="shared" si="191"/>
        <v>3.6201142633542194</v>
      </c>
      <c r="N794" s="101">
        <f t="shared" si="191"/>
        <v>2.8060067369535036</v>
      </c>
      <c r="O794" s="101">
        <f t="shared" si="191"/>
        <v>4.6671229884127694</v>
      </c>
      <c r="P794" s="101">
        <f t="shared" si="191"/>
        <v>8.4930713244784801</v>
      </c>
      <c r="Q794" s="101">
        <f t="shared" si="191"/>
        <v>2.3828661252628693</v>
      </c>
      <c r="R794" s="101">
        <f t="shared" si="191"/>
        <v>68.681043796005696</v>
      </c>
      <c r="S794" s="101">
        <f t="shared" si="191"/>
        <v>33.252240547886672</v>
      </c>
      <c r="T794" s="101">
        <f t="shared" si="191"/>
        <v>89.459909174592582</v>
      </c>
      <c r="U794" s="101">
        <f t="shared" si="191"/>
        <v>40.068404535457724</v>
      </c>
      <c r="V794" s="101">
        <f t="shared" si="191"/>
        <v>95.021193230445434</v>
      </c>
      <c r="W794" s="101">
        <f t="shared" si="191"/>
        <v>8.0989936956499733</v>
      </c>
      <c r="X794" s="101">
        <f t="shared" si="191"/>
        <v>2.1870598621081343</v>
      </c>
      <c r="Y794" s="101">
        <f t="shared" si="191"/>
        <v>6.2830274191690476</v>
      </c>
      <c r="Z794" s="101">
        <f t="shared" si="191"/>
        <v>5.8721126286979581</v>
      </c>
      <c r="AA794" s="101">
        <f t="shared" si="191"/>
        <v>4.4872506643357424</v>
      </c>
      <c r="AB794" s="101">
        <f t="shared" si="191"/>
        <v>28.721585312677817</v>
      </c>
      <c r="AC794" s="101">
        <f t="shared" si="191"/>
        <v>47.712802429345956</v>
      </c>
      <c r="AD794" s="101">
        <f t="shared" si="191"/>
        <v>1.2112287450990957</v>
      </c>
      <c r="AE794" s="101">
        <f t="shared" si="191"/>
        <v>27.642487554433664</v>
      </c>
      <c r="AF794" s="101">
        <f t="shared" si="191"/>
        <v>1.5837826536374229</v>
      </c>
      <c r="AG794" s="101">
        <f t="shared" si="191"/>
        <v>19.4105985509708</v>
      </c>
      <c r="AH794" s="101">
        <f t="shared" si="191"/>
        <v>18.723827640882419</v>
      </c>
      <c r="AI794" s="101">
        <f t="shared" si="191"/>
        <v>0.59213219254302485</v>
      </c>
      <c r="AJ794" s="101">
        <f t="shared" si="191"/>
        <v>1.6952040298312052</v>
      </c>
      <c r="AK794" s="101">
        <f t="shared" si="191"/>
        <v>0.98175396913529955</v>
      </c>
      <c r="AL794" s="101">
        <f t="shared" si="191"/>
        <v>0.27384937575140073</v>
      </c>
      <c r="AM794" s="379">
        <f t="shared" si="186"/>
        <v>566.84386699368247</v>
      </c>
    </row>
    <row r="795" spans="1:39" x14ac:dyDescent="0.2">
      <c r="A795" s="8"/>
      <c r="B795" s="107" t="s">
        <v>868</v>
      </c>
      <c r="C795" s="128" t="s">
        <v>176</v>
      </c>
      <c r="D795" s="129"/>
      <c r="E795" s="101"/>
      <c r="F795" s="101">
        <f t="shared" si="190"/>
        <v>0</v>
      </c>
      <c r="G795" s="101">
        <f t="shared" si="191"/>
        <v>2.8318122869542042E-10</v>
      </c>
      <c r="H795" s="101">
        <f t="shared" si="191"/>
        <v>0</v>
      </c>
      <c r="I795" s="101">
        <f t="shared" si="191"/>
        <v>0</v>
      </c>
      <c r="J795" s="101">
        <f t="shared" si="191"/>
        <v>34.020017910337373</v>
      </c>
      <c r="K795" s="101">
        <f t="shared" si="191"/>
        <v>16.887068271946795</v>
      </c>
      <c r="L795" s="101">
        <f t="shared" si="191"/>
        <v>23.141143313453057</v>
      </c>
      <c r="M795" s="101">
        <f t="shared" si="191"/>
        <v>0</v>
      </c>
      <c r="N795" s="101">
        <f t="shared" si="191"/>
        <v>0</v>
      </c>
      <c r="O795" s="101">
        <f t="shared" si="191"/>
        <v>0</v>
      </c>
      <c r="P795" s="101">
        <f t="shared" si="191"/>
        <v>72.540927942131518</v>
      </c>
      <c r="Q795" s="101">
        <f t="shared" si="191"/>
        <v>0</v>
      </c>
      <c r="R795" s="101">
        <f t="shared" si="191"/>
        <v>16.296401806258917</v>
      </c>
      <c r="S795" s="101">
        <f t="shared" si="191"/>
        <v>27.985609436524772</v>
      </c>
      <c r="T795" s="101">
        <f t="shared" si="191"/>
        <v>44.506249807083037</v>
      </c>
      <c r="U795" s="101">
        <f t="shared" si="191"/>
        <v>0</v>
      </c>
      <c r="V795" s="101">
        <f t="shared" si="191"/>
        <v>194.8824094275642</v>
      </c>
      <c r="W795" s="101">
        <f t="shared" si="191"/>
        <v>34.635368196733417</v>
      </c>
      <c r="X795" s="101">
        <f t="shared" si="191"/>
        <v>17.816694458794679</v>
      </c>
      <c r="Y795" s="101">
        <f t="shared" si="191"/>
        <v>23.102184474434345</v>
      </c>
      <c r="Z795" s="101">
        <f t="shared" si="191"/>
        <v>17.772669749245221</v>
      </c>
      <c r="AA795" s="101">
        <f t="shared" si="191"/>
        <v>21.998144548984204</v>
      </c>
      <c r="AB795" s="101">
        <f t="shared" si="191"/>
        <v>31.326834764536006</v>
      </c>
      <c r="AC795" s="101">
        <f t="shared" si="191"/>
        <v>42.600200060746523</v>
      </c>
      <c r="AD795" s="101">
        <f t="shared" si="191"/>
        <v>0</v>
      </c>
      <c r="AE795" s="101">
        <f t="shared" si="191"/>
        <v>24.511975977621692</v>
      </c>
      <c r="AF795" s="101">
        <f t="shared" si="191"/>
        <v>0</v>
      </c>
      <c r="AG795" s="101">
        <f t="shared" si="191"/>
        <v>23.48139027870992</v>
      </c>
      <c r="AH795" s="101">
        <f t="shared" si="191"/>
        <v>45.110150044112693</v>
      </c>
      <c r="AI795" s="101">
        <f t="shared" si="191"/>
        <v>0</v>
      </c>
      <c r="AJ795" s="101">
        <f t="shared" si="191"/>
        <v>0</v>
      </c>
      <c r="AK795" s="101">
        <f t="shared" si="191"/>
        <v>0</v>
      </c>
      <c r="AL795" s="101">
        <f t="shared" si="191"/>
        <v>0</v>
      </c>
      <c r="AM795" s="379">
        <f t="shared" si="186"/>
        <v>712.61544046950155</v>
      </c>
    </row>
    <row r="796" spans="1:39" x14ac:dyDescent="0.2">
      <c r="A796" s="8"/>
      <c r="B796" s="107" t="s">
        <v>869</v>
      </c>
      <c r="C796" s="128" t="s">
        <v>176</v>
      </c>
      <c r="D796" s="129"/>
      <c r="E796" s="101"/>
      <c r="F796" s="101">
        <f t="shared" si="190"/>
        <v>2.5025408166039358E-2</v>
      </c>
      <c r="G796" s="101">
        <f t="shared" si="191"/>
        <v>1.5803276178254323E-2</v>
      </c>
      <c r="H796" s="101">
        <f t="shared" si="191"/>
        <v>1.171738366328156E-2</v>
      </c>
      <c r="I796" s="101">
        <f t="shared" si="191"/>
        <v>6.2894516394676109E-2</v>
      </c>
      <c r="J796" s="101">
        <f t="shared" si="191"/>
        <v>2.2331159896677596E-2</v>
      </c>
      <c r="K796" s="101">
        <f t="shared" si="191"/>
        <v>8.4487942446458669E-3</v>
      </c>
      <c r="L796" s="101">
        <f t="shared" si="191"/>
        <v>1.2166964035829789E-2</v>
      </c>
      <c r="M796" s="101">
        <f t="shared" si="191"/>
        <v>3.6266677924692729E-2</v>
      </c>
      <c r="N796" s="101">
        <f t="shared" si="191"/>
        <v>4.224058723679134E-2</v>
      </c>
      <c r="O796" s="101">
        <f t="shared" si="191"/>
        <v>1.7960663160673535E-2</v>
      </c>
      <c r="P796" s="101">
        <f t="shared" si="191"/>
        <v>2.1457541689020376E-2</v>
      </c>
      <c r="Q796" s="101">
        <f t="shared" si="191"/>
        <v>1.4108055709305525E-2</v>
      </c>
      <c r="R796" s="101">
        <f t="shared" si="191"/>
        <v>4.2426511621055832E-2</v>
      </c>
      <c r="S796" s="101">
        <f t="shared" si="191"/>
        <v>2.9629652592947458E-2</v>
      </c>
      <c r="T796" s="101">
        <f t="shared" si="191"/>
        <v>5.8366340735416855E-2</v>
      </c>
      <c r="U796" s="101">
        <f t="shared" si="191"/>
        <v>7.0320718956438683E-2</v>
      </c>
      <c r="V796" s="101">
        <f t="shared" si="191"/>
        <v>4.9962276212527822E-2</v>
      </c>
      <c r="W796" s="101">
        <f t="shared" si="191"/>
        <v>4.6843134991219259E-3</v>
      </c>
      <c r="X796" s="101">
        <f t="shared" si="191"/>
        <v>1.1822390848042548E-3</v>
      </c>
      <c r="Y796" s="101">
        <f t="shared" si="191"/>
        <v>6.4070721455740318E-3</v>
      </c>
      <c r="Z796" s="101">
        <f t="shared" si="191"/>
        <v>3.95812357138111E-3</v>
      </c>
      <c r="AA796" s="101">
        <f t="shared" si="191"/>
        <v>7.5120610184329726E-3</v>
      </c>
      <c r="AB796" s="101">
        <f t="shared" si="191"/>
        <v>9.9716918708002648E-3</v>
      </c>
      <c r="AC796" s="101">
        <f t="shared" si="191"/>
        <v>6.0542758822789214E-2</v>
      </c>
      <c r="AD796" s="101">
        <f t="shared" si="191"/>
        <v>2.9538358657005496E-3</v>
      </c>
      <c r="AE796" s="101">
        <f t="shared" si="191"/>
        <v>1.9646586271520231E-2</v>
      </c>
      <c r="AF796" s="101">
        <f t="shared" si="191"/>
        <v>5.287607084085418E-3</v>
      </c>
      <c r="AG796" s="101">
        <f t="shared" si="191"/>
        <v>1.0461857002908127E-2</v>
      </c>
      <c r="AH796" s="101">
        <f t="shared" si="191"/>
        <v>6.092045516817887E-3</v>
      </c>
      <c r="AI796" s="101">
        <f t="shared" si="191"/>
        <v>2.6132743970657228E-3</v>
      </c>
      <c r="AJ796" s="101">
        <f t="shared" si="191"/>
        <v>7.8079599329047315E-3</v>
      </c>
      <c r="AK796" s="101">
        <f t="shared" si="191"/>
        <v>2.4537388458967884E-3</v>
      </c>
      <c r="AL796" s="101">
        <f t="shared" si="191"/>
        <v>1.720699908759503E-3</v>
      </c>
      <c r="AM796" s="379">
        <f t="shared" si="186"/>
        <v>0.69442239325683741</v>
      </c>
    </row>
    <row r="797" spans="1:39" x14ac:dyDescent="0.2">
      <c r="A797" s="8"/>
      <c r="B797" s="65"/>
      <c r="C797" s="217"/>
      <c r="D797" s="161"/>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107"/>
    </row>
    <row r="798" spans="1:39" x14ac:dyDescent="0.2">
      <c r="A798" s="8"/>
      <c r="B798" s="52" t="s">
        <v>326</v>
      </c>
      <c r="C798" s="126" t="s">
        <v>176</v>
      </c>
      <c r="D798" s="127"/>
      <c r="E798" s="122"/>
      <c r="F798" s="122">
        <f>SUM(F767:F794,F796)</f>
        <v>603.30685453291471</v>
      </c>
      <c r="G798" s="122">
        <f t="shared" ref="G798:AL798" si="192">SUM(G767:G794,G796)</f>
        <v>378.56914602645855</v>
      </c>
      <c r="H798" s="122">
        <f t="shared" si="192"/>
        <v>353.47468247464127</v>
      </c>
      <c r="I798" s="122">
        <f t="shared" si="192"/>
        <v>1169.2340571294094</v>
      </c>
      <c r="J798" s="122">
        <f t="shared" si="192"/>
        <v>363.19409229149881</v>
      </c>
      <c r="K798" s="122">
        <f t="shared" si="192"/>
        <v>164.35410502509666</v>
      </c>
      <c r="L798" s="122">
        <f t="shared" si="192"/>
        <v>120.76263440706884</v>
      </c>
      <c r="M798" s="122">
        <f t="shared" si="192"/>
        <v>596.82971288630313</v>
      </c>
      <c r="N798" s="122">
        <f t="shared" si="192"/>
        <v>1006.0846305024826</v>
      </c>
      <c r="O798" s="122">
        <f t="shared" si="192"/>
        <v>491.99533032122457</v>
      </c>
      <c r="P798" s="122">
        <f t="shared" si="192"/>
        <v>528.96446315641208</v>
      </c>
      <c r="Q798" s="122">
        <f t="shared" si="192"/>
        <v>320.19589334264532</v>
      </c>
      <c r="R798" s="122">
        <f t="shared" si="192"/>
        <v>568.40059439891775</v>
      </c>
      <c r="S798" s="122">
        <f t="shared" si="192"/>
        <v>586.275813666006</v>
      </c>
      <c r="T798" s="122">
        <f t="shared" si="192"/>
        <v>1004.8829642247116</v>
      </c>
      <c r="U798" s="122">
        <f t="shared" si="192"/>
        <v>1631.9878391672983</v>
      </c>
      <c r="V798" s="122">
        <f t="shared" si="192"/>
        <v>706.27588132682843</v>
      </c>
      <c r="W798" s="122">
        <f t="shared" si="192"/>
        <v>70.248202595885175</v>
      </c>
      <c r="X798" s="122">
        <f t="shared" si="192"/>
        <v>14.732019928733365</v>
      </c>
      <c r="Y798" s="122">
        <f t="shared" si="192"/>
        <v>132.13066096086962</v>
      </c>
      <c r="Z798" s="122">
        <f t="shared" si="192"/>
        <v>52.07914843189306</v>
      </c>
      <c r="AA798" s="122">
        <f t="shared" si="192"/>
        <v>158.1210654202047</v>
      </c>
      <c r="AB798" s="122">
        <f t="shared" si="192"/>
        <v>81.990520393286502</v>
      </c>
      <c r="AC798" s="122">
        <f t="shared" si="192"/>
        <v>1365.4028934313894</v>
      </c>
      <c r="AD798" s="122">
        <f t="shared" si="192"/>
        <v>72.645227993062605</v>
      </c>
      <c r="AE798" s="122">
        <f t="shared" si="192"/>
        <v>329.53242803026473</v>
      </c>
      <c r="AF798" s="122">
        <f t="shared" si="192"/>
        <v>139.12573969228814</v>
      </c>
      <c r="AG798" s="122">
        <f t="shared" si="192"/>
        <v>139.50265347003253</v>
      </c>
      <c r="AH798" s="122">
        <f t="shared" si="192"/>
        <v>37.510718978466976</v>
      </c>
      <c r="AI798" s="122">
        <f t="shared" si="192"/>
        <v>48.147127775141904</v>
      </c>
      <c r="AJ798" s="122">
        <f t="shared" si="192"/>
        <v>133.33376080125652</v>
      </c>
      <c r="AK798" s="122">
        <f t="shared" si="192"/>
        <v>51.639704940522343</v>
      </c>
      <c r="AL798" s="122">
        <f t="shared" si="192"/>
        <v>10.063414618925886</v>
      </c>
      <c r="AM798" s="379">
        <f t="shared" si="186"/>
        <v>13430.993982342137</v>
      </c>
    </row>
    <row r="799" spans="1:39" x14ac:dyDescent="0.2">
      <c r="A799" s="8"/>
      <c r="B799" s="52" t="s">
        <v>327</v>
      </c>
      <c r="C799" s="126" t="s">
        <v>176</v>
      </c>
      <c r="D799" s="127"/>
      <c r="E799" s="122"/>
      <c r="F799" s="122">
        <f>F795</f>
        <v>0</v>
      </c>
      <c r="G799" s="122">
        <f t="shared" ref="G799:AL799" si="193">G795</f>
        <v>2.8318122869542042E-10</v>
      </c>
      <c r="H799" s="122">
        <f t="shared" si="193"/>
        <v>0</v>
      </c>
      <c r="I799" s="122">
        <f t="shared" si="193"/>
        <v>0</v>
      </c>
      <c r="J799" s="122">
        <f t="shared" si="193"/>
        <v>34.020017910337373</v>
      </c>
      <c r="K799" s="122">
        <f t="shared" si="193"/>
        <v>16.887068271946795</v>
      </c>
      <c r="L799" s="122">
        <f t="shared" si="193"/>
        <v>23.141143313453057</v>
      </c>
      <c r="M799" s="122">
        <f t="shared" si="193"/>
        <v>0</v>
      </c>
      <c r="N799" s="122">
        <f t="shared" si="193"/>
        <v>0</v>
      </c>
      <c r="O799" s="122">
        <f t="shared" si="193"/>
        <v>0</v>
      </c>
      <c r="P799" s="122">
        <f t="shared" si="193"/>
        <v>72.540927942131518</v>
      </c>
      <c r="Q799" s="122">
        <f t="shared" si="193"/>
        <v>0</v>
      </c>
      <c r="R799" s="122">
        <f t="shared" si="193"/>
        <v>16.296401806258917</v>
      </c>
      <c r="S799" s="122">
        <f t="shared" si="193"/>
        <v>27.985609436524772</v>
      </c>
      <c r="T799" s="122">
        <f t="shared" si="193"/>
        <v>44.506249807083037</v>
      </c>
      <c r="U799" s="122">
        <f t="shared" si="193"/>
        <v>0</v>
      </c>
      <c r="V799" s="122">
        <f t="shared" si="193"/>
        <v>194.8824094275642</v>
      </c>
      <c r="W799" s="122">
        <f t="shared" si="193"/>
        <v>34.635368196733417</v>
      </c>
      <c r="X799" s="122">
        <f t="shared" si="193"/>
        <v>17.816694458794679</v>
      </c>
      <c r="Y799" s="122">
        <f t="shared" si="193"/>
        <v>23.102184474434345</v>
      </c>
      <c r="Z799" s="122">
        <f t="shared" si="193"/>
        <v>17.772669749245221</v>
      </c>
      <c r="AA799" s="122">
        <f t="shared" si="193"/>
        <v>21.998144548984204</v>
      </c>
      <c r="AB799" s="122">
        <f t="shared" si="193"/>
        <v>31.326834764536006</v>
      </c>
      <c r="AC799" s="122">
        <f t="shared" si="193"/>
        <v>42.600200060746523</v>
      </c>
      <c r="AD799" s="122">
        <f t="shared" si="193"/>
        <v>0</v>
      </c>
      <c r="AE799" s="122">
        <f t="shared" si="193"/>
        <v>24.511975977621692</v>
      </c>
      <c r="AF799" s="122">
        <f t="shared" si="193"/>
        <v>0</v>
      </c>
      <c r="AG799" s="122">
        <f t="shared" si="193"/>
        <v>23.48139027870992</v>
      </c>
      <c r="AH799" s="122">
        <f t="shared" si="193"/>
        <v>45.110150044112693</v>
      </c>
      <c r="AI799" s="122">
        <f t="shared" si="193"/>
        <v>0</v>
      </c>
      <c r="AJ799" s="122">
        <f t="shared" si="193"/>
        <v>0</v>
      </c>
      <c r="AK799" s="122">
        <f t="shared" si="193"/>
        <v>0</v>
      </c>
      <c r="AL799" s="122">
        <f t="shared" si="193"/>
        <v>0</v>
      </c>
      <c r="AM799" s="379">
        <f t="shared" si="186"/>
        <v>712.61544046950155</v>
      </c>
    </row>
    <row r="800" spans="1:39" x14ac:dyDescent="0.2">
      <c r="A800" s="8"/>
      <c r="B800" s="60"/>
      <c r="C800" s="18"/>
      <c r="D800" s="19"/>
      <c r="E800" s="54"/>
      <c r="F800" s="25"/>
      <c r="G800" s="25"/>
      <c r="H800" s="25"/>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c r="AG800" s="25"/>
      <c r="AH800" s="25"/>
      <c r="AI800" s="25"/>
      <c r="AJ800" s="25"/>
      <c r="AK800" s="25"/>
      <c r="AL800" s="25"/>
      <c r="AM800" s="107"/>
    </row>
    <row r="801" spans="1:39" x14ac:dyDescent="0.2">
      <c r="A801" s="8"/>
      <c r="B801" s="62" t="s">
        <v>328</v>
      </c>
      <c r="C801" s="22"/>
      <c r="D801" s="8"/>
      <c r="E801" s="54"/>
      <c r="F801" s="25"/>
      <c r="G801" s="25"/>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107"/>
    </row>
    <row r="802" spans="1:39" x14ac:dyDescent="0.2">
      <c r="A802" s="8"/>
      <c r="B802" s="109" t="s">
        <v>86</v>
      </c>
      <c r="C802" s="108" t="s">
        <v>832</v>
      </c>
      <c r="D802" s="95" t="s">
        <v>840</v>
      </c>
      <c r="E802" s="102"/>
      <c r="F802" s="106">
        <v>0.4</v>
      </c>
      <c r="G802" s="106">
        <v>0.4</v>
      </c>
      <c r="H802" s="106">
        <v>0.4</v>
      </c>
      <c r="I802" s="106">
        <v>0.4</v>
      </c>
      <c r="J802" s="106">
        <v>0.4</v>
      </c>
      <c r="K802" s="106">
        <v>0.4</v>
      </c>
      <c r="L802" s="106">
        <v>0.4</v>
      </c>
      <c r="M802" s="106">
        <v>0.4</v>
      </c>
      <c r="N802" s="106">
        <v>0.4</v>
      </c>
      <c r="O802" s="106">
        <v>0.4</v>
      </c>
      <c r="P802" s="106">
        <v>0.4</v>
      </c>
      <c r="Q802" s="106">
        <v>0.4</v>
      </c>
      <c r="R802" s="106">
        <v>0.4</v>
      </c>
      <c r="S802" s="106">
        <v>0.4</v>
      </c>
      <c r="T802" s="106">
        <v>0.4</v>
      </c>
      <c r="U802" s="106">
        <v>0.4</v>
      </c>
      <c r="V802" s="106">
        <v>0.4</v>
      </c>
      <c r="W802" s="106">
        <v>0.4</v>
      </c>
      <c r="X802" s="106">
        <v>0.4</v>
      </c>
      <c r="Y802" s="106">
        <v>0.4</v>
      </c>
      <c r="Z802" s="106">
        <v>0.4</v>
      </c>
      <c r="AA802" s="106">
        <v>0.4</v>
      </c>
      <c r="AB802" s="106">
        <v>0.4</v>
      </c>
      <c r="AC802" s="106">
        <v>0.4</v>
      </c>
      <c r="AD802" s="106">
        <v>0.4</v>
      </c>
      <c r="AE802" s="106">
        <v>0.4</v>
      </c>
      <c r="AF802" s="106">
        <v>0.4</v>
      </c>
      <c r="AG802" s="106">
        <v>0.4</v>
      </c>
      <c r="AH802" s="106">
        <v>0.4</v>
      </c>
      <c r="AI802" s="106">
        <v>0.4</v>
      </c>
      <c r="AJ802" s="106">
        <v>0.4</v>
      </c>
      <c r="AK802" s="106">
        <v>0.4</v>
      </c>
      <c r="AL802" s="106">
        <v>0.4</v>
      </c>
      <c r="AM802" s="383">
        <f>AVERAGE(F802:AL802)</f>
        <v>0.40000000000000019</v>
      </c>
    </row>
    <row r="803" spans="1:39" x14ac:dyDescent="0.2">
      <c r="A803" s="8"/>
      <c r="B803" s="109" t="s">
        <v>88</v>
      </c>
      <c r="C803" s="108" t="s">
        <v>832</v>
      </c>
      <c r="D803" s="95" t="s">
        <v>840</v>
      </c>
      <c r="E803" s="102"/>
      <c r="F803" s="106">
        <v>0.4</v>
      </c>
      <c r="G803" s="106">
        <v>0.4</v>
      </c>
      <c r="H803" s="106">
        <v>0.4</v>
      </c>
      <c r="I803" s="106">
        <v>0.4</v>
      </c>
      <c r="J803" s="106">
        <v>0.4</v>
      </c>
      <c r="K803" s="106">
        <v>0.4</v>
      </c>
      <c r="L803" s="106">
        <v>0.4</v>
      </c>
      <c r="M803" s="106">
        <v>0.4</v>
      </c>
      <c r="N803" s="106">
        <v>0.4</v>
      </c>
      <c r="O803" s="106">
        <v>0.4</v>
      </c>
      <c r="P803" s="106">
        <v>0.4</v>
      </c>
      <c r="Q803" s="106">
        <v>0.4</v>
      </c>
      <c r="R803" s="106">
        <v>0.4</v>
      </c>
      <c r="S803" s="106">
        <v>0.4</v>
      </c>
      <c r="T803" s="106">
        <v>0.4</v>
      </c>
      <c r="U803" s="106">
        <v>0.4</v>
      </c>
      <c r="V803" s="106">
        <v>0.4</v>
      </c>
      <c r="W803" s="106">
        <v>0.4</v>
      </c>
      <c r="X803" s="106">
        <v>0.4</v>
      </c>
      <c r="Y803" s="106">
        <v>0.4</v>
      </c>
      <c r="Z803" s="106">
        <v>0.4</v>
      </c>
      <c r="AA803" s="106">
        <v>0.4</v>
      </c>
      <c r="AB803" s="106">
        <v>0.4</v>
      </c>
      <c r="AC803" s="106">
        <v>0.4</v>
      </c>
      <c r="AD803" s="106">
        <v>0.4</v>
      </c>
      <c r="AE803" s="106">
        <v>0.4</v>
      </c>
      <c r="AF803" s="106">
        <v>0.4</v>
      </c>
      <c r="AG803" s="106">
        <v>0.4</v>
      </c>
      <c r="AH803" s="106">
        <v>0.4</v>
      </c>
      <c r="AI803" s="106">
        <v>0.4</v>
      </c>
      <c r="AJ803" s="106">
        <v>0.4</v>
      </c>
      <c r="AK803" s="106">
        <v>0.4</v>
      </c>
      <c r="AL803" s="106">
        <v>0.4</v>
      </c>
      <c r="AM803" s="383">
        <f t="shared" ref="AM803:AM836" si="194">AVERAGE(F803:AL803)</f>
        <v>0.40000000000000019</v>
      </c>
    </row>
    <row r="804" spans="1:39" x14ac:dyDescent="0.2">
      <c r="A804" s="8"/>
      <c r="B804" s="109" t="s">
        <v>89</v>
      </c>
      <c r="C804" s="108" t="s">
        <v>832</v>
      </c>
      <c r="D804" s="95" t="s">
        <v>840</v>
      </c>
      <c r="E804" s="102"/>
      <c r="F804" s="106">
        <v>0.4</v>
      </c>
      <c r="G804" s="106">
        <v>0.4</v>
      </c>
      <c r="H804" s="106">
        <v>0.4</v>
      </c>
      <c r="I804" s="106">
        <v>0.4</v>
      </c>
      <c r="J804" s="106">
        <v>0.4</v>
      </c>
      <c r="K804" s="106">
        <v>0.4</v>
      </c>
      <c r="L804" s="106">
        <v>0.4</v>
      </c>
      <c r="M804" s="106">
        <v>0.4</v>
      </c>
      <c r="N804" s="106">
        <v>0.4</v>
      </c>
      <c r="O804" s="106">
        <v>0.4</v>
      </c>
      <c r="P804" s="106">
        <v>0.4</v>
      </c>
      <c r="Q804" s="106">
        <v>0.4</v>
      </c>
      <c r="R804" s="106">
        <v>0.4</v>
      </c>
      <c r="S804" s="106">
        <v>0.4</v>
      </c>
      <c r="T804" s="106">
        <v>0.4</v>
      </c>
      <c r="U804" s="106">
        <v>0.4</v>
      </c>
      <c r="V804" s="106">
        <v>0.4</v>
      </c>
      <c r="W804" s="106">
        <v>0.4</v>
      </c>
      <c r="X804" s="106">
        <v>0.4</v>
      </c>
      <c r="Y804" s="106">
        <v>0.4</v>
      </c>
      <c r="Z804" s="106">
        <v>0.4</v>
      </c>
      <c r="AA804" s="106">
        <v>0.4</v>
      </c>
      <c r="AB804" s="106">
        <v>0.4</v>
      </c>
      <c r="AC804" s="106">
        <v>0.4</v>
      </c>
      <c r="AD804" s="106">
        <v>0.4</v>
      </c>
      <c r="AE804" s="106">
        <v>0.4</v>
      </c>
      <c r="AF804" s="106">
        <v>0.4</v>
      </c>
      <c r="AG804" s="106">
        <v>0.4</v>
      </c>
      <c r="AH804" s="106">
        <v>0.4</v>
      </c>
      <c r="AI804" s="106">
        <v>0.4</v>
      </c>
      <c r="AJ804" s="106">
        <v>0.4</v>
      </c>
      <c r="AK804" s="106">
        <v>0.4</v>
      </c>
      <c r="AL804" s="106">
        <v>0.4</v>
      </c>
      <c r="AM804" s="383">
        <f t="shared" si="194"/>
        <v>0.40000000000000019</v>
      </c>
    </row>
    <row r="805" spans="1:39" x14ac:dyDescent="0.2">
      <c r="A805" s="8"/>
      <c r="B805" s="109" t="s">
        <v>90</v>
      </c>
      <c r="C805" s="108" t="s">
        <v>832</v>
      </c>
      <c r="D805" s="95" t="s">
        <v>840</v>
      </c>
      <c r="E805" s="102"/>
      <c r="F805" s="106">
        <v>0.4</v>
      </c>
      <c r="G805" s="106">
        <v>0.4</v>
      </c>
      <c r="H805" s="106">
        <v>0.4</v>
      </c>
      <c r="I805" s="106">
        <v>0.4</v>
      </c>
      <c r="J805" s="106">
        <v>0.4</v>
      </c>
      <c r="K805" s="106">
        <v>0.4</v>
      </c>
      <c r="L805" s="106">
        <v>0.4</v>
      </c>
      <c r="M805" s="106">
        <v>0.4</v>
      </c>
      <c r="N805" s="106">
        <v>0.4</v>
      </c>
      <c r="O805" s="106">
        <v>0.4</v>
      </c>
      <c r="P805" s="106">
        <v>0.4</v>
      </c>
      <c r="Q805" s="106">
        <v>0.4</v>
      </c>
      <c r="R805" s="106">
        <v>0.4</v>
      </c>
      <c r="S805" s="106">
        <v>0.4</v>
      </c>
      <c r="T805" s="106">
        <v>0.4</v>
      </c>
      <c r="U805" s="106">
        <v>0.4</v>
      </c>
      <c r="V805" s="106">
        <v>0.4</v>
      </c>
      <c r="W805" s="106">
        <v>0.4</v>
      </c>
      <c r="X805" s="106">
        <v>0.4</v>
      </c>
      <c r="Y805" s="106">
        <v>0.4</v>
      </c>
      <c r="Z805" s="106">
        <v>0.4</v>
      </c>
      <c r="AA805" s="106">
        <v>0.4</v>
      </c>
      <c r="AB805" s="106">
        <v>0.4</v>
      </c>
      <c r="AC805" s="106">
        <v>0.4</v>
      </c>
      <c r="AD805" s="106">
        <v>0.4</v>
      </c>
      <c r="AE805" s="106">
        <v>0.4</v>
      </c>
      <c r="AF805" s="106">
        <v>0.4</v>
      </c>
      <c r="AG805" s="106">
        <v>0.4</v>
      </c>
      <c r="AH805" s="106">
        <v>0.4</v>
      </c>
      <c r="AI805" s="106">
        <v>0.4</v>
      </c>
      <c r="AJ805" s="106">
        <v>0.4</v>
      </c>
      <c r="AK805" s="106">
        <v>0.4</v>
      </c>
      <c r="AL805" s="106">
        <v>0.4</v>
      </c>
      <c r="AM805" s="383">
        <f t="shared" si="194"/>
        <v>0.40000000000000019</v>
      </c>
    </row>
    <row r="806" spans="1:39" x14ac:dyDescent="0.2">
      <c r="A806" s="8"/>
      <c r="B806" s="109" t="s">
        <v>91</v>
      </c>
      <c r="C806" s="108" t="s">
        <v>832</v>
      </c>
      <c r="D806" s="95" t="s">
        <v>840</v>
      </c>
      <c r="E806" s="102"/>
      <c r="F806" s="106">
        <v>0.4</v>
      </c>
      <c r="G806" s="106">
        <v>0.4</v>
      </c>
      <c r="H806" s="106">
        <v>0.4</v>
      </c>
      <c r="I806" s="106">
        <v>0.4</v>
      </c>
      <c r="J806" s="106">
        <v>0.4</v>
      </c>
      <c r="K806" s="106">
        <v>0.4</v>
      </c>
      <c r="L806" s="106">
        <v>0.4</v>
      </c>
      <c r="M806" s="106">
        <v>0.4</v>
      </c>
      <c r="N806" s="106">
        <v>0.4</v>
      </c>
      <c r="O806" s="106">
        <v>0.4</v>
      </c>
      <c r="P806" s="106">
        <v>0.4</v>
      </c>
      <c r="Q806" s="106">
        <v>0.4</v>
      </c>
      <c r="R806" s="106">
        <v>0.4</v>
      </c>
      <c r="S806" s="106">
        <v>0.4</v>
      </c>
      <c r="T806" s="106">
        <v>0.4</v>
      </c>
      <c r="U806" s="106">
        <v>0.4</v>
      </c>
      <c r="V806" s="106">
        <v>0.4</v>
      </c>
      <c r="W806" s="106">
        <v>0.4</v>
      </c>
      <c r="X806" s="106">
        <v>0.4</v>
      </c>
      <c r="Y806" s="106">
        <v>0.4</v>
      </c>
      <c r="Z806" s="106">
        <v>0.4</v>
      </c>
      <c r="AA806" s="106">
        <v>0.4</v>
      </c>
      <c r="AB806" s="106">
        <v>0.4</v>
      </c>
      <c r="AC806" s="106">
        <v>0.4</v>
      </c>
      <c r="AD806" s="106">
        <v>0.4</v>
      </c>
      <c r="AE806" s="106">
        <v>0.4</v>
      </c>
      <c r="AF806" s="106">
        <v>0.4</v>
      </c>
      <c r="AG806" s="106">
        <v>0.4</v>
      </c>
      <c r="AH806" s="106">
        <v>0.4</v>
      </c>
      <c r="AI806" s="106">
        <v>0.4</v>
      </c>
      <c r="AJ806" s="106">
        <v>0.4</v>
      </c>
      <c r="AK806" s="106">
        <v>0.4</v>
      </c>
      <c r="AL806" s="106">
        <v>0.4</v>
      </c>
      <c r="AM806" s="383">
        <f t="shared" si="194"/>
        <v>0.40000000000000019</v>
      </c>
    </row>
    <row r="807" spans="1:39" x14ac:dyDescent="0.2">
      <c r="A807" s="8"/>
      <c r="B807" s="109" t="s">
        <v>92</v>
      </c>
      <c r="C807" s="108" t="s">
        <v>832</v>
      </c>
      <c r="D807" s="95" t="s">
        <v>840</v>
      </c>
      <c r="E807" s="102"/>
      <c r="F807" s="106">
        <v>0.4</v>
      </c>
      <c r="G807" s="106">
        <v>0.4</v>
      </c>
      <c r="H807" s="106">
        <v>0.4</v>
      </c>
      <c r="I807" s="106">
        <v>0.4</v>
      </c>
      <c r="J807" s="106">
        <v>0.4</v>
      </c>
      <c r="K807" s="106">
        <v>0.4</v>
      </c>
      <c r="L807" s="106">
        <v>0.4</v>
      </c>
      <c r="M807" s="106">
        <v>0.4</v>
      </c>
      <c r="N807" s="106">
        <v>0.4</v>
      </c>
      <c r="O807" s="106">
        <v>0.4</v>
      </c>
      <c r="P807" s="106">
        <v>0.4</v>
      </c>
      <c r="Q807" s="106">
        <v>0.4</v>
      </c>
      <c r="R807" s="106">
        <v>0.4</v>
      </c>
      <c r="S807" s="106">
        <v>0.4</v>
      </c>
      <c r="T807" s="106">
        <v>0.4</v>
      </c>
      <c r="U807" s="106">
        <v>0.4</v>
      </c>
      <c r="V807" s="106">
        <v>0.4</v>
      </c>
      <c r="W807" s="106">
        <v>0.4</v>
      </c>
      <c r="X807" s="106">
        <v>0.4</v>
      </c>
      <c r="Y807" s="106">
        <v>0.4</v>
      </c>
      <c r="Z807" s="106">
        <v>0.4</v>
      </c>
      <c r="AA807" s="106">
        <v>0.4</v>
      </c>
      <c r="AB807" s="106">
        <v>0.4</v>
      </c>
      <c r="AC807" s="106">
        <v>0.4</v>
      </c>
      <c r="AD807" s="106">
        <v>0.4</v>
      </c>
      <c r="AE807" s="106">
        <v>0.4</v>
      </c>
      <c r="AF807" s="106">
        <v>0.4</v>
      </c>
      <c r="AG807" s="106">
        <v>0.4</v>
      </c>
      <c r="AH807" s="106">
        <v>0.4</v>
      </c>
      <c r="AI807" s="106">
        <v>0.4</v>
      </c>
      <c r="AJ807" s="106">
        <v>0.4</v>
      </c>
      <c r="AK807" s="106">
        <v>0.4</v>
      </c>
      <c r="AL807" s="106">
        <v>0.4</v>
      </c>
      <c r="AM807" s="383">
        <f t="shared" si="194"/>
        <v>0.40000000000000019</v>
      </c>
    </row>
    <row r="808" spans="1:39" x14ac:dyDescent="0.2">
      <c r="A808" s="8"/>
      <c r="B808" s="109" t="s">
        <v>93</v>
      </c>
      <c r="C808" s="108" t="s">
        <v>832</v>
      </c>
      <c r="D808" s="95" t="s">
        <v>840</v>
      </c>
      <c r="E808" s="102"/>
      <c r="F808" s="106">
        <v>0.4</v>
      </c>
      <c r="G808" s="106">
        <v>0.4</v>
      </c>
      <c r="H808" s="106">
        <v>0.4</v>
      </c>
      <c r="I808" s="106">
        <v>0.4</v>
      </c>
      <c r="J808" s="106">
        <v>0.4</v>
      </c>
      <c r="K808" s="106">
        <v>0.4</v>
      </c>
      <c r="L808" s="106">
        <v>0.4</v>
      </c>
      <c r="M808" s="106">
        <v>0.4</v>
      </c>
      <c r="N808" s="106">
        <v>0.4</v>
      </c>
      <c r="O808" s="106">
        <v>0.4</v>
      </c>
      <c r="P808" s="106">
        <v>0.4</v>
      </c>
      <c r="Q808" s="106">
        <v>0.4</v>
      </c>
      <c r="R808" s="106">
        <v>0.4</v>
      </c>
      <c r="S808" s="106">
        <v>0.4</v>
      </c>
      <c r="T808" s="106">
        <v>0.4</v>
      </c>
      <c r="U808" s="106">
        <v>0.4</v>
      </c>
      <c r="V808" s="106">
        <v>0.4</v>
      </c>
      <c r="W808" s="106">
        <v>0.4</v>
      </c>
      <c r="X808" s="106">
        <v>0.4</v>
      </c>
      <c r="Y808" s="106">
        <v>0.4</v>
      </c>
      <c r="Z808" s="106">
        <v>0.4</v>
      </c>
      <c r="AA808" s="106">
        <v>0.4</v>
      </c>
      <c r="AB808" s="106">
        <v>0.4</v>
      </c>
      <c r="AC808" s="106">
        <v>0.4</v>
      </c>
      <c r="AD808" s="106">
        <v>0.4</v>
      </c>
      <c r="AE808" s="106">
        <v>0.4</v>
      </c>
      <c r="AF808" s="106">
        <v>0.4</v>
      </c>
      <c r="AG808" s="106">
        <v>0.4</v>
      </c>
      <c r="AH808" s="106">
        <v>0.4</v>
      </c>
      <c r="AI808" s="106">
        <v>0.4</v>
      </c>
      <c r="AJ808" s="106">
        <v>0.4</v>
      </c>
      <c r="AK808" s="106">
        <v>0.4</v>
      </c>
      <c r="AL808" s="106">
        <v>0.4</v>
      </c>
      <c r="AM808" s="383">
        <f t="shared" si="194"/>
        <v>0.40000000000000019</v>
      </c>
    </row>
    <row r="809" spans="1:39" x14ac:dyDescent="0.2">
      <c r="A809" s="8"/>
      <c r="B809" s="95" t="s">
        <v>95</v>
      </c>
      <c r="C809" s="123" t="s">
        <v>216</v>
      </c>
      <c r="D809" s="95" t="s">
        <v>840</v>
      </c>
      <c r="E809" s="102"/>
      <c r="F809" s="106">
        <v>0.4</v>
      </c>
      <c r="G809" s="106">
        <v>0.4</v>
      </c>
      <c r="H809" s="106">
        <v>0.4</v>
      </c>
      <c r="I809" s="106">
        <v>0.4</v>
      </c>
      <c r="J809" s="106">
        <v>0.4</v>
      </c>
      <c r="K809" s="106">
        <v>0.4</v>
      </c>
      <c r="L809" s="106">
        <v>0.4</v>
      </c>
      <c r="M809" s="106">
        <v>0.4</v>
      </c>
      <c r="N809" s="106">
        <v>0.4</v>
      </c>
      <c r="O809" s="106">
        <v>0.4</v>
      </c>
      <c r="P809" s="106">
        <v>0.4</v>
      </c>
      <c r="Q809" s="106">
        <v>0.4</v>
      </c>
      <c r="R809" s="106">
        <v>0.4</v>
      </c>
      <c r="S809" s="106">
        <v>0.4</v>
      </c>
      <c r="T809" s="106">
        <v>0.4</v>
      </c>
      <c r="U809" s="106">
        <v>0.4</v>
      </c>
      <c r="V809" s="106">
        <v>0.4</v>
      </c>
      <c r="W809" s="106">
        <v>0.4</v>
      </c>
      <c r="X809" s="106">
        <v>0.4</v>
      </c>
      <c r="Y809" s="106">
        <v>0.4</v>
      </c>
      <c r="Z809" s="106">
        <v>0.4</v>
      </c>
      <c r="AA809" s="106">
        <v>0.4</v>
      </c>
      <c r="AB809" s="106">
        <v>0.4</v>
      </c>
      <c r="AC809" s="106">
        <v>0.4</v>
      </c>
      <c r="AD809" s="106">
        <v>0.4</v>
      </c>
      <c r="AE809" s="106">
        <v>0.4</v>
      </c>
      <c r="AF809" s="106">
        <v>0.4</v>
      </c>
      <c r="AG809" s="106">
        <v>0.4</v>
      </c>
      <c r="AH809" s="106">
        <v>0.4</v>
      </c>
      <c r="AI809" s="106">
        <v>0.4</v>
      </c>
      <c r="AJ809" s="106">
        <v>0.4</v>
      </c>
      <c r="AK809" s="106">
        <v>0.4</v>
      </c>
      <c r="AL809" s="106">
        <v>0.4</v>
      </c>
      <c r="AM809" s="383">
        <f t="shared" si="194"/>
        <v>0.40000000000000019</v>
      </c>
    </row>
    <row r="810" spans="1:39" x14ac:dyDescent="0.2">
      <c r="A810" s="8"/>
      <c r="B810" s="95" t="s">
        <v>96</v>
      </c>
      <c r="C810" s="123" t="s">
        <v>216</v>
      </c>
      <c r="D810" s="95" t="s">
        <v>840</v>
      </c>
      <c r="E810" s="102"/>
      <c r="F810" s="106">
        <v>0.4</v>
      </c>
      <c r="G810" s="106">
        <v>0.4</v>
      </c>
      <c r="H810" s="106">
        <v>0.4</v>
      </c>
      <c r="I810" s="106">
        <v>0.4</v>
      </c>
      <c r="J810" s="106">
        <v>0.4</v>
      </c>
      <c r="K810" s="106">
        <v>0.4</v>
      </c>
      <c r="L810" s="106">
        <v>0.4</v>
      </c>
      <c r="M810" s="106">
        <v>0.4</v>
      </c>
      <c r="N810" s="106">
        <v>0.4</v>
      </c>
      <c r="O810" s="106">
        <v>0.4</v>
      </c>
      <c r="P810" s="106">
        <v>0.4</v>
      </c>
      <c r="Q810" s="106">
        <v>0.4</v>
      </c>
      <c r="R810" s="106">
        <v>0.4</v>
      </c>
      <c r="S810" s="106">
        <v>0.4</v>
      </c>
      <c r="T810" s="106">
        <v>0.4</v>
      </c>
      <c r="U810" s="106">
        <v>0.4</v>
      </c>
      <c r="V810" s="106">
        <v>0.4</v>
      </c>
      <c r="W810" s="106">
        <v>0.4</v>
      </c>
      <c r="X810" s="106">
        <v>0.4</v>
      </c>
      <c r="Y810" s="106">
        <v>0.4</v>
      </c>
      <c r="Z810" s="106">
        <v>0.4</v>
      </c>
      <c r="AA810" s="106">
        <v>0.4</v>
      </c>
      <c r="AB810" s="106">
        <v>0.4</v>
      </c>
      <c r="AC810" s="106">
        <v>0.4</v>
      </c>
      <c r="AD810" s="106">
        <v>0.4</v>
      </c>
      <c r="AE810" s="106">
        <v>0.4</v>
      </c>
      <c r="AF810" s="106">
        <v>0.4</v>
      </c>
      <c r="AG810" s="106">
        <v>0.4</v>
      </c>
      <c r="AH810" s="106">
        <v>0.4</v>
      </c>
      <c r="AI810" s="106">
        <v>0.4</v>
      </c>
      <c r="AJ810" s="106">
        <v>0.4</v>
      </c>
      <c r="AK810" s="106">
        <v>0.4</v>
      </c>
      <c r="AL810" s="106">
        <v>0.4</v>
      </c>
      <c r="AM810" s="383">
        <f t="shared" si="194"/>
        <v>0.40000000000000019</v>
      </c>
    </row>
    <row r="811" spans="1:39" x14ac:dyDescent="0.2">
      <c r="A811" s="8"/>
      <c r="B811" s="95" t="s">
        <v>97</v>
      </c>
      <c r="C811" s="123" t="s">
        <v>216</v>
      </c>
      <c r="D811" s="95" t="s">
        <v>840</v>
      </c>
      <c r="E811" s="102"/>
      <c r="F811" s="106">
        <v>0.4</v>
      </c>
      <c r="G811" s="106">
        <v>0.4</v>
      </c>
      <c r="H811" s="106">
        <v>0.4</v>
      </c>
      <c r="I811" s="106">
        <v>0.4</v>
      </c>
      <c r="J811" s="106">
        <v>0.4</v>
      </c>
      <c r="K811" s="106">
        <v>0.4</v>
      </c>
      <c r="L811" s="106">
        <v>0.4</v>
      </c>
      <c r="M811" s="106">
        <v>0.4</v>
      </c>
      <c r="N811" s="106">
        <v>0.4</v>
      </c>
      <c r="O811" s="106">
        <v>0.4</v>
      </c>
      <c r="P811" s="106">
        <v>0.4</v>
      </c>
      <c r="Q811" s="106">
        <v>0.4</v>
      </c>
      <c r="R811" s="106">
        <v>0.4</v>
      </c>
      <c r="S811" s="106">
        <v>0.4</v>
      </c>
      <c r="T811" s="106">
        <v>0.4</v>
      </c>
      <c r="U811" s="106">
        <v>0.4</v>
      </c>
      <c r="V811" s="106">
        <v>0.4</v>
      </c>
      <c r="W811" s="106">
        <v>0.4</v>
      </c>
      <c r="X811" s="106">
        <v>0.4</v>
      </c>
      <c r="Y811" s="106">
        <v>0.4</v>
      </c>
      <c r="Z811" s="106">
        <v>0.4</v>
      </c>
      <c r="AA811" s="106">
        <v>0.4</v>
      </c>
      <c r="AB811" s="106">
        <v>0.4</v>
      </c>
      <c r="AC811" s="106">
        <v>0.4</v>
      </c>
      <c r="AD811" s="106">
        <v>0.4</v>
      </c>
      <c r="AE811" s="106">
        <v>0.4</v>
      </c>
      <c r="AF811" s="106">
        <v>0.4</v>
      </c>
      <c r="AG811" s="106">
        <v>0.4</v>
      </c>
      <c r="AH811" s="106">
        <v>0.4</v>
      </c>
      <c r="AI811" s="106">
        <v>0.4</v>
      </c>
      <c r="AJ811" s="106">
        <v>0.4</v>
      </c>
      <c r="AK811" s="106">
        <v>0.4</v>
      </c>
      <c r="AL811" s="106">
        <v>0.4</v>
      </c>
      <c r="AM811" s="383">
        <f t="shared" si="194"/>
        <v>0.40000000000000019</v>
      </c>
    </row>
    <row r="812" spans="1:39" x14ac:dyDescent="0.2">
      <c r="A812" s="8"/>
      <c r="B812" s="95" t="s">
        <v>98</v>
      </c>
      <c r="C812" s="123" t="s">
        <v>216</v>
      </c>
      <c r="D812" s="95" t="s">
        <v>840</v>
      </c>
      <c r="E812" s="102"/>
      <c r="F812" s="106">
        <v>0.4</v>
      </c>
      <c r="G812" s="106">
        <v>0.4</v>
      </c>
      <c r="H812" s="106">
        <v>0.4</v>
      </c>
      <c r="I812" s="106">
        <v>0.4</v>
      </c>
      <c r="J812" s="106">
        <v>0.4</v>
      </c>
      <c r="K812" s="106">
        <v>0.4</v>
      </c>
      <c r="L812" s="106">
        <v>0.4</v>
      </c>
      <c r="M812" s="106">
        <v>0.4</v>
      </c>
      <c r="N812" s="106">
        <v>0.4</v>
      </c>
      <c r="O812" s="106">
        <v>0.4</v>
      </c>
      <c r="P812" s="106">
        <v>0.4</v>
      </c>
      <c r="Q812" s="106">
        <v>0.4</v>
      </c>
      <c r="R812" s="106">
        <v>0.4</v>
      </c>
      <c r="S812" s="106">
        <v>0.4</v>
      </c>
      <c r="T812" s="106">
        <v>0.4</v>
      </c>
      <c r="U812" s="106">
        <v>0.4</v>
      </c>
      <c r="V812" s="106">
        <v>0.4</v>
      </c>
      <c r="W812" s="106">
        <v>0.4</v>
      </c>
      <c r="X812" s="106">
        <v>0.4</v>
      </c>
      <c r="Y812" s="106">
        <v>0.4</v>
      </c>
      <c r="Z812" s="106">
        <v>0.4</v>
      </c>
      <c r="AA812" s="106">
        <v>0.4</v>
      </c>
      <c r="AB812" s="106">
        <v>0.4</v>
      </c>
      <c r="AC812" s="106">
        <v>0.4</v>
      </c>
      <c r="AD812" s="106">
        <v>0.4</v>
      </c>
      <c r="AE812" s="106">
        <v>0.4</v>
      </c>
      <c r="AF812" s="106">
        <v>0.4</v>
      </c>
      <c r="AG812" s="106">
        <v>0.4</v>
      </c>
      <c r="AH812" s="106">
        <v>0.4</v>
      </c>
      <c r="AI812" s="106">
        <v>0.4</v>
      </c>
      <c r="AJ812" s="106">
        <v>0.4</v>
      </c>
      <c r="AK812" s="106">
        <v>0.4</v>
      </c>
      <c r="AL812" s="106">
        <v>0.4</v>
      </c>
      <c r="AM812" s="383">
        <f t="shared" si="194"/>
        <v>0.40000000000000019</v>
      </c>
    </row>
    <row r="813" spans="1:39" x14ac:dyDescent="0.2">
      <c r="A813" s="8"/>
      <c r="B813" s="95" t="s">
        <v>99</v>
      </c>
      <c r="C813" s="123" t="s">
        <v>216</v>
      </c>
      <c r="D813" s="95" t="s">
        <v>840</v>
      </c>
      <c r="E813" s="102"/>
      <c r="F813" s="106">
        <v>0.4</v>
      </c>
      <c r="G813" s="106">
        <v>0.4</v>
      </c>
      <c r="H813" s="106">
        <v>0.4</v>
      </c>
      <c r="I813" s="106">
        <v>0.4</v>
      </c>
      <c r="J813" s="106">
        <v>0.4</v>
      </c>
      <c r="K813" s="106">
        <v>0.4</v>
      </c>
      <c r="L813" s="106">
        <v>0.4</v>
      </c>
      <c r="M813" s="106">
        <v>0.4</v>
      </c>
      <c r="N813" s="106">
        <v>0.4</v>
      </c>
      <c r="O813" s="106">
        <v>0.4</v>
      </c>
      <c r="P813" s="106">
        <v>0.4</v>
      </c>
      <c r="Q813" s="106">
        <v>0.4</v>
      </c>
      <c r="R813" s="106">
        <v>0.4</v>
      </c>
      <c r="S813" s="106">
        <v>0.4</v>
      </c>
      <c r="T813" s="106">
        <v>0.4</v>
      </c>
      <c r="U813" s="106">
        <v>0.4</v>
      </c>
      <c r="V813" s="106">
        <v>0.4</v>
      </c>
      <c r="W813" s="106">
        <v>0.4</v>
      </c>
      <c r="X813" s="106">
        <v>0.4</v>
      </c>
      <c r="Y813" s="106">
        <v>0.4</v>
      </c>
      <c r="Z813" s="106">
        <v>0.4</v>
      </c>
      <c r="AA813" s="106">
        <v>0.4</v>
      </c>
      <c r="AB813" s="106">
        <v>0.4</v>
      </c>
      <c r="AC813" s="106">
        <v>0.4</v>
      </c>
      <c r="AD813" s="106">
        <v>0.4</v>
      </c>
      <c r="AE813" s="106">
        <v>0.4</v>
      </c>
      <c r="AF813" s="106">
        <v>0.4</v>
      </c>
      <c r="AG813" s="106">
        <v>0.4</v>
      </c>
      <c r="AH813" s="106">
        <v>0.4</v>
      </c>
      <c r="AI813" s="106">
        <v>0.4</v>
      </c>
      <c r="AJ813" s="106">
        <v>0.4</v>
      </c>
      <c r="AK813" s="106">
        <v>0.4</v>
      </c>
      <c r="AL813" s="106">
        <v>0.4</v>
      </c>
      <c r="AM813" s="383">
        <f t="shared" si="194"/>
        <v>0.40000000000000019</v>
      </c>
    </row>
    <row r="814" spans="1:39" x14ac:dyDescent="0.2">
      <c r="A814" s="8"/>
      <c r="B814" s="95" t="s">
        <v>100</v>
      </c>
      <c r="C814" s="123" t="s">
        <v>216</v>
      </c>
      <c r="D814" s="95" t="s">
        <v>840</v>
      </c>
      <c r="E814" s="102"/>
      <c r="F814" s="106">
        <v>0.4</v>
      </c>
      <c r="G814" s="106">
        <v>0.4</v>
      </c>
      <c r="H814" s="106">
        <v>0.4</v>
      </c>
      <c r="I814" s="106">
        <v>0.4</v>
      </c>
      <c r="J814" s="106">
        <v>0.4</v>
      </c>
      <c r="K814" s="106">
        <v>0.4</v>
      </c>
      <c r="L814" s="106">
        <v>0.4</v>
      </c>
      <c r="M814" s="106">
        <v>0.4</v>
      </c>
      <c r="N814" s="106">
        <v>0.4</v>
      </c>
      <c r="O814" s="106">
        <v>0.4</v>
      </c>
      <c r="P814" s="106">
        <v>0.4</v>
      </c>
      <c r="Q814" s="106">
        <v>0.4</v>
      </c>
      <c r="R814" s="106">
        <v>0.4</v>
      </c>
      <c r="S814" s="106">
        <v>0.4</v>
      </c>
      <c r="T814" s="106">
        <v>0.4</v>
      </c>
      <c r="U814" s="106">
        <v>0.4</v>
      </c>
      <c r="V814" s="106">
        <v>0.4</v>
      </c>
      <c r="W814" s="106">
        <v>0.4</v>
      </c>
      <c r="X814" s="106">
        <v>0.4</v>
      </c>
      <c r="Y814" s="106">
        <v>0.4</v>
      </c>
      <c r="Z814" s="106">
        <v>0.4</v>
      </c>
      <c r="AA814" s="106">
        <v>0.4</v>
      </c>
      <c r="AB814" s="106">
        <v>0.4</v>
      </c>
      <c r="AC814" s="106">
        <v>0.4</v>
      </c>
      <c r="AD814" s="106">
        <v>0.4</v>
      </c>
      <c r="AE814" s="106">
        <v>0.4</v>
      </c>
      <c r="AF814" s="106">
        <v>0.4</v>
      </c>
      <c r="AG814" s="106">
        <v>0.4</v>
      </c>
      <c r="AH814" s="106">
        <v>0.4</v>
      </c>
      <c r="AI814" s="106">
        <v>0.4</v>
      </c>
      <c r="AJ814" s="106">
        <v>0.4</v>
      </c>
      <c r="AK814" s="106">
        <v>0.4</v>
      </c>
      <c r="AL814" s="106">
        <v>0.4</v>
      </c>
      <c r="AM814" s="383">
        <f t="shared" si="194"/>
        <v>0.40000000000000019</v>
      </c>
    </row>
    <row r="815" spans="1:39" x14ac:dyDescent="0.2">
      <c r="A815" s="8"/>
      <c r="B815" s="95" t="s">
        <v>101</v>
      </c>
      <c r="C815" s="123" t="s">
        <v>216</v>
      </c>
      <c r="D815" s="95" t="s">
        <v>840</v>
      </c>
      <c r="E815" s="102"/>
      <c r="F815" s="106">
        <v>0.4</v>
      </c>
      <c r="G815" s="106">
        <v>0.4</v>
      </c>
      <c r="H815" s="106">
        <v>0.4</v>
      </c>
      <c r="I815" s="106">
        <v>0.4</v>
      </c>
      <c r="J815" s="106">
        <v>0.4</v>
      </c>
      <c r="K815" s="106">
        <v>0.4</v>
      </c>
      <c r="L815" s="106">
        <v>0.4</v>
      </c>
      <c r="M815" s="106">
        <v>0.4</v>
      </c>
      <c r="N815" s="106">
        <v>0.4</v>
      </c>
      <c r="O815" s="106">
        <v>0.4</v>
      </c>
      <c r="P815" s="106">
        <v>0.4</v>
      </c>
      <c r="Q815" s="106">
        <v>0.4</v>
      </c>
      <c r="R815" s="106">
        <v>0.4</v>
      </c>
      <c r="S815" s="106">
        <v>0.4</v>
      </c>
      <c r="T815" s="106">
        <v>0.4</v>
      </c>
      <c r="U815" s="106">
        <v>0.4</v>
      </c>
      <c r="V815" s="106">
        <v>0.4</v>
      </c>
      <c r="W815" s="106">
        <v>0.4</v>
      </c>
      <c r="X815" s="106">
        <v>0.4</v>
      </c>
      <c r="Y815" s="106">
        <v>0.4</v>
      </c>
      <c r="Z815" s="106">
        <v>0.4</v>
      </c>
      <c r="AA815" s="106">
        <v>0.4</v>
      </c>
      <c r="AB815" s="106">
        <v>0.4</v>
      </c>
      <c r="AC815" s="106">
        <v>0.4</v>
      </c>
      <c r="AD815" s="106">
        <v>0.4</v>
      </c>
      <c r="AE815" s="106">
        <v>0.4</v>
      </c>
      <c r="AF815" s="106">
        <v>0.4</v>
      </c>
      <c r="AG815" s="106">
        <v>0.4</v>
      </c>
      <c r="AH815" s="106">
        <v>0.4</v>
      </c>
      <c r="AI815" s="106">
        <v>0.4</v>
      </c>
      <c r="AJ815" s="106">
        <v>0.4</v>
      </c>
      <c r="AK815" s="106">
        <v>0.4</v>
      </c>
      <c r="AL815" s="106">
        <v>0.4</v>
      </c>
      <c r="AM815" s="383">
        <f t="shared" si="194"/>
        <v>0.40000000000000019</v>
      </c>
    </row>
    <row r="816" spans="1:39" x14ac:dyDescent="0.2">
      <c r="A816" s="8"/>
      <c r="B816" s="95" t="s">
        <v>102</v>
      </c>
      <c r="C816" s="123" t="s">
        <v>216</v>
      </c>
      <c r="D816" s="95" t="s">
        <v>840</v>
      </c>
      <c r="E816" s="102"/>
      <c r="F816" s="106">
        <v>0.4</v>
      </c>
      <c r="G816" s="106">
        <v>0.4</v>
      </c>
      <c r="H816" s="106">
        <v>0.4</v>
      </c>
      <c r="I816" s="106">
        <v>0.4</v>
      </c>
      <c r="J816" s="106">
        <v>0.4</v>
      </c>
      <c r="K816" s="106">
        <v>0.4</v>
      </c>
      <c r="L816" s="106">
        <v>0.4</v>
      </c>
      <c r="M816" s="106">
        <v>0.4</v>
      </c>
      <c r="N816" s="106">
        <v>0.4</v>
      </c>
      <c r="O816" s="106">
        <v>0.4</v>
      </c>
      <c r="P816" s="106">
        <v>0.4</v>
      </c>
      <c r="Q816" s="106">
        <v>0.4</v>
      </c>
      <c r="R816" s="106">
        <v>0.4</v>
      </c>
      <c r="S816" s="106">
        <v>0.4</v>
      </c>
      <c r="T816" s="106">
        <v>0.4</v>
      </c>
      <c r="U816" s="106">
        <v>0.4</v>
      </c>
      <c r="V816" s="106">
        <v>0.4</v>
      </c>
      <c r="W816" s="106">
        <v>0.4</v>
      </c>
      <c r="X816" s="106">
        <v>0.4</v>
      </c>
      <c r="Y816" s="106">
        <v>0.4</v>
      </c>
      <c r="Z816" s="106">
        <v>0.4</v>
      </c>
      <c r="AA816" s="106">
        <v>0.4</v>
      </c>
      <c r="AB816" s="106">
        <v>0.4</v>
      </c>
      <c r="AC816" s="106">
        <v>0.4</v>
      </c>
      <c r="AD816" s="106">
        <v>0.4</v>
      </c>
      <c r="AE816" s="106">
        <v>0.4</v>
      </c>
      <c r="AF816" s="106">
        <v>0.4</v>
      </c>
      <c r="AG816" s="106">
        <v>0.4</v>
      </c>
      <c r="AH816" s="106">
        <v>0.4</v>
      </c>
      <c r="AI816" s="106">
        <v>0.4</v>
      </c>
      <c r="AJ816" s="106">
        <v>0.4</v>
      </c>
      <c r="AK816" s="106">
        <v>0.4</v>
      </c>
      <c r="AL816" s="106">
        <v>0.4</v>
      </c>
      <c r="AM816" s="383">
        <f t="shared" si="194"/>
        <v>0.40000000000000019</v>
      </c>
    </row>
    <row r="817" spans="1:39" x14ac:dyDescent="0.2">
      <c r="A817" s="8"/>
      <c r="B817" s="95" t="s">
        <v>103</v>
      </c>
      <c r="C817" s="123" t="s">
        <v>216</v>
      </c>
      <c r="D817" s="95" t="s">
        <v>840</v>
      </c>
      <c r="E817" s="102"/>
      <c r="F817" s="106">
        <v>0.4</v>
      </c>
      <c r="G817" s="106">
        <v>0.4</v>
      </c>
      <c r="H817" s="106">
        <v>0.4</v>
      </c>
      <c r="I817" s="106">
        <v>0.4</v>
      </c>
      <c r="J817" s="106">
        <v>0.4</v>
      </c>
      <c r="K817" s="106">
        <v>0.4</v>
      </c>
      <c r="L817" s="106">
        <v>0.4</v>
      </c>
      <c r="M817" s="106">
        <v>0.4</v>
      </c>
      <c r="N817" s="106">
        <v>0.4</v>
      </c>
      <c r="O817" s="106">
        <v>0.4</v>
      </c>
      <c r="P817" s="106">
        <v>0.4</v>
      </c>
      <c r="Q817" s="106">
        <v>0.4</v>
      </c>
      <c r="R817" s="106">
        <v>0.4</v>
      </c>
      <c r="S817" s="106">
        <v>0.4</v>
      </c>
      <c r="T817" s="106">
        <v>0.4</v>
      </c>
      <c r="U817" s="106">
        <v>0.4</v>
      </c>
      <c r="V817" s="106">
        <v>0.4</v>
      </c>
      <c r="W817" s="106">
        <v>0.4</v>
      </c>
      <c r="X817" s="106">
        <v>0.4</v>
      </c>
      <c r="Y817" s="106">
        <v>0.4</v>
      </c>
      <c r="Z817" s="106">
        <v>0.4</v>
      </c>
      <c r="AA817" s="106">
        <v>0.4</v>
      </c>
      <c r="AB817" s="106">
        <v>0.4</v>
      </c>
      <c r="AC817" s="106">
        <v>0.4</v>
      </c>
      <c r="AD817" s="106">
        <v>0.4</v>
      </c>
      <c r="AE817" s="106">
        <v>0.4</v>
      </c>
      <c r="AF817" s="106">
        <v>0.4</v>
      </c>
      <c r="AG817" s="106">
        <v>0.4</v>
      </c>
      <c r="AH817" s="106">
        <v>0.4</v>
      </c>
      <c r="AI817" s="106">
        <v>0.4</v>
      </c>
      <c r="AJ817" s="106">
        <v>0.4</v>
      </c>
      <c r="AK817" s="106">
        <v>0.4</v>
      </c>
      <c r="AL817" s="106">
        <v>0.4</v>
      </c>
      <c r="AM817" s="383">
        <f t="shared" si="194"/>
        <v>0.40000000000000019</v>
      </c>
    </row>
    <row r="818" spans="1:39" x14ac:dyDescent="0.2">
      <c r="A818" s="8"/>
      <c r="B818" s="95" t="s">
        <v>104</v>
      </c>
      <c r="C818" s="123" t="s">
        <v>216</v>
      </c>
      <c r="D818" s="95" t="s">
        <v>840</v>
      </c>
      <c r="E818" s="102"/>
      <c r="F818" s="106">
        <v>0.4</v>
      </c>
      <c r="G818" s="106">
        <v>0.4</v>
      </c>
      <c r="H818" s="106">
        <v>0.4</v>
      </c>
      <c r="I818" s="106">
        <v>0.4</v>
      </c>
      <c r="J818" s="106">
        <v>0.4</v>
      </c>
      <c r="K818" s="106">
        <v>0.4</v>
      </c>
      <c r="L818" s="106">
        <v>0.4</v>
      </c>
      <c r="M818" s="106">
        <v>0.4</v>
      </c>
      <c r="N818" s="106">
        <v>0.4</v>
      </c>
      <c r="O818" s="106">
        <v>0.4</v>
      </c>
      <c r="P818" s="106">
        <v>0.4</v>
      </c>
      <c r="Q818" s="106">
        <v>0.4</v>
      </c>
      <c r="R818" s="106">
        <v>0.4</v>
      </c>
      <c r="S818" s="106">
        <v>0.4</v>
      </c>
      <c r="T818" s="106">
        <v>0.4</v>
      </c>
      <c r="U818" s="106">
        <v>0.4</v>
      </c>
      <c r="V818" s="106">
        <v>0.4</v>
      </c>
      <c r="W818" s="106">
        <v>0.4</v>
      </c>
      <c r="X818" s="106">
        <v>0.4</v>
      </c>
      <c r="Y818" s="106">
        <v>0.4</v>
      </c>
      <c r="Z818" s="106">
        <v>0.4</v>
      </c>
      <c r="AA818" s="106">
        <v>0.4</v>
      </c>
      <c r="AB818" s="106">
        <v>0.4</v>
      </c>
      <c r="AC818" s="106">
        <v>0.4</v>
      </c>
      <c r="AD818" s="106">
        <v>0.4</v>
      </c>
      <c r="AE818" s="106">
        <v>0.4</v>
      </c>
      <c r="AF818" s="106">
        <v>0.4</v>
      </c>
      <c r="AG818" s="106">
        <v>0.4</v>
      </c>
      <c r="AH818" s="106">
        <v>0.4</v>
      </c>
      <c r="AI818" s="106">
        <v>0.4</v>
      </c>
      <c r="AJ818" s="106">
        <v>0.4</v>
      </c>
      <c r="AK818" s="106">
        <v>0.4</v>
      </c>
      <c r="AL818" s="106">
        <v>0.4</v>
      </c>
      <c r="AM818" s="383">
        <f t="shared" si="194"/>
        <v>0.40000000000000019</v>
      </c>
    </row>
    <row r="819" spans="1:39" x14ac:dyDescent="0.2">
      <c r="A819" s="8"/>
      <c r="B819" s="95" t="s">
        <v>105</v>
      </c>
      <c r="C819" s="123" t="s">
        <v>216</v>
      </c>
      <c r="D819" s="95" t="s">
        <v>840</v>
      </c>
      <c r="E819" s="102"/>
      <c r="F819" s="106">
        <v>0.4</v>
      </c>
      <c r="G819" s="106">
        <v>0.4</v>
      </c>
      <c r="H819" s="106">
        <v>0.4</v>
      </c>
      <c r="I819" s="106">
        <v>0.4</v>
      </c>
      <c r="J819" s="106">
        <v>0.4</v>
      </c>
      <c r="K819" s="106">
        <v>0.4</v>
      </c>
      <c r="L819" s="106">
        <v>0.4</v>
      </c>
      <c r="M819" s="106">
        <v>0.4</v>
      </c>
      <c r="N819" s="106">
        <v>0.4</v>
      </c>
      <c r="O819" s="106">
        <v>0.4</v>
      </c>
      <c r="P819" s="106">
        <v>0.4</v>
      </c>
      <c r="Q819" s="106">
        <v>0.4</v>
      </c>
      <c r="R819" s="106">
        <v>0.4</v>
      </c>
      <c r="S819" s="106">
        <v>0.4</v>
      </c>
      <c r="T819" s="106">
        <v>0.4</v>
      </c>
      <c r="U819" s="106">
        <v>0.4</v>
      </c>
      <c r="V819" s="106">
        <v>0.4</v>
      </c>
      <c r="W819" s="106">
        <v>0.4</v>
      </c>
      <c r="X819" s="106">
        <v>0.4</v>
      </c>
      <c r="Y819" s="106">
        <v>0.4</v>
      </c>
      <c r="Z819" s="106">
        <v>0.4</v>
      </c>
      <c r="AA819" s="106">
        <v>0.4</v>
      </c>
      <c r="AB819" s="106">
        <v>0.4</v>
      </c>
      <c r="AC819" s="106">
        <v>0.4</v>
      </c>
      <c r="AD819" s="106">
        <v>0.4</v>
      </c>
      <c r="AE819" s="106">
        <v>0.4</v>
      </c>
      <c r="AF819" s="106">
        <v>0.4</v>
      </c>
      <c r="AG819" s="106">
        <v>0.4</v>
      </c>
      <c r="AH819" s="106">
        <v>0.4</v>
      </c>
      <c r="AI819" s="106">
        <v>0.4</v>
      </c>
      <c r="AJ819" s="106">
        <v>0.4</v>
      </c>
      <c r="AK819" s="106">
        <v>0.4</v>
      </c>
      <c r="AL819" s="106">
        <v>0.4</v>
      </c>
      <c r="AM819" s="383">
        <f t="shared" si="194"/>
        <v>0.40000000000000019</v>
      </c>
    </row>
    <row r="820" spans="1:39" x14ac:dyDescent="0.2">
      <c r="A820" s="8"/>
      <c r="B820" s="95" t="s">
        <v>106</v>
      </c>
      <c r="C820" s="123" t="s">
        <v>216</v>
      </c>
      <c r="D820" s="95" t="s">
        <v>840</v>
      </c>
      <c r="E820" s="102"/>
      <c r="F820" s="106">
        <v>0.4</v>
      </c>
      <c r="G820" s="106">
        <v>0.4</v>
      </c>
      <c r="H820" s="106">
        <v>0.4</v>
      </c>
      <c r="I820" s="106">
        <v>0.4</v>
      </c>
      <c r="J820" s="106">
        <v>0.4</v>
      </c>
      <c r="K820" s="106">
        <v>0.4</v>
      </c>
      <c r="L820" s="106">
        <v>0.4</v>
      </c>
      <c r="M820" s="106">
        <v>0.4</v>
      </c>
      <c r="N820" s="106">
        <v>0.4</v>
      </c>
      <c r="O820" s="106">
        <v>0.4</v>
      </c>
      <c r="P820" s="106">
        <v>0.4</v>
      </c>
      <c r="Q820" s="106">
        <v>0.4</v>
      </c>
      <c r="R820" s="106">
        <v>0.4</v>
      </c>
      <c r="S820" s="106">
        <v>0.4</v>
      </c>
      <c r="T820" s="106">
        <v>0.4</v>
      </c>
      <c r="U820" s="106">
        <v>0.4</v>
      </c>
      <c r="V820" s="106">
        <v>0.4</v>
      </c>
      <c r="W820" s="106">
        <v>0.4</v>
      </c>
      <c r="X820" s="106">
        <v>0.4</v>
      </c>
      <c r="Y820" s="106">
        <v>0.4</v>
      </c>
      <c r="Z820" s="106">
        <v>0.4</v>
      </c>
      <c r="AA820" s="106">
        <v>0.4</v>
      </c>
      <c r="AB820" s="106">
        <v>0.4</v>
      </c>
      <c r="AC820" s="106">
        <v>0.4</v>
      </c>
      <c r="AD820" s="106">
        <v>0.4</v>
      </c>
      <c r="AE820" s="106">
        <v>0.4</v>
      </c>
      <c r="AF820" s="106">
        <v>0.4</v>
      </c>
      <c r="AG820" s="106">
        <v>0.4</v>
      </c>
      <c r="AH820" s="106">
        <v>0.4</v>
      </c>
      <c r="AI820" s="106">
        <v>0.4</v>
      </c>
      <c r="AJ820" s="106">
        <v>0.4</v>
      </c>
      <c r="AK820" s="106">
        <v>0.4</v>
      </c>
      <c r="AL820" s="106">
        <v>0.4</v>
      </c>
      <c r="AM820" s="383">
        <f t="shared" si="194"/>
        <v>0.40000000000000019</v>
      </c>
    </row>
    <row r="821" spans="1:39" x14ac:dyDescent="0.2">
      <c r="A821" s="8"/>
      <c r="B821" s="95" t="s">
        <v>107</v>
      </c>
      <c r="C821" s="123" t="s">
        <v>216</v>
      </c>
      <c r="D821" s="95" t="s">
        <v>840</v>
      </c>
      <c r="E821" s="102"/>
      <c r="F821" s="106">
        <v>0.4</v>
      </c>
      <c r="G821" s="106">
        <v>0.4</v>
      </c>
      <c r="H821" s="106">
        <v>0.4</v>
      </c>
      <c r="I821" s="106">
        <v>0.4</v>
      </c>
      <c r="J821" s="106">
        <v>0.4</v>
      </c>
      <c r="K821" s="106">
        <v>0.4</v>
      </c>
      <c r="L821" s="106">
        <v>0.4</v>
      </c>
      <c r="M821" s="106">
        <v>0.4</v>
      </c>
      <c r="N821" s="106">
        <v>0.4</v>
      </c>
      <c r="O821" s="106">
        <v>0.4</v>
      </c>
      <c r="P821" s="106">
        <v>0.4</v>
      </c>
      <c r="Q821" s="106">
        <v>0.4</v>
      </c>
      <c r="R821" s="106">
        <v>0.4</v>
      </c>
      <c r="S821" s="106">
        <v>0.4</v>
      </c>
      <c r="T821" s="106">
        <v>0.4</v>
      </c>
      <c r="U821" s="106">
        <v>0.4</v>
      </c>
      <c r="V821" s="106">
        <v>0.4</v>
      </c>
      <c r="W821" s="106">
        <v>0.4</v>
      </c>
      <c r="X821" s="106">
        <v>0.4</v>
      </c>
      <c r="Y821" s="106">
        <v>0.4</v>
      </c>
      <c r="Z821" s="106">
        <v>0.4</v>
      </c>
      <c r="AA821" s="106">
        <v>0.4</v>
      </c>
      <c r="AB821" s="106">
        <v>0.4</v>
      </c>
      <c r="AC821" s="106">
        <v>0.4</v>
      </c>
      <c r="AD821" s="106">
        <v>0.4</v>
      </c>
      <c r="AE821" s="106">
        <v>0.4</v>
      </c>
      <c r="AF821" s="106">
        <v>0.4</v>
      </c>
      <c r="AG821" s="106">
        <v>0.4</v>
      </c>
      <c r="AH821" s="106">
        <v>0.4</v>
      </c>
      <c r="AI821" s="106">
        <v>0.4</v>
      </c>
      <c r="AJ821" s="106">
        <v>0.4</v>
      </c>
      <c r="AK821" s="106">
        <v>0.4</v>
      </c>
      <c r="AL821" s="106">
        <v>0.4</v>
      </c>
      <c r="AM821" s="383">
        <f t="shared" si="194"/>
        <v>0.40000000000000019</v>
      </c>
    </row>
    <row r="822" spans="1:39" x14ac:dyDescent="0.2">
      <c r="A822" s="8"/>
      <c r="B822" s="95" t="s">
        <v>108</v>
      </c>
      <c r="C822" s="123" t="s">
        <v>216</v>
      </c>
      <c r="D822" s="95" t="s">
        <v>840</v>
      </c>
      <c r="E822" s="102"/>
      <c r="F822" s="106">
        <v>0.4</v>
      </c>
      <c r="G822" s="106">
        <v>0.4</v>
      </c>
      <c r="H822" s="106">
        <v>0.4</v>
      </c>
      <c r="I822" s="106">
        <v>0.4</v>
      </c>
      <c r="J822" s="106">
        <v>0.4</v>
      </c>
      <c r="K822" s="106">
        <v>0.4</v>
      </c>
      <c r="L822" s="106">
        <v>0.4</v>
      </c>
      <c r="M822" s="106">
        <v>0.4</v>
      </c>
      <c r="N822" s="106">
        <v>0.4</v>
      </c>
      <c r="O822" s="106">
        <v>0.4</v>
      </c>
      <c r="P822" s="106">
        <v>0.4</v>
      </c>
      <c r="Q822" s="106">
        <v>0.4</v>
      </c>
      <c r="R822" s="106">
        <v>0.4</v>
      </c>
      <c r="S822" s="106">
        <v>0.4</v>
      </c>
      <c r="T822" s="106">
        <v>0.4</v>
      </c>
      <c r="U822" s="106">
        <v>0.4</v>
      </c>
      <c r="V822" s="106">
        <v>0.4</v>
      </c>
      <c r="W822" s="106">
        <v>0.4</v>
      </c>
      <c r="X822" s="106">
        <v>0.4</v>
      </c>
      <c r="Y822" s="106">
        <v>0.4</v>
      </c>
      <c r="Z822" s="106">
        <v>0.4</v>
      </c>
      <c r="AA822" s="106">
        <v>0.4</v>
      </c>
      <c r="AB822" s="106">
        <v>0.4</v>
      </c>
      <c r="AC822" s="106">
        <v>0.4</v>
      </c>
      <c r="AD822" s="106">
        <v>0.4</v>
      </c>
      <c r="AE822" s="106">
        <v>0.4</v>
      </c>
      <c r="AF822" s="106">
        <v>0.4</v>
      </c>
      <c r="AG822" s="106">
        <v>0.4</v>
      </c>
      <c r="AH822" s="106">
        <v>0.4</v>
      </c>
      <c r="AI822" s="106">
        <v>0.4</v>
      </c>
      <c r="AJ822" s="106">
        <v>0.4</v>
      </c>
      <c r="AK822" s="106">
        <v>0.4</v>
      </c>
      <c r="AL822" s="106">
        <v>0.4</v>
      </c>
      <c r="AM822" s="383">
        <f t="shared" si="194"/>
        <v>0.40000000000000019</v>
      </c>
    </row>
    <row r="823" spans="1:39" x14ac:dyDescent="0.2">
      <c r="A823" s="8"/>
      <c r="B823" s="95" t="s">
        <v>109</v>
      </c>
      <c r="C823" s="123" t="s">
        <v>216</v>
      </c>
      <c r="D823" s="95" t="s">
        <v>840</v>
      </c>
      <c r="E823" s="102"/>
      <c r="F823" s="106">
        <v>0.4</v>
      </c>
      <c r="G823" s="106">
        <v>0.4</v>
      </c>
      <c r="H823" s="106">
        <v>0.4</v>
      </c>
      <c r="I823" s="106">
        <v>0.4</v>
      </c>
      <c r="J823" s="106">
        <v>0.4</v>
      </c>
      <c r="K823" s="106">
        <v>0.4</v>
      </c>
      <c r="L823" s="106">
        <v>0.4</v>
      </c>
      <c r="M823" s="106">
        <v>0.4</v>
      </c>
      <c r="N823" s="106">
        <v>0.4</v>
      </c>
      <c r="O823" s="106">
        <v>0.4</v>
      </c>
      <c r="P823" s="106">
        <v>0.4</v>
      </c>
      <c r="Q823" s="106">
        <v>0.4</v>
      </c>
      <c r="R823" s="106">
        <v>0.4</v>
      </c>
      <c r="S823" s="106">
        <v>0.4</v>
      </c>
      <c r="T823" s="106">
        <v>0.4</v>
      </c>
      <c r="U823" s="106">
        <v>0.4</v>
      </c>
      <c r="V823" s="106">
        <v>0.4</v>
      </c>
      <c r="W823" s="106">
        <v>0.4</v>
      </c>
      <c r="X823" s="106">
        <v>0.4</v>
      </c>
      <c r="Y823" s="106">
        <v>0.4</v>
      </c>
      <c r="Z823" s="106">
        <v>0.4</v>
      </c>
      <c r="AA823" s="106">
        <v>0.4</v>
      </c>
      <c r="AB823" s="106">
        <v>0.4</v>
      </c>
      <c r="AC823" s="106">
        <v>0.4</v>
      </c>
      <c r="AD823" s="106">
        <v>0.4</v>
      </c>
      <c r="AE823" s="106">
        <v>0.4</v>
      </c>
      <c r="AF823" s="106">
        <v>0.4</v>
      </c>
      <c r="AG823" s="106">
        <v>0.4</v>
      </c>
      <c r="AH823" s="106">
        <v>0.4</v>
      </c>
      <c r="AI823" s="106">
        <v>0.4</v>
      </c>
      <c r="AJ823" s="106">
        <v>0.4</v>
      </c>
      <c r="AK823" s="106">
        <v>0.4</v>
      </c>
      <c r="AL823" s="106">
        <v>0.4</v>
      </c>
      <c r="AM823" s="383">
        <f t="shared" si="194"/>
        <v>0.40000000000000019</v>
      </c>
    </row>
    <row r="824" spans="1:39" x14ac:dyDescent="0.2">
      <c r="A824" s="8"/>
      <c r="B824" s="95" t="s">
        <v>110</v>
      </c>
      <c r="C824" s="123" t="s">
        <v>216</v>
      </c>
      <c r="D824" s="95" t="s">
        <v>840</v>
      </c>
      <c r="E824" s="102"/>
      <c r="F824" s="106">
        <v>0.4</v>
      </c>
      <c r="G824" s="106">
        <v>0.4</v>
      </c>
      <c r="H824" s="106">
        <v>0.4</v>
      </c>
      <c r="I824" s="106">
        <v>0.4</v>
      </c>
      <c r="J824" s="106">
        <v>0.4</v>
      </c>
      <c r="K824" s="106">
        <v>0.4</v>
      </c>
      <c r="L824" s="106">
        <v>0.4</v>
      </c>
      <c r="M824" s="106">
        <v>0.4</v>
      </c>
      <c r="N824" s="106">
        <v>0.4</v>
      </c>
      <c r="O824" s="106">
        <v>0.4</v>
      </c>
      <c r="P824" s="106">
        <v>0.4</v>
      </c>
      <c r="Q824" s="106">
        <v>0.4</v>
      </c>
      <c r="R824" s="106">
        <v>0.4</v>
      </c>
      <c r="S824" s="106">
        <v>0.4</v>
      </c>
      <c r="T824" s="106">
        <v>0.4</v>
      </c>
      <c r="U824" s="106">
        <v>0.4</v>
      </c>
      <c r="V824" s="106">
        <v>0.4</v>
      </c>
      <c r="W824" s="106">
        <v>0.4</v>
      </c>
      <c r="X824" s="106">
        <v>0.4</v>
      </c>
      <c r="Y824" s="106">
        <v>0.4</v>
      </c>
      <c r="Z824" s="106">
        <v>0.4</v>
      </c>
      <c r="AA824" s="106">
        <v>0.4</v>
      </c>
      <c r="AB824" s="106">
        <v>0.4</v>
      </c>
      <c r="AC824" s="106">
        <v>0.4</v>
      </c>
      <c r="AD824" s="106">
        <v>0.4</v>
      </c>
      <c r="AE824" s="106">
        <v>0.4</v>
      </c>
      <c r="AF824" s="106">
        <v>0.4</v>
      </c>
      <c r="AG824" s="106">
        <v>0.4</v>
      </c>
      <c r="AH824" s="106">
        <v>0.4</v>
      </c>
      <c r="AI824" s="106">
        <v>0.4</v>
      </c>
      <c r="AJ824" s="106">
        <v>0.4</v>
      </c>
      <c r="AK824" s="106">
        <v>0.4</v>
      </c>
      <c r="AL824" s="106">
        <v>0.4</v>
      </c>
      <c r="AM824" s="383">
        <f t="shared" si="194"/>
        <v>0.40000000000000019</v>
      </c>
    </row>
    <row r="825" spans="1:39" x14ac:dyDescent="0.2">
      <c r="A825" s="8"/>
      <c r="B825" s="95" t="s">
        <v>111</v>
      </c>
      <c r="C825" s="123" t="s">
        <v>216</v>
      </c>
      <c r="D825" s="95" t="s">
        <v>840</v>
      </c>
      <c r="E825" s="102"/>
      <c r="F825" s="106">
        <v>0.4</v>
      </c>
      <c r="G825" s="106">
        <v>0.4</v>
      </c>
      <c r="H825" s="106">
        <v>0.4</v>
      </c>
      <c r="I825" s="106">
        <v>0.4</v>
      </c>
      <c r="J825" s="106">
        <v>0.4</v>
      </c>
      <c r="K825" s="106">
        <v>0.4</v>
      </c>
      <c r="L825" s="106">
        <v>0.4</v>
      </c>
      <c r="M825" s="106">
        <v>0.4</v>
      </c>
      <c r="N825" s="106">
        <v>0.4</v>
      </c>
      <c r="O825" s="106">
        <v>0.4</v>
      </c>
      <c r="P825" s="106">
        <v>0.4</v>
      </c>
      <c r="Q825" s="106">
        <v>0.4</v>
      </c>
      <c r="R825" s="106">
        <v>0.4</v>
      </c>
      <c r="S825" s="106">
        <v>0.4</v>
      </c>
      <c r="T825" s="106">
        <v>0.4</v>
      </c>
      <c r="U825" s="106">
        <v>0.4</v>
      </c>
      <c r="V825" s="106">
        <v>0.4</v>
      </c>
      <c r="W825" s="106">
        <v>0.4</v>
      </c>
      <c r="X825" s="106">
        <v>0.4</v>
      </c>
      <c r="Y825" s="106">
        <v>0.4</v>
      </c>
      <c r="Z825" s="106">
        <v>0.4</v>
      </c>
      <c r="AA825" s="106">
        <v>0.4</v>
      </c>
      <c r="AB825" s="106">
        <v>0.4</v>
      </c>
      <c r="AC825" s="106">
        <v>0.4</v>
      </c>
      <c r="AD825" s="106">
        <v>0.4</v>
      </c>
      <c r="AE825" s="106">
        <v>0.4</v>
      </c>
      <c r="AF825" s="106">
        <v>0.4</v>
      </c>
      <c r="AG825" s="106">
        <v>0.4</v>
      </c>
      <c r="AH825" s="106">
        <v>0.4</v>
      </c>
      <c r="AI825" s="106">
        <v>0.4</v>
      </c>
      <c r="AJ825" s="106">
        <v>0.4</v>
      </c>
      <c r="AK825" s="106">
        <v>0.4</v>
      </c>
      <c r="AL825" s="106">
        <v>0.4</v>
      </c>
      <c r="AM825" s="383">
        <f t="shared" si="194"/>
        <v>0.40000000000000019</v>
      </c>
    </row>
    <row r="826" spans="1:39" x14ac:dyDescent="0.2">
      <c r="A826" s="8"/>
      <c r="B826" s="95" t="s">
        <v>112</v>
      </c>
      <c r="C826" s="123" t="s">
        <v>216</v>
      </c>
      <c r="D826" s="95" t="s">
        <v>840</v>
      </c>
      <c r="E826" s="102"/>
      <c r="F826" s="106">
        <v>0.4</v>
      </c>
      <c r="G826" s="106">
        <v>0.4</v>
      </c>
      <c r="H826" s="106">
        <v>0.4</v>
      </c>
      <c r="I826" s="106">
        <v>0.4</v>
      </c>
      <c r="J826" s="106">
        <v>0.4</v>
      </c>
      <c r="K826" s="106">
        <v>0.4</v>
      </c>
      <c r="L826" s="106">
        <v>0.4</v>
      </c>
      <c r="M826" s="106">
        <v>0.4</v>
      </c>
      <c r="N826" s="106">
        <v>0.4</v>
      </c>
      <c r="O826" s="106">
        <v>0.4</v>
      </c>
      <c r="P826" s="106">
        <v>0.4</v>
      </c>
      <c r="Q826" s="106">
        <v>0.4</v>
      </c>
      <c r="R826" s="106">
        <v>0.4</v>
      </c>
      <c r="S826" s="106">
        <v>0.4</v>
      </c>
      <c r="T826" s="106">
        <v>0.4</v>
      </c>
      <c r="U826" s="106">
        <v>0.4</v>
      </c>
      <c r="V826" s="106">
        <v>0.4</v>
      </c>
      <c r="W826" s="106">
        <v>0.4</v>
      </c>
      <c r="X826" s="106">
        <v>0.4</v>
      </c>
      <c r="Y826" s="106">
        <v>0.4</v>
      </c>
      <c r="Z826" s="106">
        <v>0.4</v>
      </c>
      <c r="AA826" s="106">
        <v>0.4</v>
      </c>
      <c r="AB826" s="106">
        <v>0.4</v>
      </c>
      <c r="AC826" s="106">
        <v>0.4</v>
      </c>
      <c r="AD826" s="106">
        <v>0.4</v>
      </c>
      <c r="AE826" s="106">
        <v>0.4</v>
      </c>
      <c r="AF826" s="106">
        <v>0.4</v>
      </c>
      <c r="AG826" s="106">
        <v>0.4</v>
      </c>
      <c r="AH826" s="106">
        <v>0.4</v>
      </c>
      <c r="AI826" s="106">
        <v>0.4</v>
      </c>
      <c r="AJ826" s="106">
        <v>0.4</v>
      </c>
      <c r="AK826" s="106">
        <v>0.4</v>
      </c>
      <c r="AL826" s="106">
        <v>0.4</v>
      </c>
      <c r="AM826" s="383">
        <f t="shared" si="194"/>
        <v>0.40000000000000019</v>
      </c>
    </row>
    <row r="827" spans="1:39" x14ac:dyDescent="0.2">
      <c r="A827" s="8"/>
      <c r="B827" s="95" t="s">
        <v>113</v>
      </c>
      <c r="C827" s="123" t="s">
        <v>216</v>
      </c>
      <c r="D827" s="95" t="s">
        <v>840</v>
      </c>
      <c r="E827" s="102"/>
      <c r="F827" s="106">
        <v>0.4</v>
      </c>
      <c r="G827" s="106">
        <v>0.4</v>
      </c>
      <c r="H827" s="106">
        <v>0.4</v>
      </c>
      <c r="I827" s="106">
        <v>0.4</v>
      </c>
      <c r="J827" s="106">
        <v>0.4</v>
      </c>
      <c r="K827" s="106">
        <v>0.4</v>
      </c>
      <c r="L827" s="106">
        <v>0.4</v>
      </c>
      <c r="M827" s="106">
        <v>0.4</v>
      </c>
      <c r="N827" s="106">
        <v>0.4</v>
      </c>
      <c r="O827" s="106">
        <v>0.4</v>
      </c>
      <c r="P827" s="106">
        <v>0.4</v>
      </c>
      <c r="Q827" s="106">
        <v>0.4</v>
      </c>
      <c r="R827" s="106">
        <v>0.4</v>
      </c>
      <c r="S827" s="106">
        <v>0.4</v>
      </c>
      <c r="T827" s="106">
        <v>0.4</v>
      </c>
      <c r="U827" s="106">
        <v>0.4</v>
      </c>
      <c r="V827" s="106">
        <v>0.4</v>
      </c>
      <c r="W827" s="106">
        <v>0.4</v>
      </c>
      <c r="X827" s="106">
        <v>0.4</v>
      </c>
      <c r="Y827" s="106">
        <v>0.4</v>
      </c>
      <c r="Z827" s="106">
        <v>0.4</v>
      </c>
      <c r="AA827" s="106">
        <v>0.4</v>
      </c>
      <c r="AB827" s="106">
        <v>0.4</v>
      </c>
      <c r="AC827" s="106">
        <v>0.4</v>
      </c>
      <c r="AD827" s="106">
        <v>0.4</v>
      </c>
      <c r="AE827" s="106">
        <v>0.4</v>
      </c>
      <c r="AF827" s="106">
        <v>0.4</v>
      </c>
      <c r="AG827" s="106">
        <v>0.4</v>
      </c>
      <c r="AH827" s="106">
        <v>0.4</v>
      </c>
      <c r="AI827" s="106">
        <v>0.4</v>
      </c>
      <c r="AJ827" s="106">
        <v>0.4</v>
      </c>
      <c r="AK827" s="106">
        <v>0.4</v>
      </c>
      <c r="AL827" s="106">
        <v>0.4</v>
      </c>
      <c r="AM827" s="383">
        <f t="shared" si="194"/>
        <v>0.40000000000000019</v>
      </c>
    </row>
    <row r="828" spans="1:39" x14ac:dyDescent="0.2">
      <c r="A828" s="8"/>
      <c r="B828" s="95" t="s">
        <v>114</v>
      </c>
      <c r="C828" s="123" t="s">
        <v>216</v>
      </c>
      <c r="D828" s="95" t="s">
        <v>840</v>
      </c>
      <c r="E828" s="102"/>
      <c r="F828" s="106">
        <v>0.4</v>
      </c>
      <c r="G828" s="106">
        <v>0.4</v>
      </c>
      <c r="H828" s="106">
        <v>0.4</v>
      </c>
      <c r="I828" s="106">
        <v>0.4</v>
      </c>
      <c r="J828" s="106">
        <v>0.4</v>
      </c>
      <c r="K828" s="106">
        <v>0.4</v>
      </c>
      <c r="L828" s="106">
        <v>0.4</v>
      </c>
      <c r="M828" s="106">
        <v>0.4</v>
      </c>
      <c r="N828" s="106">
        <v>0.4</v>
      </c>
      <c r="O828" s="106">
        <v>0.4</v>
      </c>
      <c r="P828" s="106">
        <v>0.4</v>
      </c>
      <c r="Q828" s="106">
        <v>0.4</v>
      </c>
      <c r="R828" s="106">
        <v>0.4</v>
      </c>
      <c r="S828" s="106">
        <v>0.4</v>
      </c>
      <c r="T828" s="106">
        <v>0.4</v>
      </c>
      <c r="U828" s="106">
        <v>0.4</v>
      </c>
      <c r="V828" s="106">
        <v>0.4</v>
      </c>
      <c r="W828" s="106">
        <v>0.4</v>
      </c>
      <c r="X828" s="106">
        <v>0.4</v>
      </c>
      <c r="Y828" s="106">
        <v>0.4</v>
      </c>
      <c r="Z828" s="106">
        <v>0.4</v>
      </c>
      <c r="AA828" s="106">
        <v>0.4</v>
      </c>
      <c r="AB828" s="106">
        <v>0.4</v>
      </c>
      <c r="AC828" s="106">
        <v>0.4</v>
      </c>
      <c r="AD828" s="106">
        <v>0.4</v>
      </c>
      <c r="AE828" s="106">
        <v>0.4</v>
      </c>
      <c r="AF828" s="106">
        <v>0.4</v>
      </c>
      <c r="AG828" s="106">
        <v>0.4</v>
      </c>
      <c r="AH828" s="106">
        <v>0.4</v>
      </c>
      <c r="AI828" s="106">
        <v>0.4</v>
      </c>
      <c r="AJ828" s="106">
        <v>0.4</v>
      </c>
      <c r="AK828" s="106">
        <v>0.4</v>
      </c>
      <c r="AL828" s="106">
        <v>0.4</v>
      </c>
      <c r="AM828" s="383">
        <f t="shared" si="194"/>
        <v>0.40000000000000019</v>
      </c>
    </row>
    <row r="829" spans="1:39" x14ac:dyDescent="0.2">
      <c r="A829" s="8"/>
      <c r="B829" s="95" t="s">
        <v>115</v>
      </c>
      <c r="C829" s="123" t="s">
        <v>216</v>
      </c>
      <c r="D829" s="95" t="s">
        <v>840</v>
      </c>
      <c r="E829" s="102"/>
      <c r="F829" s="106">
        <v>0.4</v>
      </c>
      <c r="G829" s="106">
        <v>0.4</v>
      </c>
      <c r="H829" s="106">
        <v>0.4</v>
      </c>
      <c r="I829" s="106">
        <v>0.4</v>
      </c>
      <c r="J829" s="106">
        <v>0.4</v>
      </c>
      <c r="K829" s="106">
        <v>0.4</v>
      </c>
      <c r="L829" s="106">
        <v>0.4</v>
      </c>
      <c r="M829" s="106">
        <v>0.4</v>
      </c>
      <c r="N829" s="106">
        <v>0.4</v>
      </c>
      <c r="O829" s="106">
        <v>0.4</v>
      </c>
      <c r="P829" s="106">
        <v>0.4</v>
      </c>
      <c r="Q829" s="106">
        <v>0.4</v>
      </c>
      <c r="R829" s="106">
        <v>0.4</v>
      </c>
      <c r="S829" s="106">
        <v>0.4</v>
      </c>
      <c r="T829" s="106">
        <v>0.4</v>
      </c>
      <c r="U829" s="106">
        <v>0.4</v>
      </c>
      <c r="V829" s="106">
        <v>0.4</v>
      </c>
      <c r="W829" s="106">
        <v>0.4</v>
      </c>
      <c r="X829" s="106">
        <v>0.4</v>
      </c>
      <c r="Y829" s="106">
        <v>0.4</v>
      </c>
      <c r="Z829" s="106">
        <v>0.4</v>
      </c>
      <c r="AA829" s="106">
        <v>0.4</v>
      </c>
      <c r="AB829" s="106">
        <v>0.4</v>
      </c>
      <c r="AC829" s="106">
        <v>0.4</v>
      </c>
      <c r="AD829" s="106">
        <v>0.4</v>
      </c>
      <c r="AE829" s="106">
        <v>0.4</v>
      </c>
      <c r="AF829" s="106">
        <v>0.4</v>
      </c>
      <c r="AG829" s="106">
        <v>0.4</v>
      </c>
      <c r="AH829" s="106">
        <v>0.4</v>
      </c>
      <c r="AI829" s="106">
        <v>0.4</v>
      </c>
      <c r="AJ829" s="106">
        <v>0.4</v>
      </c>
      <c r="AK829" s="106">
        <v>0.4</v>
      </c>
      <c r="AL829" s="106">
        <v>0.4</v>
      </c>
      <c r="AM829" s="383">
        <f t="shared" si="194"/>
        <v>0.40000000000000019</v>
      </c>
    </row>
    <row r="830" spans="1:39" x14ac:dyDescent="0.2">
      <c r="A830" s="8"/>
      <c r="B830" s="95" t="s">
        <v>116</v>
      </c>
      <c r="C830" s="123" t="s">
        <v>216</v>
      </c>
      <c r="D830" s="95" t="s">
        <v>840</v>
      </c>
      <c r="E830" s="102"/>
      <c r="F830" s="106">
        <v>0.4</v>
      </c>
      <c r="G830" s="106">
        <v>0.4</v>
      </c>
      <c r="H830" s="106">
        <v>0.4</v>
      </c>
      <c r="I830" s="106">
        <v>0.4</v>
      </c>
      <c r="J830" s="106">
        <v>0.4</v>
      </c>
      <c r="K830" s="106">
        <v>0.4</v>
      </c>
      <c r="L830" s="106">
        <v>0.4</v>
      </c>
      <c r="M830" s="106">
        <v>0.4</v>
      </c>
      <c r="N830" s="106">
        <v>0.4</v>
      </c>
      <c r="O830" s="106">
        <v>0.4</v>
      </c>
      <c r="P830" s="106">
        <v>0.4</v>
      </c>
      <c r="Q830" s="106">
        <v>0.4</v>
      </c>
      <c r="R830" s="106">
        <v>0.4</v>
      </c>
      <c r="S830" s="106">
        <v>0.4</v>
      </c>
      <c r="T830" s="106">
        <v>0.4</v>
      </c>
      <c r="U830" s="106">
        <v>0.4</v>
      </c>
      <c r="V830" s="106">
        <v>0.4</v>
      </c>
      <c r="W830" s="106">
        <v>0.4</v>
      </c>
      <c r="X830" s="106">
        <v>0.4</v>
      </c>
      <c r="Y830" s="106">
        <v>0.4</v>
      </c>
      <c r="Z830" s="106">
        <v>0.4</v>
      </c>
      <c r="AA830" s="106">
        <v>0.4</v>
      </c>
      <c r="AB830" s="106">
        <v>0.4</v>
      </c>
      <c r="AC830" s="106">
        <v>0.4</v>
      </c>
      <c r="AD830" s="106">
        <v>0.4</v>
      </c>
      <c r="AE830" s="106">
        <v>0.4</v>
      </c>
      <c r="AF830" s="106">
        <v>0.4</v>
      </c>
      <c r="AG830" s="106">
        <v>0.4</v>
      </c>
      <c r="AH830" s="106">
        <v>0.4</v>
      </c>
      <c r="AI830" s="106">
        <v>0.4</v>
      </c>
      <c r="AJ830" s="106">
        <v>0.4</v>
      </c>
      <c r="AK830" s="106">
        <v>0.4</v>
      </c>
      <c r="AL830" s="106">
        <v>0.4</v>
      </c>
      <c r="AM830" s="383">
        <f t="shared" si="194"/>
        <v>0.40000000000000019</v>
      </c>
    </row>
    <row r="831" spans="1:39" x14ac:dyDescent="0.2">
      <c r="A831" s="8"/>
      <c r="B831" s="95" t="s">
        <v>117</v>
      </c>
      <c r="C831" s="123" t="s">
        <v>216</v>
      </c>
      <c r="D831" s="95" t="s">
        <v>840</v>
      </c>
      <c r="E831" s="102"/>
      <c r="F831" s="106">
        <v>0.4</v>
      </c>
      <c r="G831" s="106">
        <v>0.4</v>
      </c>
      <c r="H831" s="106">
        <v>0.4</v>
      </c>
      <c r="I831" s="106">
        <v>0.4</v>
      </c>
      <c r="J831" s="106">
        <v>0.4</v>
      </c>
      <c r="K831" s="106">
        <v>0.4</v>
      </c>
      <c r="L831" s="106">
        <v>0.4</v>
      </c>
      <c r="M831" s="106">
        <v>0.4</v>
      </c>
      <c r="N831" s="106">
        <v>0.4</v>
      </c>
      <c r="O831" s="106">
        <v>0.4</v>
      </c>
      <c r="P831" s="106">
        <v>0.4</v>
      </c>
      <c r="Q831" s="106">
        <v>0.4</v>
      </c>
      <c r="R831" s="106">
        <v>0.4</v>
      </c>
      <c r="S831" s="106">
        <v>0.4</v>
      </c>
      <c r="T831" s="106">
        <v>0.4</v>
      </c>
      <c r="U831" s="106">
        <v>0.4</v>
      </c>
      <c r="V831" s="106">
        <v>0.4</v>
      </c>
      <c r="W831" s="106">
        <v>0.4</v>
      </c>
      <c r="X831" s="106">
        <v>0.4</v>
      </c>
      <c r="Y831" s="106">
        <v>0.4</v>
      </c>
      <c r="Z831" s="106">
        <v>0.4</v>
      </c>
      <c r="AA831" s="106">
        <v>0.4</v>
      </c>
      <c r="AB831" s="106">
        <v>0.4</v>
      </c>
      <c r="AC831" s="106">
        <v>0.4</v>
      </c>
      <c r="AD831" s="106">
        <v>0.4</v>
      </c>
      <c r="AE831" s="106">
        <v>0.4</v>
      </c>
      <c r="AF831" s="106">
        <v>0.4</v>
      </c>
      <c r="AG831" s="106">
        <v>0.4</v>
      </c>
      <c r="AH831" s="106">
        <v>0.4</v>
      </c>
      <c r="AI831" s="106">
        <v>0.4</v>
      </c>
      <c r="AJ831" s="106">
        <v>0.4</v>
      </c>
      <c r="AK831" s="106">
        <v>0.4</v>
      </c>
      <c r="AL831" s="106">
        <v>0.4</v>
      </c>
      <c r="AM831" s="383">
        <f t="shared" si="194"/>
        <v>0.40000000000000019</v>
      </c>
    </row>
    <row r="832" spans="1:39" x14ac:dyDescent="0.2">
      <c r="A832" s="8"/>
      <c r="B832" s="95" t="s">
        <v>118</v>
      </c>
      <c r="C832" s="123" t="s">
        <v>216</v>
      </c>
      <c r="D832" s="95" t="s">
        <v>840</v>
      </c>
      <c r="E832" s="102"/>
      <c r="F832" s="106">
        <v>0.4</v>
      </c>
      <c r="G832" s="106">
        <v>0.4</v>
      </c>
      <c r="H832" s="106">
        <v>0.4</v>
      </c>
      <c r="I832" s="106">
        <v>0.4</v>
      </c>
      <c r="J832" s="106">
        <v>0.4</v>
      </c>
      <c r="K832" s="106">
        <v>0.4</v>
      </c>
      <c r="L832" s="106">
        <v>0.4</v>
      </c>
      <c r="M832" s="106">
        <v>0.4</v>
      </c>
      <c r="N832" s="106">
        <v>0.4</v>
      </c>
      <c r="O832" s="106">
        <v>0.4</v>
      </c>
      <c r="P832" s="106">
        <v>0.4</v>
      </c>
      <c r="Q832" s="106">
        <v>0.4</v>
      </c>
      <c r="R832" s="106">
        <v>0.4</v>
      </c>
      <c r="S832" s="106">
        <v>0.4</v>
      </c>
      <c r="T832" s="106">
        <v>0.4</v>
      </c>
      <c r="U832" s="106">
        <v>0.4</v>
      </c>
      <c r="V832" s="106">
        <v>0.4</v>
      </c>
      <c r="W832" s="106">
        <v>0.4</v>
      </c>
      <c r="X832" s="106">
        <v>0.4</v>
      </c>
      <c r="Y832" s="106">
        <v>0.4</v>
      </c>
      <c r="Z832" s="106">
        <v>0.4</v>
      </c>
      <c r="AA832" s="106">
        <v>0.4</v>
      </c>
      <c r="AB832" s="106">
        <v>0.4</v>
      </c>
      <c r="AC832" s="106">
        <v>0.4</v>
      </c>
      <c r="AD832" s="106">
        <v>0.4</v>
      </c>
      <c r="AE832" s="106">
        <v>0.4</v>
      </c>
      <c r="AF832" s="106">
        <v>0.4</v>
      </c>
      <c r="AG832" s="106">
        <v>0.4</v>
      </c>
      <c r="AH832" s="106">
        <v>0.4</v>
      </c>
      <c r="AI832" s="106">
        <v>0.4</v>
      </c>
      <c r="AJ832" s="106">
        <v>0.4</v>
      </c>
      <c r="AK832" s="106">
        <v>0.4</v>
      </c>
      <c r="AL832" s="106">
        <v>0.4</v>
      </c>
      <c r="AM832" s="383">
        <f t="shared" si="194"/>
        <v>0.40000000000000019</v>
      </c>
    </row>
    <row r="833" spans="1:39" x14ac:dyDescent="0.2">
      <c r="A833" s="8"/>
      <c r="B833" s="95" t="s">
        <v>119</v>
      </c>
      <c r="C833" s="123" t="s">
        <v>216</v>
      </c>
      <c r="D833" s="95" t="s">
        <v>840</v>
      </c>
      <c r="E833" s="102"/>
      <c r="F833" s="106">
        <v>0.4</v>
      </c>
      <c r="G833" s="106">
        <v>0.4</v>
      </c>
      <c r="H833" s="106">
        <v>0.4</v>
      </c>
      <c r="I833" s="106">
        <v>0.4</v>
      </c>
      <c r="J833" s="106">
        <v>0.4</v>
      </c>
      <c r="K833" s="106">
        <v>0.4</v>
      </c>
      <c r="L833" s="106">
        <v>0.4</v>
      </c>
      <c r="M833" s="106">
        <v>0.4</v>
      </c>
      <c r="N833" s="106">
        <v>0.4</v>
      </c>
      <c r="O833" s="106">
        <v>0.4</v>
      </c>
      <c r="P833" s="106">
        <v>0.4</v>
      </c>
      <c r="Q833" s="106">
        <v>0.4</v>
      </c>
      <c r="R833" s="106">
        <v>0.4</v>
      </c>
      <c r="S833" s="106">
        <v>0.4</v>
      </c>
      <c r="T833" s="106">
        <v>0.4</v>
      </c>
      <c r="U833" s="106">
        <v>0.4</v>
      </c>
      <c r="V833" s="106">
        <v>0.4</v>
      </c>
      <c r="W833" s="106">
        <v>0.4</v>
      </c>
      <c r="X833" s="106">
        <v>0.4</v>
      </c>
      <c r="Y833" s="106">
        <v>0.4</v>
      </c>
      <c r="Z833" s="106">
        <v>0.4</v>
      </c>
      <c r="AA833" s="106">
        <v>0.4</v>
      </c>
      <c r="AB833" s="106">
        <v>0.4</v>
      </c>
      <c r="AC833" s="106">
        <v>0.4</v>
      </c>
      <c r="AD833" s="106">
        <v>0.4</v>
      </c>
      <c r="AE833" s="106">
        <v>0.4</v>
      </c>
      <c r="AF833" s="106">
        <v>0.4</v>
      </c>
      <c r="AG833" s="106">
        <v>0.4</v>
      </c>
      <c r="AH833" s="106">
        <v>0.4</v>
      </c>
      <c r="AI833" s="106">
        <v>0.4</v>
      </c>
      <c r="AJ833" s="106">
        <v>0.4</v>
      </c>
      <c r="AK833" s="106">
        <v>0.4</v>
      </c>
      <c r="AL833" s="106">
        <v>0.4</v>
      </c>
      <c r="AM833" s="383">
        <f t="shared" si="194"/>
        <v>0.40000000000000019</v>
      </c>
    </row>
    <row r="834" spans="1:39" x14ac:dyDescent="0.2">
      <c r="A834" s="8"/>
      <c r="B834" s="95" t="s">
        <v>120</v>
      </c>
      <c r="C834" s="123" t="s">
        <v>216</v>
      </c>
      <c r="D834" s="95" t="s">
        <v>840</v>
      </c>
      <c r="E834" s="102"/>
      <c r="F834" s="106">
        <v>0.4</v>
      </c>
      <c r="G834" s="106">
        <v>0.4</v>
      </c>
      <c r="H834" s="106">
        <v>0.4</v>
      </c>
      <c r="I834" s="106">
        <v>0.4</v>
      </c>
      <c r="J834" s="106">
        <v>0.4</v>
      </c>
      <c r="K834" s="106">
        <v>0.4</v>
      </c>
      <c r="L834" s="106">
        <v>0.4</v>
      </c>
      <c r="M834" s="106">
        <v>0.4</v>
      </c>
      <c r="N834" s="106">
        <v>0.4</v>
      </c>
      <c r="O834" s="106">
        <v>0.4</v>
      </c>
      <c r="P834" s="106">
        <v>0.4</v>
      </c>
      <c r="Q834" s="106">
        <v>0.4</v>
      </c>
      <c r="R834" s="106">
        <v>0.4</v>
      </c>
      <c r="S834" s="106">
        <v>0.4</v>
      </c>
      <c r="T834" s="106">
        <v>0.4</v>
      </c>
      <c r="U834" s="106">
        <v>0.4</v>
      </c>
      <c r="V834" s="106">
        <v>0.4</v>
      </c>
      <c r="W834" s="106">
        <v>0.4</v>
      </c>
      <c r="X834" s="106">
        <v>0.4</v>
      </c>
      <c r="Y834" s="106">
        <v>0.4</v>
      </c>
      <c r="Z834" s="106">
        <v>0.4</v>
      </c>
      <c r="AA834" s="106">
        <v>0.4</v>
      </c>
      <c r="AB834" s="106">
        <v>0.4</v>
      </c>
      <c r="AC834" s="106">
        <v>0.4</v>
      </c>
      <c r="AD834" s="106">
        <v>0.4</v>
      </c>
      <c r="AE834" s="106">
        <v>0.4</v>
      </c>
      <c r="AF834" s="106">
        <v>0.4</v>
      </c>
      <c r="AG834" s="106">
        <v>0.4</v>
      </c>
      <c r="AH834" s="106">
        <v>0.4</v>
      </c>
      <c r="AI834" s="106">
        <v>0.4</v>
      </c>
      <c r="AJ834" s="106">
        <v>0.4</v>
      </c>
      <c r="AK834" s="106">
        <v>0.4</v>
      </c>
      <c r="AL834" s="106">
        <v>0.4</v>
      </c>
      <c r="AM834" s="383">
        <f t="shared" si="194"/>
        <v>0.40000000000000019</v>
      </c>
    </row>
    <row r="835" spans="1:39" x14ac:dyDescent="0.2">
      <c r="A835" s="8"/>
      <c r="B835" s="95" t="s">
        <v>127</v>
      </c>
      <c r="C835" s="123" t="s">
        <v>216</v>
      </c>
      <c r="D835" s="95" t="s">
        <v>840</v>
      </c>
      <c r="E835" s="102"/>
      <c r="F835" s="106">
        <v>0.4</v>
      </c>
      <c r="G835" s="106">
        <v>0.4</v>
      </c>
      <c r="H835" s="106">
        <v>0.4</v>
      </c>
      <c r="I835" s="106">
        <v>0.4</v>
      </c>
      <c r="J835" s="106">
        <v>0.4</v>
      </c>
      <c r="K835" s="106">
        <v>0.4</v>
      </c>
      <c r="L835" s="106">
        <v>0.4</v>
      </c>
      <c r="M835" s="106">
        <v>0.4</v>
      </c>
      <c r="N835" s="106">
        <v>0.4</v>
      </c>
      <c r="O835" s="106">
        <v>0.4</v>
      </c>
      <c r="P835" s="106">
        <v>0.4</v>
      </c>
      <c r="Q835" s="106">
        <v>0.4</v>
      </c>
      <c r="R835" s="106">
        <v>0.4</v>
      </c>
      <c r="S835" s="106">
        <v>0.4</v>
      </c>
      <c r="T835" s="106">
        <v>0.4</v>
      </c>
      <c r="U835" s="106">
        <v>0.4</v>
      </c>
      <c r="V835" s="106">
        <v>0.4</v>
      </c>
      <c r="W835" s="106">
        <v>0.4</v>
      </c>
      <c r="X835" s="106">
        <v>0.4</v>
      </c>
      <c r="Y835" s="106">
        <v>0.4</v>
      </c>
      <c r="Z835" s="106">
        <v>0.4</v>
      </c>
      <c r="AA835" s="106">
        <v>0.4</v>
      </c>
      <c r="AB835" s="106">
        <v>0.4</v>
      </c>
      <c r="AC835" s="106">
        <v>0.4</v>
      </c>
      <c r="AD835" s="106">
        <v>0.4</v>
      </c>
      <c r="AE835" s="106">
        <v>0.4</v>
      </c>
      <c r="AF835" s="106">
        <v>0.4</v>
      </c>
      <c r="AG835" s="106">
        <v>0.4</v>
      </c>
      <c r="AH835" s="106">
        <v>0.4</v>
      </c>
      <c r="AI835" s="106">
        <v>0.4</v>
      </c>
      <c r="AJ835" s="106">
        <v>0.4</v>
      </c>
      <c r="AK835" s="106">
        <v>0.4</v>
      </c>
      <c r="AL835" s="106">
        <v>0.4</v>
      </c>
      <c r="AM835" s="383">
        <f t="shared" si="194"/>
        <v>0.40000000000000019</v>
      </c>
    </row>
    <row r="836" spans="1:39" x14ac:dyDescent="0.2">
      <c r="A836" s="8"/>
      <c r="B836" s="95" t="s">
        <v>128</v>
      </c>
      <c r="C836" s="123" t="s">
        <v>216</v>
      </c>
      <c r="D836" s="95" t="s">
        <v>840</v>
      </c>
      <c r="E836" s="102"/>
      <c r="F836" s="106">
        <v>0.4</v>
      </c>
      <c r="G836" s="106">
        <v>0.4</v>
      </c>
      <c r="H836" s="106">
        <v>0.4</v>
      </c>
      <c r="I836" s="106">
        <v>0.4</v>
      </c>
      <c r="J836" s="106">
        <v>0.4</v>
      </c>
      <c r="K836" s="106">
        <v>0.4</v>
      </c>
      <c r="L836" s="106">
        <v>0.4</v>
      </c>
      <c r="M836" s="106">
        <v>0.4</v>
      </c>
      <c r="N836" s="106">
        <v>0.4</v>
      </c>
      <c r="O836" s="106">
        <v>0.4</v>
      </c>
      <c r="P836" s="106">
        <v>0.4</v>
      </c>
      <c r="Q836" s="106">
        <v>0.4</v>
      </c>
      <c r="R836" s="106">
        <v>0.4</v>
      </c>
      <c r="S836" s="106">
        <v>0.4</v>
      </c>
      <c r="T836" s="106">
        <v>0.4</v>
      </c>
      <c r="U836" s="106">
        <v>0.4</v>
      </c>
      <c r="V836" s="106">
        <v>0.4</v>
      </c>
      <c r="W836" s="106">
        <v>0.4</v>
      </c>
      <c r="X836" s="106">
        <v>0.4</v>
      </c>
      <c r="Y836" s="106">
        <v>0.4</v>
      </c>
      <c r="Z836" s="106">
        <v>0.4</v>
      </c>
      <c r="AA836" s="106">
        <v>0.4</v>
      </c>
      <c r="AB836" s="106">
        <v>0.4</v>
      </c>
      <c r="AC836" s="106">
        <v>0.4</v>
      </c>
      <c r="AD836" s="106">
        <v>0.4</v>
      </c>
      <c r="AE836" s="106">
        <v>0.4</v>
      </c>
      <c r="AF836" s="106">
        <v>0.4</v>
      </c>
      <c r="AG836" s="106">
        <v>0.4</v>
      </c>
      <c r="AH836" s="106">
        <v>0.4</v>
      </c>
      <c r="AI836" s="106">
        <v>0.4</v>
      </c>
      <c r="AJ836" s="106">
        <v>0.4</v>
      </c>
      <c r="AK836" s="106">
        <v>0.4</v>
      </c>
      <c r="AL836" s="106">
        <v>0.4</v>
      </c>
      <c r="AM836" s="383">
        <f t="shared" si="194"/>
        <v>0.40000000000000019</v>
      </c>
    </row>
    <row r="837" spans="1:39" x14ac:dyDescent="0.2">
      <c r="A837" s="8"/>
      <c r="B837" s="95" t="s">
        <v>174</v>
      </c>
      <c r="C837" s="123" t="s">
        <v>216</v>
      </c>
      <c r="D837" s="95" t="s">
        <v>840</v>
      </c>
      <c r="E837" s="102"/>
      <c r="F837" s="106">
        <v>0.4</v>
      </c>
      <c r="G837" s="106">
        <v>0.4</v>
      </c>
      <c r="H837" s="106">
        <v>0.4</v>
      </c>
      <c r="I837" s="106">
        <v>0.4</v>
      </c>
      <c r="J837" s="106">
        <v>0.4</v>
      </c>
      <c r="K837" s="106">
        <v>0.4</v>
      </c>
      <c r="L837" s="106">
        <v>0.4</v>
      </c>
      <c r="M837" s="106">
        <v>0.4</v>
      </c>
      <c r="N837" s="106">
        <v>0.4</v>
      </c>
      <c r="O837" s="106">
        <v>0.4</v>
      </c>
      <c r="P837" s="106">
        <v>0.4</v>
      </c>
      <c r="Q837" s="106">
        <v>0.4</v>
      </c>
      <c r="R837" s="106">
        <v>0.4</v>
      </c>
      <c r="S837" s="106">
        <v>0.4</v>
      </c>
      <c r="T837" s="106">
        <v>0.4</v>
      </c>
      <c r="U837" s="106">
        <v>0.4</v>
      </c>
      <c r="V837" s="106">
        <v>0.4</v>
      </c>
      <c r="W837" s="106">
        <v>0.4</v>
      </c>
      <c r="X837" s="106">
        <v>0.4</v>
      </c>
      <c r="Y837" s="106">
        <v>0.4</v>
      </c>
      <c r="Z837" s="106">
        <v>0.4</v>
      </c>
      <c r="AA837" s="106">
        <v>0.4</v>
      </c>
      <c r="AB837" s="106">
        <v>0.4</v>
      </c>
      <c r="AC837" s="106">
        <v>0.4</v>
      </c>
      <c r="AD837" s="106">
        <v>0.4</v>
      </c>
      <c r="AE837" s="106">
        <v>0.4</v>
      </c>
      <c r="AF837" s="106">
        <v>0.4</v>
      </c>
      <c r="AG837" s="106">
        <v>0.4</v>
      </c>
      <c r="AH837" s="106">
        <v>0.4</v>
      </c>
      <c r="AI837" s="106">
        <v>0.4</v>
      </c>
      <c r="AJ837" s="106">
        <v>0.4</v>
      </c>
      <c r="AK837" s="106">
        <v>0.4</v>
      </c>
      <c r="AL837" s="106">
        <v>0.4</v>
      </c>
      <c r="AM837" s="383">
        <f>AVERAGE(F837:AL837)</f>
        <v>0.40000000000000019</v>
      </c>
    </row>
    <row r="838" spans="1:39" x14ac:dyDescent="0.2">
      <c r="A838" s="8"/>
      <c r="B838" s="268"/>
      <c r="C838" s="215"/>
      <c r="D838" s="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c r="AF838" s="31"/>
      <c r="AG838" s="31"/>
      <c r="AH838" s="31"/>
      <c r="AI838" s="31"/>
      <c r="AJ838" s="31"/>
      <c r="AK838" s="31"/>
      <c r="AL838" s="31"/>
      <c r="AM838" s="107"/>
    </row>
    <row r="839" spans="1:39" x14ac:dyDescent="0.2">
      <c r="A839" s="8"/>
      <c r="B839" s="64" t="s">
        <v>329</v>
      </c>
      <c r="C839" s="22"/>
      <c r="D839" s="8"/>
      <c r="E839" s="27"/>
      <c r="F839" s="66"/>
      <c r="G839" s="66"/>
      <c r="H839" s="66"/>
      <c r="I839" s="66"/>
      <c r="J839" s="66"/>
      <c r="K839" s="66"/>
      <c r="L839" s="66"/>
      <c r="M839" s="66"/>
      <c r="N839" s="66"/>
      <c r="O839" s="66"/>
      <c r="P839" s="66"/>
      <c r="Q839" s="66"/>
      <c r="R839" s="66"/>
      <c r="S839" s="66"/>
      <c r="T839" s="66"/>
      <c r="U839" s="66"/>
      <c r="V839" s="66"/>
      <c r="W839" s="66"/>
      <c r="X839" s="66"/>
      <c r="Y839" s="66"/>
      <c r="Z839" s="66"/>
      <c r="AA839" s="66"/>
      <c r="AB839" s="66"/>
      <c r="AC839" s="66"/>
      <c r="AD839" s="66"/>
      <c r="AE839" s="66"/>
      <c r="AF839" s="66"/>
      <c r="AG839" s="66"/>
      <c r="AH839" s="66"/>
      <c r="AI839" s="66"/>
      <c r="AJ839" s="66"/>
      <c r="AK839" s="66"/>
      <c r="AL839" s="66"/>
      <c r="AM839" s="107"/>
    </row>
    <row r="840" spans="1:39" x14ac:dyDescent="0.2">
      <c r="A840" s="8"/>
      <c r="B840" s="278" t="s">
        <v>900</v>
      </c>
      <c r="C840" s="118" t="s">
        <v>176</v>
      </c>
      <c r="D840" s="129"/>
      <c r="E840" s="101"/>
      <c r="F840" s="101">
        <f t="shared" ref="F840:F856" si="195">F802*F694</f>
        <v>32.196706659508749</v>
      </c>
      <c r="G840" s="101">
        <f t="shared" ref="G840:AL848" si="196">G802*G694</f>
        <v>22.036698254927526</v>
      </c>
      <c r="H840" s="101">
        <f t="shared" si="196"/>
        <v>26.721279566794465</v>
      </c>
      <c r="I840" s="101">
        <f t="shared" si="196"/>
        <v>79.233327985358471</v>
      </c>
      <c r="J840" s="101">
        <f t="shared" si="196"/>
        <v>26.823450655041643</v>
      </c>
      <c r="K840" s="101">
        <f t="shared" si="196"/>
        <v>18.081509411610721</v>
      </c>
      <c r="L840" s="101">
        <f t="shared" si="196"/>
        <v>5.9036686885305762</v>
      </c>
      <c r="M840" s="101">
        <f t="shared" si="196"/>
        <v>44.985849937062035</v>
      </c>
      <c r="N840" s="101">
        <f t="shared" si="196"/>
        <v>61.69206400583893</v>
      </c>
      <c r="O840" s="101">
        <f t="shared" si="196"/>
        <v>23.229320676430731</v>
      </c>
      <c r="P840" s="101">
        <f t="shared" si="196"/>
        <v>31.306138786406407</v>
      </c>
      <c r="Q840" s="101">
        <f t="shared" si="196"/>
        <v>4.937385160680539</v>
      </c>
      <c r="R840" s="101">
        <f t="shared" si="196"/>
        <v>31.157277689741928</v>
      </c>
      <c r="S840" s="101">
        <f t="shared" si="196"/>
        <v>28.434705802249368</v>
      </c>
      <c r="T840" s="101">
        <f t="shared" si="196"/>
        <v>48.346232512286086</v>
      </c>
      <c r="U840" s="101">
        <f t="shared" si="196"/>
        <v>96.922940354646357</v>
      </c>
      <c r="V840" s="101">
        <f t="shared" si="196"/>
        <v>26.934533580418986</v>
      </c>
      <c r="W840" s="101">
        <f t="shared" si="196"/>
        <v>2.4858907620903383</v>
      </c>
      <c r="X840" s="101">
        <f t="shared" si="196"/>
        <v>0.1624516571885416</v>
      </c>
      <c r="Y840" s="101">
        <f t="shared" si="196"/>
        <v>3.6402462791544297</v>
      </c>
      <c r="Z840" s="101">
        <f t="shared" si="196"/>
        <v>1.7304945847590252</v>
      </c>
      <c r="AA840" s="101">
        <f t="shared" si="196"/>
        <v>5.5619184071262504</v>
      </c>
      <c r="AB840" s="101">
        <f t="shared" si="196"/>
        <v>0.96242084589896726</v>
      </c>
      <c r="AC840" s="101">
        <f t="shared" si="196"/>
        <v>45.677281328083161</v>
      </c>
      <c r="AD840" s="101">
        <f t="shared" si="196"/>
        <v>0.92827528611346544</v>
      </c>
      <c r="AE840" s="101">
        <f t="shared" si="196"/>
        <v>0.84870408040918766</v>
      </c>
      <c r="AF840" s="101">
        <f t="shared" si="196"/>
        <v>0.22866815925940154</v>
      </c>
      <c r="AG840" s="101">
        <f t="shared" si="196"/>
        <v>3.5072372204500368</v>
      </c>
      <c r="AH840" s="101">
        <f t="shared" si="196"/>
        <v>0.74421034818163645</v>
      </c>
      <c r="AI840" s="101">
        <f t="shared" si="196"/>
        <v>4.1634239659258894</v>
      </c>
      <c r="AJ840" s="101">
        <f t="shared" si="196"/>
        <v>2.3137673101108676</v>
      </c>
      <c r="AK840" s="101">
        <f t="shared" si="196"/>
        <v>10.4555404373199</v>
      </c>
      <c r="AL840" s="101">
        <f t="shared" si="196"/>
        <v>0.72291240809620738</v>
      </c>
      <c r="AM840" s="381">
        <f>SUM(F840:AL840)</f>
        <v>693.0765328077008</v>
      </c>
    </row>
    <row r="841" spans="1:39" x14ac:dyDescent="0.2">
      <c r="A841" s="8"/>
      <c r="B841" s="278" t="s">
        <v>901</v>
      </c>
      <c r="C841" s="118" t="s">
        <v>176</v>
      </c>
      <c r="D841" s="129"/>
      <c r="E841" s="101"/>
      <c r="F841" s="101">
        <f t="shared" si="195"/>
        <v>5.3505260825488912E-2</v>
      </c>
      <c r="G841" s="101">
        <f t="shared" ref="G841:U841" si="197">G803*G695</f>
        <v>5.1121306883395445E-3</v>
      </c>
      <c r="H841" s="101">
        <f t="shared" si="197"/>
        <v>0.19640573736353828</v>
      </c>
      <c r="I841" s="101">
        <f t="shared" si="197"/>
        <v>4.9437848184891386E-2</v>
      </c>
      <c r="J841" s="101">
        <f t="shared" si="197"/>
        <v>2.6618188366248647E-2</v>
      </c>
      <c r="K841" s="101">
        <f t="shared" si="197"/>
        <v>3.9442025342579876E-3</v>
      </c>
      <c r="L841" s="101">
        <f t="shared" si="197"/>
        <v>7.8763103438209657E-4</v>
      </c>
      <c r="M841" s="101">
        <f t="shared" si="197"/>
        <v>1.2577479903105385E-2</v>
      </c>
      <c r="N841" s="101">
        <f t="shared" si="197"/>
        <v>4.6282346718980814E-2</v>
      </c>
      <c r="O841" s="101">
        <f t="shared" si="197"/>
        <v>7.5962250407944965E-2</v>
      </c>
      <c r="P841" s="101">
        <f t="shared" si="197"/>
        <v>8.4492775488696131E-2</v>
      </c>
      <c r="Q841" s="101">
        <f t="shared" si="197"/>
        <v>8.2705546408180612E-3</v>
      </c>
      <c r="R841" s="101">
        <f t="shared" si="197"/>
        <v>2.3344697061670812E-2</v>
      </c>
      <c r="S841" s="101">
        <f t="shared" si="197"/>
        <v>2.859914658551635E-2</v>
      </c>
      <c r="T841" s="101">
        <f t="shared" si="197"/>
        <v>0.10220521386370873</v>
      </c>
      <c r="U841" s="101">
        <f t="shared" si="197"/>
        <v>0.35988078356421105</v>
      </c>
      <c r="V841" s="101">
        <f t="shared" si="196"/>
        <v>0.42235760866859567</v>
      </c>
      <c r="W841" s="101">
        <f t="shared" si="196"/>
        <v>4.8388204502066712E-2</v>
      </c>
      <c r="X841" s="101">
        <f t="shared" si="196"/>
        <v>1.8419346544673598E-3</v>
      </c>
      <c r="Y841" s="101">
        <f t="shared" si="196"/>
        <v>2.9039662751733704E-2</v>
      </c>
      <c r="Z841" s="101">
        <f t="shared" si="196"/>
        <v>1.6656311812405542E-2</v>
      </c>
      <c r="AA841" s="101">
        <f t="shared" si="196"/>
        <v>5.7287709954784938E-2</v>
      </c>
      <c r="AB841" s="101">
        <f t="shared" si="196"/>
        <v>8.2422073693456416E-2</v>
      </c>
      <c r="AC841" s="101">
        <f t="shared" si="196"/>
        <v>2.5219488403005686E-2</v>
      </c>
      <c r="AD841" s="101">
        <f t="shared" si="196"/>
        <v>5.3811903035126639E-3</v>
      </c>
      <c r="AE841" s="101">
        <f t="shared" si="196"/>
        <v>2.033007053261707E-3</v>
      </c>
      <c r="AF841" s="101">
        <f t="shared" si="196"/>
        <v>3.9449584591922876E-3</v>
      </c>
      <c r="AG841" s="101">
        <f t="shared" si="196"/>
        <v>1.6245676444100902E-2</v>
      </c>
      <c r="AH841" s="101">
        <f t="shared" si="196"/>
        <v>6.7964919855561398E-2</v>
      </c>
      <c r="AI841" s="101">
        <f t="shared" si="196"/>
        <v>9.17384911802256E-3</v>
      </c>
      <c r="AJ841" s="101">
        <f t="shared" si="196"/>
        <v>2.678461319127772E-3</v>
      </c>
      <c r="AK841" s="101">
        <f t="shared" si="196"/>
        <v>1.8848411286038012E-3</v>
      </c>
      <c r="AL841" s="101">
        <f t="shared" si="196"/>
        <v>5.9613955314080806E-2</v>
      </c>
      <c r="AM841" s="381">
        <f t="shared" ref="AM841:AM882" si="198">SUM(F841:AL841)</f>
        <v>1.9295601006677789</v>
      </c>
    </row>
    <row r="842" spans="1:39" x14ac:dyDescent="0.2">
      <c r="A842" s="8"/>
      <c r="B842" s="278" t="s">
        <v>902</v>
      </c>
      <c r="C842" s="118" t="s">
        <v>176</v>
      </c>
      <c r="D842" s="129"/>
      <c r="E842" s="101"/>
      <c r="F842" s="101">
        <f t="shared" si="195"/>
        <v>5.6260738851514365</v>
      </c>
      <c r="G842" s="101">
        <f t="shared" si="196"/>
        <v>2.4859594636880482</v>
      </c>
      <c r="H842" s="101">
        <f t="shared" si="196"/>
        <v>4.6400132401412097</v>
      </c>
      <c r="I842" s="101">
        <f t="shared" si="196"/>
        <v>8.5680285105847922</v>
      </c>
      <c r="J842" s="101">
        <f t="shared" si="196"/>
        <v>2.9107543724008909</v>
      </c>
      <c r="K842" s="101">
        <f t="shared" si="196"/>
        <v>2.493599387210554</v>
      </c>
      <c r="L842" s="101">
        <f t="shared" si="196"/>
        <v>0.47420439264432857</v>
      </c>
      <c r="M842" s="101">
        <f t="shared" si="196"/>
        <v>6.1392786209588479</v>
      </c>
      <c r="N842" s="101">
        <f t="shared" si="196"/>
        <v>20.922784822545779</v>
      </c>
      <c r="O842" s="101">
        <f t="shared" si="196"/>
        <v>9.5048546106553449</v>
      </c>
      <c r="P842" s="101">
        <f t="shared" si="196"/>
        <v>12.36088688862726</v>
      </c>
      <c r="Q842" s="101">
        <f t="shared" si="196"/>
        <v>0.28727990596558672</v>
      </c>
      <c r="R842" s="101">
        <f t="shared" si="196"/>
        <v>4.3255572107677258</v>
      </c>
      <c r="S842" s="101">
        <f t="shared" si="196"/>
        <v>3.308761724920946</v>
      </c>
      <c r="T842" s="101">
        <f t="shared" si="196"/>
        <v>3.5645428903996996</v>
      </c>
      <c r="U842" s="101">
        <f t="shared" si="196"/>
        <v>17.469316009410516</v>
      </c>
      <c r="V842" s="101">
        <f t="shared" si="196"/>
        <v>5.4794346409459633</v>
      </c>
      <c r="W842" s="101">
        <f t="shared" si="196"/>
        <v>0.73542058023704238</v>
      </c>
      <c r="X842" s="101">
        <f t="shared" si="196"/>
        <v>5.3193906244856919E-2</v>
      </c>
      <c r="Y842" s="101">
        <f t="shared" si="196"/>
        <v>0.5705882802022274</v>
      </c>
      <c r="Z842" s="101">
        <f t="shared" si="196"/>
        <v>0.3915679797314352</v>
      </c>
      <c r="AA842" s="101">
        <f t="shared" si="196"/>
        <v>1.0453253596179688</v>
      </c>
      <c r="AB842" s="101">
        <f t="shared" si="196"/>
        <v>1.2848105666654006</v>
      </c>
      <c r="AC842" s="101">
        <f t="shared" si="196"/>
        <v>4.0505911614596739</v>
      </c>
      <c r="AD842" s="101">
        <f t="shared" si="196"/>
        <v>9.4222749892857449E-2</v>
      </c>
      <c r="AE842" s="101">
        <f t="shared" si="196"/>
        <v>0.12185649456053307</v>
      </c>
      <c r="AF842" s="101">
        <f t="shared" si="196"/>
        <v>2.6130558569719933E-2</v>
      </c>
      <c r="AG842" s="101">
        <f t="shared" si="196"/>
        <v>0.9443618218844666</v>
      </c>
      <c r="AH842" s="101">
        <f t="shared" si="196"/>
        <v>0.14133742627461873</v>
      </c>
      <c r="AI842" s="101">
        <f t="shared" si="196"/>
        <v>0.15536910515144015</v>
      </c>
      <c r="AJ842" s="101">
        <f t="shared" si="196"/>
        <v>7.1202942250908494E-2</v>
      </c>
      <c r="AK842" s="101">
        <f t="shared" si="196"/>
        <v>0.32542061728829835</v>
      </c>
      <c r="AL842" s="101">
        <f t="shared" si="196"/>
        <v>3.0041850304878537E-2</v>
      </c>
      <c r="AM842" s="381">
        <f t="shared" si="198"/>
        <v>120.60277197735527</v>
      </c>
    </row>
    <row r="843" spans="1:39" x14ac:dyDescent="0.2">
      <c r="A843" s="8"/>
      <c r="B843" s="278" t="s">
        <v>903</v>
      </c>
      <c r="C843" s="118" t="s">
        <v>176</v>
      </c>
      <c r="D843" s="129"/>
      <c r="E843" s="101"/>
      <c r="F843" s="101">
        <f t="shared" si="195"/>
        <v>0.83010320985767538</v>
      </c>
      <c r="G843" s="101">
        <f t="shared" si="196"/>
        <v>0.2743288617310633</v>
      </c>
      <c r="H843" s="101">
        <f t="shared" si="196"/>
        <v>0.31983217713284545</v>
      </c>
      <c r="I843" s="101">
        <f t="shared" si="196"/>
        <v>0.99012179886907181</v>
      </c>
      <c r="J843" s="101">
        <f t="shared" si="196"/>
        <v>2.1060562482865861</v>
      </c>
      <c r="K843" s="101">
        <f t="shared" si="196"/>
        <v>0.25268705869371338</v>
      </c>
      <c r="L843" s="101">
        <f t="shared" si="196"/>
        <v>0.14394866332366327</v>
      </c>
      <c r="M843" s="101">
        <f t="shared" si="196"/>
        <v>0.88269216642242121</v>
      </c>
      <c r="N843" s="101">
        <f t="shared" si="196"/>
        <v>1.1322871022167174</v>
      </c>
      <c r="O843" s="101">
        <f t="shared" si="196"/>
        <v>0.9031055029722973</v>
      </c>
      <c r="P843" s="101">
        <f t="shared" si="196"/>
        <v>0.97556673781148329</v>
      </c>
      <c r="Q843" s="101">
        <f t="shared" si="196"/>
        <v>0.10827408122263565</v>
      </c>
      <c r="R843" s="101">
        <f t="shared" si="196"/>
        <v>2.2255949378764122</v>
      </c>
      <c r="S843" s="101">
        <f t="shared" si="196"/>
        <v>0.45413525719477488</v>
      </c>
      <c r="T843" s="101">
        <f t="shared" si="196"/>
        <v>1.5707356229750478</v>
      </c>
      <c r="U843" s="101">
        <f t="shared" si="196"/>
        <v>2.3738411727450162</v>
      </c>
      <c r="V843" s="101">
        <f t="shared" si="196"/>
        <v>1.612376815384664</v>
      </c>
      <c r="W843" s="101">
        <f t="shared" si="196"/>
        <v>0.13930058068936557</v>
      </c>
      <c r="X843" s="101">
        <f t="shared" si="196"/>
        <v>6.4837726269617053E-3</v>
      </c>
      <c r="Y843" s="101">
        <f t="shared" si="196"/>
        <v>0.14587220393744915</v>
      </c>
      <c r="Z843" s="101">
        <f t="shared" si="196"/>
        <v>0.16544671288521456</v>
      </c>
      <c r="AA843" s="101">
        <f t="shared" si="196"/>
        <v>0.19907049556688178</v>
      </c>
      <c r="AB843" s="101">
        <f t="shared" si="196"/>
        <v>0.28977937726887565</v>
      </c>
      <c r="AC843" s="101">
        <f t="shared" si="196"/>
        <v>1.0390050675416496</v>
      </c>
      <c r="AD843" s="101">
        <f t="shared" si="196"/>
        <v>9.2108576298769895E-2</v>
      </c>
      <c r="AE843" s="101">
        <f t="shared" si="196"/>
        <v>4.3929558186996037E-2</v>
      </c>
      <c r="AF843" s="101">
        <f t="shared" si="196"/>
        <v>2.04767925198312E-2</v>
      </c>
      <c r="AG843" s="101">
        <f t="shared" si="196"/>
        <v>0.34857393867636005</v>
      </c>
      <c r="AH843" s="101">
        <f t="shared" si="196"/>
        <v>8.4567024855274786E-2</v>
      </c>
      <c r="AI843" s="101">
        <f t="shared" si="196"/>
        <v>3.9574033651724107E-2</v>
      </c>
      <c r="AJ843" s="101">
        <f t="shared" si="196"/>
        <v>3.1025695903062946E-2</v>
      </c>
      <c r="AK843" s="101">
        <f t="shared" si="196"/>
        <v>0.10476141328654576</v>
      </c>
      <c r="AL843" s="101">
        <f t="shared" si="196"/>
        <v>0.22166988039546737</v>
      </c>
      <c r="AM843" s="381">
        <f t="shared" si="198"/>
        <v>20.12733253900652</v>
      </c>
    </row>
    <row r="844" spans="1:39" x14ac:dyDescent="0.2">
      <c r="A844" s="8"/>
      <c r="B844" s="278" t="s">
        <v>904</v>
      </c>
      <c r="C844" s="118" t="s">
        <v>176</v>
      </c>
      <c r="D844" s="129"/>
      <c r="E844" s="101"/>
      <c r="F844" s="101">
        <f t="shared" si="195"/>
        <v>7.0416176509196111</v>
      </c>
      <c r="G844" s="101">
        <f t="shared" si="196"/>
        <v>1.0854050671567022</v>
      </c>
      <c r="H844" s="101">
        <f t="shared" si="196"/>
        <v>4.0081884291434564</v>
      </c>
      <c r="I844" s="101">
        <f t="shared" si="196"/>
        <v>7.4826604449750285</v>
      </c>
      <c r="J844" s="101">
        <f t="shared" si="196"/>
        <v>1.944538712648296</v>
      </c>
      <c r="K844" s="101">
        <f t="shared" si="196"/>
        <v>0.42317958230837616</v>
      </c>
      <c r="L844" s="101">
        <f t="shared" si="196"/>
        <v>1.0439866415035148</v>
      </c>
      <c r="M844" s="101">
        <f t="shared" si="196"/>
        <v>2.6696270456997202</v>
      </c>
      <c r="N844" s="101">
        <f t="shared" si="196"/>
        <v>6.1820304044246122</v>
      </c>
      <c r="O844" s="101">
        <f t="shared" si="196"/>
        <v>3.3069333483975765</v>
      </c>
      <c r="P844" s="101">
        <f t="shared" si="196"/>
        <v>4.9237981496899019</v>
      </c>
      <c r="Q844" s="101">
        <f t="shared" si="196"/>
        <v>24.582309287348263</v>
      </c>
      <c r="R844" s="101">
        <f t="shared" si="196"/>
        <v>16.447659400641808</v>
      </c>
      <c r="S844" s="101">
        <f t="shared" si="196"/>
        <v>23.323441413219882</v>
      </c>
      <c r="T844" s="101">
        <f t="shared" si="196"/>
        <v>16.976203665455277</v>
      </c>
      <c r="U844" s="101">
        <f t="shared" si="196"/>
        <v>29.380669049544856</v>
      </c>
      <c r="V844" s="101">
        <f t="shared" si="196"/>
        <v>15.306844201857714</v>
      </c>
      <c r="W844" s="101">
        <f t="shared" si="196"/>
        <v>2.2198177247109512</v>
      </c>
      <c r="X844" s="101">
        <f t="shared" si="196"/>
        <v>0.48066529526336271</v>
      </c>
      <c r="Y844" s="101">
        <f t="shared" si="196"/>
        <v>9.0975666779982767</v>
      </c>
      <c r="Z844" s="101">
        <f t="shared" si="196"/>
        <v>0.72900975565291126</v>
      </c>
      <c r="AA844" s="101">
        <f t="shared" si="196"/>
        <v>10.231527767403463</v>
      </c>
      <c r="AB844" s="101">
        <f t="shared" si="196"/>
        <v>0.16892844064749279</v>
      </c>
      <c r="AC844" s="101">
        <f t="shared" si="196"/>
        <v>39.266766688785907</v>
      </c>
      <c r="AD844" s="101">
        <f t="shared" si="196"/>
        <v>9.8404724983678342</v>
      </c>
      <c r="AE844" s="101">
        <f t="shared" si="196"/>
        <v>24.576121094057942</v>
      </c>
      <c r="AF844" s="101">
        <f t="shared" si="196"/>
        <v>22.008750923646588</v>
      </c>
      <c r="AG844" s="101">
        <f t="shared" si="196"/>
        <v>5.6933786568706122</v>
      </c>
      <c r="AH844" s="101">
        <f t="shared" si="196"/>
        <v>0.45898757942428897</v>
      </c>
      <c r="AI844" s="101">
        <f t="shared" si="196"/>
        <v>1.038497744555279</v>
      </c>
      <c r="AJ844" s="101">
        <f t="shared" si="196"/>
        <v>0.93721845907424273</v>
      </c>
      <c r="AK844" s="101">
        <f t="shared" si="196"/>
        <v>0.42093068043687798</v>
      </c>
      <c r="AL844" s="101">
        <f t="shared" si="196"/>
        <v>0.15363602896492057</v>
      </c>
      <c r="AM844" s="381">
        <f t="shared" si="198"/>
        <v>293.45136851079553</v>
      </c>
    </row>
    <row r="845" spans="1:39" x14ac:dyDescent="0.2">
      <c r="A845" s="8"/>
      <c r="B845" s="278" t="s">
        <v>905</v>
      </c>
      <c r="C845" s="118" t="s">
        <v>176</v>
      </c>
      <c r="D845" s="129"/>
      <c r="E845" s="101"/>
      <c r="F845" s="101">
        <f t="shared" si="195"/>
        <v>0</v>
      </c>
      <c r="G845" s="101">
        <f t="shared" si="196"/>
        <v>0</v>
      </c>
      <c r="H845" s="101">
        <f t="shared" si="196"/>
        <v>0</v>
      </c>
      <c r="I845" s="101">
        <f t="shared" si="196"/>
        <v>0</v>
      </c>
      <c r="J845" s="101">
        <f t="shared" si="196"/>
        <v>0</v>
      </c>
      <c r="K845" s="101">
        <f t="shared" si="196"/>
        <v>0</v>
      </c>
      <c r="L845" s="101">
        <f t="shared" si="196"/>
        <v>0</v>
      </c>
      <c r="M845" s="101">
        <f t="shared" si="196"/>
        <v>0</v>
      </c>
      <c r="N845" s="101">
        <f t="shared" si="196"/>
        <v>0</v>
      </c>
      <c r="O845" s="101">
        <f t="shared" si="196"/>
        <v>0</v>
      </c>
      <c r="P845" s="101">
        <f t="shared" si="196"/>
        <v>0</v>
      </c>
      <c r="Q845" s="101">
        <f t="shared" si="196"/>
        <v>0</v>
      </c>
      <c r="R845" s="101">
        <f t="shared" si="196"/>
        <v>0</v>
      </c>
      <c r="S845" s="101">
        <f t="shared" si="196"/>
        <v>0</v>
      </c>
      <c r="T845" s="101">
        <f t="shared" si="196"/>
        <v>0</v>
      </c>
      <c r="U845" s="101">
        <f t="shared" si="196"/>
        <v>0</v>
      </c>
      <c r="V845" s="101">
        <f t="shared" si="196"/>
        <v>0</v>
      </c>
      <c r="W845" s="101">
        <f t="shared" si="196"/>
        <v>0</v>
      </c>
      <c r="X845" s="101">
        <f t="shared" si="196"/>
        <v>0</v>
      </c>
      <c r="Y845" s="101">
        <f t="shared" si="196"/>
        <v>0</v>
      </c>
      <c r="Z845" s="101">
        <f t="shared" si="196"/>
        <v>0</v>
      </c>
      <c r="AA845" s="101">
        <f t="shared" si="196"/>
        <v>0</v>
      </c>
      <c r="AB845" s="101">
        <f t="shared" si="196"/>
        <v>0</v>
      </c>
      <c r="AC845" s="101">
        <f t="shared" si="196"/>
        <v>0</v>
      </c>
      <c r="AD845" s="101">
        <f t="shared" si="196"/>
        <v>0</v>
      </c>
      <c r="AE845" s="101">
        <f t="shared" si="196"/>
        <v>0</v>
      </c>
      <c r="AF845" s="101">
        <f t="shared" si="196"/>
        <v>0</v>
      </c>
      <c r="AG845" s="101">
        <f t="shared" si="196"/>
        <v>0</v>
      </c>
      <c r="AH845" s="101">
        <f t="shared" si="196"/>
        <v>0</v>
      </c>
      <c r="AI845" s="101">
        <f t="shared" si="196"/>
        <v>4.7745754577817499</v>
      </c>
      <c r="AJ845" s="101">
        <f t="shared" si="196"/>
        <v>0.50982802474173938</v>
      </c>
      <c r="AK845" s="101">
        <f t="shared" si="196"/>
        <v>0.1918940019711852</v>
      </c>
      <c r="AL845" s="101">
        <f t="shared" si="196"/>
        <v>0</v>
      </c>
      <c r="AM845" s="381">
        <f t="shared" si="198"/>
        <v>5.4762974844946744</v>
      </c>
    </row>
    <row r="846" spans="1:39" x14ac:dyDescent="0.2">
      <c r="A846" s="8"/>
      <c r="B846" s="278" t="s">
        <v>906</v>
      </c>
      <c r="C846" s="118" t="s">
        <v>176</v>
      </c>
      <c r="D846" s="129"/>
      <c r="E846" s="101"/>
      <c r="F846" s="101">
        <f t="shared" si="195"/>
        <v>0.19239395173536969</v>
      </c>
      <c r="G846" s="101">
        <f t="shared" si="196"/>
        <v>7.4955827244783876E-2</v>
      </c>
      <c r="H846" s="101">
        <f t="shared" si="196"/>
        <v>0.15860609671485223</v>
      </c>
      <c r="I846" s="101">
        <f t="shared" si="196"/>
        <v>0.20210082964337783</v>
      </c>
      <c r="J846" s="101">
        <f t="shared" si="196"/>
        <v>0.85126360755372232</v>
      </c>
      <c r="K846" s="101">
        <f t="shared" si="196"/>
        <v>0.11045192504444033</v>
      </c>
      <c r="L846" s="101">
        <f t="shared" si="196"/>
        <v>0.28931139977075859</v>
      </c>
      <c r="M846" s="101">
        <f t="shared" si="196"/>
        <v>0.31391339303177451</v>
      </c>
      <c r="N846" s="101">
        <f t="shared" si="196"/>
        <v>0.44444985227900757</v>
      </c>
      <c r="O846" s="101">
        <f t="shared" si="196"/>
        <v>0.81215148793789449</v>
      </c>
      <c r="P846" s="101">
        <f t="shared" si="196"/>
        <v>1.4384894237380947</v>
      </c>
      <c r="Q846" s="101">
        <f t="shared" si="196"/>
        <v>0.21709090619811222</v>
      </c>
      <c r="R846" s="101">
        <f t="shared" si="196"/>
        <v>4.3500272009076637</v>
      </c>
      <c r="S846" s="101">
        <f t="shared" si="196"/>
        <v>1.3225578614639337</v>
      </c>
      <c r="T846" s="101">
        <f t="shared" si="196"/>
        <v>4.8518633424713178</v>
      </c>
      <c r="U846" s="101">
        <f t="shared" si="196"/>
        <v>4.2413289766400242</v>
      </c>
      <c r="V846" s="101">
        <f t="shared" si="196"/>
        <v>7.6626565513391558</v>
      </c>
      <c r="W846" s="101">
        <f t="shared" si="196"/>
        <v>0.33406256442411175</v>
      </c>
      <c r="X846" s="101">
        <f t="shared" si="196"/>
        <v>3.9178453831979404E-2</v>
      </c>
      <c r="Y846" s="101">
        <f t="shared" si="196"/>
        <v>0.52672604565953263</v>
      </c>
      <c r="Z846" s="101">
        <f t="shared" si="196"/>
        <v>0.3055755554689466</v>
      </c>
      <c r="AA846" s="101">
        <f t="shared" si="196"/>
        <v>1.0455013746990403</v>
      </c>
      <c r="AB846" s="101">
        <f t="shared" si="196"/>
        <v>1.7485757495549352</v>
      </c>
      <c r="AC846" s="101">
        <f t="shared" si="196"/>
        <v>4.6601476265495112</v>
      </c>
      <c r="AD846" s="101">
        <f t="shared" si="196"/>
        <v>0.16373606712786642</v>
      </c>
      <c r="AE846" s="101">
        <f t="shared" si="196"/>
        <v>0.43048439965684643</v>
      </c>
      <c r="AF846" s="101">
        <f t="shared" si="196"/>
        <v>0.13012836545753334</v>
      </c>
      <c r="AG846" s="101">
        <f t="shared" si="196"/>
        <v>1.4266621323253563</v>
      </c>
      <c r="AH846" s="101">
        <f t="shared" si="196"/>
        <v>0.93009728754446219</v>
      </c>
      <c r="AI846" s="101">
        <f t="shared" si="196"/>
        <v>0.22496795452298898</v>
      </c>
      <c r="AJ846" s="101">
        <f t="shared" si="196"/>
        <v>0.21344748836055605</v>
      </c>
      <c r="AK846" s="101">
        <f t="shared" si="196"/>
        <v>0.35702993047424225</v>
      </c>
      <c r="AL846" s="101">
        <f t="shared" si="196"/>
        <v>0.17548990684571886</v>
      </c>
      <c r="AM846" s="381">
        <f t="shared" si="198"/>
        <v>40.245423536217906</v>
      </c>
    </row>
    <row r="847" spans="1:39" x14ac:dyDescent="0.2">
      <c r="A847" s="8"/>
      <c r="B847" s="107" t="s">
        <v>871</v>
      </c>
      <c r="C847" s="118" t="s">
        <v>176</v>
      </c>
      <c r="D847" s="129"/>
      <c r="E847" s="101"/>
      <c r="F847" s="101">
        <f t="shared" si="195"/>
        <v>15.34468068488048</v>
      </c>
      <c r="G847" s="101">
        <f t="shared" si="196"/>
        <v>17.128690616701199</v>
      </c>
      <c r="H847" s="101">
        <f t="shared" si="196"/>
        <v>20.620162331670688</v>
      </c>
      <c r="I847" s="101">
        <f t="shared" si="196"/>
        <v>19.146582233286491</v>
      </c>
      <c r="J847" s="101">
        <f t="shared" si="196"/>
        <v>11.834695126146318</v>
      </c>
      <c r="K847" s="101">
        <f t="shared" si="196"/>
        <v>5.0912295529312956</v>
      </c>
      <c r="L847" s="101">
        <f t="shared" si="196"/>
        <v>2.3264905305917334</v>
      </c>
      <c r="M847" s="101">
        <f t="shared" si="196"/>
        <v>13.913210682189934</v>
      </c>
      <c r="N847" s="101">
        <f t="shared" si="196"/>
        <v>31.745945916437933</v>
      </c>
      <c r="O847" s="101">
        <f t="shared" si="196"/>
        <v>26.763040708359217</v>
      </c>
      <c r="P847" s="101">
        <f t="shared" si="196"/>
        <v>26.244746740779568</v>
      </c>
      <c r="Q847" s="101">
        <f t="shared" si="196"/>
        <v>1.8116181042137662</v>
      </c>
      <c r="R847" s="101">
        <f t="shared" si="196"/>
        <v>6.3681701623726727</v>
      </c>
      <c r="S847" s="101">
        <f t="shared" si="196"/>
        <v>7.6751647239880318</v>
      </c>
      <c r="T847" s="101">
        <f t="shared" si="196"/>
        <v>21.715120085460985</v>
      </c>
      <c r="U847" s="101">
        <f t="shared" si="196"/>
        <v>62.841465063375779</v>
      </c>
      <c r="V847" s="101">
        <f t="shared" si="196"/>
        <v>9.9832089112804852</v>
      </c>
      <c r="W847" s="101">
        <f t="shared" si="196"/>
        <v>1.0393787557969723</v>
      </c>
      <c r="X847" s="101">
        <f t="shared" si="196"/>
        <v>0.12078242200227757</v>
      </c>
      <c r="Y847" s="101">
        <f t="shared" si="196"/>
        <v>1.0248155442527913</v>
      </c>
      <c r="Z847" s="101">
        <f t="shared" si="196"/>
        <v>0.7507120431943588</v>
      </c>
      <c r="AA847" s="101">
        <f t="shared" si="196"/>
        <v>1.3850340887300996</v>
      </c>
      <c r="AB847" s="101">
        <f t="shared" si="196"/>
        <v>1.6793181152568661</v>
      </c>
      <c r="AC847" s="101">
        <f t="shared" si="196"/>
        <v>8.2631478059539365</v>
      </c>
      <c r="AD847" s="101">
        <f t="shared" si="196"/>
        <v>0.26134672782126117</v>
      </c>
      <c r="AE847" s="101">
        <f t="shared" si="196"/>
        <v>0.26543875850121113</v>
      </c>
      <c r="AF847" s="101">
        <f t="shared" si="196"/>
        <v>0.14534586133718483</v>
      </c>
      <c r="AG847" s="101">
        <f t="shared" si="196"/>
        <v>0.74121070226032337</v>
      </c>
      <c r="AH847" s="101">
        <f t="shared" si="196"/>
        <v>4.0884100073941249E-2</v>
      </c>
      <c r="AI847" s="101">
        <f t="shared" si="196"/>
        <v>0.40141682623973651</v>
      </c>
      <c r="AJ847" s="101">
        <f t="shared" si="196"/>
        <v>0.39679968052030523</v>
      </c>
      <c r="AK847" s="101">
        <f t="shared" si="196"/>
        <v>0.39840188798130116</v>
      </c>
      <c r="AL847" s="101">
        <f t="shared" si="196"/>
        <v>0</v>
      </c>
      <c r="AM847" s="381">
        <f t="shared" si="198"/>
        <v>317.46825549458924</v>
      </c>
    </row>
    <row r="848" spans="1:39" x14ac:dyDescent="0.2">
      <c r="A848" s="8"/>
      <c r="B848" s="107" t="s">
        <v>872</v>
      </c>
      <c r="C848" s="118" t="s">
        <v>176</v>
      </c>
      <c r="D848" s="129"/>
      <c r="E848" s="101"/>
      <c r="F848" s="101">
        <f t="shared" si="195"/>
        <v>6.6105257758984154E-2</v>
      </c>
      <c r="G848" s="101">
        <f t="shared" si="196"/>
        <v>3.8431439764938522E-3</v>
      </c>
      <c r="H848" s="101">
        <f t="shared" si="196"/>
        <v>1.5540901292307464E-2</v>
      </c>
      <c r="I848" s="101">
        <f t="shared" si="196"/>
        <v>1.0410724451711283E-2</v>
      </c>
      <c r="J848" s="101">
        <f t="shared" si="196"/>
        <v>1.2434277903287614E-2</v>
      </c>
      <c r="K848" s="101">
        <f t="shared" si="196"/>
        <v>1.8336337802055399E-4</v>
      </c>
      <c r="L848" s="101">
        <f t="shared" si="196"/>
        <v>0</v>
      </c>
      <c r="M848" s="101">
        <f t="shared" si="196"/>
        <v>2.9384700613248528E-2</v>
      </c>
      <c r="N848" s="101">
        <f t="shared" si="196"/>
        <v>0.40363816206185582</v>
      </c>
      <c r="O848" s="101">
        <f t="shared" si="196"/>
        <v>0.32295647359329371</v>
      </c>
      <c r="P848" s="101">
        <f t="shared" si="196"/>
        <v>8.4734099535005228E-2</v>
      </c>
      <c r="Q848" s="101">
        <f t="shared" si="196"/>
        <v>5.9969150268833812E-3</v>
      </c>
      <c r="R848" s="101">
        <f t="shared" si="196"/>
        <v>0.12278057973764747</v>
      </c>
      <c r="S848" s="101">
        <f t="shared" si="196"/>
        <v>1.469164742885547</v>
      </c>
      <c r="T848" s="101">
        <f t="shared" si="196"/>
        <v>1.121309355839156</v>
      </c>
      <c r="U848" s="101">
        <f t="shared" ref="G848:AL856" si="199">U810*U702</f>
        <v>1.9476653522449379</v>
      </c>
      <c r="V848" s="101">
        <f t="shared" si="199"/>
        <v>0.48457715670527773</v>
      </c>
      <c r="W848" s="101">
        <f t="shared" si="199"/>
        <v>3.6505687935398795E-2</v>
      </c>
      <c r="X848" s="101">
        <f t="shared" si="199"/>
        <v>3.3708120786237494E-3</v>
      </c>
      <c r="Y848" s="101">
        <f t="shared" si="199"/>
        <v>4.8802310451855423E-2</v>
      </c>
      <c r="Z848" s="101">
        <f t="shared" si="199"/>
        <v>0.12472421323650421</v>
      </c>
      <c r="AA848" s="101">
        <f t="shared" si="199"/>
        <v>0.21501625929510546</v>
      </c>
      <c r="AB848" s="101">
        <f t="shared" si="199"/>
        <v>0.51344200475313562</v>
      </c>
      <c r="AC848" s="101">
        <f t="shared" si="199"/>
        <v>3.4349720591850224</v>
      </c>
      <c r="AD848" s="101">
        <f t="shared" si="199"/>
        <v>8.0219069140883364E-2</v>
      </c>
      <c r="AE848" s="101">
        <f t="shared" si="199"/>
        <v>3.2648301051335871E-2</v>
      </c>
      <c r="AF848" s="101">
        <f t="shared" si="199"/>
        <v>5.8118770837783586E-2</v>
      </c>
      <c r="AG848" s="101">
        <f t="shared" si="199"/>
        <v>0.21597860614261655</v>
      </c>
      <c r="AH848" s="101">
        <f t="shared" si="199"/>
        <v>9.6740876985723524E-3</v>
      </c>
      <c r="AI848" s="101">
        <f t="shared" si="199"/>
        <v>0.21541493372410836</v>
      </c>
      <c r="AJ848" s="101">
        <f t="shared" si="199"/>
        <v>0.12711974222535444</v>
      </c>
      <c r="AK848" s="101">
        <f t="shared" si="199"/>
        <v>0.1168883745485348</v>
      </c>
      <c r="AL848" s="101">
        <f t="shared" si="199"/>
        <v>8.7891033123363633E-4</v>
      </c>
      <c r="AM848" s="381">
        <f t="shared" si="198"/>
        <v>11.334499349639726</v>
      </c>
    </row>
    <row r="849" spans="1:39" x14ac:dyDescent="0.2">
      <c r="A849" s="8"/>
      <c r="B849" s="107" t="s">
        <v>873</v>
      </c>
      <c r="C849" s="118" t="s">
        <v>176</v>
      </c>
      <c r="D849" s="129"/>
      <c r="E849" s="101"/>
      <c r="F849" s="101">
        <f t="shared" si="195"/>
        <v>7.1903511087718095E-4</v>
      </c>
      <c r="G849" s="101">
        <f t="shared" si="199"/>
        <v>1.2366099384086937E-4</v>
      </c>
      <c r="H849" s="101">
        <f t="shared" si="199"/>
        <v>2.4060437124336239E-4</v>
      </c>
      <c r="I849" s="101">
        <f t="shared" si="199"/>
        <v>2.9200214549464067E-4</v>
      </c>
      <c r="J849" s="101">
        <f t="shared" si="199"/>
        <v>0</v>
      </c>
      <c r="K849" s="101">
        <f t="shared" si="199"/>
        <v>0</v>
      </c>
      <c r="L849" s="101">
        <f t="shared" si="199"/>
        <v>0</v>
      </c>
      <c r="M849" s="101">
        <f t="shared" si="199"/>
        <v>6.394829469002954E-4</v>
      </c>
      <c r="N849" s="101">
        <f t="shared" si="199"/>
        <v>2.2634579058149848E-2</v>
      </c>
      <c r="O849" s="101">
        <f t="shared" si="199"/>
        <v>0.1535240316692274</v>
      </c>
      <c r="P849" s="101">
        <f t="shared" si="199"/>
        <v>5.2896607086309493E-2</v>
      </c>
      <c r="Q849" s="101">
        <f t="shared" si="199"/>
        <v>3.7865483555719767E-2</v>
      </c>
      <c r="R849" s="101">
        <f t="shared" si="199"/>
        <v>9.9871032292236722E-5</v>
      </c>
      <c r="S849" s="101">
        <f t="shared" si="199"/>
        <v>6.473332590816951E-3</v>
      </c>
      <c r="T849" s="101">
        <f t="shared" si="199"/>
        <v>6.5221287965204159E-3</v>
      </c>
      <c r="U849" s="101">
        <f t="shared" si="199"/>
        <v>4.4698104115605125E-2</v>
      </c>
      <c r="V849" s="101">
        <f t="shared" si="199"/>
        <v>0.17606331311978607</v>
      </c>
      <c r="W849" s="101">
        <f t="shared" si="199"/>
        <v>6.848980165825494E-2</v>
      </c>
      <c r="X849" s="101">
        <f t="shared" si="199"/>
        <v>8.4081194180520291E-3</v>
      </c>
      <c r="Y849" s="101">
        <f t="shared" si="199"/>
        <v>5.7182239919866887E-2</v>
      </c>
      <c r="Z849" s="101">
        <f t="shared" si="199"/>
        <v>3.531838916481133E-2</v>
      </c>
      <c r="AA849" s="101">
        <f t="shared" si="199"/>
        <v>7.0461228690775896E-2</v>
      </c>
      <c r="AB849" s="101">
        <f t="shared" si="199"/>
        <v>0.10761956202529908</v>
      </c>
      <c r="AC849" s="101">
        <f t="shared" si="199"/>
        <v>1.0886219837351465</v>
      </c>
      <c r="AD849" s="101">
        <f t="shared" si="199"/>
        <v>2.1811753693366378E-2</v>
      </c>
      <c r="AE849" s="101">
        <f t="shared" si="199"/>
        <v>4.2648711311496654E-2</v>
      </c>
      <c r="AF849" s="101">
        <f t="shared" si="199"/>
        <v>2.1255099523025293E-2</v>
      </c>
      <c r="AG849" s="101">
        <f t="shared" si="199"/>
        <v>2.0524595550031232E-2</v>
      </c>
      <c r="AH849" s="101">
        <f t="shared" si="199"/>
        <v>1.1626147736965623E-4</v>
      </c>
      <c r="AI849" s="101">
        <f t="shared" si="199"/>
        <v>3.9656068536861357E-3</v>
      </c>
      <c r="AJ849" s="101">
        <f t="shared" si="199"/>
        <v>5.6998756925578549E-3</v>
      </c>
      <c r="AK849" s="101">
        <f t="shared" si="199"/>
        <v>1.1295710159452755E-3</v>
      </c>
      <c r="AL849" s="101">
        <f t="shared" si="199"/>
        <v>0</v>
      </c>
      <c r="AM849" s="381">
        <f t="shared" si="198"/>
        <v>2.0560450363224692</v>
      </c>
    </row>
    <row r="850" spans="1:39" x14ac:dyDescent="0.2">
      <c r="A850" s="8"/>
      <c r="B850" s="107" t="s">
        <v>874</v>
      </c>
      <c r="C850" s="118" t="s">
        <v>176</v>
      </c>
      <c r="D850" s="129"/>
      <c r="E850" s="101"/>
      <c r="F850" s="101">
        <f t="shared" si="195"/>
        <v>8.3700201969241408E-3</v>
      </c>
      <c r="G850" s="101">
        <f t="shared" si="199"/>
        <v>1.060379149958582E-2</v>
      </c>
      <c r="H850" s="101">
        <f t="shared" si="199"/>
        <v>1.2780287901085961E-2</v>
      </c>
      <c r="I850" s="101">
        <f t="shared" si="199"/>
        <v>1.7485391556677169E-2</v>
      </c>
      <c r="J850" s="101">
        <f t="shared" si="199"/>
        <v>1.4178562727983699E-3</v>
      </c>
      <c r="K850" s="101">
        <f t="shared" si="199"/>
        <v>5.2455518361403533E-4</v>
      </c>
      <c r="L850" s="101">
        <f t="shared" si="199"/>
        <v>7.6988840284198195E-5</v>
      </c>
      <c r="M850" s="101">
        <f t="shared" si="199"/>
        <v>2.1981072217631624E-3</v>
      </c>
      <c r="N850" s="101">
        <f t="shared" si="199"/>
        <v>2.4890182299306594E-2</v>
      </c>
      <c r="O850" s="101">
        <f t="shared" si="199"/>
        <v>3.4105655018672035E-2</v>
      </c>
      <c r="P850" s="101">
        <f t="shared" si="199"/>
        <v>5.8329242451307687E-3</v>
      </c>
      <c r="Q850" s="101">
        <f t="shared" si="199"/>
        <v>1.8196738364892917E-4</v>
      </c>
      <c r="R850" s="101">
        <f t="shared" si="199"/>
        <v>6.5210367929194088E-2</v>
      </c>
      <c r="S850" s="101">
        <f t="shared" si="199"/>
        <v>4.757938910370843E-2</v>
      </c>
      <c r="T850" s="101">
        <f t="shared" si="199"/>
        <v>9.1578848060190121E-2</v>
      </c>
      <c r="U850" s="101">
        <f t="shared" si="199"/>
        <v>5.5928394073946203E-2</v>
      </c>
      <c r="V850" s="101">
        <f t="shared" si="199"/>
        <v>1.7833551329490913E-2</v>
      </c>
      <c r="W850" s="101">
        <f t="shared" si="199"/>
        <v>7.9271835411388067E-4</v>
      </c>
      <c r="X850" s="101">
        <f t="shared" si="199"/>
        <v>0</v>
      </c>
      <c r="Y850" s="101">
        <f t="shared" si="199"/>
        <v>2.4840970491647965E-5</v>
      </c>
      <c r="Z850" s="101">
        <f t="shared" si="199"/>
        <v>2.9802997829129878E-4</v>
      </c>
      <c r="AA850" s="101">
        <f t="shared" si="199"/>
        <v>2.2954449085435351E-4</v>
      </c>
      <c r="AB850" s="101">
        <f t="shared" si="199"/>
        <v>6.1538978864442086E-4</v>
      </c>
      <c r="AC850" s="101">
        <f t="shared" si="199"/>
        <v>5.1505011942772428E-3</v>
      </c>
      <c r="AD850" s="101">
        <f t="shared" si="199"/>
        <v>4.515174640490614E-4</v>
      </c>
      <c r="AE850" s="101">
        <f t="shared" si="199"/>
        <v>1.7116648734587638E-4</v>
      </c>
      <c r="AF850" s="101">
        <f t="shared" si="199"/>
        <v>2.2253460400357877E-4</v>
      </c>
      <c r="AG850" s="101">
        <f t="shared" si="199"/>
        <v>7.7707411018987545E-4</v>
      </c>
      <c r="AH850" s="101">
        <f t="shared" si="199"/>
        <v>1.3665929659376279E-5</v>
      </c>
      <c r="AI850" s="101">
        <f t="shared" si="199"/>
        <v>1.9779992630752842E-4</v>
      </c>
      <c r="AJ850" s="101">
        <f t="shared" si="199"/>
        <v>3.4063683109582786E-4</v>
      </c>
      <c r="AK850" s="101">
        <f t="shared" si="199"/>
        <v>2.872501082780857E-5</v>
      </c>
      <c r="AL850" s="101">
        <f t="shared" si="199"/>
        <v>7.9804206831141339E-6</v>
      </c>
      <c r="AM850" s="381">
        <f t="shared" si="198"/>
        <v>0.40592040367685583</v>
      </c>
    </row>
    <row r="851" spans="1:39" x14ac:dyDescent="0.2">
      <c r="A851" s="8"/>
      <c r="B851" s="107" t="s">
        <v>875</v>
      </c>
      <c r="C851" s="118" t="s">
        <v>176</v>
      </c>
      <c r="D851" s="129"/>
      <c r="E851" s="101"/>
      <c r="F851" s="101">
        <f t="shared" si="195"/>
        <v>2.156874759987327</v>
      </c>
      <c r="G851" s="101">
        <f t="shared" si="199"/>
        <v>0.5066675542726744</v>
      </c>
      <c r="H851" s="101">
        <f t="shared" si="199"/>
        <v>9.2357824418835013E-2</v>
      </c>
      <c r="I851" s="101">
        <f t="shared" si="199"/>
        <v>2.6317841945755585</v>
      </c>
      <c r="J851" s="101">
        <f t="shared" si="199"/>
        <v>0.61722462794397481</v>
      </c>
      <c r="K851" s="101">
        <f t="shared" si="199"/>
        <v>0.48487310632942437</v>
      </c>
      <c r="L851" s="101">
        <f t="shared" si="199"/>
        <v>3.1841151241524299E-2</v>
      </c>
      <c r="M851" s="101">
        <f t="shared" si="199"/>
        <v>0.96672082722558228</v>
      </c>
      <c r="N851" s="101">
        <f t="shared" si="199"/>
        <v>0.73892221545181891</v>
      </c>
      <c r="O851" s="101">
        <f t="shared" si="199"/>
        <v>7.7430633501386653E-2</v>
      </c>
      <c r="P851" s="101">
        <f t="shared" si="199"/>
        <v>0.14984645262363921</v>
      </c>
      <c r="Q851" s="101">
        <f t="shared" si="199"/>
        <v>3.6799818837000248E-3</v>
      </c>
      <c r="R851" s="101">
        <f t="shared" si="199"/>
        <v>0.1277996029668147</v>
      </c>
      <c r="S851" s="101">
        <f t="shared" si="199"/>
        <v>0.23269694056350843</v>
      </c>
      <c r="T851" s="101">
        <f t="shared" si="199"/>
        <v>0.2343489501390478</v>
      </c>
      <c r="U851" s="101">
        <f t="shared" si="199"/>
        <v>0.3066123138928179</v>
      </c>
      <c r="V851" s="101">
        <f t="shared" si="199"/>
        <v>7.252901783383843E-2</v>
      </c>
      <c r="W851" s="101">
        <f t="shared" si="199"/>
        <v>1.6674438018578177E-2</v>
      </c>
      <c r="X851" s="101">
        <f t="shared" si="199"/>
        <v>9.2785211488896586E-5</v>
      </c>
      <c r="Y851" s="101">
        <f t="shared" si="199"/>
        <v>2.9028822176809742E-3</v>
      </c>
      <c r="Z851" s="101">
        <f t="shared" si="199"/>
        <v>9.1610351281586726E-3</v>
      </c>
      <c r="AA851" s="101">
        <f t="shared" si="199"/>
        <v>5.4282273749844054E-3</v>
      </c>
      <c r="AB851" s="101">
        <f t="shared" si="199"/>
        <v>6.9900253166676075E-4</v>
      </c>
      <c r="AC851" s="101">
        <f t="shared" si="199"/>
        <v>0.28392282655677398</v>
      </c>
      <c r="AD851" s="101">
        <f t="shared" si="199"/>
        <v>9.0311398565365766E-3</v>
      </c>
      <c r="AE851" s="101">
        <f t="shared" si="199"/>
        <v>9.2337794985368465E-3</v>
      </c>
      <c r="AF851" s="101">
        <f t="shared" si="199"/>
        <v>2.761927398226571E-3</v>
      </c>
      <c r="AG851" s="101">
        <f t="shared" si="199"/>
        <v>2.4778843614944954E-2</v>
      </c>
      <c r="AH851" s="101">
        <f t="shared" si="199"/>
        <v>5.9975016122142122E-4</v>
      </c>
      <c r="AI851" s="101">
        <f t="shared" si="199"/>
        <v>1.2898942798832981E-2</v>
      </c>
      <c r="AJ851" s="101">
        <f t="shared" si="199"/>
        <v>5.0346334774495002E-3</v>
      </c>
      <c r="AK851" s="101">
        <f t="shared" si="199"/>
        <v>5.2286963688076126E-3</v>
      </c>
      <c r="AL851" s="101">
        <f t="shared" si="199"/>
        <v>1.7450519893742905E-3</v>
      </c>
      <c r="AM851" s="381">
        <f t="shared" si="198"/>
        <v>9.8224041170547363</v>
      </c>
    </row>
    <row r="852" spans="1:39" x14ac:dyDescent="0.2">
      <c r="A852" s="8"/>
      <c r="B852" s="107" t="s">
        <v>876</v>
      </c>
      <c r="C852" s="118" t="s">
        <v>176</v>
      </c>
      <c r="D852" s="129"/>
      <c r="E852" s="101"/>
      <c r="F852" s="101">
        <f t="shared" si="195"/>
        <v>2.8849951336947739</v>
      </c>
      <c r="G852" s="101">
        <f t="shared" si="199"/>
        <v>2.0664725401735602</v>
      </c>
      <c r="H852" s="101">
        <f t="shared" si="199"/>
        <v>2.3452394627688813</v>
      </c>
      <c r="I852" s="101">
        <f t="shared" si="199"/>
        <v>5.1677020485302254</v>
      </c>
      <c r="J852" s="101">
        <f t="shared" si="199"/>
        <v>2.0925083894224326</v>
      </c>
      <c r="K852" s="101">
        <f t="shared" si="199"/>
        <v>0.74301482873083347</v>
      </c>
      <c r="L852" s="101">
        <f t="shared" si="199"/>
        <v>5.2419218286566163E-2</v>
      </c>
      <c r="M852" s="101">
        <f t="shared" si="199"/>
        <v>1.3400018094654242</v>
      </c>
      <c r="N852" s="101">
        <f t="shared" si="199"/>
        <v>4.730820643928392</v>
      </c>
      <c r="O852" s="101">
        <f t="shared" si="199"/>
        <v>0.80532638126934941</v>
      </c>
      <c r="P852" s="101">
        <f t="shared" si="199"/>
        <v>0.70976005547911591</v>
      </c>
      <c r="Q852" s="101">
        <f t="shared" si="199"/>
        <v>1.3951605324138637E-2</v>
      </c>
      <c r="R852" s="101">
        <f t="shared" si="199"/>
        <v>0.70997735311804666</v>
      </c>
      <c r="S852" s="101">
        <f t="shared" si="199"/>
        <v>1.2482412333540511</v>
      </c>
      <c r="T852" s="101">
        <f t="shared" si="199"/>
        <v>1.5101437338273422</v>
      </c>
      <c r="U852" s="101">
        <f t="shared" si="199"/>
        <v>3.1063789389488985</v>
      </c>
      <c r="V852" s="101">
        <f t="shared" si="199"/>
        <v>0.42769589621805953</v>
      </c>
      <c r="W852" s="101">
        <f t="shared" si="199"/>
        <v>1.1671844835257367E-2</v>
      </c>
      <c r="X852" s="101">
        <f t="shared" si="199"/>
        <v>3.2302353237549639E-3</v>
      </c>
      <c r="Y852" s="101">
        <f t="shared" si="199"/>
        <v>5.8483184732314224E-2</v>
      </c>
      <c r="Z852" s="101">
        <f t="shared" si="199"/>
        <v>0.1018176612889886</v>
      </c>
      <c r="AA852" s="101">
        <f t="shared" si="199"/>
        <v>0.38813025975050802</v>
      </c>
      <c r="AB852" s="101">
        <f t="shared" si="199"/>
        <v>7.9741136317712114E-3</v>
      </c>
      <c r="AC852" s="101">
        <f t="shared" si="199"/>
        <v>1.0266093337903786</v>
      </c>
      <c r="AD852" s="101">
        <f t="shared" si="199"/>
        <v>3.4446322474947867E-2</v>
      </c>
      <c r="AE852" s="101">
        <f t="shared" si="199"/>
        <v>8.1620755130712708E-2</v>
      </c>
      <c r="AF852" s="101">
        <f t="shared" si="199"/>
        <v>2.2165372321638122E-2</v>
      </c>
      <c r="AG852" s="101">
        <f t="shared" si="199"/>
        <v>0.15627168879312847</v>
      </c>
      <c r="AH852" s="101">
        <f t="shared" si="199"/>
        <v>3.7031761732301328E-3</v>
      </c>
      <c r="AI852" s="101">
        <f t="shared" si="199"/>
        <v>8.5522911104940799E-2</v>
      </c>
      <c r="AJ852" s="101">
        <f t="shared" si="199"/>
        <v>4.8959333586457904E-2</v>
      </c>
      <c r="AK852" s="101">
        <f t="shared" si="199"/>
        <v>0.14105906994009534</v>
      </c>
      <c r="AL852" s="101">
        <f t="shared" si="199"/>
        <v>2.0451310078606826E-2</v>
      </c>
      <c r="AM852" s="381">
        <f t="shared" si="198"/>
        <v>32.146765845496816</v>
      </c>
    </row>
    <row r="853" spans="1:39" x14ac:dyDescent="0.2">
      <c r="A853" s="8"/>
      <c r="B853" s="107" t="s">
        <v>877</v>
      </c>
      <c r="C853" s="118" t="s">
        <v>176</v>
      </c>
      <c r="D853" s="129"/>
      <c r="E853" s="101"/>
      <c r="F853" s="101">
        <f t="shared" si="195"/>
        <v>8.475137333249616E-3</v>
      </c>
      <c r="G853" s="101">
        <f t="shared" si="199"/>
        <v>6.4654485962473765E-3</v>
      </c>
      <c r="H853" s="101">
        <f t="shared" si="199"/>
        <v>1.7930000466953089E-2</v>
      </c>
      <c r="I853" s="101">
        <f t="shared" si="199"/>
        <v>3.2199227466261603E-3</v>
      </c>
      <c r="J853" s="101">
        <f t="shared" si="199"/>
        <v>7.6982412156412841E-3</v>
      </c>
      <c r="K853" s="101">
        <f t="shared" si="199"/>
        <v>4.016573778882134E-3</v>
      </c>
      <c r="L853" s="101">
        <f t="shared" si="199"/>
        <v>2.9880227500510897E-3</v>
      </c>
      <c r="M853" s="101">
        <f t="shared" si="199"/>
        <v>1.4057240202704061E-4</v>
      </c>
      <c r="N853" s="101">
        <f t="shared" si="199"/>
        <v>1.2220874863846257E-3</v>
      </c>
      <c r="O853" s="101">
        <f t="shared" si="199"/>
        <v>1.0278878868768446E-3</v>
      </c>
      <c r="P853" s="101">
        <f t="shared" si="199"/>
        <v>4.5806238228945396E-3</v>
      </c>
      <c r="Q853" s="101">
        <f t="shared" si="199"/>
        <v>1.2045183252646311E-3</v>
      </c>
      <c r="R853" s="101">
        <f t="shared" si="199"/>
        <v>6.2032890401644607E-2</v>
      </c>
      <c r="S853" s="101">
        <f t="shared" si="199"/>
        <v>3.9437394722364058E-2</v>
      </c>
      <c r="T853" s="101">
        <f t="shared" si="199"/>
        <v>0.11515692038033819</v>
      </c>
      <c r="U853" s="101">
        <f t="shared" si="199"/>
        <v>0.113252516078305</v>
      </c>
      <c r="V853" s="101">
        <f t="shared" si="199"/>
        <v>2.1623342249977973E-2</v>
      </c>
      <c r="W853" s="101">
        <f t="shared" si="199"/>
        <v>2.0685975554125902E-3</v>
      </c>
      <c r="X853" s="101">
        <f t="shared" si="199"/>
        <v>1.0146564060400678E-4</v>
      </c>
      <c r="Y853" s="101">
        <f t="shared" si="199"/>
        <v>5.1385842728578872E-3</v>
      </c>
      <c r="Z853" s="101">
        <f t="shared" si="199"/>
        <v>2.1428601744911559E-4</v>
      </c>
      <c r="AA853" s="101">
        <f t="shared" si="199"/>
        <v>3.4963697046938146E-3</v>
      </c>
      <c r="AB853" s="101">
        <f t="shared" si="199"/>
        <v>5.4607392750871523E-4</v>
      </c>
      <c r="AC853" s="101">
        <f t="shared" si="199"/>
        <v>8.6994973445391737E-3</v>
      </c>
      <c r="AD853" s="101">
        <f t="shared" si="199"/>
        <v>2.2404929308907123E-3</v>
      </c>
      <c r="AE853" s="101">
        <f t="shared" si="199"/>
        <v>9.4642176110432547E-3</v>
      </c>
      <c r="AF853" s="101">
        <f t="shared" si="199"/>
        <v>1.1744218254211021E-3</v>
      </c>
      <c r="AG853" s="101">
        <f t="shared" si="199"/>
        <v>9.5307527146845459E-3</v>
      </c>
      <c r="AH853" s="101">
        <f t="shared" si="199"/>
        <v>5.495448309834291E-4</v>
      </c>
      <c r="AI853" s="101">
        <f t="shared" si="199"/>
        <v>0</v>
      </c>
      <c r="AJ853" s="101">
        <f t="shared" si="199"/>
        <v>0</v>
      </c>
      <c r="AK853" s="101">
        <f t="shared" si="199"/>
        <v>1.2836176441346513E-4</v>
      </c>
      <c r="AL853" s="101">
        <f t="shared" si="199"/>
        <v>0</v>
      </c>
      <c r="AM853" s="381">
        <f t="shared" si="198"/>
        <v>0.45382476678423006</v>
      </c>
    </row>
    <row r="854" spans="1:39" x14ac:dyDescent="0.2">
      <c r="A854" s="8"/>
      <c r="B854" s="107" t="s">
        <v>878</v>
      </c>
      <c r="C854" s="118" t="s">
        <v>176</v>
      </c>
      <c r="D854" s="129"/>
      <c r="E854" s="101"/>
      <c r="F854" s="101">
        <f t="shared" si="195"/>
        <v>14.619461186251556</v>
      </c>
      <c r="G854" s="101">
        <f t="shared" si="199"/>
        <v>3.9336528917193534</v>
      </c>
      <c r="H854" s="101">
        <f t="shared" si="199"/>
        <v>2.4702227128272809</v>
      </c>
      <c r="I854" s="101">
        <f t="shared" si="199"/>
        <v>48.147716690439076</v>
      </c>
      <c r="J854" s="101">
        <f t="shared" si="199"/>
        <v>3.4875275557002561</v>
      </c>
      <c r="K854" s="101">
        <f t="shared" si="199"/>
        <v>4.5750048147318898</v>
      </c>
      <c r="L854" s="101">
        <f t="shared" si="199"/>
        <v>1.5334440456587091E-2</v>
      </c>
      <c r="M854" s="101">
        <f t="shared" si="199"/>
        <v>23.170126130685208</v>
      </c>
      <c r="N854" s="101">
        <f t="shared" si="199"/>
        <v>35.363259239117731</v>
      </c>
      <c r="O854" s="101">
        <f t="shared" si="199"/>
        <v>0.65523228913396758</v>
      </c>
      <c r="P854" s="101">
        <f t="shared" si="199"/>
        <v>3.2252780260650947E-2</v>
      </c>
      <c r="Q854" s="101">
        <f t="shared" si="199"/>
        <v>2.2680500002403767</v>
      </c>
      <c r="R854" s="101">
        <f t="shared" si="199"/>
        <v>1.0735950305423722E-2</v>
      </c>
      <c r="S854" s="101">
        <f t="shared" si="199"/>
        <v>5.4905979340354677E-3</v>
      </c>
      <c r="T854" s="101">
        <f t="shared" si="199"/>
        <v>0.1755644429053764</v>
      </c>
      <c r="U854" s="101">
        <f t="shared" si="199"/>
        <v>9.3959477905531159</v>
      </c>
      <c r="V854" s="101">
        <f t="shared" si="199"/>
        <v>2.0337037942161342</v>
      </c>
      <c r="W854" s="101">
        <f t="shared" si="199"/>
        <v>9.0933434427362958E-2</v>
      </c>
      <c r="X854" s="101">
        <f t="shared" si="199"/>
        <v>0</v>
      </c>
      <c r="Y854" s="101">
        <f t="shared" si="199"/>
        <v>0</v>
      </c>
      <c r="Z854" s="101">
        <f t="shared" si="199"/>
        <v>0</v>
      </c>
      <c r="AA854" s="101">
        <f t="shared" si="199"/>
        <v>0</v>
      </c>
      <c r="AB854" s="101">
        <f t="shared" si="199"/>
        <v>0</v>
      </c>
      <c r="AC854" s="101">
        <f t="shared" si="199"/>
        <v>1.139433324463548E-2</v>
      </c>
      <c r="AD854" s="101">
        <f t="shared" si="199"/>
        <v>1.9342254425127312E-3</v>
      </c>
      <c r="AE854" s="101">
        <f t="shared" si="199"/>
        <v>0</v>
      </c>
      <c r="AF854" s="101">
        <f t="shared" si="199"/>
        <v>1.0103035212714089E-2</v>
      </c>
      <c r="AG854" s="101">
        <f t="shared" si="199"/>
        <v>1.0158738694092536E-2</v>
      </c>
      <c r="AH854" s="101">
        <f t="shared" si="199"/>
        <v>0</v>
      </c>
      <c r="AI854" s="101">
        <f t="shared" si="199"/>
        <v>0</v>
      </c>
      <c r="AJ854" s="101">
        <f t="shared" si="199"/>
        <v>0</v>
      </c>
      <c r="AK854" s="101">
        <f t="shared" si="199"/>
        <v>0</v>
      </c>
      <c r="AL854" s="101">
        <f t="shared" si="199"/>
        <v>0</v>
      </c>
      <c r="AM854" s="381">
        <f t="shared" si="198"/>
        <v>150.48380707449931</v>
      </c>
    </row>
    <row r="855" spans="1:39" x14ac:dyDescent="0.2">
      <c r="A855" s="8"/>
      <c r="B855" s="107" t="s">
        <v>879</v>
      </c>
      <c r="C855" s="118" t="s">
        <v>176</v>
      </c>
      <c r="D855" s="129"/>
      <c r="E855" s="101"/>
      <c r="F855" s="101">
        <f t="shared" si="195"/>
        <v>5.024770088008465E-2</v>
      </c>
      <c r="G855" s="101">
        <f t="shared" si="199"/>
        <v>3.654546442874463E-2</v>
      </c>
      <c r="H855" s="101">
        <f t="shared" si="199"/>
        <v>9.3508974244429555E-2</v>
      </c>
      <c r="I855" s="101">
        <f t="shared" si="199"/>
        <v>0.60543883338321502</v>
      </c>
      <c r="J855" s="101">
        <f t="shared" si="199"/>
        <v>1.1920730664995157E-2</v>
      </c>
      <c r="K855" s="101">
        <f t="shared" si="199"/>
        <v>0.11394506280746926</v>
      </c>
      <c r="L855" s="101">
        <f t="shared" si="199"/>
        <v>4.7392919324120049E-3</v>
      </c>
      <c r="M855" s="101">
        <f t="shared" si="199"/>
        <v>0.71624516596745169</v>
      </c>
      <c r="N855" s="101">
        <f t="shared" si="199"/>
        <v>0.28718549319616959</v>
      </c>
      <c r="O855" s="101">
        <f t="shared" si="199"/>
        <v>8.5896506531808869E-3</v>
      </c>
      <c r="P855" s="101">
        <f t="shared" si="199"/>
        <v>4.8892044326050458E-3</v>
      </c>
      <c r="Q855" s="101">
        <f t="shared" si="199"/>
        <v>1.3877911222772224E-2</v>
      </c>
      <c r="R855" s="101">
        <f t="shared" si="199"/>
        <v>7.304028072546212E-2</v>
      </c>
      <c r="S855" s="101">
        <f t="shared" si="199"/>
        <v>5.1372224044033722E-3</v>
      </c>
      <c r="T855" s="101">
        <f t="shared" si="199"/>
        <v>3.6186303084118372E-3</v>
      </c>
      <c r="U855" s="101">
        <f t="shared" si="199"/>
        <v>5.8823733081698026E-2</v>
      </c>
      <c r="V855" s="101">
        <f t="shared" si="199"/>
        <v>1.0717451938905304E-2</v>
      </c>
      <c r="W855" s="101">
        <f t="shared" si="199"/>
        <v>3.3553729728572643E-4</v>
      </c>
      <c r="X855" s="101">
        <f t="shared" si="199"/>
        <v>7.9086301585417566E-4</v>
      </c>
      <c r="Y855" s="101">
        <f t="shared" si="199"/>
        <v>3.7593083207212129E-3</v>
      </c>
      <c r="Z855" s="101">
        <f t="shared" si="199"/>
        <v>3.1014146622136861E-3</v>
      </c>
      <c r="AA855" s="101">
        <f t="shared" si="199"/>
        <v>3.3360656380914942E-3</v>
      </c>
      <c r="AB855" s="101">
        <f t="shared" si="199"/>
        <v>1.3218443186110212E-3</v>
      </c>
      <c r="AC855" s="101">
        <f t="shared" si="199"/>
        <v>7.4591461868447825E-3</v>
      </c>
      <c r="AD855" s="101">
        <f t="shared" si="199"/>
        <v>6.9100451032448849E-3</v>
      </c>
      <c r="AE855" s="101">
        <f t="shared" si="199"/>
        <v>2.7949100258711182E-4</v>
      </c>
      <c r="AF855" s="101">
        <f t="shared" si="199"/>
        <v>3.4600970959238701E-3</v>
      </c>
      <c r="AG855" s="101">
        <f t="shared" si="199"/>
        <v>6.5276985461292566E-4</v>
      </c>
      <c r="AH855" s="101">
        <f t="shared" si="199"/>
        <v>8.0704842207436384E-4</v>
      </c>
      <c r="AI855" s="101">
        <f t="shared" si="199"/>
        <v>1.4132435067903144E-2</v>
      </c>
      <c r="AJ855" s="101">
        <f t="shared" si="199"/>
        <v>1.2485581059304692E-2</v>
      </c>
      <c r="AK855" s="101">
        <f t="shared" si="199"/>
        <v>1.0903165905038356E-2</v>
      </c>
      <c r="AL855" s="101">
        <f t="shared" si="199"/>
        <v>4.0279337850592123E-2</v>
      </c>
      <c r="AM855" s="381">
        <f t="shared" si="198"/>
        <v>2.2084849530733131</v>
      </c>
    </row>
    <row r="856" spans="1:39" x14ac:dyDescent="0.2">
      <c r="A856" s="8"/>
      <c r="B856" s="107" t="s">
        <v>880</v>
      </c>
      <c r="C856" s="118" t="s">
        <v>176</v>
      </c>
      <c r="D856" s="129"/>
      <c r="E856" s="101"/>
      <c r="F856" s="101">
        <f t="shared" si="195"/>
        <v>5.5242979859975184E-13</v>
      </c>
      <c r="G856" s="101">
        <f t="shared" si="199"/>
        <v>8.2652048874837496E-13</v>
      </c>
      <c r="H856" s="101">
        <f t="shared" si="199"/>
        <v>5.4805639165639701E-13</v>
      </c>
      <c r="I856" s="101">
        <f t="shared" si="199"/>
        <v>6.0229090636062901E-13</v>
      </c>
      <c r="J856" s="101">
        <f t="shared" si="199"/>
        <v>5.9589236391484442E-13</v>
      </c>
      <c r="K856" s="101">
        <f t="shared" si="199"/>
        <v>4.2456136080171635E-13</v>
      </c>
      <c r="L856" s="101">
        <f t="shared" si="199"/>
        <v>1.0854144240762911E-12</v>
      </c>
      <c r="M856" s="101">
        <f t="shared" si="199"/>
        <v>5.6014920527894422E-13</v>
      </c>
      <c r="N856" s="101">
        <f t="shared" si="199"/>
        <v>3.5918265144449868E-13</v>
      </c>
      <c r="O856" s="101">
        <f t="shared" si="199"/>
        <v>5.5311643667843641E-13</v>
      </c>
      <c r="P856" s="101">
        <f t="shared" si="199"/>
        <v>5.1969578587288534E-13</v>
      </c>
      <c r="Q856" s="101">
        <f t="shared" si="199"/>
        <v>6.2575511806526183E-13</v>
      </c>
      <c r="R856" s="101">
        <f t="shared" si="199"/>
        <v>5.213760116423512E-13</v>
      </c>
      <c r="S856" s="101">
        <f t="shared" si="199"/>
        <v>6.6976969424928449E-13</v>
      </c>
      <c r="T856" s="101">
        <f t="shared" ref="G856:AL864" si="200">T818*T710</f>
        <v>4.5062046676976134E-13</v>
      </c>
      <c r="U856" s="101">
        <f t="shared" si="200"/>
        <v>5.6064273763537781E-13</v>
      </c>
      <c r="V856" s="101">
        <f t="shared" si="200"/>
        <v>4.8681120336518794E-13</v>
      </c>
      <c r="W856" s="101">
        <f t="shared" si="200"/>
        <v>2.4910269111115946E-13</v>
      </c>
      <c r="X856" s="101">
        <f t="shared" si="200"/>
        <v>1.590100826843517E-13</v>
      </c>
      <c r="Y856" s="101">
        <f t="shared" si="200"/>
        <v>4.4373948550684192E-13</v>
      </c>
      <c r="Z856" s="101">
        <f t="shared" si="200"/>
        <v>5.8808434126429453E-13</v>
      </c>
      <c r="AA856" s="101">
        <f t="shared" si="200"/>
        <v>4.7167788788559325E-13</v>
      </c>
      <c r="AB856" s="101">
        <f t="shared" si="200"/>
        <v>3.9489561442572772E-13</v>
      </c>
      <c r="AC856" s="101">
        <f t="shared" si="200"/>
        <v>3.6288206777069863E-13</v>
      </c>
      <c r="AD856" s="101">
        <f t="shared" si="200"/>
        <v>6.3901092745260662E-13</v>
      </c>
      <c r="AE856" s="101">
        <f t="shared" si="200"/>
        <v>4.0128332295661426E-13</v>
      </c>
      <c r="AF856" s="101">
        <f t="shared" si="200"/>
        <v>2.8777561543307138E-13</v>
      </c>
      <c r="AG856" s="101">
        <f t="shared" si="200"/>
        <v>4.9656667652920096E-13</v>
      </c>
      <c r="AH856" s="101">
        <f t="shared" si="200"/>
        <v>5.1165314489647217E-13</v>
      </c>
      <c r="AI856" s="101">
        <f t="shared" si="200"/>
        <v>2.6899556501725373E-12</v>
      </c>
      <c r="AJ856" s="101">
        <f t="shared" si="200"/>
        <v>1.5185217253986577E-12</v>
      </c>
      <c r="AK856" s="101">
        <f t="shared" si="200"/>
        <v>2.1101706560498173E-12</v>
      </c>
      <c r="AL856" s="101">
        <f t="shared" si="200"/>
        <v>1.1333464103463834E-11</v>
      </c>
      <c r="AM856" s="381">
        <f t="shared" si="198"/>
        <v>3.260007903816147E-11</v>
      </c>
    </row>
    <row r="857" spans="1:39" x14ac:dyDescent="0.2">
      <c r="A857" s="8"/>
      <c r="B857" s="107" t="s">
        <v>881</v>
      </c>
      <c r="C857" s="118" t="s">
        <v>176</v>
      </c>
      <c r="D857" s="129"/>
      <c r="E857" s="101"/>
      <c r="F857" s="101">
        <f t="shared" ref="F857:F872" si="201">F819*F711</f>
        <v>3.1653535586583534E-4</v>
      </c>
      <c r="G857" s="101">
        <f t="shared" si="200"/>
        <v>3.6588989251345699E-5</v>
      </c>
      <c r="H857" s="101">
        <f t="shared" si="200"/>
        <v>2.4579820659859E-3</v>
      </c>
      <c r="I857" s="101">
        <f t="shared" si="200"/>
        <v>2.6210578820325792E-2</v>
      </c>
      <c r="J857" s="101">
        <f t="shared" si="200"/>
        <v>3.22894208926657E-5</v>
      </c>
      <c r="K857" s="101">
        <f t="shared" si="200"/>
        <v>2.897812232415362E-5</v>
      </c>
      <c r="L857" s="101">
        <f t="shared" si="200"/>
        <v>8.9791665988334571E-5</v>
      </c>
      <c r="M857" s="101">
        <f t="shared" si="200"/>
        <v>6.1515402054031401E-2</v>
      </c>
      <c r="N857" s="101">
        <f t="shared" si="200"/>
        <v>4.6538026106466646E-4</v>
      </c>
      <c r="O857" s="101">
        <f t="shared" si="200"/>
        <v>1.1855148375828012E-3</v>
      </c>
      <c r="P857" s="101">
        <f t="shared" si="200"/>
        <v>2.6777321984545178E-5</v>
      </c>
      <c r="Q857" s="101">
        <f t="shared" si="200"/>
        <v>3.0905747414301771E-5</v>
      </c>
      <c r="R857" s="101">
        <f t="shared" si="200"/>
        <v>8.3390624778290512E-2</v>
      </c>
      <c r="S857" s="101">
        <f t="shared" si="200"/>
        <v>9.9154332061614854E-4</v>
      </c>
      <c r="T857" s="101">
        <f t="shared" si="200"/>
        <v>2.7354070521883159E-4</v>
      </c>
      <c r="U857" s="101">
        <f t="shared" si="200"/>
        <v>1.2336643097342755E-3</v>
      </c>
      <c r="V857" s="101">
        <f t="shared" si="200"/>
        <v>1.5591600344962162E-3</v>
      </c>
      <c r="W857" s="101">
        <f t="shared" si="200"/>
        <v>6.3468546913959529E-4</v>
      </c>
      <c r="X857" s="101">
        <f t="shared" si="200"/>
        <v>4.0518638488028333E-6</v>
      </c>
      <c r="Y857" s="101">
        <f t="shared" si="200"/>
        <v>1.8076789058282198E-4</v>
      </c>
      <c r="Z857" s="101">
        <f t="shared" si="200"/>
        <v>1.3596078348495614E-5</v>
      </c>
      <c r="AA857" s="101">
        <f t="shared" si="200"/>
        <v>2.0312098592969067E-4</v>
      </c>
      <c r="AB857" s="101">
        <f t="shared" si="200"/>
        <v>1.2926287307556338E-6</v>
      </c>
      <c r="AC857" s="101">
        <f t="shared" si="200"/>
        <v>1.4791285735341251E-3</v>
      </c>
      <c r="AD857" s="101">
        <f t="shared" si="200"/>
        <v>1.0650464472622731E-3</v>
      </c>
      <c r="AE857" s="101">
        <f t="shared" si="200"/>
        <v>7.8393925895914665E-4</v>
      </c>
      <c r="AF857" s="101">
        <f t="shared" si="200"/>
        <v>4.8035532362508127E-3</v>
      </c>
      <c r="AG857" s="101">
        <f t="shared" si="200"/>
        <v>6.6283740529899746E-5</v>
      </c>
      <c r="AH857" s="101">
        <f t="shared" si="200"/>
        <v>1.4453762888979631E-5</v>
      </c>
      <c r="AI857" s="101">
        <f t="shared" si="200"/>
        <v>4.8568967512931072E-4</v>
      </c>
      <c r="AJ857" s="101">
        <f t="shared" si="200"/>
        <v>4.8149974577300935E-4</v>
      </c>
      <c r="AK857" s="101">
        <f t="shared" si="200"/>
        <v>9.4277920990747447E-4</v>
      </c>
      <c r="AL857" s="101">
        <f t="shared" si="200"/>
        <v>2.700422351152811E-4</v>
      </c>
      <c r="AM857" s="381">
        <f t="shared" si="198"/>
        <v>0.19127518861299825</v>
      </c>
    </row>
    <row r="858" spans="1:39" x14ac:dyDescent="0.2">
      <c r="A858" s="8"/>
      <c r="B858" s="107" t="s">
        <v>882</v>
      </c>
      <c r="C858" s="118" t="s">
        <v>176</v>
      </c>
      <c r="D858" s="129"/>
      <c r="E858" s="101"/>
      <c r="F858" s="101">
        <f t="shared" si="201"/>
        <v>1.8828400532094253E-2</v>
      </c>
      <c r="G858" s="101">
        <f t="shared" si="200"/>
        <v>1.1197978611497802E-3</v>
      </c>
      <c r="H858" s="101">
        <f t="shared" si="200"/>
        <v>4.2520425760052855E-2</v>
      </c>
      <c r="I858" s="101">
        <f t="shared" si="200"/>
        <v>0.15120673796768022</v>
      </c>
      <c r="J858" s="101">
        <f t="shared" si="200"/>
        <v>1.6154693802458725E-4</v>
      </c>
      <c r="K858" s="101">
        <f t="shared" si="200"/>
        <v>2.2987666443255244E-4</v>
      </c>
      <c r="L858" s="101">
        <f t="shared" si="200"/>
        <v>4.7395432298308186E-4</v>
      </c>
      <c r="M858" s="101">
        <f t="shared" si="200"/>
        <v>8.2728615747938716E-2</v>
      </c>
      <c r="N858" s="101">
        <f t="shared" si="200"/>
        <v>6.0435151046704712E-3</v>
      </c>
      <c r="O858" s="101">
        <f t="shared" si="200"/>
        <v>1.5031752573261038E-3</v>
      </c>
      <c r="P858" s="101">
        <f t="shared" si="200"/>
        <v>5.7715863415724211E-5</v>
      </c>
      <c r="Q858" s="101">
        <f t="shared" si="200"/>
        <v>9.7268801560729159E-5</v>
      </c>
      <c r="R858" s="101">
        <f t="shared" si="200"/>
        <v>0.2944987058467291</v>
      </c>
      <c r="S858" s="101">
        <f t="shared" si="200"/>
        <v>8.0862210399962886E-3</v>
      </c>
      <c r="T858" s="101">
        <f t="shared" si="200"/>
        <v>5.4803561152116957E-3</v>
      </c>
      <c r="U858" s="101">
        <f t="shared" si="200"/>
        <v>9.1933155794356909E-3</v>
      </c>
      <c r="V858" s="101">
        <f t="shared" si="200"/>
        <v>7.6027457733655298E-3</v>
      </c>
      <c r="W858" s="101">
        <f t="shared" si="200"/>
        <v>4.7820707576421645E-3</v>
      </c>
      <c r="X858" s="101">
        <f t="shared" si="200"/>
        <v>0</v>
      </c>
      <c r="Y858" s="101">
        <f t="shared" si="200"/>
        <v>1.7899679124501645E-4</v>
      </c>
      <c r="Z858" s="101">
        <f t="shared" si="200"/>
        <v>5.951978863974575E-5</v>
      </c>
      <c r="AA858" s="101">
        <f t="shared" si="200"/>
        <v>9.3031001412820387E-4</v>
      </c>
      <c r="AB858" s="101">
        <f t="shared" si="200"/>
        <v>0</v>
      </c>
      <c r="AC858" s="101">
        <f t="shared" si="200"/>
        <v>3.6507490899938227E-3</v>
      </c>
      <c r="AD858" s="101">
        <f t="shared" si="200"/>
        <v>1.0356627303088159E-2</v>
      </c>
      <c r="AE858" s="101">
        <f t="shared" si="200"/>
        <v>6.6652468314986326E-3</v>
      </c>
      <c r="AF858" s="101">
        <f t="shared" si="200"/>
        <v>2.4833096873870817E-3</v>
      </c>
      <c r="AG858" s="101">
        <f t="shared" si="200"/>
        <v>2.2994432169281588E-4</v>
      </c>
      <c r="AH858" s="101">
        <f t="shared" si="200"/>
        <v>1.5897616125939873E-4</v>
      </c>
      <c r="AI858" s="101">
        <f t="shared" si="200"/>
        <v>4.7585928429003561E-3</v>
      </c>
      <c r="AJ858" s="101">
        <f t="shared" si="200"/>
        <v>6.0438103064340666E-3</v>
      </c>
      <c r="AK858" s="101">
        <f t="shared" si="200"/>
        <v>6.487060774982365E-3</v>
      </c>
      <c r="AL858" s="101">
        <f t="shared" si="200"/>
        <v>4.6181554433083888E-3</v>
      </c>
      <c r="AM858" s="381">
        <f t="shared" si="198"/>
        <v>0.68123574529026754</v>
      </c>
    </row>
    <row r="859" spans="1:39" x14ac:dyDescent="0.2">
      <c r="A859" s="8"/>
      <c r="B859" s="107" t="s">
        <v>883</v>
      </c>
      <c r="C859" s="118" t="s">
        <v>176</v>
      </c>
      <c r="D859" s="129"/>
      <c r="E859" s="101"/>
      <c r="F859" s="101">
        <f t="shared" si="201"/>
        <v>7.3788466135370784E-3</v>
      </c>
      <c r="G859" s="101">
        <f t="shared" si="200"/>
        <v>2.9676821920670508E-4</v>
      </c>
      <c r="H859" s="101">
        <f t="shared" si="200"/>
        <v>9.3634223435153912E-3</v>
      </c>
      <c r="I859" s="101">
        <f t="shared" si="200"/>
        <v>7.3887394241226673E-2</v>
      </c>
      <c r="J859" s="101">
        <f t="shared" si="200"/>
        <v>1.6806548231854267E-4</v>
      </c>
      <c r="K859" s="101">
        <f t="shared" si="200"/>
        <v>1.7290285264107591E-4</v>
      </c>
      <c r="L859" s="101">
        <f t="shared" si="200"/>
        <v>5.6763913148152672E-4</v>
      </c>
      <c r="M859" s="101">
        <f t="shared" si="200"/>
        <v>8.0800249611047939E-2</v>
      </c>
      <c r="N859" s="101">
        <f t="shared" si="200"/>
        <v>1.4882711053027089E-4</v>
      </c>
      <c r="O859" s="101">
        <f t="shared" si="200"/>
        <v>6.0115826473412784E-3</v>
      </c>
      <c r="P859" s="101">
        <f t="shared" si="200"/>
        <v>2.904809896301553E-4</v>
      </c>
      <c r="Q859" s="101">
        <f t="shared" si="200"/>
        <v>4.5735856399847417E-4</v>
      </c>
      <c r="R859" s="101">
        <f t="shared" si="200"/>
        <v>0.1714333476493819</v>
      </c>
      <c r="S859" s="101">
        <f t="shared" si="200"/>
        <v>3.321793431764346E-3</v>
      </c>
      <c r="T859" s="101">
        <f t="shared" si="200"/>
        <v>6.4711244985659472E-3</v>
      </c>
      <c r="U859" s="101">
        <f t="shared" si="200"/>
        <v>5.1987175743144079E-3</v>
      </c>
      <c r="V859" s="101">
        <f t="shared" si="200"/>
        <v>5.9805320237219205E-3</v>
      </c>
      <c r="W859" s="101">
        <f t="shared" si="200"/>
        <v>3.8340153327543671E-3</v>
      </c>
      <c r="X859" s="101">
        <f t="shared" si="200"/>
        <v>2.4343279853407922E-4</v>
      </c>
      <c r="Y859" s="101">
        <f t="shared" si="200"/>
        <v>1.1317961438274183E-3</v>
      </c>
      <c r="Z859" s="101">
        <f t="shared" si="200"/>
        <v>1.5950057752000675E-4</v>
      </c>
      <c r="AA859" s="101">
        <f t="shared" si="200"/>
        <v>6.4382035068790908E-4</v>
      </c>
      <c r="AB859" s="101">
        <f t="shared" si="200"/>
        <v>2.767506150278665E-5</v>
      </c>
      <c r="AC859" s="101">
        <f t="shared" si="200"/>
        <v>1.6910613047964262E-2</v>
      </c>
      <c r="AD859" s="101">
        <f t="shared" si="200"/>
        <v>5.5182879634436216E-2</v>
      </c>
      <c r="AE859" s="101">
        <f t="shared" si="200"/>
        <v>1.9102146205763608E-2</v>
      </c>
      <c r="AF859" s="101">
        <f t="shared" si="200"/>
        <v>6.5128772126017448E-2</v>
      </c>
      <c r="AG859" s="101">
        <f t="shared" si="200"/>
        <v>1.4499186607257978E-3</v>
      </c>
      <c r="AH859" s="101">
        <f t="shared" si="200"/>
        <v>1.8349314367870724E-4</v>
      </c>
      <c r="AI859" s="101">
        <f t="shared" si="200"/>
        <v>4.9498728326658938E-3</v>
      </c>
      <c r="AJ859" s="101">
        <f t="shared" si="200"/>
        <v>7.1723876507811951E-3</v>
      </c>
      <c r="AK859" s="101">
        <f t="shared" si="200"/>
        <v>2.0761483245187529E-3</v>
      </c>
      <c r="AL859" s="101">
        <f t="shared" si="200"/>
        <v>2.2611191935490048E-3</v>
      </c>
      <c r="AM859" s="381">
        <f t="shared" si="198"/>
        <v>0.55240664406915108</v>
      </c>
    </row>
    <row r="860" spans="1:39" x14ac:dyDescent="0.2">
      <c r="A860" s="8"/>
      <c r="B860" s="107" t="s">
        <v>884</v>
      </c>
      <c r="C860" s="118" t="s">
        <v>176</v>
      </c>
      <c r="D860" s="129"/>
      <c r="E860" s="101"/>
      <c r="F860" s="101">
        <f t="shared" si="201"/>
        <v>4.9558747794172875E-3</v>
      </c>
      <c r="G860" s="101">
        <f t="shared" si="200"/>
        <v>4.004428352091599E-4</v>
      </c>
      <c r="H860" s="101">
        <f t="shared" si="200"/>
        <v>7.8423818610447987E-3</v>
      </c>
      <c r="I860" s="101">
        <f t="shared" si="200"/>
        <v>2.7032548988038586E-3</v>
      </c>
      <c r="J860" s="101">
        <f t="shared" si="200"/>
        <v>0</v>
      </c>
      <c r="K860" s="101">
        <f t="shared" si="200"/>
        <v>0</v>
      </c>
      <c r="L860" s="101">
        <f t="shared" si="200"/>
        <v>1.4917254439054859E-5</v>
      </c>
      <c r="M860" s="101">
        <f t="shared" si="200"/>
        <v>4.103123067854051E-2</v>
      </c>
      <c r="N860" s="101">
        <f t="shared" si="200"/>
        <v>6.5068574002014767E-2</v>
      </c>
      <c r="O860" s="101">
        <f t="shared" si="200"/>
        <v>3.7920697628526841E-3</v>
      </c>
      <c r="P860" s="101">
        <f t="shared" si="200"/>
        <v>1.2117116536809417E-3</v>
      </c>
      <c r="Q860" s="101">
        <f t="shared" si="200"/>
        <v>2.2227440981650995E-5</v>
      </c>
      <c r="R860" s="101">
        <f t="shared" si="200"/>
        <v>0</v>
      </c>
      <c r="S860" s="101">
        <f t="shared" si="200"/>
        <v>4.185949615057423E-2</v>
      </c>
      <c r="T860" s="101">
        <f t="shared" si="200"/>
        <v>1.0272177626832715E-2</v>
      </c>
      <c r="U860" s="101">
        <f t="shared" si="200"/>
        <v>0.13774656722734563</v>
      </c>
      <c r="V860" s="101">
        <f t="shared" si="200"/>
        <v>4.7437316012484604E-2</v>
      </c>
      <c r="W860" s="101">
        <f t="shared" si="200"/>
        <v>0</v>
      </c>
      <c r="X860" s="101">
        <f t="shared" si="200"/>
        <v>0</v>
      </c>
      <c r="Y860" s="101">
        <f t="shared" si="200"/>
        <v>2.1263610285065684E-5</v>
      </c>
      <c r="Z860" s="101">
        <f t="shared" si="200"/>
        <v>1.7733170760252139E-3</v>
      </c>
      <c r="AA860" s="101">
        <f t="shared" si="200"/>
        <v>2.4725992450146603E-3</v>
      </c>
      <c r="AB860" s="101">
        <f t="shared" si="200"/>
        <v>6.0304022344232302E-4</v>
      </c>
      <c r="AC860" s="101">
        <f t="shared" si="200"/>
        <v>5.7764972429544703E-2</v>
      </c>
      <c r="AD860" s="101">
        <f t="shared" si="200"/>
        <v>1.8099391588428568E-4</v>
      </c>
      <c r="AE860" s="101">
        <f t="shared" si="200"/>
        <v>2.9329814062282323E-3</v>
      </c>
      <c r="AF860" s="101">
        <f t="shared" si="200"/>
        <v>1.3979272230580612E-3</v>
      </c>
      <c r="AG860" s="101">
        <f t="shared" si="200"/>
        <v>3.9708688508552641E-4</v>
      </c>
      <c r="AH860" s="101">
        <f t="shared" si="200"/>
        <v>7.7668338174509367E-4</v>
      </c>
      <c r="AI860" s="101">
        <f t="shared" si="200"/>
        <v>7.2756738093899197E-4</v>
      </c>
      <c r="AJ860" s="101">
        <f t="shared" si="200"/>
        <v>0</v>
      </c>
      <c r="AK860" s="101">
        <f t="shared" si="200"/>
        <v>0.12446237421973383</v>
      </c>
      <c r="AL860" s="101">
        <f t="shared" si="200"/>
        <v>1.7675491753000217E-3</v>
      </c>
      <c r="AM860" s="381">
        <f t="shared" si="198"/>
        <v>0.5596365983565077</v>
      </c>
    </row>
    <row r="861" spans="1:39" x14ac:dyDescent="0.2">
      <c r="A861" s="8"/>
      <c r="B861" s="107" t="s">
        <v>885</v>
      </c>
      <c r="C861" s="118" t="s">
        <v>176</v>
      </c>
      <c r="D861" s="129"/>
      <c r="E861" s="101"/>
      <c r="F861" s="101">
        <f t="shared" si="201"/>
        <v>1.1574014591561326E-3</v>
      </c>
      <c r="G861" s="101">
        <f t="shared" si="200"/>
        <v>2.3798928190725259E-4</v>
      </c>
      <c r="H861" s="101">
        <f t="shared" si="200"/>
        <v>0</v>
      </c>
      <c r="I861" s="101">
        <f t="shared" si="200"/>
        <v>8.743512859015568E-6</v>
      </c>
      <c r="J861" s="101">
        <f t="shared" si="200"/>
        <v>8.3708195723968155E-4</v>
      </c>
      <c r="K861" s="101">
        <f t="shared" si="200"/>
        <v>0</v>
      </c>
      <c r="L861" s="101">
        <f t="shared" si="200"/>
        <v>6.6326533163279098E-5</v>
      </c>
      <c r="M861" s="101">
        <f t="shared" si="200"/>
        <v>9.0278720412921638E-6</v>
      </c>
      <c r="N861" s="101">
        <f t="shared" si="200"/>
        <v>9.7051857687781816E-4</v>
      </c>
      <c r="O861" s="101">
        <f t="shared" si="200"/>
        <v>0</v>
      </c>
      <c r="P861" s="101">
        <f t="shared" si="200"/>
        <v>5.1184825773421642E-4</v>
      </c>
      <c r="Q861" s="101">
        <f t="shared" si="200"/>
        <v>3.3301758601473881E-4</v>
      </c>
      <c r="R861" s="101">
        <f t="shared" si="200"/>
        <v>5.9663550549681231E-5</v>
      </c>
      <c r="S861" s="101">
        <f t="shared" si="200"/>
        <v>3.2883553365136139E-2</v>
      </c>
      <c r="T861" s="101">
        <f t="shared" si="200"/>
        <v>6.1156789315911959E-3</v>
      </c>
      <c r="U861" s="101">
        <f t="shared" si="200"/>
        <v>7.3559838449565595E-3</v>
      </c>
      <c r="V861" s="101">
        <f t="shared" si="200"/>
        <v>5.3044468941533815E-3</v>
      </c>
      <c r="W861" s="101">
        <f t="shared" si="200"/>
        <v>1.2159257123321134E-4</v>
      </c>
      <c r="X861" s="101">
        <f t="shared" si="200"/>
        <v>6.3440016676608989E-4</v>
      </c>
      <c r="Y861" s="101">
        <f t="shared" si="200"/>
        <v>2.4970185500525444E-4</v>
      </c>
      <c r="Z861" s="101">
        <f t="shared" si="200"/>
        <v>2.3454009254994653E-3</v>
      </c>
      <c r="AA861" s="101">
        <f t="shared" si="200"/>
        <v>0.29710751374789907</v>
      </c>
      <c r="AB861" s="101">
        <f t="shared" si="200"/>
        <v>3.1518003795886792E-3</v>
      </c>
      <c r="AC861" s="101">
        <f t="shared" si="200"/>
        <v>0.13277660499454114</v>
      </c>
      <c r="AD861" s="101">
        <f t="shared" si="200"/>
        <v>9.881277374226255E-3</v>
      </c>
      <c r="AE861" s="101">
        <f t="shared" si="200"/>
        <v>3.8176411805111513E-3</v>
      </c>
      <c r="AF861" s="101">
        <f t="shared" si="200"/>
        <v>1.4801601891270078E-3</v>
      </c>
      <c r="AG861" s="101">
        <f t="shared" si="200"/>
        <v>0.18824977849828958</v>
      </c>
      <c r="AH861" s="101">
        <f t="shared" si="200"/>
        <v>3.3900802633505735E-2</v>
      </c>
      <c r="AI861" s="101">
        <f t="shared" si="200"/>
        <v>1.9072142816520105E-2</v>
      </c>
      <c r="AJ861" s="101">
        <f t="shared" si="200"/>
        <v>4.5756736077836825E-3</v>
      </c>
      <c r="AK861" s="101">
        <f t="shared" si="200"/>
        <v>9.7474954643595093E-3</v>
      </c>
      <c r="AL861" s="101">
        <f t="shared" si="200"/>
        <v>9.9868757855308722E-3</v>
      </c>
      <c r="AM861" s="381">
        <f t="shared" si="198"/>
        <v>0.77295014381376725</v>
      </c>
    </row>
    <row r="862" spans="1:39" x14ac:dyDescent="0.2">
      <c r="A862" s="8"/>
      <c r="B862" s="107" t="s">
        <v>886</v>
      </c>
      <c r="C862" s="118" t="s">
        <v>176</v>
      </c>
      <c r="D862" s="129"/>
      <c r="E862" s="101"/>
      <c r="F862" s="101">
        <f t="shared" si="201"/>
        <v>0</v>
      </c>
      <c r="G862" s="101">
        <f t="shared" si="200"/>
        <v>0</v>
      </c>
      <c r="H862" s="101">
        <f t="shared" si="200"/>
        <v>0</v>
      </c>
      <c r="I862" s="101">
        <f t="shared" si="200"/>
        <v>0</v>
      </c>
      <c r="J862" s="101">
        <f t="shared" si="200"/>
        <v>0</v>
      </c>
      <c r="K862" s="101">
        <f t="shared" si="200"/>
        <v>0</v>
      </c>
      <c r="L862" s="101">
        <f t="shared" si="200"/>
        <v>0</v>
      </c>
      <c r="M862" s="101">
        <f t="shared" si="200"/>
        <v>0</v>
      </c>
      <c r="N862" s="101">
        <f t="shared" si="200"/>
        <v>0</v>
      </c>
      <c r="O862" s="101">
        <f t="shared" si="200"/>
        <v>0</v>
      </c>
      <c r="P862" s="101">
        <f t="shared" si="200"/>
        <v>0</v>
      </c>
      <c r="Q862" s="101">
        <f t="shared" si="200"/>
        <v>0</v>
      </c>
      <c r="R862" s="101">
        <f t="shared" si="200"/>
        <v>0</v>
      </c>
      <c r="S862" s="101">
        <f t="shared" si="200"/>
        <v>0</v>
      </c>
      <c r="T862" s="101">
        <f t="shared" si="200"/>
        <v>0</v>
      </c>
      <c r="U862" s="101">
        <f t="shared" si="200"/>
        <v>0</v>
      </c>
      <c r="V862" s="101">
        <f t="shared" si="200"/>
        <v>0</v>
      </c>
      <c r="W862" s="101">
        <f t="shared" si="200"/>
        <v>0</v>
      </c>
      <c r="X862" s="101">
        <f t="shared" si="200"/>
        <v>0</v>
      </c>
      <c r="Y862" s="101">
        <f t="shared" si="200"/>
        <v>0</v>
      </c>
      <c r="Z862" s="101">
        <f t="shared" si="200"/>
        <v>0</v>
      </c>
      <c r="AA862" s="101">
        <f t="shared" si="200"/>
        <v>0</v>
      </c>
      <c r="AB862" s="101">
        <f t="shared" si="200"/>
        <v>0</v>
      </c>
      <c r="AC862" s="101">
        <f t="shared" si="200"/>
        <v>0</v>
      </c>
      <c r="AD862" s="101">
        <f t="shared" si="200"/>
        <v>0</v>
      </c>
      <c r="AE862" s="101">
        <f t="shared" si="200"/>
        <v>0</v>
      </c>
      <c r="AF862" s="101">
        <f t="shared" si="200"/>
        <v>0</v>
      </c>
      <c r="AG862" s="101">
        <f t="shared" si="200"/>
        <v>0</v>
      </c>
      <c r="AH862" s="101">
        <f t="shared" si="200"/>
        <v>0</v>
      </c>
      <c r="AI862" s="101">
        <f t="shared" si="200"/>
        <v>0</v>
      </c>
      <c r="AJ862" s="101">
        <f t="shared" si="200"/>
        <v>0</v>
      </c>
      <c r="AK862" s="101">
        <f t="shared" si="200"/>
        <v>0</v>
      </c>
      <c r="AL862" s="101">
        <f t="shared" si="200"/>
        <v>0</v>
      </c>
      <c r="AM862" s="381">
        <f t="shared" si="198"/>
        <v>0</v>
      </c>
    </row>
    <row r="863" spans="1:39" x14ac:dyDescent="0.2">
      <c r="A863" s="8"/>
      <c r="B863" s="107" t="s">
        <v>887</v>
      </c>
      <c r="C863" s="118" t="s">
        <v>176</v>
      </c>
      <c r="D863" s="129"/>
      <c r="E863" s="101"/>
      <c r="F863" s="101">
        <f t="shared" si="201"/>
        <v>0.17985396785920194</v>
      </c>
      <c r="G863" s="101">
        <f t="shared" si="200"/>
        <v>3.7302762093192554E-2</v>
      </c>
      <c r="H863" s="101">
        <f t="shared" si="200"/>
        <v>1.3962990587462793E-2</v>
      </c>
      <c r="I863" s="101">
        <f t="shared" si="200"/>
        <v>3.7394712401109302E-2</v>
      </c>
      <c r="J863" s="101">
        <f t="shared" si="200"/>
        <v>9.4589309122081133E-2</v>
      </c>
      <c r="K863" s="101">
        <f t="shared" si="200"/>
        <v>7.0118877784297318E-2</v>
      </c>
      <c r="L863" s="101">
        <f t="shared" si="200"/>
        <v>1.4155972270529917</v>
      </c>
      <c r="M863" s="101">
        <f t="shared" si="200"/>
        <v>2.1266739499491019</v>
      </c>
      <c r="N863" s="101">
        <f t="shared" si="200"/>
        <v>0.29155048617728013</v>
      </c>
      <c r="O863" s="101">
        <f t="shared" si="200"/>
        <v>4.389719323859647E-2</v>
      </c>
      <c r="P863" s="101">
        <f t="shared" si="200"/>
        <v>2.3389573853567852E-2</v>
      </c>
      <c r="Q863" s="101">
        <f t="shared" si="200"/>
        <v>1.8468011300235216</v>
      </c>
      <c r="R863" s="101">
        <f t="shared" si="200"/>
        <v>9.1887200513387413</v>
      </c>
      <c r="S863" s="101">
        <f t="shared" si="200"/>
        <v>9.3358437386459603E-2</v>
      </c>
      <c r="T863" s="101">
        <f t="shared" si="200"/>
        <v>0.29092493897723209</v>
      </c>
      <c r="U863" s="101">
        <f t="shared" si="200"/>
        <v>0.12097392700474614</v>
      </c>
      <c r="V863" s="101">
        <f t="shared" si="200"/>
        <v>3.2242536475146293E-2</v>
      </c>
      <c r="W863" s="101">
        <f t="shared" si="200"/>
        <v>8.8702253191537527E-3</v>
      </c>
      <c r="X863" s="101">
        <f t="shared" si="200"/>
        <v>8.4966917054044733E-3</v>
      </c>
      <c r="Y863" s="101">
        <f t="shared" si="200"/>
        <v>9.0082740620090182E-2</v>
      </c>
      <c r="Z863" s="101">
        <f t="shared" si="200"/>
        <v>7.5103833206789554E-3</v>
      </c>
      <c r="AA863" s="101">
        <f t="shared" si="200"/>
        <v>4.7875190777075874E-2</v>
      </c>
      <c r="AB863" s="101">
        <f t="shared" si="200"/>
        <v>1.6997842918776618E-3</v>
      </c>
      <c r="AC863" s="101">
        <f t="shared" si="200"/>
        <v>0.12613678602265846</v>
      </c>
      <c r="AD863" s="101">
        <f t="shared" si="200"/>
        <v>8.3003494317123189E-3</v>
      </c>
      <c r="AE863" s="101">
        <f t="shared" si="200"/>
        <v>2.5916069988988377E-2</v>
      </c>
      <c r="AF863" s="101">
        <f t="shared" si="200"/>
        <v>9.6949895281290277E-3</v>
      </c>
      <c r="AG863" s="101">
        <f t="shared" si="200"/>
        <v>5.6613130049742461E-3</v>
      </c>
      <c r="AH863" s="101">
        <f t="shared" si="200"/>
        <v>2.7520793080871337E-3</v>
      </c>
      <c r="AI863" s="101">
        <f t="shared" si="200"/>
        <v>0.52458482188813826</v>
      </c>
      <c r="AJ863" s="101">
        <f t="shared" si="200"/>
        <v>0.64854337641968929</v>
      </c>
      <c r="AK863" s="101">
        <f t="shared" si="200"/>
        <v>0.12168297795318966</v>
      </c>
      <c r="AL863" s="101">
        <f t="shared" si="200"/>
        <v>9.7103200577273771E-2</v>
      </c>
      <c r="AM863" s="381">
        <f t="shared" si="198"/>
        <v>17.642263051481851</v>
      </c>
    </row>
    <row r="864" spans="1:39" x14ac:dyDescent="0.2">
      <c r="A864" s="8"/>
      <c r="B864" s="107" t="s">
        <v>888</v>
      </c>
      <c r="C864" s="118" t="s">
        <v>176</v>
      </c>
      <c r="D864" s="129"/>
      <c r="E864" s="101"/>
      <c r="F864" s="101">
        <f t="shared" si="201"/>
        <v>0.17559461105982116</v>
      </c>
      <c r="G864" s="101">
        <f t="shared" si="200"/>
        <v>1.6043087693064128E-2</v>
      </c>
      <c r="H864" s="101">
        <f t="shared" si="200"/>
        <v>1.220402787407252E-2</v>
      </c>
      <c r="I864" s="101">
        <f t="shared" si="200"/>
        <v>1.1835489300749114</v>
      </c>
      <c r="J864" s="101">
        <f t="shared" si="200"/>
        <v>6.3539797846355633E-2</v>
      </c>
      <c r="K864" s="101">
        <f t="shared" si="200"/>
        <v>2.8952285293837272E-2</v>
      </c>
      <c r="L864" s="101">
        <f t="shared" si="200"/>
        <v>0.24315981603012396</v>
      </c>
      <c r="M864" s="101">
        <f t="shared" si="200"/>
        <v>2.4646863588386885</v>
      </c>
      <c r="N864" s="101">
        <f t="shared" si="200"/>
        <v>8.1818491193274723E-2</v>
      </c>
      <c r="O864" s="101">
        <f t="shared" si="200"/>
        <v>2.8583742516605472E-2</v>
      </c>
      <c r="P864" s="101">
        <f t="shared" si="200"/>
        <v>6.5138358606226096E-3</v>
      </c>
      <c r="Q864" s="101">
        <f t="shared" si="200"/>
        <v>2.2715682964770202E-2</v>
      </c>
      <c r="R864" s="101">
        <f t="shared" si="200"/>
        <v>0.42152086890475504</v>
      </c>
      <c r="S864" s="101">
        <f t="shared" ref="G864:AL872" si="202">S826*S718</f>
        <v>3.7036801203881996E-2</v>
      </c>
      <c r="T864" s="101">
        <f t="shared" si="202"/>
        <v>0.26436362939327179</v>
      </c>
      <c r="U864" s="101">
        <f t="shared" si="202"/>
        <v>9.7724537700880257E-2</v>
      </c>
      <c r="V864" s="101">
        <f t="shared" si="202"/>
        <v>5.4455821723915721E-2</v>
      </c>
      <c r="W864" s="101">
        <f t="shared" si="202"/>
        <v>2.5635387322931382E-3</v>
      </c>
      <c r="X864" s="101">
        <f t="shared" si="202"/>
        <v>6.2004281979810092E-3</v>
      </c>
      <c r="Y864" s="101">
        <f t="shared" si="202"/>
        <v>0.12953441749816266</v>
      </c>
      <c r="Z864" s="101">
        <f t="shared" si="202"/>
        <v>3.8638565384467694E-2</v>
      </c>
      <c r="AA864" s="101">
        <f t="shared" si="202"/>
        <v>3.0389057071162951E-2</v>
      </c>
      <c r="AB864" s="101">
        <f t="shared" si="202"/>
        <v>1.2556855564364736E-3</v>
      </c>
      <c r="AC864" s="101">
        <f t="shared" si="202"/>
        <v>0.14783139955940561</v>
      </c>
      <c r="AD864" s="101">
        <f t="shared" si="202"/>
        <v>3.1358405462376428E-2</v>
      </c>
      <c r="AE864" s="101">
        <f t="shared" si="202"/>
        <v>1.6382941055707239E-2</v>
      </c>
      <c r="AF864" s="101">
        <f t="shared" si="202"/>
        <v>6.3898323249923132E-3</v>
      </c>
      <c r="AG864" s="101">
        <f t="shared" si="202"/>
        <v>4.9048608325653409E-3</v>
      </c>
      <c r="AH864" s="101">
        <f t="shared" si="202"/>
        <v>3.9977099753095774E-3</v>
      </c>
      <c r="AI864" s="101">
        <f t="shared" si="202"/>
        <v>1.1913099682271289</v>
      </c>
      <c r="AJ864" s="101">
        <f t="shared" si="202"/>
        <v>1.2254826814285726</v>
      </c>
      <c r="AK864" s="101">
        <f t="shared" si="202"/>
        <v>0.20640252239515991</v>
      </c>
      <c r="AL864" s="101">
        <f t="shared" si="202"/>
        <v>4.6691127236776824</v>
      </c>
      <c r="AM864" s="381">
        <f t="shared" si="198"/>
        <v>12.914217063552258</v>
      </c>
    </row>
    <row r="865" spans="1:39" x14ac:dyDescent="0.2">
      <c r="A865" s="8"/>
      <c r="B865" s="107" t="s">
        <v>889</v>
      </c>
      <c r="C865" s="118" t="s">
        <v>176</v>
      </c>
      <c r="D865" s="129"/>
      <c r="E865" s="101"/>
      <c r="F865" s="101">
        <f t="shared" si="201"/>
        <v>2.6635494820495098E-2</v>
      </c>
      <c r="G865" s="101">
        <f t="shared" si="202"/>
        <v>8.8341582205387612E-2</v>
      </c>
      <c r="H865" s="101">
        <f t="shared" si="202"/>
        <v>2.1417901011223414E-2</v>
      </c>
      <c r="I865" s="101">
        <f t="shared" si="202"/>
        <v>0.15819990764684716</v>
      </c>
      <c r="J865" s="101">
        <f t="shared" si="202"/>
        <v>0.31352933725779564</v>
      </c>
      <c r="K865" s="101">
        <f t="shared" si="202"/>
        <v>4.7424301449763839E-2</v>
      </c>
      <c r="L865" s="101">
        <f t="shared" si="202"/>
        <v>8.3131825131708151E-2</v>
      </c>
      <c r="M865" s="101">
        <f t="shared" si="202"/>
        <v>8.1339999388995055E-2</v>
      </c>
      <c r="N865" s="101">
        <f t="shared" si="202"/>
        <v>3.3628657935589737E-2</v>
      </c>
      <c r="O865" s="101">
        <f t="shared" si="202"/>
        <v>6.6141175870157417E-3</v>
      </c>
      <c r="P865" s="101">
        <f t="shared" si="202"/>
        <v>2.8231894744693165E-2</v>
      </c>
      <c r="Q865" s="101">
        <f t="shared" si="202"/>
        <v>5.5787812938912211E-2</v>
      </c>
      <c r="R865" s="101">
        <f t="shared" si="202"/>
        <v>0.12596327115484782</v>
      </c>
      <c r="S865" s="101">
        <f t="shared" si="202"/>
        <v>9.861800748983672E-2</v>
      </c>
      <c r="T865" s="101">
        <f t="shared" si="202"/>
        <v>1.537450903575122</v>
      </c>
      <c r="U865" s="101">
        <f t="shared" si="202"/>
        <v>0.50684278845705244</v>
      </c>
      <c r="V865" s="101">
        <f t="shared" si="202"/>
        <v>0.16677402576801673</v>
      </c>
      <c r="W865" s="101">
        <f t="shared" si="202"/>
        <v>1.3859464574005596E-3</v>
      </c>
      <c r="X865" s="101">
        <f t="shared" si="202"/>
        <v>2.554418546064435E-2</v>
      </c>
      <c r="Y865" s="101">
        <f t="shared" si="202"/>
        <v>4.7127658045568926E-2</v>
      </c>
      <c r="Z865" s="101">
        <f t="shared" si="202"/>
        <v>1.1453043611242832</v>
      </c>
      <c r="AA865" s="101">
        <f t="shared" si="202"/>
        <v>0.53156429866955646</v>
      </c>
      <c r="AB865" s="101">
        <f t="shared" si="202"/>
        <v>2.4546643841065695E-3</v>
      </c>
      <c r="AC865" s="101">
        <f t="shared" si="202"/>
        <v>2.0204441560973723</v>
      </c>
      <c r="AD865" s="101">
        <f t="shared" si="202"/>
        <v>0.10041785896320324</v>
      </c>
      <c r="AE865" s="101">
        <f t="shared" si="202"/>
        <v>4.3298146976281038E-2</v>
      </c>
      <c r="AF865" s="101">
        <f t="shared" si="202"/>
        <v>3.8264271146997299E-2</v>
      </c>
      <c r="AG865" s="101">
        <f t="shared" si="202"/>
        <v>0.39715256241480967</v>
      </c>
      <c r="AH865" s="101">
        <f t="shared" si="202"/>
        <v>0.3750787350947743</v>
      </c>
      <c r="AI865" s="101">
        <f t="shared" si="202"/>
        <v>4.782983814378281</v>
      </c>
      <c r="AJ865" s="101">
        <f t="shared" si="202"/>
        <v>3.9097489594269237</v>
      </c>
      <c r="AK865" s="101">
        <f t="shared" si="202"/>
        <v>1.8243157406893016</v>
      </c>
      <c r="AL865" s="101">
        <f t="shared" si="202"/>
        <v>12.167038377967621</v>
      </c>
      <c r="AM865" s="381">
        <f t="shared" si="198"/>
        <v>30.792055565860426</v>
      </c>
    </row>
    <row r="866" spans="1:39" x14ac:dyDescent="0.2">
      <c r="A866" s="8"/>
      <c r="B866" s="107" t="s">
        <v>890</v>
      </c>
      <c r="C866" s="118" t="s">
        <v>176</v>
      </c>
      <c r="D866" s="129"/>
      <c r="E866" s="101"/>
      <c r="F866" s="101">
        <f t="shared" si="201"/>
        <v>0</v>
      </c>
      <c r="G866" s="101">
        <f t="shared" si="202"/>
        <v>0</v>
      </c>
      <c r="H866" s="101">
        <f t="shared" si="202"/>
        <v>0</v>
      </c>
      <c r="I866" s="101">
        <f t="shared" si="202"/>
        <v>0</v>
      </c>
      <c r="J866" s="101">
        <f t="shared" si="202"/>
        <v>0</v>
      </c>
      <c r="K866" s="101">
        <f t="shared" si="202"/>
        <v>0</v>
      </c>
      <c r="L866" s="101">
        <f t="shared" si="202"/>
        <v>0</v>
      </c>
      <c r="M866" s="101">
        <f t="shared" si="202"/>
        <v>0</v>
      </c>
      <c r="N866" s="101">
        <f t="shared" si="202"/>
        <v>0</v>
      </c>
      <c r="O866" s="101">
        <f t="shared" si="202"/>
        <v>0</v>
      </c>
      <c r="P866" s="101">
        <f t="shared" si="202"/>
        <v>0</v>
      </c>
      <c r="Q866" s="101">
        <f t="shared" si="202"/>
        <v>0</v>
      </c>
      <c r="R866" s="101">
        <f t="shared" si="202"/>
        <v>0</v>
      </c>
      <c r="S866" s="101">
        <f t="shared" si="202"/>
        <v>0</v>
      </c>
      <c r="T866" s="101">
        <f t="shared" si="202"/>
        <v>0</v>
      </c>
      <c r="U866" s="101">
        <f t="shared" si="202"/>
        <v>0</v>
      </c>
      <c r="V866" s="101">
        <f t="shared" si="202"/>
        <v>0</v>
      </c>
      <c r="W866" s="101">
        <f t="shared" si="202"/>
        <v>0</v>
      </c>
      <c r="X866" s="101">
        <f t="shared" si="202"/>
        <v>0</v>
      </c>
      <c r="Y866" s="101">
        <f t="shared" si="202"/>
        <v>0</v>
      </c>
      <c r="Z866" s="101">
        <f t="shared" si="202"/>
        <v>4.4091853958115488E-3</v>
      </c>
      <c r="AA866" s="101">
        <f t="shared" si="202"/>
        <v>3.7258385267465244E-3</v>
      </c>
      <c r="AB866" s="101">
        <f t="shared" si="202"/>
        <v>0</v>
      </c>
      <c r="AC866" s="101">
        <f t="shared" si="202"/>
        <v>2.2681776953488667E-3</v>
      </c>
      <c r="AD866" s="101">
        <f t="shared" si="202"/>
        <v>0</v>
      </c>
      <c r="AE866" s="101">
        <f t="shared" si="202"/>
        <v>0</v>
      </c>
      <c r="AF866" s="101">
        <f t="shared" si="202"/>
        <v>0</v>
      </c>
      <c r="AG866" s="101">
        <f t="shared" si="202"/>
        <v>0</v>
      </c>
      <c r="AH866" s="101">
        <f t="shared" si="202"/>
        <v>0</v>
      </c>
      <c r="AI866" s="101">
        <f t="shared" si="202"/>
        <v>6.4655631405676192E-2</v>
      </c>
      <c r="AJ866" s="101">
        <f t="shared" si="202"/>
        <v>0.10513819636043012</v>
      </c>
      <c r="AK866" s="101">
        <f t="shared" si="202"/>
        <v>5.6857854097797679E-2</v>
      </c>
      <c r="AL866" s="101">
        <f t="shared" si="202"/>
        <v>2.2631738351915454E-2</v>
      </c>
      <c r="AM866" s="381">
        <f t="shared" si="198"/>
        <v>0.25968662183372637</v>
      </c>
    </row>
    <row r="867" spans="1:39" x14ac:dyDescent="0.2">
      <c r="A867" s="8"/>
      <c r="B867" s="107" t="s">
        <v>891</v>
      </c>
      <c r="C867" s="118" t="s">
        <v>176</v>
      </c>
      <c r="D867" s="129"/>
      <c r="E867" s="101"/>
      <c r="F867" s="101">
        <f t="shared" si="201"/>
        <v>0</v>
      </c>
      <c r="G867" s="101">
        <f t="shared" si="202"/>
        <v>0</v>
      </c>
      <c r="H867" s="101">
        <f t="shared" si="202"/>
        <v>0</v>
      </c>
      <c r="I867" s="101">
        <f t="shared" si="202"/>
        <v>0</v>
      </c>
      <c r="J867" s="101">
        <f t="shared" si="202"/>
        <v>0</v>
      </c>
      <c r="K867" s="101">
        <f t="shared" si="202"/>
        <v>0</v>
      </c>
      <c r="L867" s="101">
        <f t="shared" si="202"/>
        <v>0</v>
      </c>
      <c r="M867" s="101">
        <f t="shared" si="202"/>
        <v>0</v>
      </c>
      <c r="N867" s="101">
        <f t="shared" si="202"/>
        <v>0</v>
      </c>
      <c r="O867" s="101">
        <f t="shared" si="202"/>
        <v>0</v>
      </c>
      <c r="P867" s="101">
        <f t="shared" si="202"/>
        <v>0</v>
      </c>
      <c r="Q867" s="101">
        <f t="shared" si="202"/>
        <v>0</v>
      </c>
      <c r="R867" s="101">
        <f t="shared" si="202"/>
        <v>0</v>
      </c>
      <c r="S867" s="101">
        <f t="shared" si="202"/>
        <v>0</v>
      </c>
      <c r="T867" s="101">
        <f t="shared" si="202"/>
        <v>0</v>
      </c>
      <c r="U867" s="101">
        <f t="shared" si="202"/>
        <v>0</v>
      </c>
      <c r="V867" s="101">
        <f t="shared" si="202"/>
        <v>0</v>
      </c>
      <c r="W867" s="101">
        <f t="shared" si="202"/>
        <v>0</v>
      </c>
      <c r="X867" s="101">
        <f t="shared" si="202"/>
        <v>0</v>
      </c>
      <c r="Y867" s="101">
        <f t="shared" si="202"/>
        <v>0</v>
      </c>
      <c r="Z867" s="101">
        <f t="shared" si="202"/>
        <v>0</v>
      </c>
      <c r="AA867" s="101">
        <f t="shared" si="202"/>
        <v>0</v>
      </c>
      <c r="AB867" s="101">
        <f t="shared" si="202"/>
        <v>0</v>
      </c>
      <c r="AC867" s="101">
        <f t="shared" si="202"/>
        <v>0</v>
      </c>
      <c r="AD867" s="101">
        <f t="shared" si="202"/>
        <v>0</v>
      </c>
      <c r="AE867" s="101">
        <f t="shared" si="202"/>
        <v>0</v>
      </c>
      <c r="AF867" s="101">
        <f t="shared" si="202"/>
        <v>0</v>
      </c>
      <c r="AG867" s="101">
        <f t="shared" si="202"/>
        <v>0</v>
      </c>
      <c r="AH867" s="101">
        <f t="shared" si="202"/>
        <v>0</v>
      </c>
      <c r="AI867" s="101">
        <f t="shared" si="202"/>
        <v>0</v>
      </c>
      <c r="AJ867" s="101">
        <f t="shared" si="202"/>
        <v>2.9565668264590825E-3</v>
      </c>
      <c r="AK867" s="101">
        <f t="shared" si="202"/>
        <v>0</v>
      </c>
      <c r="AL867" s="101">
        <f t="shared" si="202"/>
        <v>0</v>
      </c>
      <c r="AM867" s="381">
        <f t="shared" si="198"/>
        <v>2.9565668264590825E-3</v>
      </c>
    </row>
    <row r="868" spans="1:39" x14ac:dyDescent="0.2">
      <c r="A868" s="8"/>
      <c r="B868" s="107" t="s">
        <v>892</v>
      </c>
      <c r="C868" s="118" t="s">
        <v>176</v>
      </c>
      <c r="D868" s="129"/>
      <c r="E868" s="101"/>
      <c r="F868" s="101">
        <f t="shared" si="201"/>
        <v>8.0902143070588836E-3</v>
      </c>
      <c r="G868" s="101">
        <f t="shared" si="202"/>
        <v>3.7856937210843117E-3</v>
      </c>
      <c r="H868" s="101">
        <f t="shared" si="202"/>
        <v>2.4679143905163571E-4</v>
      </c>
      <c r="I868" s="101">
        <f t="shared" si="202"/>
        <v>0</v>
      </c>
      <c r="J868" s="101">
        <f t="shared" si="202"/>
        <v>1.7211419266923477E-3</v>
      </c>
      <c r="K868" s="101">
        <f t="shared" si="202"/>
        <v>3.062026080808974E-5</v>
      </c>
      <c r="L868" s="101">
        <f t="shared" si="202"/>
        <v>0</v>
      </c>
      <c r="M868" s="101">
        <f t="shared" si="202"/>
        <v>0</v>
      </c>
      <c r="N868" s="101">
        <f t="shared" si="202"/>
        <v>9.6545998907655417E-2</v>
      </c>
      <c r="O868" s="101">
        <f t="shared" si="202"/>
        <v>7.538316737218941E-3</v>
      </c>
      <c r="P868" s="101">
        <f t="shared" si="202"/>
        <v>1.5647450871511131E-2</v>
      </c>
      <c r="Q868" s="101">
        <f t="shared" si="202"/>
        <v>1.1426832590756954E-4</v>
      </c>
      <c r="R868" s="101">
        <f t="shared" si="202"/>
        <v>1.7480507903036221E-3</v>
      </c>
      <c r="S868" s="101">
        <f t="shared" si="202"/>
        <v>3.1018742802029469E-3</v>
      </c>
      <c r="T868" s="101">
        <f t="shared" si="202"/>
        <v>3.0786272858996041E-2</v>
      </c>
      <c r="U868" s="101">
        <f t="shared" si="202"/>
        <v>3.0077408816719452E-3</v>
      </c>
      <c r="V868" s="101">
        <f t="shared" si="202"/>
        <v>4.327351457955647E-4</v>
      </c>
      <c r="W868" s="101">
        <f t="shared" si="202"/>
        <v>2.9557275793720811E-3</v>
      </c>
      <c r="X868" s="101">
        <f t="shared" si="202"/>
        <v>0</v>
      </c>
      <c r="Y868" s="101">
        <f t="shared" si="202"/>
        <v>0</v>
      </c>
      <c r="Z868" s="101">
        <f t="shared" si="202"/>
        <v>0</v>
      </c>
      <c r="AA868" s="101">
        <f t="shared" si="202"/>
        <v>2.0723058697353134E-4</v>
      </c>
      <c r="AB868" s="101">
        <f t="shared" si="202"/>
        <v>6.847994480434959E-5</v>
      </c>
      <c r="AC868" s="101">
        <f t="shared" si="202"/>
        <v>1.8382949758827313E-2</v>
      </c>
      <c r="AD868" s="101">
        <f t="shared" si="202"/>
        <v>0</v>
      </c>
      <c r="AE868" s="101">
        <f t="shared" si="202"/>
        <v>2.1516858001324746E-3</v>
      </c>
      <c r="AF868" s="101">
        <f t="shared" si="202"/>
        <v>0</v>
      </c>
      <c r="AG868" s="101">
        <f t="shared" si="202"/>
        <v>9.9618807039974513E-4</v>
      </c>
      <c r="AH868" s="101">
        <f t="shared" si="202"/>
        <v>3.6229251820389026E-5</v>
      </c>
      <c r="AI868" s="101">
        <f t="shared" si="202"/>
        <v>0</v>
      </c>
      <c r="AJ868" s="101">
        <f t="shared" si="202"/>
        <v>0</v>
      </c>
      <c r="AK868" s="101">
        <f t="shared" si="202"/>
        <v>5.2459926786810633E-4</v>
      </c>
      <c r="AL868" s="101">
        <f t="shared" si="202"/>
        <v>0</v>
      </c>
      <c r="AM868" s="381">
        <f t="shared" si="198"/>
        <v>0.19812026071415645</v>
      </c>
    </row>
    <row r="869" spans="1:39" x14ac:dyDescent="0.2">
      <c r="A869" s="8"/>
      <c r="B869" s="107" t="s">
        <v>893</v>
      </c>
      <c r="C869" s="118" t="s">
        <v>176</v>
      </c>
      <c r="D869" s="129"/>
      <c r="E869" s="101"/>
      <c r="F869" s="101">
        <f t="shared" si="201"/>
        <v>3.9448411450835864E-2</v>
      </c>
      <c r="G869" s="101">
        <f t="shared" si="202"/>
        <v>0.36573091282999692</v>
      </c>
      <c r="H869" s="101">
        <f t="shared" si="202"/>
        <v>6.6982159060120358E-3</v>
      </c>
      <c r="I869" s="101">
        <f t="shared" si="202"/>
        <v>0.20071107915858766</v>
      </c>
      <c r="J869" s="101">
        <f t="shared" si="202"/>
        <v>0.16211936653078057</v>
      </c>
      <c r="K869" s="101">
        <f t="shared" si="202"/>
        <v>0.53556160737664793</v>
      </c>
      <c r="L869" s="101">
        <f t="shared" si="202"/>
        <v>5.1607715040990687E-5</v>
      </c>
      <c r="M869" s="101">
        <f t="shared" si="202"/>
        <v>0.3006597637449987</v>
      </c>
      <c r="N869" s="101">
        <f t="shared" si="202"/>
        <v>8.7358445967738434E-3</v>
      </c>
      <c r="O869" s="101">
        <f t="shared" si="202"/>
        <v>9.9139901107069239E-5</v>
      </c>
      <c r="P869" s="101">
        <f t="shared" si="202"/>
        <v>3.2107214263898904E-4</v>
      </c>
      <c r="Q869" s="101">
        <f t="shared" si="202"/>
        <v>0</v>
      </c>
      <c r="R869" s="101">
        <f t="shared" si="202"/>
        <v>7.9462804591799496E-5</v>
      </c>
      <c r="S869" s="101">
        <f t="shared" si="202"/>
        <v>0</v>
      </c>
      <c r="T869" s="101">
        <f t="shared" si="202"/>
        <v>0</v>
      </c>
      <c r="U869" s="101">
        <f t="shared" si="202"/>
        <v>6.3421262383587E-4</v>
      </c>
      <c r="V869" s="101">
        <f t="shared" si="202"/>
        <v>0</v>
      </c>
      <c r="W869" s="101">
        <f t="shared" si="202"/>
        <v>0</v>
      </c>
      <c r="X869" s="101">
        <f t="shared" si="202"/>
        <v>0</v>
      </c>
      <c r="Y869" s="101">
        <f t="shared" si="202"/>
        <v>0</v>
      </c>
      <c r="Z869" s="101">
        <f t="shared" si="202"/>
        <v>0</v>
      </c>
      <c r="AA869" s="101">
        <f t="shared" si="202"/>
        <v>0</v>
      </c>
      <c r="AB869" s="101">
        <f t="shared" si="202"/>
        <v>4.9354915174306009E-5</v>
      </c>
      <c r="AC869" s="101">
        <f t="shared" si="202"/>
        <v>7.2603852651891747E-4</v>
      </c>
      <c r="AD869" s="101">
        <f t="shared" si="202"/>
        <v>0</v>
      </c>
      <c r="AE869" s="101">
        <f t="shared" si="202"/>
        <v>0</v>
      </c>
      <c r="AF869" s="101">
        <f t="shared" si="202"/>
        <v>0</v>
      </c>
      <c r="AG869" s="101">
        <f t="shared" si="202"/>
        <v>2.3818390051560957E-5</v>
      </c>
      <c r="AH869" s="101">
        <f t="shared" si="202"/>
        <v>0</v>
      </c>
      <c r="AI869" s="101">
        <f t="shared" si="202"/>
        <v>0</v>
      </c>
      <c r="AJ869" s="101">
        <f t="shared" si="202"/>
        <v>0</v>
      </c>
      <c r="AK869" s="101">
        <f t="shared" si="202"/>
        <v>0</v>
      </c>
      <c r="AL869" s="101">
        <f t="shared" si="202"/>
        <v>0</v>
      </c>
      <c r="AM869" s="381">
        <f t="shared" si="198"/>
        <v>1.6216499086135929</v>
      </c>
    </row>
    <row r="870" spans="1:39" x14ac:dyDescent="0.2">
      <c r="A870" s="8"/>
      <c r="B870" s="107" t="s">
        <v>894</v>
      </c>
      <c r="C870" s="118" t="s">
        <v>176</v>
      </c>
      <c r="D870" s="129"/>
      <c r="E870" s="101"/>
      <c r="F870" s="101">
        <f t="shared" si="201"/>
        <v>0.36278360748268346</v>
      </c>
      <c r="G870" s="101">
        <f t="shared" si="202"/>
        <v>1.7707715124371401</v>
      </c>
      <c r="H870" s="101">
        <f t="shared" si="202"/>
        <v>0.39929279403659557</v>
      </c>
      <c r="I870" s="101">
        <f t="shared" si="202"/>
        <v>7.7795136821059847</v>
      </c>
      <c r="J870" s="101">
        <f t="shared" si="202"/>
        <v>16.960916342301196</v>
      </c>
      <c r="K870" s="101">
        <f t="shared" si="202"/>
        <v>4.229740112123638</v>
      </c>
      <c r="L870" s="101">
        <f t="shared" si="202"/>
        <v>11.901390751475075</v>
      </c>
      <c r="M870" s="101">
        <f t="shared" si="202"/>
        <v>9.0435156358453561</v>
      </c>
      <c r="N870" s="101">
        <f t="shared" si="202"/>
        <v>2.8438495646275346</v>
      </c>
      <c r="O870" s="101">
        <f t="shared" si="202"/>
        <v>4.3320540195543744</v>
      </c>
      <c r="P870" s="101">
        <f t="shared" si="202"/>
        <v>12.62412121223001</v>
      </c>
      <c r="Q870" s="101">
        <f t="shared" si="202"/>
        <v>2.0593174909575618</v>
      </c>
      <c r="R870" s="101">
        <f t="shared" si="202"/>
        <v>37.754510328567584</v>
      </c>
      <c r="S870" s="101">
        <f t="shared" si="202"/>
        <v>11.82692171902584</v>
      </c>
      <c r="T870" s="101">
        <f t="shared" si="202"/>
        <v>32.887516952701951</v>
      </c>
      <c r="U870" s="101">
        <f t="shared" si="202"/>
        <v>5.4569994981910845</v>
      </c>
      <c r="V870" s="101">
        <f t="shared" si="202"/>
        <v>13.276272003396613</v>
      </c>
      <c r="W870" s="101">
        <f t="shared" si="202"/>
        <v>0.97078543912997173</v>
      </c>
      <c r="X870" s="101">
        <f t="shared" si="202"/>
        <v>0.15746757435329317</v>
      </c>
      <c r="Y870" s="101">
        <f t="shared" si="202"/>
        <v>2.7112904266500188</v>
      </c>
      <c r="Z870" s="101">
        <f t="shared" si="202"/>
        <v>0.32406031068448832</v>
      </c>
      <c r="AA870" s="101">
        <f t="shared" si="202"/>
        <v>2.0571529383975373</v>
      </c>
      <c r="AB870" s="101">
        <f t="shared" si="202"/>
        <v>1.8480103760428754</v>
      </c>
      <c r="AC870" s="101">
        <f t="shared" si="202"/>
        <v>7.0995134173956291</v>
      </c>
      <c r="AD870" s="101">
        <f t="shared" si="202"/>
        <v>0.9797865543117219</v>
      </c>
      <c r="AE870" s="101">
        <f t="shared" si="202"/>
        <v>5.9714987610206887</v>
      </c>
      <c r="AF870" s="101">
        <f t="shared" si="202"/>
        <v>1.1078050322356705</v>
      </c>
      <c r="AG870" s="101">
        <f t="shared" si="202"/>
        <v>3.1845015315719167</v>
      </c>
      <c r="AH870" s="101">
        <f t="shared" si="202"/>
        <v>1.6345723334832876</v>
      </c>
      <c r="AI870" s="101">
        <f t="shared" si="202"/>
        <v>0.36333124541960987</v>
      </c>
      <c r="AJ870" s="101">
        <f t="shared" si="202"/>
        <v>0.59335486375454327</v>
      </c>
      <c r="AK870" s="101">
        <f t="shared" si="202"/>
        <v>0.11771225648474798</v>
      </c>
      <c r="AL870" s="101">
        <f t="shared" si="202"/>
        <v>0.35273480953832981</v>
      </c>
      <c r="AM870" s="381">
        <f t="shared" si="198"/>
        <v>204.98306509753456</v>
      </c>
    </row>
    <row r="871" spans="1:39" x14ac:dyDescent="0.2">
      <c r="A871" s="8"/>
      <c r="B871" s="107" t="s">
        <v>895</v>
      </c>
      <c r="C871" s="118" t="s">
        <v>176</v>
      </c>
      <c r="D871" s="129"/>
      <c r="E871" s="101"/>
      <c r="F871" s="101">
        <f t="shared" si="201"/>
        <v>8.5627633822646876E-2</v>
      </c>
      <c r="G871" s="101">
        <f t="shared" si="202"/>
        <v>6.7101165799996115E-2</v>
      </c>
      <c r="H871" s="101">
        <f t="shared" si="202"/>
        <v>5.2997355647058798E-2</v>
      </c>
      <c r="I871" s="101">
        <f t="shared" si="202"/>
        <v>0.23274635108424913</v>
      </c>
      <c r="J871" s="101">
        <f t="shared" si="202"/>
        <v>0.18539845886064438</v>
      </c>
      <c r="K871" s="101">
        <f t="shared" si="202"/>
        <v>5.9128207977287461E-2</v>
      </c>
      <c r="L871" s="101">
        <f t="shared" si="202"/>
        <v>0.11667744525733109</v>
      </c>
      <c r="M871" s="101">
        <f t="shared" si="202"/>
        <v>0.13111417785327864</v>
      </c>
      <c r="N871" s="101">
        <f t="shared" si="202"/>
        <v>0.19013345245269642</v>
      </c>
      <c r="O871" s="101">
        <f t="shared" si="202"/>
        <v>9.1036730174848979E-2</v>
      </c>
      <c r="P871" s="101">
        <f t="shared" si="202"/>
        <v>0.29095231511248382</v>
      </c>
      <c r="Q871" s="101">
        <f t="shared" si="202"/>
        <v>6.4514081754207073E-2</v>
      </c>
      <c r="R871" s="101">
        <f t="shared" si="202"/>
        <v>0.2746063921096572</v>
      </c>
      <c r="S871" s="101">
        <f t="shared" si="202"/>
        <v>0.13880008703793895</v>
      </c>
      <c r="T871" s="101">
        <f t="shared" si="202"/>
        <v>0.29892994203238937</v>
      </c>
      <c r="U871" s="101">
        <f t="shared" si="202"/>
        <v>0.33496340228449351</v>
      </c>
      <c r="V871" s="101">
        <f t="shared" si="202"/>
        <v>0.27807191195321662</v>
      </c>
      <c r="W871" s="101">
        <f t="shared" si="202"/>
        <v>5.0999122093288329E-2</v>
      </c>
      <c r="X871" s="101">
        <f t="shared" si="202"/>
        <v>1.3978587420144377E-2</v>
      </c>
      <c r="Y871" s="101">
        <f t="shared" si="202"/>
        <v>2.8072483936469713E-2</v>
      </c>
      <c r="Z871" s="101">
        <f t="shared" si="202"/>
        <v>6.5322102858190498E-2</v>
      </c>
      <c r="AA871" s="101">
        <f t="shared" si="202"/>
        <v>6.1707579416162534E-2</v>
      </c>
      <c r="AB871" s="101">
        <f t="shared" si="202"/>
        <v>6.7732629534029851E-2</v>
      </c>
      <c r="AC871" s="101">
        <f t="shared" si="202"/>
        <v>0.1718317344803961</v>
      </c>
      <c r="AD871" s="101">
        <f t="shared" si="202"/>
        <v>4.2789247047024415E-2</v>
      </c>
      <c r="AE871" s="101">
        <f t="shared" si="202"/>
        <v>5.0003633379230174E-2</v>
      </c>
      <c r="AF871" s="101">
        <f t="shared" si="202"/>
        <v>2.0561839156512517E-2</v>
      </c>
      <c r="AG871" s="101">
        <f t="shared" si="202"/>
        <v>8.4069924179754257E-2</v>
      </c>
      <c r="AH871" s="101">
        <f t="shared" si="202"/>
        <v>9.9355533600876747E-2</v>
      </c>
      <c r="AI871" s="101">
        <f t="shared" si="202"/>
        <v>8.9145787742861748E-2</v>
      </c>
      <c r="AJ871" s="101">
        <f t="shared" si="202"/>
        <v>0.10049026746809263</v>
      </c>
      <c r="AK871" s="101">
        <f t="shared" si="202"/>
        <v>0.22388978193779377</v>
      </c>
      <c r="AL871" s="101">
        <f t="shared" si="202"/>
        <v>0.17384027473146546</v>
      </c>
      <c r="AM871" s="381">
        <f t="shared" si="198"/>
        <v>4.2365896401967174</v>
      </c>
    </row>
    <row r="872" spans="1:39" x14ac:dyDescent="0.2">
      <c r="A872" s="8"/>
      <c r="B872" s="107" t="s">
        <v>896</v>
      </c>
      <c r="C872" s="118" t="s">
        <v>176</v>
      </c>
      <c r="D872" s="129"/>
      <c r="E872" s="101"/>
      <c r="F872" s="101">
        <f t="shared" si="201"/>
        <v>1.8914750517226715</v>
      </c>
      <c r="G872" s="101">
        <f t="shared" si="202"/>
        <v>3.6016514420469812</v>
      </c>
      <c r="H872" s="101">
        <f t="shared" si="202"/>
        <v>0.47584303664707356</v>
      </c>
      <c r="I872" s="101">
        <f t="shared" si="202"/>
        <v>5.4439772838215532</v>
      </c>
      <c r="J872" s="101">
        <f t="shared" si="202"/>
        <v>1.8411260940372522</v>
      </c>
      <c r="K872" s="101">
        <f t="shared" si="202"/>
        <v>0.43968428517431407</v>
      </c>
      <c r="L872" s="101">
        <f t="shared" si="202"/>
        <v>1.5135670048570309</v>
      </c>
      <c r="M872" s="101">
        <f t="shared" si="202"/>
        <v>1.5144141720487787</v>
      </c>
      <c r="N872" s="101">
        <f t="shared" si="202"/>
        <v>69.235882540802038</v>
      </c>
      <c r="O872" s="101">
        <f t="shared" si="202"/>
        <v>8.79053630400883</v>
      </c>
      <c r="P872" s="101">
        <f t="shared" si="202"/>
        <v>6.9465254812555335</v>
      </c>
      <c r="Q872" s="101">
        <f t="shared" si="202"/>
        <v>1.254608887287805</v>
      </c>
      <c r="R872" s="101">
        <f t="shared" ref="G872:AL875" si="203">R834*R726</f>
        <v>3.5107953620637056</v>
      </c>
      <c r="S872" s="101">
        <f t="shared" si="203"/>
        <v>10.331319245672924</v>
      </c>
      <c r="T872" s="101">
        <f t="shared" si="203"/>
        <v>13.094604630676614</v>
      </c>
      <c r="U872" s="101">
        <f t="shared" si="203"/>
        <v>12.102826274033999</v>
      </c>
      <c r="V872" s="101">
        <f t="shared" si="203"/>
        <v>16.900986616112988</v>
      </c>
      <c r="W872" s="101">
        <f t="shared" si="203"/>
        <v>1.1092129015403474</v>
      </c>
      <c r="X872" s="101">
        <f t="shared" si="203"/>
        <v>0.41003862031295651</v>
      </c>
      <c r="Y872" s="101">
        <f t="shared" si="203"/>
        <v>2.264448565952113</v>
      </c>
      <c r="Z872" s="101">
        <f t="shared" si="203"/>
        <v>16.894716345327744</v>
      </c>
      <c r="AA872" s="101">
        <f t="shared" si="203"/>
        <v>13.289931760430264</v>
      </c>
      <c r="AB872" s="101">
        <f t="shared" si="203"/>
        <v>8.9953523009404339</v>
      </c>
      <c r="AC872" s="101">
        <f t="shared" si="203"/>
        <v>30.349681861585267</v>
      </c>
      <c r="AD872" s="101">
        <f t="shared" si="203"/>
        <v>1.0130473430107123</v>
      </c>
      <c r="AE872" s="101">
        <f t="shared" si="203"/>
        <v>1.9742729378326425</v>
      </c>
      <c r="AF872" s="101">
        <f t="shared" si="203"/>
        <v>0.12841181240411029</v>
      </c>
      <c r="AG872" s="101">
        <f t="shared" si="203"/>
        <v>10.376509106058</v>
      </c>
      <c r="AH872" s="101">
        <f t="shared" si="203"/>
        <v>1.230507599620964</v>
      </c>
      <c r="AI872" s="101">
        <f t="shared" si="203"/>
        <v>9.9164344683320351</v>
      </c>
      <c r="AJ872" s="101">
        <f t="shared" si="203"/>
        <v>12.21664321785142</v>
      </c>
      <c r="AK872" s="101">
        <f t="shared" si="203"/>
        <v>6.8297333411857544</v>
      </c>
      <c r="AL872" s="101">
        <f t="shared" si="203"/>
        <v>4.4095159735365748</v>
      </c>
      <c r="AM872" s="381">
        <f t="shared" si="198"/>
        <v>280.29828186819145</v>
      </c>
    </row>
    <row r="873" spans="1:39" x14ac:dyDescent="0.2">
      <c r="A873" s="8"/>
      <c r="B873" s="107" t="s">
        <v>897</v>
      </c>
      <c r="C873" s="118" t="s">
        <v>176</v>
      </c>
      <c r="D873" s="129"/>
      <c r="E873" s="101"/>
      <c r="F873" s="101">
        <f>F835*F727</f>
        <v>1.4366940016201086</v>
      </c>
      <c r="G873" s="101">
        <f t="shared" si="203"/>
        <v>3.2770149148797842</v>
      </c>
      <c r="H873" s="101">
        <f t="shared" si="203"/>
        <v>1.2803865847148508</v>
      </c>
      <c r="I873" s="101">
        <f t="shared" si="203"/>
        <v>5.6286417383781711</v>
      </c>
      <c r="J873" s="101">
        <f t="shared" si="203"/>
        <v>26.634252755585994</v>
      </c>
      <c r="K873" s="101">
        <f t="shared" si="203"/>
        <v>10.49406807646041</v>
      </c>
      <c r="L873" s="101">
        <f t="shared" si="203"/>
        <v>48.958949239165236</v>
      </c>
      <c r="M873" s="101">
        <f t="shared" si="203"/>
        <v>7.1182399688955575</v>
      </c>
      <c r="N873" s="101">
        <f t="shared" si="203"/>
        <v>5.6519856688886252</v>
      </c>
      <c r="O873" s="101">
        <f t="shared" si="203"/>
        <v>9.5873622813725135</v>
      </c>
      <c r="P873" s="101">
        <f t="shared" si="203"/>
        <v>22.030524702640221</v>
      </c>
      <c r="Q873" s="101">
        <f t="shared" si="203"/>
        <v>3.7439538432228723</v>
      </c>
      <c r="R873" s="101">
        <f t="shared" si="203"/>
        <v>256.8381484577622</v>
      </c>
      <c r="S873" s="101">
        <f t="shared" si="203"/>
        <v>83.035535664568968</v>
      </c>
      <c r="T873" s="101">
        <f t="shared" si="203"/>
        <v>218.51998207536724</v>
      </c>
      <c r="U873" s="101">
        <f t="shared" si="203"/>
        <v>79.401439494031024</v>
      </c>
      <c r="V873" s="101">
        <f t="shared" si="203"/>
        <v>184.24645503913334</v>
      </c>
      <c r="W873" s="101">
        <f t="shared" si="203"/>
        <v>16.000612391964335</v>
      </c>
      <c r="X873" s="101">
        <f t="shared" si="203"/>
        <v>2.236715250871661</v>
      </c>
      <c r="Y873" s="101">
        <f t="shared" si="203"/>
        <v>15.70399538804962</v>
      </c>
      <c r="Z873" s="101">
        <f t="shared" si="203"/>
        <v>8.4644270818697613</v>
      </c>
      <c r="AA873" s="101">
        <f t="shared" si="203"/>
        <v>10.663572848508624</v>
      </c>
      <c r="AB873" s="101">
        <f t="shared" si="203"/>
        <v>69.60360318410595</v>
      </c>
      <c r="AC873" s="101">
        <f t="shared" si="203"/>
        <v>66.303410963138035</v>
      </c>
      <c r="AD873" s="101">
        <f t="shared" si="203"/>
        <v>3.2624729526548131</v>
      </c>
      <c r="AE873" s="101">
        <f t="shared" si="203"/>
        <v>53.754524461531595</v>
      </c>
      <c r="AF873" s="101">
        <f t="shared" si="203"/>
        <v>5.940611377685781</v>
      </c>
      <c r="AG873" s="101">
        <f t="shared" si="203"/>
        <v>35.336162403122152</v>
      </c>
      <c r="AH873" s="101">
        <f t="shared" si="203"/>
        <v>54.793559163651722</v>
      </c>
      <c r="AI873" s="101">
        <f t="shared" si="203"/>
        <v>2.9411722601847612</v>
      </c>
      <c r="AJ873" s="101">
        <f t="shared" si="203"/>
        <v>1.8173147368763272</v>
      </c>
      <c r="AK873" s="101">
        <f t="shared" si="203"/>
        <v>2.3137017557177852</v>
      </c>
      <c r="AL873" s="101">
        <f t="shared" si="203"/>
        <v>1.2221377742634809</v>
      </c>
      <c r="AM873" s="381">
        <f t="shared" si="198"/>
        <v>1318.2416285008837</v>
      </c>
    </row>
    <row r="874" spans="1:39" x14ac:dyDescent="0.2">
      <c r="A874" s="8"/>
      <c r="B874" s="107" t="s">
        <v>898</v>
      </c>
      <c r="C874" s="118" t="s">
        <v>176</v>
      </c>
      <c r="D874" s="129"/>
      <c r="E874" s="101"/>
      <c r="F874" s="101">
        <f>F836*F728</f>
        <v>0</v>
      </c>
      <c r="G874" s="101">
        <f t="shared" si="203"/>
        <v>2.2618931355631801E-9</v>
      </c>
      <c r="H874" s="101">
        <f t="shared" si="203"/>
        <v>0</v>
      </c>
      <c r="I874" s="101">
        <f t="shared" si="203"/>
        <v>0</v>
      </c>
      <c r="J874" s="101">
        <f t="shared" si="203"/>
        <v>60.652553716186709</v>
      </c>
      <c r="K874" s="101">
        <f t="shared" si="203"/>
        <v>27.467998870720102</v>
      </c>
      <c r="L874" s="101">
        <f t="shared" si="203"/>
        <v>50.944425496930442</v>
      </c>
      <c r="M874" s="101">
        <f t="shared" si="203"/>
        <v>0</v>
      </c>
      <c r="N874" s="101">
        <f t="shared" si="203"/>
        <v>0</v>
      </c>
      <c r="O874" s="101">
        <f t="shared" si="203"/>
        <v>0</v>
      </c>
      <c r="P874" s="101">
        <f t="shared" si="203"/>
        <v>121.52233914301969</v>
      </c>
      <c r="Q874" s="101">
        <f t="shared" si="203"/>
        <v>0</v>
      </c>
      <c r="R874" s="101">
        <f t="shared" si="203"/>
        <v>45.919338607065733</v>
      </c>
      <c r="S874" s="101">
        <f t="shared" si="203"/>
        <v>51.564895601580105</v>
      </c>
      <c r="T874" s="101">
        <f t="shared" si="203"/>
        <v>113.54402250030454</v>
      </c>
      <c r="U874" s="101">
        <f t="shared" si="203"/>
        <v>0</v>
      </c>
      <c r="V874" s="101">
        <f t="shared" si="203"/>
        <v>375.03780713469996</v>
      </c>
      <c r="W874" s="101">
        <f t="shared" si="203"/>
        <v>75.72331884756484</v>
      </c>
      <c r="X874" s="101">
        <f t="shared" si="203"/>
        <v>42.832634778544609</v>
      </c>
      <c r="Y874" s="101">
        <f t="shared" si="203"/>
        <v>50.560609566810292</v>
      </c>
      <c r="Z874" s="101">
        <f t="shared" si="203"/>
        <v>26.146047929117493</v>
      </c>
      <c r="AA874" s="101">
        <f t="shared" si="203"/>
        <v>49.524195663953037</v>
      </c>
      <c r="AB874" s="101">
        <f t="shared" si="203"/>
        <v>74.670197142305753</v>
      </c>
      <c r="AC874" s="101">
        <f t="shared" si="203"/>
        <v>74.591119094756081</v>
      </c>
      <c r="AD874" s="101">
        <f t="shared" si="203"/>
        <v>0</v>
      </c>
      <c r="AE874" s="101">
        <f t="shared" si="203"/>
        <v>58.455986643268943</v>
      </c>
      <c r="AF874" s="101">
        <f t="shared" si="203"/>
        <v>0</v>
      </c>
      <c r="AG874" s="101">
        <f t="shared" si="203"/>
        <v>48.027025578416527</v>
      </c>
      <c r="AH874" s="101">
        <f t="shared" si="203"/>
        <v>106.55567693501048</v>
      </c>
      <c r="AI874" s="101">
        <f t="shared" si="203"/>
        <v>0</v>
      </c>
      <c r="AJ874" s="101">
        <f t="shared" si="203"/>
        <v>0</v>
      </c>
      <c r="AK874" s="101">
        <f t="shared" si="203"/>
        <v>0</v>
      </c>
      <c r="AL874" s="101">
        <f t="shared" si="203"/>
        <v>0</v>
      </c>
      <c r="AM874" s="381">
        <f t="shared" si="198"/>
        <v>1453.7401932525174</v>
      </c>
    </row>
    <row r="875" spans="1:39" x14ac:dyDescent="0.2">
      <c r="A875" s="8"/>
      <c r="B875" s="107" t="s">
        <v>899</v>
      </c>
      <c r="C875" s="118" t="s">
        <v>176</v>
      </c>
      <c r="D875" s="129"/>
      <c r="E875" s="101"/>
      <c r="F875" s="101">
        <f>F837*F729</f>
        <v>0</v>
      </c>
      <c r="G875" s="101">
        <f t="shared" si="203"/>
        <v>0</v>
      </c>
      <c r="H875" s="101">
        <f t="shared" si="203"/>
        <v>0</v>
      </c>
      <c r="I875" s="101">
        <f t="shared" si="203"/>
        <v>0</v>
      </c>
      <c r="J875" s="101">
        <f t="shared" si="203"/>
        <v>0</v>
      </c>
      <c r="K875" s="101">
        <f t="shared" si="203"/>
        <v>0</v>
      </c>
      <c r="L875" s="101">
        <f t="shared" si="203"/>
        <v>0</v>
      </c>
      <c r="M875" s="101">
        <f t="shared" si="203"/>
        <v>0</v>
      </c>
      <c r="N875" s="101">
        <f t="shared" si="203"/>
        <v>0</v>
      </c>
      <c r="O875" s="101">
        <f t="shared" si="203"/>
        <v>0</v>
      </c>
      <c r="P875" s="101">
        <f t="shared" si="203"/>
        <v>0</v>
      </c>
      <c r="Q875" s="101">
        <f t="shared" si="203"/>
        <v>0</v>
      </c>
      <c r="R875" s="101">
        <f t="shared" si="203"/>
        <v>0</v>
      </c>
      <c r="S875" s="101">
        <f t="shared" si="203"/>
        <v>0</v>
      </c>
      <c r="T875" s="101">
        <f t="shared" si="203"/>
        <v>0</v>
      </c>
      <c r="U875" s="101">
        <f t="shared" si="203"/>
        <v>0</v>
      </c>
      <c r="V875" s="101">
        <f t="shared" si="203"/>
        <v>0</v>
      </c>
      <c r="W875" s="101">
        <f t="shared" si="203"/>
        <v>0</v>
      </c>
      <c r="X875" s="101">
        <f t="shared" si="203"/>
        <v>0</v>
      </c>
      <c r="Y875" s="101">
        <f t="shared" si="203"/>
        <v>0</v>
      </c>
      <c r="Z875" s="101">
        <f t="shared" si="203"/>
        <v>0</v>
      </c>
      <c r="AA875" s="101">
        <f t="shared" si="203"/>
        <v>0</v>
      </c>
      <c r="AB875" s="101">
        <f t="shared" si="203"/>
        <v>0</v>
      </c>
      <c r="AC875" s="101">
        <f t="shared" si="203"/>
        <v>0</v>
      </c>
      <c r="AD875" s="101">
        <f t="shared" si="203"/>
        <v>0</v>
      </c>
      <c r="AE875" s="101">
        <f t="shared" si="203"/>
        <v>0</v>
      </c>
      <c r="AF875" s="101">
        <f t="shared" si="203"/>
        <v>0</v>
      </c>
      <c r="AG875" s="101">
        <f t="shared" si="203"/>
        <v>0</v>
      </c>
      <c r="AH875" s="101">
        <f t="shared" si="203"/>
        <v>0</v>
      </c>
      <c r="AI875" s="101">
        <f t="shared" si="203"/>
        <v>0</v>
      </c>
      <c r="AJ875" s="101">
        <f t="shared" si="203"/>
        <v>0</v>
      </c>
      <c r="AK875" s="101">
        <f t="shared" si="203"/>
        <v>0</v>
      </c>
      <c r="AL875" s="101">
        <f t="shared" si="203"/>
        <v>0</v>
      </c>
      <c r="AM875" s="381">
        <f t="shared" si="198"/>
        <v>0</v>
      </c>
    </row>
    <row r="876" spans="1:39" x14ac:dyDescent="0.2">
      <c r="A876" s="8"/>
      <c r="B876" s="65"/>
      <c r="C876" s="217"/>
      <c r="D876" s="161"/>
      <c r="E876" s="101"/>
      <c r="F876" s="25"/>
      <c r="G876" s="25"/>
      <c r="H876" s="25"/>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381"/>
    </row>
    <row r="877" spans="1:39" x14ac:dyDescent="0.2">
      <c r="A877" s="8"/>
      <c r="B877" s="52" t="s">
        <v>330</v>
      </c>
      <c r="C877" s="216" t="s">
        <v>176</v>
      </c>
      <c r="D877" s="160"/>
      <c r="E877" s="122"/>
      <c r="F877" s="122">
        <f>SUM(F840:F873,F875)</f>
        <v>85.319169586978717</v>
      </c>
      <c r="G877" s="122">
        <f t="shared" ref="G877:AL877" si="204">SUM(G840:G873,G875)</f>
        <v>58.885359378692335</v>
      </c>
      <c r="H877" s="122">
        <f t="shared" si="204"/>
        <v>64.037542257146626</v>
      </c>
      <c r="I877" s="122">
        <f t="shared" si="204"/>
        <v>193.17505985284362</v>
      </c>
      <c r="J877" s="122">
        <f t="shared" si="204"/>
        <v>98.986500176834952</v>
      </c>
      <c r="K877" s="122">
        <f t="shared" si="204"/>
        <v>48.283303556814317</v>
      </c>
      <c r="L877" s="122">
        <f t="shared" si="204"/>
        <v>74.523534606500064</v>
      </c>
      <c r="M877" s="122">
        <f t="shared" si="204"/>
        <v>118.18933467432434</v>
      </c>
      <c r="N877" s="122">
        <f t="shared" si="204"/>
        <v>242.24524457369876</v>
      </c>
      <c r="O877" s="122">
        <f t="shared" si="204"/>
        <v>89.553775775483757</v>
      </c>
      <c r="P877" s="122">
        <f t="shared" si="204"/>
        <v>120.34723832282499</v>
      </c>
      <c r="Q877" s="122">
        <f t="shared" si="204"/>
        <v>43.345790358848376</v>
      </c>
      <c r="R877" s="122">
        <f t="shared" si="204"/>
        <v>374.73478278290827</v>
      </c>
      <c r="S877" s="122">
        <f t="shared" si="204"/>
        <v>173.25342122715574</v>
      </c>
      <c r="T877" s="122">
        <f t="shared" si="204"/>
        <v>367.3383185666292</v>
      </c>
      <c r="U877" s="122">
        <f t="shared" si="204"/>
        <v>326.80488867666122</v>
      </c>
      <c r="V877" s="122">
        <f t="shared" si="204"/>
        <v>285.66973072395479</v>
      </c>
      <c r="W877" s="122">
        <f t="shared" si="204"/>
        <v>25.386488889479693</v>
      </c>
      <c r="X877" s="122">
        <f t="shared" si="204"/>
        <v>3.739914945652218</v>
      </c>
      <c r="Y877" s="122">
        <f t="shared" si="204"/>
        <v>36.187462251885663</v>
      </c>
      <c r="Z877" s="122">
        <f t="shared" si="204"/>
        <v>31.312837643392761</v>
      </c>
      <c r="AA877" s="122">
        <f t="shared" si="204"/>
        <v>47.199247264771728</v>
      </c>
      <c r="AB877" s="122">
        <f t="shared" si="204"/>
        <v>87.372483427971986</v>
      </c>
      <c r="AC877" s="122">
        <f t="shared" si="204"/>
        <v>215.30179840040989</v>
      </c>
      <c r="AD877" s="122">
        <f t="shared" si="204"/>
        <v>17.057427197589099</v>
      </c>
      <c r="AE877" s="122">
        <f t="shared" si="204"/>
        <v>88.335984406987663</v>
      </c>
      <c r="AF877" s="122">
        <f t="shared" si="204"/>
        <v>30.009739755012504</v>
      </c>
      <c r="AG877" s="122">
        <f t="shared" si="204"/>
        <v>62.696717938136999</v>
      </c>
      <c r="AH877" s="122">
        <f t="shared" si="204"/>
        <v>60.658406013973327</v>
      </c>
      <c r="AI877" s="122">
        <f t="shared" si="204"/>
        <v>31.042743429551944</v>
      </c>
      <c r="AJ877" s="122">
        <f t="shared" si="204"/>
        <v>25.313554102877781</v>
      </c>
      <c r="AK877" s="122">
        <f t="shared" si="204"/>
        <v>24.369766462165636</v>
      </c>
      <c r="AL877" s="122">
        <f t="shared" si="204"/>
        <v>24.559745235080243</v>
      </c>
      <c r="AM877" s="381">
        <f t="shared" si="198"/>
        <v>3575.23731246324</v>
      </c>
    </row>
    <row r="878" spans="1:39" x14ac:dyDescent="0.2">
      <c r="A878" s="8"/>
      <c r="B878" s="52" t="s">
        <v>331</v>
      </c>
      <c r="C878" s="216" t="s">
        <v>176</v>
      </c>
      <c r="D878" s="160"/>
      <c r="E878" s="122"/>
      <c r="F878" s="122">
        <f>F874</f>
        <v>0</v>
      </c>
      <c r="G878" s="122">
        <f t="shared" ref="G878:AL878" si="205">G874</f>
        <v>2.2618931355631801E-9</v>
      </c>
      <c r="H878" s="122">
        <f t="shared" si="205"/>
        <v>0</v>
      </c>
      <c r="I878" s="122">
        <f t="shared" si="205"/>
        <v>0</v>
      </c>
      <c r="J878" s="122">
        <f t="shared" si="205"/>
        <v>60.652553716186709</v>
      </c>
      <c r="K878" s="122">
        <f t="shared" si="205"/>
        <v>27.467998870720102</v>
      </c>
      <c r="L878" s="122">
        <f t="shared" si="205"/>
        <v>50.944425496930442</v>
      </c>
      <c r="M878" s="122">
        <f t="shared" si="205"/>
        <v>0</v>
      </c>
      <c r="N878" s="122">
        <f t="shared" si="205"/>
        <v>0</v>
      </c>
      <c r="O878" s="122">
        <f t="shared" si="205"/>
        <v>0</v>
      </c>
      <c r="P878" s="122">
        <f t="shared" si="205"/>
        <v>121.52233914301969</v>
      </c>
      <c r="Q878" s="122">
        <f t="shared" si="205"/>
        <v>0</v>
      </c>
      <c r="R878" s="122">
        <f t="shared" si="205"/>
        <v>45.919338607065733</v>
      </c>
      <c r="S878" s="122">
        <f t="shared" si="205"/>
        <v>51.564895601580105</v>
      </c>
      <c r="T878" s="122">
        <f t="shared" si="205"/>
        <v>113.54402250030454</v>
      </c>
      <c r="U878" s="122">
        <f t="shared" si="205"/>
        <v>0</v>
      </c>
      <c r="V878" s="122">
        <f t="shared" si="205"/>
        <v>375.03780713469996</v>
      </c>
      <c r="W878" s="122">
        <f t="shared" si="205"/>
        <v>75.72331884756484</v>
      </c>
      <c r="X878" s="122">
        <f t="shared" si="205"/>
        <v>42.832634778544609</v>
      </c>
      <c r="Y878" s="122">
        <f t="shared" si="205"/>
        <v>50.560609566810292</v>
      </c>
      <c r="Z878" s="122">
        <f t="shared" si="205"/>
        <v>26.146047929117493</v>
      </c>
      <c r="AA878" s="122">
        <f t="shared" si="205"/>
        <v>49.524195663953037</v>
      </c>
      <c r="AB878" s="122">
        <f t="shared" si="205"/>
        <v>74.670197142305753</v>
      </c>
      <c r="AC878" s="122">
        <f t="shared" si="205"/>
        <v>74.591119094756081</v>
      </c>
      <c r="AD878" s="122">
        <f t="shared" si="205"/>
        <v>0</v>
      </c>
      <c r="AE878" s="122">
        <f t="shared" si="205"/>
        <v>58.455986643268943</v>
      </c>
      <c r="AF878" s="122">
        <f t="shared" si="205"/>
        <v>0</v>
      </c>
      <c r="AG878" s="122">
        <f t="shared" si="205"/>
        <v>48.027025578416527</v>
      </c>
      <c r="AH878" s="122">
        <f t="shared" si="205"/>
        <v>106.55567693501048</v>
      </c>
      <c r="AI878" s="122">
        <f t="shared" si="205"/>
        <v>0</v>
      </c>
      <c r="AJ878" s="122">
        <f t="shared" si="205"/>
        <v>0</v>
      </c>
      <c r="AK878" s="122">
        <f t="shared" si="205"/>
        <v>0</v>
      </c>
      <c r="AL878" s="122">
        <f t="shared" si="205"/>
        <v>0</v>
      </c>
      <c r="AM878" s="381">
        <f t="shared" si="198"/>
        <v>1453.7401932525174</v>
      </c>
    </row>
    <row r="879" spans="1:39" x14ac:dyDescent="0.2">
      <c r="A879" s="8"/>
      <c r="B879" s="52"/>
      <c r="C879" s="216"/>
      <c r="D879" s="160"/>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381"/>
    </row>
    <row r="880" spans="1:39" x14ac:dyDescent="0.2">
      <c r="A880" s="8"/>
      <c r="B880" s="64" t="s">
        <v>332</v>
      </c>
      <c r="C880" s="217"/>
      <c r="D880" s="161"/>
      <c r="E880" s="101"/>
      <c r="F880" s="101"/>
      <c r="G880" s="101"/>
      <c r="H880" s="101"/>
      <c r="I880" s="101"/>
      <c r="J880" s="101"/>
      <c r="K880" s="101"/>
      <c r="L880" s="101"/>
      <c r="M880" s="101"/>
      <c r="N880" s="101"/>
      <c r="O880" s="101"/>
      <c r="P880" s="101"/>
      <c r="Q880" s="101"/>
      <c r="R880" s="101"/>
      <c r="S880" s="101"/>
      <c r="T880" s="101"/>
      <c r="U880" s="101"/>
      <c r="V880" s="101"/>
      <c r="W880" s="101"/>
      <c r="X880" s="101"/>
      <c r="Y880" s="101"/>
      <c r="Z880" s="101"/>
      <c r="AA880" s="101"/>
      <c r="AB880" s="101"/>
      <c r="AC880" s="101"/>
      <c r="AD880" s="101"/>
      <c r="AE880" s="101"/>
      <c r="AF880" s="101"/>
      <c r="AG880" s="101"/>
      <c r="AH880" s="101"/>
      <c r="AI880" s="101"/>
      <c r="AJ880" s="101"/>
      <c r="AK880" s="101"/>
      <c r="AL880" s="101"/>
      <c r="AM880" s="381"/>
    </row>
    <row r="881" spans="1:39" x14ac:dyDescent="0.2">
      <c r="A881" s="8"/>
      <c r="B881" s="187" t="s">
        <v>333</v>
      </c>
      <c r="C881" s="216" t="s">
        <v>176</v>
      </c>
      <c r="D881" s="160"/>
      <c r="E881" s="122"/>
      <c r="F881" s="122">
        <f>F877+F798</f>
        <v>688.62602411989337</v>
      </c>
      <c r="G881" s="122">
        <f t="shared" ref="G881:AL882" si="206">G877+G798</f>
        <v>437.45450540515088</v>
      </c>
      <c r="H881" s="122">
        <f t="shared" si="206"/>
        <v>417.51222473178791</v>
      </c>
      <c r="I881" s="122">
        <f t="shared" si="206"/>
        <v>1362.409116982253</v>
      </c>
      <c r="J881" s="122">
        <f t="shared" si="206"/>
        <v>462.18059246833377</v>
      </c>
      <c r="K881" s="122">
        <f t="shared" si="206"/>
        <v>212.63740858191096</v>
      </c>
      <c r="L881" s="122">
        <f t="shared" si="206"/>
        <v>195.28616901356889</v>
      </c>
      <c r="M881" s="122">
        <f t="shared" si="206"/>
        <v>715.01904756062743</v>
      </c>
      <c r="N881" s="122">
        <f t="shared" si="206"/>
        <v>1248.3298750761815</v>
      </c>
      <c r="O881" s="122">
        <f t="shared" si="206"/>
        <v>581.54910609670833</v>
      </c>
      <c r="P881" s="122">
        <f t="shared" si="206"/>
        <v>649.31170147923706</v>
      </c>
      <c r="Q881" s="122">
        <f t="shared" si="206"/>
        <v>363.5416837014937</v>
      </c>
      <c r="R881" s="122">
        <f t="shared" si="206"/>
        <v>943.13537718182602</v>
      </c>
      <c r="S881" s="122">
        <f t="shared" si="206"/>
        <v>759.52923489316174</v>
      </c>
      <c r="T881" s="122">
        <f t="shared" si="206"/>
        <v>1372.2212827913409</v>
      </c>
      <c r="U881" s="122">
        <f t="shared" si="206"/>
        <v>1958.7927278439595</v>
      </c>
      <c r="V881" s="122">
        <f t="shared" si="206"/>
        <v>991.94561205078321</v>
      </c>
      <c r="W881" s="122">
        <f t="shared" si="206"/>
        <v>95.634691485364868</v>
      </c>
      <c r="X881" s="122">
        <f t="shared" si="206"/>
        <v>18.471934874385582</v>
      </c>
      <c r="Y881" s="122">
        <f t="shared" si="206"/>
        <v>168.31812321275527</v>
      </c>
      <c r="Z881" s="122">
        <f t="shared" si="206"/>
        <v>83.391986075285814</v>
      </c>
      <c r="AA881" s="122">
        <f t="shared" si="206"/>
        <v>205.32031268497644</v>
      </c>
      <c r="AB881" s="122">
        <f t="shared" si="206"/>
        <v>169.36300382125847</v>
      </c>
      <c r="AC881" s="122">
        <f t="shared" si="206"/>
        <v>1580.7046918317992</v>
      </c>
      <c r="AD881" s="122">
        <f t="shared" si="206"/>
        <v>89.702655190651711</v>
      </c>
      <c r="AE881" s="122">
        <f t="shared" si="206"/>
        <v>417.8684124372524</v>
      </c>
      <c r="AF881" s="122">
        <f t="shared" si="206"/>
        <v>169.13547944730064</v>
      </c>
      <c r="AG881" s="122">
        <f t="shared" si="206"/>
        <v>202.19937140816953</v>
      </c>
      <c r="AH881" s="122">
        <f t="shared" si="206"/>
        <v>98.169124992440302</v>
      </c>
      <c r="AI881" s="122">
        <f t="shared" si="206"/>
        <v>79.189871204693844</v>
      </c>
      <c r="AJ881" s="122">
        <f t="shared" si="206"/>
        <v>158.6473149041343</v>
      </c>
      <c r="AK881" s="122">
        <f t="shared" si="206"/>
        <v>76.009471402687979</v>
      </c>
      <c r="AL881" s="122">
        <f t="shared" si="206"/>
        <v>34.623159854006133</v>
      </c>
      <c r="AM881" s="381">
        <f t="shared" si="198"/>
        <v>17006.231294805384</v>
      </c>
    </row>
    <row r="882" spans="1:39" x14ac:dyDescent="0.2">
      <c r="A882" s="8"/>
      <c r="B882" s="187" t="s">
        <v>334</v>
      </c>
      <c r="C882" s="216" t="s">
        <v>176</v>
      </c>
      <c r="D882" s="160"/>
      <c r="E882" s="122"/>
      <c r="F882" s="122">
        <f>F878+F799</f>
        <v>0</v>
      </c>
      <c r="G882" s="122">
        <f t="shared" si="206"/>
        <v>2.5450743642586006E-9</v>
      </c>
      <c r="H882" s="122">
        <f t="shared" si="206"/>
        <v>0</v>
      </c>
      <c r="I882" s="122">
        <f t="shared" si="206"/>
        <v>0</v>
      </c>
      <c r="J882" s="122">
        <f t="shared" si="206"/>
        <v>94.672571626524075</v>
      </c>
      <c r="K882" s="122">
        <f t="shared" si="206"/>
        <v>44.355067142666897</v>
      </c>
      <c r="L882" s="122">
        <f t="shared" si="206"/>
        <v>74.085568810383506</v>
      </c>
      <c r="M882" s="122">
        <f t="shared" si="206"/>
        <v>0</v>
      </c>
      <c r="N882" s="122">
        <f t="shared" si="206"/>
        <v>0</v>
      </c>
      <c r="O882" s="122">
        <f t="shared" si="206"/>
        <v>0</v>
      </c>
      <c r="P882" s="122">
        <f t="shared" si="206"/>
        <v>194.06326708515121</v>
      </c>
      <c r="Q882" s="122">
        <f t="shared" si="206"/>
        <v>0</v>
      </c>
      <c r="R882" s="122">
        <f t="shared" si="206"/>
        <v>62.215740413324653</v>
      </c>
      <c r="S882" s="122">
        <f t="shared" si="206"/>
        <v>79.550505038104873</v>
      </c>
      <c r="T882" s="122">
        <f t="shared" si="206"/>
        <v>158.05027230738756</v>
      </c>
      <c r="U882" s="122">
        <f t="shared" si="206"/>
        <v>0</v>
      </c>
      <c r="V882" s="122">
        <f t="shared" si="206"/>
        <v>569.92021656226416</v>
      </c>
      <c r="W882" s="122">
        <f t="shared" si="206"/>
        <v>110.35868704429825</v>
      </c>
      <c r="X882" s="122">
        <f t="shared" si="206"/>
        <v>60.649329237339288</v>
      </c>
      <c r="Y882" s="122">
        <f t="shared" si="206"/>
        <v>73.662794041244638</v>
      </c>
      <c r="Z882" s="122">
        <f t="shared" si="206"/>
        <v>43.918717678362711</v>
      </c>
      <c r="AA882" s="122">
        <f t="shared" si="206"/>
        <v>71.522340212937237</v>
      </c>
      <c r="AB882" s="122">
        <f t="shared" si="206"/>
        <v>105.99703190684176</v>
      </c>
      <c r="AC882" s="122">
        <f t="shared" si="206"/>
        <v>117.19131915550261</v>
      </c>
      <c r="AD882" s="122">
        <f t="shared" si="206"/>
        <v>0</v>
      </c>
      <c r="AE882" s="122">
        <f t="shared" si="206"/>
        <v>82.967962620890631</v>
      </c>
      <c r="AF882" s="122">
        <f t="shared" si="206"/>
        <v>0</v>
      </c>
      <c r="AG882" s="122">
        <f t="shared" si="206"/>
        <v>71.508415857126451</v>
      </c>
      <c r="AH882" s="122">
        <f t="shared" si="206"/>
        <v>151.66582697912318</v>
      </c>
      <c r="AI882" s="122">
        <f t="shared" si="206"/>
        <v>0</v>
      </c>
      <c r="AJ882" s="122">
        <f t="shared" si="206"/>
        <v>0</v>
      </c>
      <c r="AK882" s="122">
        <f t="shared" si="206"/>
        <v>0</v>
      </c>
      <c r="AL882" s="122">
        <f t="shared" si="206"/>
        <v>0</v>
      </c>
      <c r="AM882" s="381">
        <f t="shared" si="198"/>
        <v>2166.3556337220189</v>
      </c>
    </row>
    <row r="883" spans="1:39" x14ac:dyDescent="0.2">
      <c r="A883" s="1"/>
      <c r="B883" s="1"/>
      <c r="C883" s="3"/>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07"/>
    </row>
    <row r="884" spans="1:39" x14ac:dyDescent="0.2">
      <c r="A884" s="1"/>
      <c r="B884" s="23" t="s">
        <v>335</v>
      </c>
      <c r="C884" s="3"/>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07"/>
    </row>
    <row r="885" spans="1:39" s="364" customFormat="1" x14ac:dyDescent="0.2">
      <c r="A885" s="8"/>
      <c r="B885" s="8" t="s">
        <v>336</v>
      </c>
      <c r="C885" s="22" t="s">
        <v>77</v>
      </c>
      <c r="D885" s="8"/>
      <c r="E885" s="54"/>
      <c r="F885" s="369">
        <v>0</v>
      </c>
      <c r="G885" s="369">
        <v>0</v>
      </c>
      <c r="H885" s="369">
        <v>0</v>
      </c>
      <c r="I885" s="369">
        <v>0</v>
      </c>
      <c r="J885" s="369">
        <v>0</v>
      </c>
      <c r="K885" s="369">
        <v>0</v>
      </c>
      <c r="L885" s="369">
        <v>0</v>
      </c>
      <c r="M885" s="369">
        <v>0</v>
      </c>
      <c r="N885" s="369">
        <v>0</v>
      </c>
      <c r="O885" s="369">
        <v>0</v>
      </c>
      <c r="P885" s="369">
        <v>0</v>
      </c>
      <c r="Q885" s="369">
        <v>0</v>
      </c>
      <c r="R885" s="369">
        <v>0</v>
      </c>
      <c r="S885" s="369">
        <v>0</v>
      </c>
      <c r="T885" s="369">
        <v>0</v>
      </c>
      <c r="U885" s="369">
        <v>0</v>
      </c>
      <c r="V885" s="369">
        <v>0</v>
      </c>
      <c r="W885" s="369">
        <v>0</v>
      </c>
      <c r="X885" s="369">
        <v>0</v>
      </c>
      <c r="Y885" s="369">
        <v>0</v>
      </c>
      <c r="Z885" s="369">
        <v>0</v>
      </c>
      <c r="AA885" s="369">
        <v>0</v>
      </c>
      <c r="AB885" s="369">
        <v>0</v>
      </c>
      <c r="AC885" s="369">
        <v>0</v>
      </c>
      <c r="AD885" s="369">
        <v>0</v>
      </c>
      <c r="AE885" s="369">
        <v>0</v>
      </c>
      <c r="AF885" s="369">
        <v>0</v>
      </c>
      <c r="AG885" s="369">
        <v>0</v>
      </c>
      <c r="AH885" s="369">
        <v>0</v>
      </c>
      <c r="AI885" s="369">
        <v>0</v>
      </c>
      <c r="AJ885" s="369">
        <v>0</v>
      </c>
      <c r="AK885" s="369">
        <v>0</v>
      </c>
      <c r="AL885" s="369">
        <v>0</v>
      </c>
      <c r="AM885" s="379">
        <f>SUM(F885:AL885)</f>
        <v>0</v>
      </c>
    </row>
    <row r="886" spans="1:39" x14ac:dyDescent="0.2">
      <c r="A886" s="1"/>
      <c r="B886" s="268" t="s">
        <v>337</v>
      </c>
      <c r="C886" s="30" t="s">
        <v>338</v>
      </c>
      <c r="D886" s="268" t="s">
        <v>339</v>
      </c>
      <c r="E886" s="270"/>
      <c r="F886" s="31">
        <f t="shared" ref="F886:AK886" si="207">40/6</f>
        <v>6.666666666666667</v>
      </c>
      <c r="G886" s="31">
        <f t="shared" si="207"/>
        <v>6.666666666666667</v>
      </c>
      <c r="H886" s="31">
        <f t="shared" si="207"/>
        <v>6.666666666666667</v>
      </c>
      <c r="I886" s="31">
        <f t="shared" si="207"/>
        <v>6.666666666666667</v>
      </c>
      <c r="J886" s="31">
        <f t="shared" si="207"/>
        <v>6.666666666666667</v>
      </c>
      <c r="K886" s="31">
        <f t="shared" si="207"/>
        <v>6.666666666666667</v>
      </c>
      <c r="L886" s="31">
        <f t="shared" si="207"/>
        <v>6.666666666666667</v>
      </c>
      <c r="M886" s="31">
        <f t="shared" si="207"/>
        <v>6.666666666666667</v>
      </c>
      <c r="N886" s="31">
        <f t="shared" si="207"/>
        <v>6.666666666666667</v>
      </c>
      <c r="O886" s="31">
        <f t="shared" si="207"/>
        <v>6.666666666666667</v>
      </c>
      <c r="P886" s="31">
        <f t="shared" si="207"/>
        <v>6.666666666666667</v>
      </c>
      <c r="Q886" s="31">
        <f t="shared" si="207"/>
        <v>6.666666666666667</v>
      </c>
      <c r="R886" s="31">
        <f t="shared" si="207"/>
        <v>6.666666666666667</v>
      </c>
      <c r="S886" s="31">
        <f t="shared" si="207"/>
        <v>6.666666666666667</v>
      </c>
      <c r="T886" s="31">
        <f t="shared" si="207"/>
        <v>6.666666666666667</v>
      </c>
      <c r="U886" s="31">
        <f t="shared" si="207"/>
        <v>6.666666666666667</v>
      </c>
      <c r="V886" s="31">
        <f t="shared" si="207"/>
        <v>6.666666666666667</v>
      </c>
      <c r="W886" s="31">
        <f t="shared" si="207"/>
        <v>6.666666666666667</v>
      </c>
      <c r="X886" s="31">
        <f t="shared" si="207"/>
        <v>6.666666666666667</v>
      </c>
      <c r="Y886" s="31">
        <f t="shared" si="207"/>
        <v>6.666666666666667</v>
      </c>
      <c r="Z886" s="31">
        <f t="shared" si="207"/>
        <v>6.666666666666667</v>
      </c>
      <c r="AA886" s="31">
        <f t="shared" si="207"/>
        <v>6.666666666666667</v>
      </c>
      <c r="AB886" s="31">
        <f t="shared" si="207"/>
        <v>6.666666666666667</v>
      </c>
      <c r="AC886" s="31">
        <f t="shared" si="207"/>
        <v>6.666666666666667</v>
      </c>
      <c r="AD886" s="31">
        <f t="shared" si="207"/>
        <v>6.666666666666667</v>
      </c>
      <c r="AE886" s="31">
        <f t="shared" si="207"/>
        <v>6.666666666666667</v>
      </c>
      <c r="AF886" s="31">
        <f t="shared" si="207"/>
        <v>6.666666666666667</v>
      </c>
      <c r="AG886" s="31">
        <f t="shared" si="207"/>
        <v>6.666666666666667</v>
      </c>
      <c r="AH886" s="31">
        <f t="shared" si="207"/>
        <v>6.666666666666667</v>
      </c>
      <c r="AI886" s="31">
        <f t="shared" si="207"/>
        <v>6.666666666666667</v>
      </c>
      <c r="AJ886" s="31">
        <f t="shared" si="207"/>
        <v>6.666666666666667</v>
      </c>
      <c r="AK886" s="31">
        <f t="shared" si="207"/>
        <v>6.666666666666667</v>
      </c>
      <c r="AL886" s="31">
        <f>40/6</f>
        <v>6.666666666666667</v>
      </c>
      <c r="AM886" s="378">
        <f>AVERAGE(F886:AL886)</f>
        <v>6.6666666666666643</v>
      </c>
    </row>
    <row r="887" spans="1:39" x14ac:dyDescent="0.2">
      <c r="A887" s="1"/>
      <c r="B887" s="1"/>
      <c r="C887" s="3"/>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07"/>
    </row>
    <row r="888" spans="1:39" ht="23.25" x14ac:dyDescent="0.35">
      <c r="A888" s="209"/>
      <c r="B888" s="208" t="s">
        <v>340</v>
      </c>
      <c r="C888" s="209"/>
      <c r="D888" s="136"/>
      <c r="E888" s="136"/>
      <c r="F888" s="136"/>
      <c r="G888" s="136"/>
      <c r="H888" s="136"/>
      <c r="I888" s="136"/>
      <c r="J888" s="136"/>
      <c r="K888" s="136"/>
      <c r="L888" s="136"/>
      <c r="M888" s="136"/>
      <c r="N888" s="136"/>
      <c r="O888" s="136"/>
      <c r="P888" s="136"/>
      <c r="Q888" s="136"/>
      <c r="R888" s="136"/>
      <c r="S888" s="136"/>
      <c r="T888" s="136"/>
      <c r="U888" s="136"/>
      <c r="V888" s="136"/>
      <c r="W888" s="136"/>
      <c r="X888" s="136"/>
      <c r="Y888" s="136"/>
      <c r="Z888" s="136"/>
      <c r="AA888" s="136"/>
      <c r="AB888" s="136"/>
      <c r="AC888" s="136"/>
      <c r="AD888" s="136"/>
      <c r="AE888" s="136"/>
      <c r="AF888" s="136"/>
      <c r="AG888" s="136"/>
      <c r="AH888" s="136"/>
      <c r="AI888" s="136"/>
      <c r="AJ888" s="136"/>
      <c r="AK888" s="136"/>
      <c r="AL888" s="136"/>
      <c r="AM888" s="107"/>
    </row>
    <row r="889" spans="1:39" x14ac:dyDescent="0.2">
      <c r="A889" s="1"/>
      <c r="B889" s="137" t="s">
        <v>341</v>
      </c>
      <c r="C889" s="210"/>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c r="AA889" s="137"/>
      <c r="AB889" s="137"/>
      <c r="AC889" s="137"/>
      <c r="AD889" s="137"/>
      <c r="AE889" s="137"/>
      <c r="AF889" s="137"/>
      <c r="AG889" s="137"/>
      <c r="AH889" s="137"/>
      <c r="AI889" s="137"/>
      <c r="AJ889" s="137"/>
      <c r="AK889" s="137"/>
      <c r="AL889" s="137"/>
      <c r="AM889" s="107"/>
    </row>
    <row r="890" spans="1:39" s="364" customFormat="1" x14ac:dyDescent="0.2">
      <c r="A890" s="8"/>
      <c r="B890" s="8" t="s">
        <v>342</v>
      </c>
      <c r="C890" s="22" t="s">
        <v>343</v>
      </c>
      <c r="D890" s="8" t="s">
        <v>723</v>
      </c>
      <c r="E890" s="17"/>
      <c r="F890" s="370">
        <f>SUM(F1023:F1037)*hypo!F235/1000000</f>
        <v>0</v>
      </c>
      <c r="G890" s="370">
        <f>SUM(G1023:G1037)*hypo!G235/1000000</f>
        <v>0</v>
      </c>
      <c r="H890" s="370">
        <f>SUM(H1023:H1037)*hypo!H235/1000000</f>
        <v>0</v>
      </c>
      <c r="I890" s="370">
        <f>SUM(I1023:I1037)*hypo!I235/1000000</f>
        <v>0</v>
      </c>
      <c r="J890" s="370">
        <f>SUM(J1023:J1037)*hypo!J235/1000000</f>
        <v>183.96917319275843</v>
      </c>
      <c r="K890" s="370">
        <f>SUM(K1023:K1037)*hypo!K235/1000000</f>
        <v>96.088754310165086</v>
      </c>
      <c r="L890" s="370">
        <f>SUM(L1023:L1037)*hypo!L235/1000000</f>
        <v>97.748935396439791</v>
      </c>
      <c r="M890" s="370">
        <f>SUM(M1023:M1037)*hypo!M235/1000000</f>
        <v>0</v>
      </c>
      <c r="N890" s="370">
        <f>SUM(N1023:N1037)*hypo!N235/1000000</f>
        <v>0</v>
      </c>
      <c r="O890" s="370">
        <f>SUM(O1023:O1037)*hypo!O235/1000000</f>
        <v>0</v>
      </c>
      <c r="P890" s="370">
        <f>SUM(P1023:P1037)*hypo!P235/1000000</f>
        <v>312.37952461172273</v>
      </c>
      <c r="Q890" s="370">
        <f>SUM(Q1023:Q1037)*hypo!Q235/1000000</f>
        <v>0</v>
      </c>
      <c r="R890" s="370">
        <f>SUM(R1023:R1037)*hypo!R235/1000000</f>
        <v>244.94277334006401</v>
      </c>
      <c r="S890" s="370">
        <f>SUM(S1023:S1037)*hypo!S235/1000000</f>
        <v>266.04572887573471</v>
      </c>
      <c r="T890" s="370">
        <f>SUM(T1023:T1037)*hypo!T235/1000000</f>
        <v>444.57796759645197</v>
      </c>
      <c r="U890" s="370">
        <f>SUM(U1023:U1037)*hypo!U235/1000000</f>
        <v>0</v>
      </c>
      <c r="V890" s="370">
        <f>SUM(V1023:V1037)*hypo!V235/1000000</f>
        <v>403.41512626702553</v>
      </c>
      <c r="W890" s="370">
        <f>SUM(W1023:W1037)*hypo!W235/1000000</f>
        <v>59.600003036461402</v>
      </c>
      <c r="X890" s="370">
        <f>SUM(X1023:X1037)*hypo!X235/1000000</f>
        <v>28.939731738293464</v>
      </c>
      <c r="Y890" s="370">
        <f>SUM(Y1023:Y1037)*hypo!Y235/1000000</f>
        <v>59.447657623526631</v>
      </c>
      <c r="Z890" s="370">
        <f>SUM(Z1023:Z1037)*hypo!Z235/1000000</f>
        <v>15.128229754767229</v>
      </c>
      <c r="AA890" s="370">
        <f>SUM(AA1023:AA1037)*hypo!AA235/1000000</f>
        <v>74.816952416620012</v>
      </c>
      <c r="AB890" s="370">
        <f>SUM(AB1023:AB1037)*hypo!AB235/1000000</f>
        <v>88.044422649516065</v>
      </c>
      <c r="AC890" s="370">
        <f>SUM(AC1023:AC1037)*hypo!AC235/1000000</f>
        <v>241.83049800389446</v>
      </c>
      <c r="AD890" s="370">
        <f>SUM(AD1023:AD1037)*hypo!AD235/1000000</f>
        <v>0</v>
      </c>
      <c r="AE890" s="370">
        <f>SUM(AE1023:AE1037)*hypo!AE235/1000000</f>
        <v>72.273545308055404</v>
      </c>
      <c r="AF890" s="370">
        <f>SUM(AF1023:AF1037)*hypo!AF235/1000000</f>
        <v>0</v>
      </c>
      <c r="AG890" s="370">
        <f>SUM(AG1023:AG1037)*hypo!AG235/1000000</f>
        <v>104.03686668926953</v>
      </c>
      <c r="AH890" s="370">
        <f>SUM(AH1023:AH1037)*hypo!AH235/1000000</f>
        <v>58.522980226817658</v>
      </c>
      <c r="AI890" s="370">
        <f>SUM(AI1023:AI1037)*hypo!AI235/1000000</f>
        <v>0</v>
      </c>
      <c r="AJ890" s="370">
        <f>SUM(AJ1023:AJ1037)*hypo!AJ235/1000000</f>
        <v>0</v>
      </c>
      <c r="AK890" s="370">
        <f>SUM(AK1023:AK1037)*hypo!AK235/1000000</f>
        <v>0</v>
      </c>
      <c r="AL890" s="370">
        <f>SUM(AL1023:AL1037)*hypo!AL235/1000000</f>
        <v>0</v>
      </c>
      <c r="AM890" s="379">
        <f t="shared" ref="AM890:AM898" si="208">SUM(F890:AL890)</f>
        <v>2851.8088710375841</v>
      </c>
    </row>
    <row r="891" spans="1:39" s="364" customFormat="1" x14ac:dyDescent="0.2">
      <c r="A891" s="8"/>
      <c r="B891" s="8" t="s">
        <v>344</v>
      </c>
      <c r="C891" s="22" t="s">
        <v>343</v>
      </c>
      <c r="D891" s="8" t="s">
        <v>723</v>
      </c>
      <c r="E891" s="17"/>
      <c r="F891" s="371">
        <f>SUM(F1039:F1041)*hypo!F236/1000000</f>
        <v>0</v>
      </c>
      <c r="G891" s="371">
        <f>SUM(G1039:G1041)*hypo!G236/1000000</f>
        <v>0</v>
      </c>
      <c r="H891" s="371">
        <f>SUM(H1039:H1041)*hypo!H236/1000000</f>
        <v>0</v>
      </c>
      <c r="I891" s="371">
        <f>SUM(I1039:I1041)*hypo!I236/1000000</f>
        <v>0</v>
      </c>
      <c r="J891" s="371">
        <f>SUM(J1039:J1041)*hypo!J236/1000000</f>
        <v>0.21038777381479304</v>
      </c>
      <c r="K891" s="371">
        <f>SUM(K1039:K1041)*hypo!K236/1000000</f>
        <v>8.3825848974792616E-2</v>
      </c>
      <c r="L891" s="371">
        <f>SUM(L1039:L1041)*hypo!L236/1000000</f>
        <v>7.5345295131002174E-2</v>
      </c>
      <c r="M891" s="371">
        <f>SUM(M1039:M1041)*hypo!M236/1000000</f>
        <v>0</v>
      </c>
      <c r="N891" s="371">
        <f>SUM(N1039:N1041)*hypo!N236/1000000</f>
        <v>0</v>
      </c>
      <c r="O891" s="371">
        <f>SUM(O1039:O1041)*hypo!O236/1000000</f>
        <v>0</v>
      </c>
      <c r="P891" s="371">
        <f>SUM(P1039:P1041)*hypo!P236/1000000</f>
        <v>0.34025939905900554</v>
      </c>
      <c r="Q891" s="371">
        <f>SUM(Q1039:Q1041)*hypo!Q236/1000000</f>
        <v>0</v>
      </c>
      <c r="R891" s="371">
        <f>SUM(R1039:R1041)*hypo!R236/1000000</f>
        <v>0.88962422391750362</v>
      </c>
      <c r="S891" s="371">
        <f>SUM(S1039:S1041)*hypo!S236/1000000</f>
        <v>11.174250517681283</v>
      </c>
      <c r="T891" s="371">
        <f>SUM(T1039:T1041)*hypo!T236/1000000</f>
        <v>11.932965846113277</v>
      </c>
      <c r="U891" s="371">
        <f>SUM(U1039:U1041)*hypo!U236/1000000</f>
        <v>0</v>
      </c>
      <c r="V891" s="371">
        <f>SUM(V1039:V1041)*hypo!V236/1000000</f>
        <v>3.8477824006486334</v>
      </c>
      <c r="W891" s="371">
        <f>SUM(W1039:W1041)*hypo!W236/1000000</f>
        <v>0.17836291776101612</v>
      </c>
      <c r="X891" s="371">
        <f>SUM(X1039:X1041)*hypo!X236/1000000</f>
        <v>0.73376014612914553</v>
      </c>
      <c r="Y891" s="371">
        <f>SUM(Y1039:Y1041)*hypo!Y236/1000000</f>
        <v>1.4909028705830187</v>
      </c>
      <c r="Z891" s="371">
        <f>SUM(Z1039:Z1041)*hypo!Z236/1000000</f>
        <v>1.2677382557910781</v>
      </c>
      <c r="AA891" s="371">
        <f>SUM(AA1039:AA1041)*hypo!AA236/1000000</f>
        <v>4.797457943351823</v>
      </c>
      <c r="AB891" s="371">
        <f>SUM(AB1039:AB1041)*hypo!AB236/1000000</f>
        <v>2.4574865467423028</v>
      </c>
      <c r="AC891" s="371">
        <f>SUM(AC1039:AC1041)*hypo!AC236/1000000</f>
        <v>5.0539768448802054</v>
      </c>
      <c r="AD891" s="371">
        <f>SUM(AD1039:AD1041)*hypo!AD236/1000000</f>
        <v>0</v>
      </c>
      <c r="AE891" s="371">
        <f>SUM(AE1039:AE1041)*hypo!AE236/1000000</f>
        <v>0.29857664485798024</v>
      </c>
      <c r="AF891" s="371">
        <f>SUM(AF1039:AF1041)*hypo!AF236/1000000</f>
        <v>0</v>
      </c>
      <c r="AG891" s="371">
        <f>SUM(AG1039:AG1041)*hypo!AG236/1000000</f>
        <v>2.5275799802180523</v>
      </c>
      <c r="AH891" s="371">
        <f>SUM(AH1039:AH1041)*hypo!AH236/1000000</f>
        <v>0.24271247413460365</v>
      </c>
      <c r="AI891" s="371">
        <f>SUM(AI1039:AI1041)*hypo!AI236/1000000</f>
        <v>0</v>
      </c>
      <c r="AJ891" s="371">
        <f>SUM(AJ1039:AJ1041)*hypo!AJ236/1000000</f>
        <v>0</v>
      </c>
      <c r="AK891" s="371">
        <f>SUM(AK1039:AK1041)*hypo!AK236/1000000</f>
        <v>0</v>
      </c>
      <c r="AL891" s="371">
        <f>SUM(AL1039:AL1041)*hypo!AL236/1000000</f>
        <v>0</v>
      </c>
      <c r="AM891" s="379">
        <f t="shared" si="208"/>
        <v>47.602995929789515</v>
      </c>
    </row>
    <row r="892" spans="1:39" s="364" customFormat="1" x14ac:dyDescent="0.2">
      <c r="A892" s="8"/>
      <c r="B892" s="8" t="s">
        <v>345</v>
      </c>
      <c r="C892" s="22" t="s">
        <v>343</v>
      </c>
      <c r="D892" s="8" t="s">
        <v>723</v>
      </c>
      <c r="E892" s="17"/>
      <c r="F892" s="371">
        <f>SUM(F1043:F1045)*hypo!F237/1000000</f>
        <v>0</v>
      </c>
      <c r="G892" s="371">
        <f>SUM(G1043:G1045)*hypo!G237/1000000</f>
        <v>0</v>
      </c>
      <c r="H892" s="371">
        <f>SUM(H1043:H1045)*hypo!H237/1000000</f>
        <v>0</v>
      </c>
      <c r="I892" s="371">
        <f>SUM(I1043:I1045)*hypo!I237/1000000</f>
        <v>0</v>
      </c>
      <c r="J892" s="371">
        <f>SUM(J1043:J1045)*hypo!J237/1000000</f>
        <v>3.6384574789046367</v>
      </c>
      <c r="K892" s="371">
        <f>SUM(K1043:K1045)*hypo!K237/1000000</f>
        <v>1.3270338227390945</v>
      </c>
      <c r="L892" s="371">
        <f>SUM(L1043:L1045)*hypo!L237/1000000</f>
        <v>1.2216551587745648</v>
      </c>
      <c r="M892" s="371">
        <f>SUM(M1043:M1045)*hypo!M237/1000000</f>
        <v>0</v>
      </c>
      <c r="N892" s="371">
        <f>SUM(N1043:N1045)*hypo!N237/1000000</f>
        <v>0</v>
      </c>
      <c r="O892" s="371">
        <f>SUM(O1043:O1045)*hypo!O237/1000000</f>
        <v>0</v>
      </c>
      <c r="P892" s="371">
        <f>SUM(P1043:P1045)*hypo!P237/1000000</f>
        <v>8.8641353033556811</v>
      </c>
      <c r="Q892" s="371">
        <f>SUM(Q1043:Q1045)*hypo!Q237/1000000</f>
        <v>0</v>
      </c>
      <c r="R892" s="371">
        <f>SUM(R1043:R1045)*hypo!R237/1000000</f>
        <v>0.77118652988120251</v>
      </c>
      <c r="S892" s="371">
        <f>SUM(S1043:S1045)*hypo!S237/1000000</f>
        <v>4.0833499510020079</v>
      </c>
      <c r="T892" s="371">
        <f>SUM(T1043:T1045)*hypo!T237/1000000</f>
        <v>6.355066571131843</v>
      </c>
      <c r="U892" s="371">
        <f>SUM(U1043:U1045)*hypo!U237/1000000</f>
        <v>0</v>
      </c>
      <c r="V892" s="371">
        <f>SUM(V1043:V1045)*hypo!V237/1000000</f>
        <v>20.878032941560612</v>
      </c>
      <c r="W892" s="371">
        <f>SUM(W1043:W1045)*hypo!W237/1000000</f>
        <v>0.35238763334821316</v>
      </c>
      <c r="X892" s="371">
        <f>SUM(X1043:X1045)*hypo!X237/1000000</f>
        <v>1.4532513223160033</v>
      </c>
      <c r="Y892" s="371">
        <f>SUM(Y1043:Y1045)*hypo!Y237/1000000</f>
        <v>1.3234143596203731</v>
      </c>
      <c r="Z892" s="371">
        <f>SUM(Z1043:Z1045)*hypo!Z237/1000000</f>
        <v>27.878540340735292</v>
      </c>
      <c r="AA892" s="371">
        <f>SUM(AA1043:AA1045)*hypo!AA237/1000000</f>
        <v>8.274522460006196</v>
      </c>
      <c r="AB892" s="371">
        <f>SUM(AB1043:AB1045)*hypo!AB237/1000000</f>
        <v>15.56084914411454</v>
      </c>
      <c r="AC892" s="371">
        <f>SUM(AC1043:AC1045)*hypo!AC237/1000000</f>
        <v>42.142580691922085</v>
      </c>
      <c r="AD892" s="371">
        <f>SUM(AD1043:AD1045)*hypo!AD237/1000000</f>
        <v>0</v>
      </c>
      <c r="AE892" s="371">
        <f>SUM(AE1043:AE1045)*hypo!AE237/1000000</f>
        <v>18.95829337399131</v>
      </c>
      <c r="AF892" s="371">
        <f>SUM(AF1043:AF1045)*hypo!AF237/1000000</f>
        <v>0</v>
      </c>
      <c r="AG892" s="371">
        <f>SUM(AG1043:AG1045)*hypo!AG237/1000000</f>
        <v>6.6735181641685264</v>
      </c>
      <c r="AH892" s="371">
        <f>SUM(AH1043:AH1045)*hypo!AH237/1000000</f>
        <v>1.1075965686897364</v>
      </c>
      <c r="AI892" s="371">
        <f>SUM(AI1043:AI1045)*hypo!AI237/1000000</f>
        <v>0</v>
      </c>
      <c r="AJ892" s="371">
        <f>SUM(AJ1043:AJ1045)*hypo!AJ237/1000000</f>
        <v>0</v>
      </c>
      <c r="AK892" s="371">
        <f>SUM(AK1043:AK1045)*hypo!AK237/1000000</f>
        <v>0</v>
      </c>
      <c r="AL892" s="371">
        <f>SUM(AL1043:AL1045)*hypo!AL237/1000000</f>
        <v>0</v>
      </c>
      <c r="AM892" s="379">
        <f t="shared" si="208"/>
        <v>170.86387181626188</v>
      </c>
    </row>
    <row r="893" spans="1:39" s="364" customFormat="1" x14ac:dyDescent="0.2">
      <c r="A893" s="8"/>
      <c r="B893" s="8" t="s">
        <v>346</v>
      </c>
      <c r="C893" s="22" t="s">
        <v>343</v>
      </c>
      <c r="D893" s="8" t="s">
        <v>723</v>
      </c>
      <c r="E893" s="17"/>
      <c r="F893" s="370">
        <f>SUM(F1047:F1051)*hypo!F238/1000000</f>
        <v>0</v>
      </c>
      <c r="G893" s="370">
        <f>SUM(G1047:G1051)*hypo!G238/1000000</f>
        <v>0</v>
      </c>
      <c r="H893" s="370">
        <f>SUM(H1047:H1051)*hypo!H238/1000000</f>
        <v>0</v>
      </c>
      <c r="I893" s="370">
        <f>SUM(I1047:I1051)*hypo!I238/1000000</f>
        <v>0</v>
      </c>
      <c r="J893" s="370">
        <f>SUM(J1047:J1051)*hypo!J238/1000000</f>
        <v>7.7936823263539896</v>
      </c>
      <c r="K893" s="370">
        <f>SUM(K1047:K1051)*hypo!K238/1000000</f>
        <v>4.0060481384011331</v>
      </c>
      <c r="L893" s="370">
        <f>SUM(L1047:L1051)*hypo!L238/1000000</f>
        <v>10.640180832947912</v>
      </c>
      <c r="M893" s="370">
        <f>SUM(M1047:M1051)*hypo!M238/1000000</f>
        <v>0</v>
      </c>
      <c r="N893" s="370">
        <f>SUM(N1047:N1051)*hypo!N238/1000000</f>
        <v>0</v>
      </c>
      <c r="O893" s="370">
        <f>SUM(O1047:O1051)*hypo!O238/1000000</f>
        <v>0</v>
      </c>
      <c r="P893" s="370">
        <f>SUM(P1047:P1051)*hypo!P238/1000000</f>
        <v>6.3681658678547342</v>
      </c>
      <c r="Q893" s="370">
        <f>SUM(Q1047:Q1051)*hypo!Q238/1000000</f>
        <v>0</v>
      </c>
      <c r="R893" s="370">
        <f>SUM(R1047:R1051)*hypo!R238/1000000</f>
        <v>198.16146265498264</v>
      </c>
      <c r="S893" s="370">
        <f>SUM(S1047:S1051)*hypo!S238/1000000</f>
        <v>19.931199672974781</v>
      </c>
      <c r="T893" s="370">
        <f>SUM(T1047:T1051)*hypo!T238/1000000</f>
        <v>52.394589080094065</v>
      </c>
      <c r="U893" s="370">
        <f>SUM(U1047:U1051)*hypo!U238/1000000</f>
        <v>0</v>
      </c>
      <c r="V893" s="370">
        <f>SUM(V1047:V1051)*hypo!V238/1000000</f>
        <v>17.763424812096645</v>
      </c>
      <c r="W893" s="370">
        <f>SUM(W1047:W1051)*hypo!W238/1000000</f>
        <v>3.9538962176354171</v>
      </c>
      <c r="X893" s="370">
        <f>SUM(X1047:X1051)*hypo!X238/1000000</f>
        <v>1.3397355479650161</v>
      </c>
      <c r="Y893" s="370">
        <f>SUM(Y1047:Y1051)*hypo!Y238/1000000</f>
        <v>8.5941586792030407</v>
      </c>
      <c r="Z893" s="370">
        <f>SUM(Z1047:Z1051)*hypo!Z238/1000000</f>
        <v>2.3118732379623306</v>
      </c>
      <c r="AA893" s="370">
        <f>SUM(AA1047:AA1051)*hypo!AA238/1000000</f>
        <v>8.4395328565362053</v>
      </c>
      <c r="AB893" s="370">
        <f>SUM(AB1047:AB1051)*hypo!AB238/1000000</f>
        <v>7.8175626045201936</v>
      </c>
      <c r="AC893" s="370">
        <f>SUM(AC1047:AC1051)*hypo!AC238/1000000</f>
        <v>17.951702208439634</v>
      </c>
      <c r="AD893" s="370">
        <f>SUM(AD1047:AD1051)*hypo!AD238/1000000</f>
        <v>0</v>
      </c>
      <c r="AE893" s="370">
        <f>SUM(AE1047:AE1051)*hypo!AE238/1000000</f>
        <v>13.337126038356187</v>
      </c>
      <c r="AF893" s="370">
        <f>SUM(AF1047:AF1051)*hypo!AF238/1000000</f>
        <v>0</v>
      </c>
      <c r="AG893" s="370">
        <f>SUM(AG1047:AG1051)*hypo!AG238/1000000</f>
        <v>7.716995581481676</v>
      </c>
      <c r="AH893" s="370">
        <f>SUM(AH1047:AH1051)*hypo!AH238/1000000</f>
        <v>3.2703424712075519</v>
      </c>
      <c r="AI893" s="370">
        <f>SUM(AI1047:AI1051)*hypo!AI238/1000000</f>
        <v>0</v>
      </c>
      <c r="AJ893" s="370">
        <f>SUM(AJ1047:AJ1051)*hypo!AJ238/1000000</f>
        <v>0</v>
      </c>
      <c r="AK893" s="370">
        <f>SUM(AK1047:AK1051)*hypo!AK238/1000000</f>
        <v>0</v>
      </c>
      <c r="AL893" s="370">
        <f>SUM(AL1047:AL1051)*hypo!AL238/1000000</f>
        <v>0</v>
      </c>
      <c r="AM893" s="379">
        <f t="shared" si="208"/>
        <v>391.79167882901322</v>
      </c>
    </row>
    <row r="894" spans="1:39" s="364" customFormat="1" x14ac:dyDescent="0.2">
      <c r="A894" s="8"/>
      <c r="B894" s="8" t="s">
        <v>347</v>
      </c>
      <c r="C894" s="22" t="s">
        <v>343</v>
      </c>
      <c r="D894" s="8" t="s">
        <v>723</v>
      </c>
      <c r="E894" s="17"/>
      <c r="F894" s="370">
        <f>SUM(F1053:F1063)*hypo!F239/1000000</f>
        <v>0</v>
      </c>
      <c r="G894" s="370">
        <f>SUM(G1053:G1063)*hypo!G239/1000000</f>
        <v>0</v>
      </c>
      <c r="H894" s="370">
        <f>SUM(H1053:H1063)*hypo!H239/1000000</f>
        <v>0</v>
      </c>
      <c r="I894" s="370">
        <f>SUM(I1053:I1063)*hypo!I239/1000000</f>
        <v>0</v>
      </c>
      <c r="J894" s="370">
        <f>SUM(J1053:J1063)*hypo!J239/1000000</f>
        <v>81.609578543530986</v>
      </c>
      <c r="K894" s="370">
        <f>SUM(K1053:K1063)*hypo!K239/1000000</f>
        <v>44.259343309388051</v>
      </c>
      <c r="L894" s="370">
        <f>SUM(L1053:L1063)*hypo!L239/1000000</f>
        <v>27.64810111774138</v>
      </c>
      <c r="M894" s="370">
        <f>SUM(M1053:M1063)*hypo!M239/1000000</f>
        <v>0</v>
      </c>
      <c r="N894" s="370">
        <f>SUM(N1053:N1063)*hypo!N239/1000000</f>
        <v>0</v>
      </c>
      <c r="O894" s="370">
        <f>SUM(O1053:O1063)*hypo!O239/1000000</f>
        <v>0</v>
      </c>
      <c r="P894" s="370">
        <f>SUM(P1053:P1063)*hypo!P239/1000000</f>
        <v>87.473590933982493</v>
      </c>
      <c r="Q894" s="370">
        <f>SUM(Q1053:Q1063)*hypo!Q239/1000000</f>
        <v>0</v>
      </c>
      <c r="R894" s="370">
        <f>SUM(R1053:R1063)*hypo!R239/1000000</f>
        <v>588.76286181586943</v>
      </c>
      <c r="S894" s="370">
        <f>SUM(S1053:S1063)*hypo!S239/1000000</f>
        <v>355.1011527541886</v>
      </c>
      <c r="T894" s="370">
        <f>SUM(T1053:T1063)*hypo!T239/1000000</f>
        <v>585.64154293638762</v>
      </c>
      <c r="U894" s="370">
        <f>SUM(U1053:U1063)*hypo!U239/1000000</f>
        <v>0</v>
      </c>
      <c r="V894" s="370">
        <f>SUM(V1053:V1063)*hypo!V239/1000000</f>
        <v>259.04327190516938</v>
      </c>
      <c r="W894" s="370">
        <f>SUM(W1053:W1063)*hypo!W239/1000000</f>
        <v>19.817094633740034</v>
      </c>
      <c r="X894" s="370">
        <f>SUM(X1053:X1063)*hypo!X239/1000000</f>
        <v>38.825620505472166</v>
      </c>
      <c r="Y894" s="370">
        <f>SUM(Y1053:Y1063)*hypo!Y239/1000000</f>
        <v>48.050754328738215</v>
      </c>
      <c r="Z894" s="370">
        <f>SUM(Z1053:Z1063)*hypo!Z239/1000000</f>
        <v>65.834772367203712</v>
      </c>
      <c r="AA894" s="370">
        <f>SUM(AA1053:AA1063)*hypo!AA239/1000000</f>
        <v>109.90687814810482</v>
      </c>
      <c r="AB894" s="370">
        <f>SUM(AB1053:AB1063)*hypo!AB239/1000000</f>
        <v>69.458758185215515</v>
      </c>
      <c r="AC894" s="370">
        <f>SUM(AC1053:AC1063)*hypo!AC239/1000000</f>
        <v>375.2628466736802</v>
      </c>
      <c r="AD894" s="370">
        <f>SUM(AD1053:AD1063)*hypo!AD239/1000000</f>
        <v>0</v>
      </c>
      <c r="AE894" s="370">
        <f>SUM(AE1053:AE1063)*hypo!AE239/1000000</f>
        <v>69.145160944319883</v>
      </c>
      <c r="AF894" s="370">
        <f>SUM(AF1053:AF1063)*hypo!AF239/1000000</f>
        <v>0</v>
      </c>
      <c r="AG894" s="370">
        <f>SUM(AG1053:AG1063)*hypo!AG239/1000000</f>
        <v>126.04402710863762</v>
      </c>
      <c r="AH894" s="370">
        <f>SUM(AH1053:AH1063)*hypo!AH239/1000000</f>
        <v>19.159242183645208</v>
      </c>
      <c r="AI894" s="370">
        <f>SUM(AI1053:AI1063)*hypo!AI239/1000000</f>
        <v>0</v>
      </c>
      <c r="AJ894" s="370">
        <f>SUM(AJ1053:AJ1063)*hypo!AJ239/1000000</f>
        <v>0</v>
      </c>
      <c r="AK894" s="370">
        <f>SUM(AK1053:AK1063)*hypo!AK239/1000000</f>
        <v>0</v>
      </c>
      <c r="AL894" s="370">
        <f>SUM(AL1053:AL1063)*hypo!AL239/1000000</f>
        <v>0</v>
      </c>
      <c r="AM894" s="379">
        <f t="shared" si="208"/>
        <v>2971.0445983950153</v>
      </c>
    </row>
    <row r="895" spans="1:39" s="364" customFormat="1" x14ac:dyDescent="0.2">
      <c r="A895" s="8"/>
      <c r="B895" s="8" t="s">
        <v>348</v>
      </c>
      <c r="C895" s="22" t="s">
        <v>343</v>
      </c>
      <c r="D895" s="8" t="s">
        <v>721</v>
      </c>
      <c r="E895" s="17"/>
      <c r="F895" s="345">
        <f>SUM(F1065:F1066)*hypo!F240/1000000</f>
        <v>0</v>
      </c>
      <c r="G895" s="345">
        <f>SUM(G1065:G1066)*hypo!G240/1000000</f>
        <v>0</v>
      </c>
      <c r="H895" s="345">
        <f>SUM(H1065:H1066)*hypo!H240/1000000</f>
        <v>0</v>
      </c>
      <c r="I895" s="345">
        <f>SUM(I1065:I1066)*hypo!I240/1000000</f>
        <v>0</v>
      </c>
      <c r="J895" s="345">
        <f>SUM(J1065:J1066)*hypo!J240/1000000</f>
        <v>3.4019100322587863E-2</v>
      </c>
      <c r="K895" s="345">
        <f>SUM(K1065:K1066)*hypo!K240/1000000</f>
        <v>8.231643664809829E-3</v>
      </c>
      <c r="L895" s="345">
        <f>SUM(L1065:L1066)*hypo!L240/1000000</f>
        <v>2.8938473167143745E-3</v>
      </c>
      <c r="M895" s="345">
        <f>SUM(M1065:M1066)*hypo!M240/1000000</f>
        <v>0</v>
      </c>
      <c r="N895" s="345">
        <f>SUM(N1065:N1066)*hypo!N240/1000000</f>
        <v>0</v>
      </c>
      <c r="O895" s="345">
        <f>SUM(O1065:O1066)*hypo!O240/1000000</f>
        <v>0</v>
      </c>
      <c r="P895" s="345">
        <f>SUM(P1065:P1066)*hypo!P240/1000000</f>
        <v>2.9538959657497508E-2</v>
      </c>
      <c r="Q895" s="345">
        <f>SUM(Q1065:Q1066)*hypo!Q240/1000000</f>
        <v>0</v>
      </c>
      <c r="R895" s="345">
        <f>SUM(R1065:R1066)*hypo!R240/1000000</f>
        <v>1.7208110556069963E-2</v>
      </c>
      <c r="S895" s="345">
        <f>SUM(S1065:S1066)*hypo!S240/1000000</f>
        <v>1.839851844490472E-2</v>
      </c>
      <c r="T895" s="345">
        <f>SUM(T1065:T1066)*hypo!T240/1000000</f>
        <v>2.8191498414046081E-2</v>
      </c>
      <c r="U895" s="345">
        <f>SUM(U1065:U1066)*hypo!U240/1000000</f>
        <v>0</v>
      </c>
      <c r="V895" s="345">
        <f>SUM(V1065:V1066)*hypo!V240/1000000</f>
        <v>4.578694206784658E-2</v>
      </c>
      <c r="W895" s="345">
        <f>SUM(W1065:W1066)*hypo!W240/1000000</f>
        <v>1.0097671584929285E-2</v>
      </c>
      <c r="X895" s="345">
        <f>SUM(X1065:X1066)*hypo!X240/1000000</f>
        <v>1.7679680023419469E-3</v>
      </c>
      <c r="Y895" s="345">
        <f>SUM(Y1065:Y1066)*hypo!Y240/1000000</f>
        <v>1.9256135605074394E-2</v>
      </c>
      <c r="Z895" s="345">
        <f>SUM(Z1065:Z1066)*hypo!Z240/1000000</f>
        <v>4.8446121409644561E-3</v>
      </c>
      <c r="AA895" s="345">
        <f>SUM(AA1065:AA1066)*hypo!AA240/1000000</f>
        <v>5.832365937965079E-2</v>
      </c>
      <c r="AB895" s="345">
        <f>SUM(AB1065:AB1066)*hypo!AB240/1000000</f>
        <v>1.1519960231051927E-2</v>
      </c>
      <c r="AC895" s="345">
        <f>SUM(AC1065:AC1066)*hypo!AC240/1000000</f>
        <v>0.10201816199873692</v>
      </c>
      <c r="AD895" s="345">
        <f>SUM(AD1065:AD1066)*hypo!AD240/1000000</f>
        <v>0</v>
      </c>
      <c r="AE895" s="345">
        <f>SUM(AE1065:AE1066)*hypo!AE240/1000000</f>
        <v>5.1252265755230668E-3</v>
      </c>
      <c r="AF895" s="345">
        <f>SUM(AF1065:AF1066)*hypo!AF240/1000000</f>
        <v>0</v>
      </c>
      <c r="AG895" s="345">
        <f>SUM(AG1065:AG1066)*hypo!AG240/1000000</f>
        <v>1.3673721256934059E-2</v>
      </c>
      <c r="AH895" s="345">
        <f>SUM(AH1065:AH1066)*hypo!AH240/1000000</f>
        <v>4.837730677257986E-3</v>
      </c>
      <c r="AI895" s="345">
        <f>SUM(AI1065:AI1066)*hypo!AI240/1000000</f>
        <v>0</v>
      </c>
      <c r="AJ895" s="345">
        <f>SUM(AJ1065:AJ1066)*hypo!AJ240/1000000</f>
        <v>0</v>
      </c>
      <c r="AK895" s="345">
        <f>SUM(AK1065:AK1066)*hypo!AK240/1000000</f>
        <v>0</v>
      </c>
      <c r="AL895" s="345">
        <f>SUM(AL1065:AL1066)*hypo!AL240/1000000</f>
        <v>0</v>
      </c>
      <c r="AM895" s="379">
        <f t="shared" si="208"/>
        <v>0.41573346789694177</v>
      </c>
    </row>
    <row r="896" spans="1:39" s="364" customFormat="1" x14ac:dyDescent="0.2">
      <c r="A896" s="8"/>
      <c r="B896" s="8" t="s">
        <v>349</v>
      </c>
      <c r="C896" s="22" t="s">
        <v>350</v>
      </c>
      <c r="D896" s="8" t="s">
        <v>723</v>
      </c>
      <c r="E896" s="17"/>
      <c r="F896" s="370">
        <f>F1054*hypo!F241/1000000</f>
        <v>0</v>
      </c>
      <c r="G896" s="370">
        <f>G1054*hypo!G241/1000000</f>
        <v>0</v>
      </c>
      <c r="H896" s="370">
        <f>H1054*hypo!H241/1000000</f>
        <v>0</v>
      </c>
      <c r="I896" s="370">
        <f>I1054*hypo!I241/1000000</f>
        <v>0</v>
      </c>
      <c r="J896" s="370">
        <f>J1054*hypo!J241/1000000</f>
        <v>44.216304697068132</v>
      </c>
      <c r="K896" s="370">
        <f>K1054*hypo!K241/1000000</f>
        <v>19.226146233141577</v>
      </c>
      <c r="L896" s="370">
        <f>L1054*hypo!L241/1000000</f>
        <v>14.979820814358407</v>
      </c>
      <c r="M896" s="370">
        <f>M1054*hypo!M241/1000000</f>
        <v>0</v>
      </c>
      <c r="N896" s="370">
        <f>N1054*hypo!N241/1000000</f>
        <v>0</v>
      </c>
      <c r="O896" s="370">
        <f>O1054*hypo!O241/1000000</f>
        <v>0</v>
      </c>
      <c r="P896" s="370">
        <f>P1054*hypo!P241/1000000</f>
        <v>81.01724910544543</v>
      </c>
      <c r="Q896" s="370">
        <f>Q1054*hypo!Q241/1000000</f>
        <v>0</v>
      </c>
      <c r="R896" s="370">
        <f>R1054*hypo!R241/1000000</f>
        <v>215.773520929325</v>
      </c>
      <c r="S896" s="370">
        <f>S1054*hypo!S241/1000000</f>
        <v>90.207294703837206</v>
      </c>
      <c r="T896" s="370">
        <f>T1054*hypo!T241/1000000</f>
        <v>117.78918586142635</v>
      </c>
      <c r="U896" s="370">
        <f>U1054*hypo!U241/1000000</f>
        <v>0</v>
      </c>
      <c r="V896" s="370">
        <f>V1054*hypo!V241/1000000</f>
        <v>149.14177180508634</v>
      </c>
      <c r="W896" s="370">
        <f>W1054*hypo!W241/1000000</f>
        <v>24.354564871443795</v>
      </c>
      <c r="X896" s="370">
        <f>X1054*hypo!X241/1000000</f>
        <v>26.955909371913847</v>
      </c>
      <c r="Y896" s="370">
        <f>Y1054*hypo!Y241/1000000</f>
        <v>33.360748960985887</v>
      </c>
      <c r="Z896" s="370">
        <f>Z1054*hypo!Z241/1000000</f>
        <v>72.531509517880778</v>
      </c>
      <c r="AA896" s="370">
        <f>AA1054*hypo!AA241/1000000</f>
        <v>76.306310321369622</v>
      </c>
      <c r="AB896" s="370">
        <f>AB1054*hypo!AB241/1000000</f>
        <v>37.419853702396544</v>
      </c>
      <c r="AC896" s="370">
        <f>AC1054*hypo!AC241/1000000</f>
        <v>192.74172626024995</v>
      </c>
      <c r="AD896" s="370">
        <f>AD1054*hypo!AD241/1000000</f>
        <v>0</v>
      </c>
      <c r="AE896" s="370">
        <f>AE1054*hypo!AE241/1000000</f>
        <v>34.917873040334833</v>
      </c>
      <c r="AF896" s="370">
        <f>AF1054*hypo!AF241/1000000</f>
        <v>0</v>
      </c>
      <c r="AG896" s="370">
        <f>AG1054*hypo!AG241/1000000</f>
        <v>33.195986187653453</v>
      </c>
      <c r="AH896" s="370">
        <f>AH1054*hypo!AH241/1000000</f>
        <v>19.765256993226874</v>
      </c>
      <c r="AI896" s="370">
        <f>AI1054*hypo!AI241/1000000</f>
        <v>0</v>
      </c>
      <c r="AJ896" s="370">
        <f>AJ1054*hypo!AJ241/1000000</f>
        <v>0</v>
      </c>
      <c r="AK896" s="370">
        <f>AK1054*hypo!AK241/1000000</f>
        <v>0</v>
      </c>
      <c r="AL896" s="370">
        <f>AL1054*hypo!AL241/1000000</f>
        <v>0</v>
      </c>
      <c r="AM896" s="379">
        <f t="shared" si="208"/>
        <v>1283.9010333771439</v>
      </c>
    </row>
    <row r="897" spans="1:39" s="364" customFormat="1" x14ac:dyDescent="0.2">
      <c r="A897" s="8"/>
      <c r="B897" s="8" t="s">
        <v>351</v>
      </c>
      <c r="C897" s="22" t="s">
        <v>350</v>
      </c>
      <c r="D897" s="8" t="s">
        <v>723</v>
      </c>
      <c r="E897" s="17"/>
      <c r="F897" s="370">
        <f>(F1023*hypo!F242)/1000000</f>
        <v>0</v>
      </c>
      <c r="G897" s="370">
        <f>(G1023*hypo!G242)/1000000</f>
        <v>0</v>
      </c>
      <c r="H897" s="370">
        <f>(H1023*hypo!H242)/1000000</f>
        <v>0</v>
      </c>
      <c r="I897" s="370">
        <f>(I1023*hypo!I242)/1000000</f>
        <v>0</v>
      </c>
      <c r="J897" s="370">
        <f>(J1023*hypo!J242)/1000000</f>
        <v>2826.1373891888979</v>
      </c>
      <c r="K897" s="370">
        <f>(K1023*hypo!K242)/1000000</f>
        <v>1338.9719396230034</v>
      </c>
      <c r="L897" s="370">
        <f>(L1023*hypo!L242)/1000000</f>
        <v>1967.6205290902481</v>
      </c>
      <c r="M897" s="370">
        <f>(M1023*hypo!M242)/1000000</f>
        <v>0</v>
      </c>
      <c r="N897" s="370">
        <f>(N1023*hypo!N242)/1000000</f>
        <v>0</v>
      </c>
      <c r="O897" s="370">
        <f>(O1023*hypo!O242)/1000000</f>
        <v>0</v>
      </c>
      <c r="P897" s="370">
        <f>(P1023*hypo!P242)/1000000</f>
        <v>4564.9860155972847</v>
      </c>
      <c r="Q897" s="370">
        <f>(Q1023*hypo!Q242)/1000000</f>
        <v>0</v>
      </c>
      <c r="R897" s="370">
        <f>(R1023*hypo!R242)/1000000</f>
        <v>6550.7864854695372</v>
      </c>
      <c r="S897" s="370">
        <f>(S1023*hypo!S242)/1000000</f>
        <v>2420.2537898077676</v>
      </c>
      <c r="T897" s="370">
        <f>(T1023*hypo!T242)/1000000</f>
        <v>6154.5236740806995</v>
      </c>
      <c r="U897" s="370">
        <f>(U1023*hypo!U242)/1000000</f>
        <v>0</v>
      </c>
      <c r="V897" s="370">
        <f>(V1023*hypo!V242)/1000000</f>
        <v>3119.5303840493339</v>
      </c>
      <c r="W897" s="370">
        <f>(W1023*hypo!W242)/1000000</f>
        <v>2232.4986387191439</v>
      </c>
      <c r="X897" s="370">
        <f>(X1023*hypo!X242)/1000000</f>
        <v>1049.1328406206326</v>
      </c>
      <c r="Y897" s="370">
        <f>(Y1023*hypo!Y242)/1000000</f>
        <v>1245.0476000642759</v>
      </c>
      <c r="Z897" s="370">
        <f>(Z1023*hypo!Z242)/1000000</f>
        <v>204.57903231265345</v>
      </c>
      <c r="AA897" s="370">
        <f>(AA1023*hypo!AA242)/1000000</f>
        <v>1102.8770143944819</v>
      </c>
      <c r="AB897" s="370">
        <f>(AB1023*hypo!AB242)/1000000</f>
        <v>913.3923048487726</v>
      </c>
      <c r="AC897" s="370">
        <f>(AC1023*hypo!AC242)/1000000</f>
        <v>2679.4073340647724</v>
      </c>
      <c r="AD897" s="370">
        <f>(AD1023*hypo!AD242)/1000000</f>
        <v>0</v>
      </c>
      <c r="AE897" s="370">
        <f>(AE1023*hypo!AE242)/1000000</f>
        <v>839.77740394541274</v>
      </c>
      <c r="AF897" s="370">
        <f>(AF1023*hypo!AF242)/1000000</f>
        <v>0</v>
      </c>
      <c r="AG897" s="370">
        <f>(AG1023*hypo!AG242)/1000000</f>
        <v>786.64475609402439</v>
      </c>
      <c r="AH897" s="370">
        <f>(AH1023*hypo!AH242)/1000000</f>
        <v>786.3149934742172</v>
      </c>
      <c r="AI897" s="370">
        <f>(AI1023*hypo!AI242)/1000000</f>
        <v>0</v>
      </c>
      <c r="AJ897" s="370">
        <f>(AJ1023*hypo!AJ242)/1000000</f>
        <v>0</v>
      </c>
      <c r="AK897" s="370">
        <f>(AK1023*hypo!AK242)/1000000</f>
        <v>0</v>
      </c>
      <c r="AL897" s="370">
        <f>(AL1023*hypo!AL242)/1000000</f>
        <v>0</v>
      </c>
      <c r="AM897" s="379">
        <f t="shared" si="208"/>
        <v>40782.48212544516</v>
      </c>
    </row>
    <row r="898" spans="1:39" s="364" customFormat="1" x14ac:dyDescent="0.2">
      <c r="A898" s="8"/>
      <c r="B898" s="8" t="s">
        <v>352</v>
      </c>
      <c r="C898" s="22" t="s">
        <v>350</v>
      </c>
      <c r="D898" s="8" t="s">
        <v>723</v>
      </c>
      <c r="E898" s="17"/>
      <c r="F898" s="370">
        <f>F1043*hypo!F243/1000000</f>
        <v>0</v>
      </c>
      <c r="G898" s="370">
        <f>G1043*hypo!G243/1000000</f>
        <v>0</v>
      </c>
      <c r="H898" s="370">
        <f>H1043*hypo!H243/1000000</f>
        <v>0</v>
      </c>
      <c r="I898" s="370">
        <f>I1043*hypo!I243/1000000</f>
        <v>0</v>
      </c>
      <c r="J898" s="370">
        <f>J1043*hypo!J243/1000000</f>
        <v>3.6198675330211955E-2</v>
      </c>
      <c r="K898" s="370">
        <f>K1043*hypo!K243/1000000</f>
        <v>8.2173431373273164E-3</v>
      </c>
      <c r="L898" s="370">
        <f>L1043*hypo!L243/1000000</f>
        <v>9.4379737472429209E-3</v>
      </c>
      <c r="M898" s="370">
        <f>M1043*hypo!M243/1000000</f>
        <v>0</v>
      </c>
      <c r="N898" s="370">
        <f>N1043*hypo!N243/1000000</f>
        <v>0</v>
      </c>
      <c r="O898" s="370">
        <f>O1043*hypo!O243/1000000</f>
        <v>0</v>
      </c>
      <c r="P898" s="370">
        <f>P1043*hypo!P243/1000000</f>
        <v>7.1580700442836945E-2</v>
      </c>
      <c r="Q898" s="370">
        <f>Q1043*hypo!Q243/1000000</f>
        <v>0</v>
      </c>
      <c r="R898" s="370">
        <f>R1043*hypo!R243/1000000</f>
        <v>0.16856359635260001</v>
      </c>
      <c r="S898" s="370">
        <f>S1043*hypo!S243/1000000</f>
        <v>1.3910781058209167</v>
      </c>
      <c r="T898" s="370">
        <f>T1043*hypo!T243/1000000</f>
        <v>2.398897586553955</v>
      </c>
      <c r="U898" s="370">
        <f>U1043*hypo!U243/1000000</f>
        <v>0</v>
      </c>
      <c r="V898" s="370">
        <f>V1043*hypo!V243/1000000</f>
        <v>1.1187029026479263</v>
      </c>
      <c r="W898" s="370">
        <f>W1043*hypo!W243/1000000</f>
        <v>2.2761395429455104E-2</v>
      </c>
      <c r="X898" s="370">
        <f>X1043*hypo!X243/1000000</f>
        <v>0.14579753457485758</v>
      </c>
      <c r="Y898" s="370">
        <f>Y1043*hypo!Y243/1000000</f>
        <v>0.18462537657808634</v>
      </c>
      <c r="Z898" s="370">
        <f>Z1043*hypo!Z243/1000000</f>
        <v>0.32927759155053077</v>
      </c>
      <c r="AA898" s="370">
        <f>AA1043*hypo!AA243/1000000</f>
        <v>1.0763867543634966</v>
      </c>
      <c r="AB898" s="370">
        <f>AB1043*hypo!AB243/1000000</f>
        <v>8.1081039019972145</v>
      </c>
      <c r="AC898" s="370">
        <f>AC1043*hypo!AC243/1000000</f>
        <v>3.5776804405362603</v>
      </c>
      <c r="AD898" s="370">
        <f>AD1043*hypo!AD243/1000000</f>
        <v>0</v>
      </c>
      <c r="AE898" s="370">
        <f>AE1043*hypo!AE243/1000000</f>
        <v>2.1893065382015919</v>
      </c>
      <c r="AF898" s="370">
        <f>AF1043*hypo!AF243/1000000</f>
        <v>0</v>
      </c>
      <c r="AG898" s="370">
        <f>AG1043*hypo!AG243/1000000</f>
        <v>0.75506780944895857</v>
      </c>
      <c r="AH898" s="370">
        <f>AH1043*hypo!AH243/1000000</f>
        <v>6.724658563035206E-2</v>
      </c>
      <c r="AI898" s="370">
        <f>AI1043*hypo!AI243/1000000</f>
        <v>0</v>
      </c>
      <c r="AJ898" s="370">
        <f>AJ1043*hypo!AJ243/1000000</f>
        <v>0</v>
      </c>
      <c r="AK898" s="370">
        <f>AK1043*hypo!AK243/1000000</f>
        <v>0</v>
      </c>
      <c r="AL898" s="370">
        <f>AL1043*hypo!AL243/1000000</f>
        <v>0</v>
      </c>
      <c r="AM898" s="379">
        <f t="shared" si="208"/>
        <v>21.658930812343819</v>
      </c>
    </row>
    <row r="899" spans="1:39" x14ac:dyDescent="0.2">
      <c r="A899" s="1"/>
      <c r="B899" s="1"/>
      <c r="C899" s="3"/>
      <c r="D899" s="1"/>
      <c r="E899" s="270"/>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07"/>
    </row>
    <row r="900" spans="1:39" x14ac:dyDescent="0.2">
      <c r="A900" s="1"/>
      <c r="B900" s="67" t="s">
        <v>353</v>
      </c>
      <c r="C900" s="68"/>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107"/>
    </row>
    <row r="901" spans="1:39" ht="15" x14ac:dyDescent="0.25">
      <c r="A901" s="69" t="s">
        <v>354</v>
      </c>
      <c r="B901" s="268" t="s">
        <v>355</v>
      </c>
      <c r="C901" s="30" t="s">
        <v>63</v>
      </c>
      <c r="D901" s="268" t="s">
        <v>356</v>
      </c>
      <c r="E901" s="267"/>
      <c r="F901" s="268">
        <v>3.13</v>
      </c>
      <c r="G901" s="268">
        <v>3.13</v>
      </c>
      <c r="H901" s="268">
        <v>3.13</v>
      </c>
      <c r="I901" s="268">
        <v>3.13</v>
      </c>
      <c r="J901" s="268">
        <v>3.13</v>
      </c>
      <c r="K901" s="268">
        <v>3.13</v>
      </c>
      <c r="L901" s="268">
        <v>3.13</v>
      </c>
      <c r="M901" s="268">
        <v>3.13</v>
      </c>
      <c r="N901" s="268">
        <v>3.13</v>
      </c>
      <c r="O901" s="268">
        <v>3.13</v>
      </c>
      <c r="P901" s="268">
        <v>3.13</v>
      </c>
      <c r="Q901" s="268">
        <v>3.13</v>
      </c>
      <c r="R901" s="268">
        <v>3.13</v>
      </c>
      <c r="S901" s="268">
        <v>3.13</v>
      </c>
      <c r="T901" s="268">
        <v>3.13</v>
      </c>
      <c r="U901" s="268">
        <v>3.13</v>
      </c>
      <c r="V901" s="268">
        <v>3.13</v>
      </c>
      <c r="W901" s="268">
        <v>3.13</v>
      </c>
      <c r="X901" s="268">
        <v>3.13</v>
      </c>
      <c r="Y901" s="268">
        <v>3.13</v>
      </c>
      <c r="Z901" s="268">
        <v>3.13</v>
      </c>
      <c r="AA901" s="268">
        <v>3.13</v>
      </c>
      <c r="AB901" s="268">
        <v>3.13</v>
      </c>
      <c r="AC901" s="268">
        <v>3.13</v>
      </c>
      <c r="AD901" s="268">
        <v>3.13</v>
      </c>
      <c r="AE901" s="268">
        <v>3.13</v>
      </c>
      <c r="AF901" s="268">
        <v>3.13</v>
      </c>
      <c r="AG901" s="268">
        <v>3.13</v>
      </c>
      <c r="AH901" s="268">
        <v>3.13</v>
      </c>
      <c r="AI901" s="268">
        <v>3.13</v>
      </c>
      <c r="AJ901" s="268">
        <v>3.13</v>
      </c>
      <c r="AK901" s="268">
        <v>3.13</v>
      </c>
      <c r="AL901" s="268">
        <v>3.13</v>
      </c>
      <c r="AM901" s="378">
        <f>AVERAGE(F901:AL901)</f>
        <v>3.129999999999999</v>
      </c>
    </row>
    <row r="902" spans="1:39" x14ac:dyDescent="0.2">
      <c r="A902" s="1"/>
      <c r="B902" s="268" t="s">
        <v>357</v>
      </c>
      <c r="C902" s="30" t="s">
        <v>63</v>
      </c>
      <c r="D902" s="268" t="s">
        <v>358</v>
      </c>
      <c r="E902" s="267"/>
      <c r="F902" s="268">
        <v>5.5</v>
      </c>
      <c r="G902" s="268">
        <v>5.5</v>
      </c>
      <c r="H902" s="268">
        <v>5.5</v>
      </c>
      <c r="I902" s="268">
        <v>5.5</v>
      </c>
      <c r="J902" s="268">
        <v>5.5</v>
      </c>
      <c r="K902" s="268">
        <v>5.5</v>
      </c>
      <c r="L902" s="268">
        <v>5.5</v>
      </c>
      <c r="M902" s="268">
        <v>5.5</v>
      </c>
      <c r="N902" s="268">
        <v>5.5</v>
      </c>
      <c r="O902" s="268">
        <v>5.5</v>
      </c>
      <c r="P902" s="268">
        <v>5.5</v>
      </c>
      <c r="Q902" s="268">
        <v>5.5</v>
      </c>
      <c r="R902" s="268">
        <v>5.5</v>
      </c>
      <c r="S902" s="268">
        <v>5.5</v>
      </c>
      <c r="T902" s="268">
        <v>5.5</v>
      </c>
      <c r="U902" s="268">
        <v>5.5</v>
      </c>
      <c r="V902" s="268">
        <v>5.5</v>
      </c>
      <c r="W902" s="268">
        <v>5.5</v>
      </c>
      <c r="X902" s="268">
        <v>5.5</v>
      </c>
      <c r="Y902" s="268">
        <v>5.5</v>
      </c>
      <c r="Z902" s="268">
        <v>5.5</v>
      </c>
      <c r="AA902" s="268">
        <v>5.5</v>
      </c>
      <c r="AB902" s="268">
        <v>5.5</v>
      </c>
      <c r="AC902" s="268">
        <v>5.5</v>
      </c>
      <c r="AD902" s="268">
        <v>5.5</v>
      </c>
      <c r="AE902" s="268">
        <v>5.5</v>
      </c>
      <c r="AF902" s="268">
        <v>5.5</v>
      </c>
      <c r="AG902" s="268">
        <v>5.5</v>
      </c>
      <c r="AH902" s="268">
        <v>5.5</v>
      </c>
      <c r="AI902" s="268">
        <v>5.5</v>
      </c>
      <c r="AJ902" s="268">
        <v>5.5</v>
      </c>
      <c r="AK902" s="268">
        <v>5.5</v>
      </c>
      <c r="AL902" s="268">
        <v>5.5</v>
      </c>
      <c r="AM902" s="378">
        <f t="shared" ref="AM902:AM952" si="209">AVERAGE(F902:AL902)</f>
        <v>5.5</v>
      </c>
    </row>
    <row r="903" spans="1:39" x14ac:dyDescent="0.2">
      <c r="A903" s="1"/>
      <c r="B903" s="268" t="s">
        <v>359</v>
      </c>
      <c r="C903" s="30" t="s">
        <v>63</v>
      </c>
      <c r="D903" s="268" t="s">
        <v>356</v>
      </c>
      <c r="E903" s="267"/>
      <c r="F903" s="268">
        <v>0.3</v>
      </c>
      <c r="G903" s="268">
        <v>0.3</v>
      </c>
      <c r="H903" s="268">
        <v>0.3</v>
      </c>
      <c r="I903" s="268">
        <v>0.3</v>
      </c>
      <c r="J903" s="268">
        <v>0.3</v>
      </c>
      <c r="K903" s="268">
        <v>0.3</v>
      </c>
      <c r="L903" s="268">
        <v>0.3</v>
      </c>
      <c r="M903" s="268">
        <v>0.3</v>
      </c>
      <c r="N903" s="268">
        <v>0.3</v>
      </c>
      <c r="O903" s="268">
        <v>0.3</v>
      </c>
      <c r="P903" s="268">
        <v>0.3</v>
      </c>
      <c r="Q903" s="268">
        <v>0.3</v>
      </c>
      <c r="R903" s="268">
        <v>0.3</v>
      </c>
      <c r="S903" s="268">
        <v>0.3</v>
      </c>
      <c r="T903" s="268">
        <v>0.3</v>
      </c>
      <c r="U903" s="268">
        <v>0.3</v>
      </c>
      <c r="V903" s="268">
        <v>0.3</v>
      </c>
      <c r="W903" s="268">
        <v>0.3</v>
      </c>
      <c r="X903" s="268">
        <v>0.3</v>
      </c>
      <c r="Y903" s="268">
        <v>0.3</v>
      </c>
      <c r="Z903" s="268">
        <v>0.3</v>
      </c>
      <c r="AA903" s="268">
        <v>0.3</v>
      </c>
      <c r="AB903" s="268">
        <v>0.3</v>
      </c>
      <c r="AC903" s="268">
        <v>0.3</v>
      </c>
      <c r="AD903" s="268">
        <v>0.3</v>
      </c>
      <c r="AE903" s="268">
        <v>0.3</v>
      </c>
      <c r="AF903" s="268">
        <v>0.3</v>
      </c>
      <c r="AG903" s="268">
        <v>0.3</v>
      </c>
      <c r="AH903" s="268">
        <v>0.3</v>
      </c>
      <c r="AI903" s="268">
        <v>0.3</v>
      </c>
      <c r="AJ903" s="268">
        <v>0.3</v>
      </c>
      <c r="AK903" s="268">
        <v>0.3</v>
      </c>
      <c r="AL903" s="268">
        <v>0.3</v>
      </c>
      <c r="AM903" s="378">
        <f t="shared" si="209"/>
        <v>0.30000000000000004</v>
      </c>
    </row>
    <row r="904" spans="1:39" ht="15" x14ac:dyDescent="0.25">
      <c r="A904" s="69" t="s">
        <v>360</v>
      </c>
      <c r="B904" s="268" t="s">
        <v>361</v>
      </c>
      <c r="C904" s="30" t="s">
        <v>63</v>
      </c>
      <c r="D904" s="268" t="s">
        <v>356</v>
      </c>
      <c r="E904" s="267"/>
      <c r="F904" s="268">
        <v>5.28</v>
      </c>
      <c r="G904" s="268">
        <v>5.28</v>
      </c>
      <c r="H904" s="268">
        <v>5.28</v>
      </c>
      <c r="I904" s="268">
        <v>5.28</v>
      </c>
      <c r="J904" s="268">
        <v>5.28</v>
      </c>
      <c r="K904" s="268">
        <v>5.28</v>
      </c>
      <c r="L904" s="268">
        <v>5.28</v>
      </c>
      <c r="M904" s="268">
        <v>5.28</v>
      </c>
      <c r="N904" s="268">
        <v>5.28</v>
      </c>
      <c r="O904" s="268">
        <v>5.28</v>
      </c>
      <c r="P904" s="268">
        <v>5.28</v>
      </c>
      <c r="Q904" s="268">
        <v>5.28</v>
      </c>
      <c r="R904" s="268">
        <v>5.28</v>
      </c>
      <c r="S904" s="268">
        <v>5.28</v>
      </c>
      <c r="T904" s="268">
        <v>5.28</v>
      </c>
      <c r="U904" s="268">
        <v>5.28</v>
      </c>
      <c r="V904" s="268">
        <v>5.28</v>
      </c>
      <c r="W904" s="268">
        <v>5.28</v>
      </c>
      <c r="X904" s="268">
        <v>5.28</v>
      </c>
      <c r="Y904" s="268">
        <v>5.28</v>
      </c>
      <c r="Z904" s="268">
        <v>5.28</v>
      </c>
      <c r="AA904" s="268">
        <v>5.28</v>
      </c>
      <c r="AB904" s="268">
        <v>5.28</v>
      </c>
      <c r="AC904" s="268">
        <v>5.28</v>
      </c>
      <c r="AD904" s="268">
        <v>5.28</v>
      </c>
      <c r="AE904" s="268">
        <v>5.28</v>
      </c>
      <c r="AF904" s="268">
        <v>5.28</v>
      </c>
      <c r="AG904" s="268">
        <v>5.28</v>
      </c>
      <c r="AH904" s="268">
        <v>5.28</v>
      </c>
      <c r="AI904" s="268">
        <v>5.28</v>
      </c>
      <c r="AJ904" s="268">
        <v>5.28</v>
      </c>
      <c r="AK904" s="268">
        <v>5.28</v>
      </c>
      <c r="AL904" s="268">
        <v>5.28</v>
      </c>
      <c r="AM904" s="378">
        <f t="shared" si="209"/>
        <v>5.28</v>
      </c>
    </row>
    <row r="905" spans="1:39" x14ac:dyDescent="0.2">
      <c r="A905" s="1"/>
      <c r="B905" s="268" t="s">
        <v>362</v>
      </c>
      <c r="C905" s="30" t="s">
        <v>63</v>
      </c>
      <c r="D905" s="268" t="s">
        <v>356</v>
      </c>
      <c r="E905" s="267"/>
      <c r="F905" s="270">
        <v>2.4459999999999997</v>
      </c>
      <c r="G905" s="270">
        <v>2.4459999999999997</v>
      </c>
      <c r="H905" s="270">
        <v>2.4459999999999997</v>
      </c>
      <c r="I905" s="270">
        <v>2.4459999999999997</v>
      </c>
      <c r="J905" s="270">
        <v>2.4459999999999997</v>
      </c>
      <c r="K905" s="270">
        <v>2.4459999999999997</v>
      </c>
      <c r="L905" s="270">
        <v>2.4459999999999997</v>
      </c>
      <c r="M905" s="270">
        <v>2.4459999999999997</v>
      </c>
      <c r="N905" s="270">
        <v>2.4459999999999997</v>
      </c>
      <c r="O905" s="270">
        <v>2.4459999999999997</v>
      </c>
      <c r="P905" s="270">
        <v>2.4459999999999997</v>
      </c>
      <c r="Q905" s="270">
        <v>2.4459999999999997</v>
      </c>
      <c r="R905" s="270">
        <v>2.4459999999999997</v>
      </c>
      <c r="S905" s="270">
        <v>2.4459999999999997</v>
      </c>
      <c r="T905" s="270">
        <v>2.4459999999999997</v>
      </c>
      <c r="U905" s="270">
        <v>2.4459999999999997</v>
      </c>
      <c r="V905" s="270">
        <v>2.4459999999999997</v>
      </c>
      <c r="W905" s="270">
        <v>2.4459999999999997</v>
      </c>
      <c r="X905" s="270">
        <v>2.4459999999999997</v>
      </c>
      <c r="Y905" s="270">
        <v>2.4459999999999997</v>
      </c>
      <c r="Z905" s="270">
        <v>2.4459999999999997</v>
      </c>
      <c r="AA905" s="270">
        <v>2.4459999999999997</v>
      </c>
      <c r="AB905" s="270">
        <v>2.4459999999999997</v>
      </c>
      <c r="AC905" s="270">
        <v>2.4459999999999997</v>
      </c>
      <c r="AD905" s="270">
        <v>2.4459999999999997</v>
      </c>
      <c r="AE905" s="270">
        <v>2.4459999999999997</v>
      </c>
      <c r="AF905" s="270">
        <v>2.4459999999999997</v>
      </c>
      <c r="AG905" s="270">
        <v>2.4459999999999997</v>
      </c>
      <c r="AH905" s="270">
        <v>2.4459999999999997</v>
      </c>
      <c r="AI905" s="270">
        <v>2.4459999999999997</v>
      </c>
      <c r="AJ905" s="270">
        <v>2.4459999999999997</v>
      </c>
      <c r="AK905" s="270">
        <v>2.4459999999999997</v>
      </c>
      <c r="AL905" s="270">
        <v>2.4459999999999997</v>
      </c>
      <c r="AM905" s="378">
        <f t="shared" si="209"/>
        <v>2.4459999999999984</v>
      </c>
    </row>
    <row r="906" spans="1:39" x14ac:dyDescent="0.2">
      <c r="A906" s="1"/>
      <c r="B906" s="268" t="s">
        <v>363</v>
      </c>
      <c r="C906" s="30" t="s">
        <v>63</v>
      </c>
      <c r="D906" s="268" t="s">
        <v>356</v>
      </c>
      <c r="E906" s="267"/>
      <c r="F906" s="268">
        <v>0.5</v>
      </c>
      <c r="G906" s="268">
        <v>0.5</v>
      </c>
      <c r="H906" s="268">
        <v>0.5</v>
      </c>
      <c r="I906" s="268">
        <v>0.5</v>
      </c>
      <c r="J906" s="268">
        <v>0.5</v>
      </c>
      <c r="K906" s="268">
        <v>0.5</v>
      </c>
      <c r="L906" s="268">
        <v>0.5</v>
      </c>
      <c r="M906" s="268">
        <v>0.5</v>
      </c>
      <c r="N906" s="268">
        <v>0.5</v>
      </c>
      <c r="O906" s="268">
        <v>0.5</v>
      </c>
      <c r="P906" s="268">
        <v>0.5</v>
      </c>
      <c r="Q906" s="268">
        <v>0.5</v>
      </c>
      <c r="R906" s="268">
        <v>0.5</v>
      </c>
      <c r="S906" s="268">
        <v>0.5</v>
      </c>
      <c r="T906" s="268">
        <v>0.5</v>
      </c>
      <c r="U906" s="268">
        <v>0.5</v>
      </c>
      <c r="V906" s="268">
        <v>0.5</v>
      </c>
      <c r="W906" s="268">
        <v>0.5</v>
      </c>
      <c r="X906" s="268">
        <v>0.5</v>
      </c>
      <c r="Y906" s="268">
        <v>0.5</v>
      </c>
      <c r="Z906" s="268">
        <v>0.5</v>
      </c>
      <c r="AA906" s="268">
        <v>0.5</v>
      </c>
      <c r="AB906" s="268">
        <v>0.5</v>
      </c>
      <c r="AC906" s="268">
        <v>0.5</v>
      </c>
      <c r="AD906" s="268">
        <v>0.5</v>
      </c>
      <c r="AE906" s="268">
        <v>0.5</v>
      </c>
      <c r="AF906" s="268">
        <v>0.5</v>
      </c>
      <c r="AG906" s="268">
        <v>0.5</v>
      </c>
      <c r="AH906" s="268">
        <v>0.5</v>
      </c>
      <c r="AI906" s="268">
        <v>0.5</v>
      </c>
      <c r="AJ906" s="268">
        <v>0.5</v>
      </c>
      <c r="AK906" s="268">
        <v>0.5</v>
      </c>
      <c r="AL906" s="268">
        <v>0.5</v>
      </c>
      <c r="AM906" s="378">
        <f t="shared" si="209"/>
        <v>0.5</v>
      </c>
    </row>
    <row r="907" spans="1:39" x14ac:dyDescent="0.2">
      <c r="A907" s="1"/>
      <c r="B907" s="268" t="s">
        <v>364</v>
      </c>
      <c r="C907" s="30" t="s">
        <v>63</v>
      </c>
      <c r="D907" s="268" t="s">
        <v>356</v>
      </c>
      <c r="E907" s="267"/>
      <c r="F907" s="268">
        <v>6</v>
      </c>
      <c r="G907" s="268">
        <v>6</v>
      </c>
      <c r="H907" s="268">
        <v>6</v>
      </c>
      <c r="I907" s="268">
        <v>6</v>
      </c>
      <c r="J907" s="268">
        <v>6</v>
      </c>
      <c r="K907" s="268">
        <v>6</v>
      </c>
      <c r="L907" s="268">
        <v>6</v>
      </c>
      <c r="M907" s="268">
        <v>6</v>
      </c>
      <c r="N907" s="268">
        <v>6</v>
      </c>
      <c r="O907" s="268">
        <v>6</v>
      </c>
      <c r="P907" s="268">
        <v>6</v>
      </c>
      <c r="Q907" s="268">
        <v>6</v>
      </c>
      <c r="R907" s="268">
        <v>6</v>
      </c>
      <c r="S907" s="268">
        <v>6</v>
      </c>
      <c r="T907" s="268">
        <v>6</v>
      </c>
      <c r="U907" s="268">
        <v>6</v>
      </c>
      <c r="V907" s="268">
        <v>6</v>
      </c>
      <c r="W907" s="268">
        <v>6</v>
      </c>
      <c r="X907" s="268">
        <v>6</v>
      </c>
      <c r="Y907" s="268">
        <v>6</v>
      </c>
      <c r="Z907" s="268">
        <v>6</v>
      </c>
      <c r="AA907" s="268">
        <v>6</v>
      </c>
      <c r="AB907" s="268">
        <v>6</v>
      </c>
      <c r="AC907" s="268">
        <v>6</v>
      </c>
      <c r="AD907" s="268">
        <v>6</v>
      </c>
      <c r="AE907" s="268">
        <v>6</v>
      </c>
      <c r="AF907" s="268">
        <v>6</v>
      </c>
      <c r="AG907" s="268">
        <v>6</v>
      </c>
      <c r="AH907" s="268">
        <v>6</v>
      </c>
      <c r="AI907" s="268">
        <v>6</v>
      </c>
      <c r="AJ907" s="268">
        <v>6</v>
      </c>
      <c r="AK907" s="268">
        <v>6</v>
      </c>
      <c r="AL907" s="268">
        <v>6</v>
      </c>
      <c r="AM907" s="378">
        <f t="shared" si="209"/>
        <v>6</v>
      </c>
    </row>
    <row r="908" spans="1:39" x14ac:dyDescent="0.2">
      <c r="A908" s="1"/>
      <c r="B908" s="268" t="s">
        <v>365</v>
      </c>
      <c r="C908" s="30" t="s">
        <v>63</v>
      </c>
      <c r="D908" s="268" t="s">
        <v>356</v>
      </c>
      <c r="E908" s="267"/>
      <c r="F908" s="268">
        <v>2.9</v>
      </c>
      <c r="G908" s="268">
        <v>2.9</v>
      </c>
      <c r="H908" s="268">
        <v>2.9</v>
      </c>
      <c r="I908" s="268">
        <v>2.9</v>
      </c>
      <c r="J908" s="268">
        <v>2.9</v>
      </c>
      <c r="K908" s="268">
        <v>2.9</v>
      </c>
      <c r="L908" s="268">
        <v>2.9</v>
      </c>
      <c r="M908" s="268">
        <v>2.9</v>
      </c>
      <c r="N908" s="268">
        <v>2.9</v>
      </c>
      <c r="O908" s="268">
        <v>2.9</v>
      </c>
      <c r="P908" s="268">
        <v>2.9</v>
      </c>
      <c r="Q908" s="268">
        <v>2.9</v>
      </c>
      <c r="R908" s="268">
        <v>2.9</v>
      </c>
      <c r="S908" s="268">
        <v>2.9</v>
      </c>
      <c r="T908" s="268">
        <v>2.9</v>
      </c>
      <c r="U908" s="268">
        <v>2.9</v>
      </c>
      <c r="V908" s="268">
        <v>2.9</v>
      </c>
      <c r="W908" s="268">
        <v>2.9</v>
      </c>
      <c r="X908" s="268">
        <v>2.9</v>
      </c>
      <c r="Y908" s="268">
        <v>2.9</v>
      </c>
      <c r="Z908" s="268">
        <v>2.9</v>
      </c>
      <c r="AA908" s="268">
        <v>2.9</v>
      </c>
      <c r="AB908" s="268">
        <v>2.9</v>
      </c>
      <c r="AC908" s="268">
        <v>2.9</v>
      </c>
      <c r="AD908" s="268">
        <v>2.9</v>
      </c>
      <c r="AE908" s="268">
        <v>2.9</v>
      </c>
      <c r="AF908" s="268">
        <v>2.9</v>
      </c>
      <c r="AG908" s="268">
        <v>2.9</v>
      </c>
      <c r="AH908" s="268">
        <v>2.9</v>
      </c>
      <c r="AI908" s="268">
        <v>2.9</v>
      </c>
      <c r="AJ908" s="268">
        <v>2.9</v>
      </c>
      <c r="AK908" s="268">
        <v>2.9</v>
      </c>
      <c r="AL908" s="268">
        <v>2.9</v>
      </c>
      <c r="AM908" s="378">
        <f t="shared" si="209"/>
        <v>2.9000000000000008</v>
      </c>
    </row>
    <row r="909" spans="1:39" x14ac:dyDescent="0.2">
      <c r="A909" s="1"/>
      <c r="B909" s="268" t="s">
        <v>366</v>
      </c>
      <c r="C909" s="30" t="s">
        <v>63</v>
      </c>
      <c r="D909" s="268" t="s">
        <v>356</v>
      </c>
      <c r="E909" s="267"/>
      <c r="F909" s="268">
        <v>0.3</v>
      </c>
      <c r="G909" s="268">
        <v>0.3</v>
      </c>
      <c r="H909" s="268">
        <v>0.3</v>
      </c>
      <c r="I909" s="268">
        <v>0.3</v>
      </c>
      <c r="J909" s="268">
        <v>0.3</v>
      </c>
      <c r="K909" s="268">
        <v>0.3</v>
      </c>
      <c r="L909" s="268">
        <v>0.3</v>
      </c>
      <c r="M909" s="268">
        <v>0.3</v>
      </c>
      <c r="N909" s="268">
        <v>0.3</v>
      </c>
      <c r="O909" s="268">
        <v>0.3</v>
      </c>
      <c r="P909" s="268">
        <v>0.3</v>
      </c>
      <c r="Q909" s="268">
        <v>0.3</v>
      </c>
      <c r="R909" s="268">
        <v>0.3</v>
      </c>
      <c r="S909" s="268">
        <v>0.3</v>
      </c>
      <c r="T909" s="268">
        <v>0.3</v>
      </c>
      <c r="U909" s="268">
        <v>0.3</v>
      </c>
      <c r="V909" s="268">
        <v>0.3</v>
      </c>
      <c r="W909" s="268">
        <v>0.3</v>
      </c>
      <c r="X909" s="268">
        <v>0.3</v>
      </c>
      <c r="Y909" s="268">
        <v>0.3</v>
      </c>
      <c r="Z909" s="268">
        <v>0.3</v>
      </c>
      <c r="AA909" s="268">
        <v>0.3</v>
      </c>
      <c r="AB909" s="268">
        <v>0.3</v>
      </c>
      <c r="AC909" s="268">
        <v>0.3</v>
      </c>
      <c r="AD909" s="268">
        <v>0.3</v>
      </c>
      <c r="AE909" s="268">
        <v>0.3</v>
      </c>
      <c r="AF909" s="268">
        <v>0.3</v>
      </c>
      <c r="AG909" s="268">
        <v>0.3</v>
      </c>
      <c r="AH909" s="268">
        <v>0.3</v>
      </c>
      <c r="AI909" s="268">
        <v>0.3</v>
      </c>
      <c r="AJ909" s="268">
        <v>0.3</v>
      </c>
      <c r="AK909" s="268">
        <v>0.3</v>
      </c>
      <c r="AL909" s="268">
        <v>0.3</v>
      </c>
      <c r="AM909" s="378">
        <f t="shared" si="209"/>
        <v>0.30000000000000004</v>
      </c>
    </row>
    <row r="910" spans="1:39" x14ac:dyDescent="0.2">
      <c r="A910" s="1"/>
      <c r="B910" s="268"/>
      <c r="C910" s="30"/>
      <c r="D910" s="268"/>
      <c r="E910" s="270"/>
      <c r="F910" s="268"/>
      <c r="G910" s="268"/>
      <c r="H910" s="268"/>
      <c r="I910" s="268"/>
      <c r="J910" s="268"/>
      <c r="K910" s="268"/>
      <c r="L910" s="268"/>
      <c r="M910" s="268"/>
      <c r="N910" s="268"/>
      <c r="O910" s="268"/>
      <c r="P910" s="268"/>
      <c r="Q910" s="268"/>
      <c r="R910" s="268"/>
      <c r="S910" s="268"/>
      <c r="T910" s="268"/>
      <c r="U910" s="268"/>
      <c r="V910" s="268"/>
      <c r="W910" s="268"/>
      <c r="X910" s="268"/>
      <c r="Y910" s="268"/>
      <c r="Z910" s="268"/>
      <c r="AA910" s="268"/>
      <c r="AB910" s="268"/>
      <c r="AC910" s="268"/>
      <c r="AD910" s="268"/>
      <c r="AE910" s="268"/>
      <c r="AF910" s="268"/>
      <c r="AG910" s="268"/>
      <c r="AH910" s="268"/>
      <c r="AI910" s="268"/>
      <c r="AJ910" s="268"/>
      <c r="AK910" s="268"/>
      <c r="AL910" s="268"/>
      <c r="AM910" s="378"/>
    </row>
    <row r="911" spans="1:39" ht="15" x14ac:dyDescent="0.25">
      <c r="A911" s="69" t="s">
        <v>354</v>
      </c>
      <c r="B911" s="268" t="s">
        <v>367</v>
      </c>
      <c r="C911" s="30" t="s">
        <v>63</v>
      </c>
      <c r="D911" s="268" t="s">
        <v>356</v>
      </c>
      <c r="E911" s="267"/>
      <c r="F911" s="268">
        <v>2.7</v>
      </c>
      <c r="G911" s="268">
        <v>2.7</v>
      </c>
      <c r="H911" s="268">
        <v>2.7</v>
      </c>
      <c r="I911" s="268">
        <v>2.7</v>
      </c>
      <c r="J911" s="268">
        <v>2.7</v>
      </c>
      <c r="K911" s="268">
        <v>2.7</v>
      </c>
      <c r="L911" s="268">
        <v>2.7</v>
      </c>
      <c r="M911" s="268">
        <v>2.7</v>
      </c>
      <c r="N911" s="268">
        <v>2.7</v>
      </c>
      <c r="O911" s="268">
        <v>2.7</v>
      </c>
      <c r="P911" s="268">
        <v>2.7</v>
      </c>
      <c r="Q911" s="268">
        <v>2.7</v>
      </c>
      <c r="R911" s="268">
        <v>2.7</v>
      </c>
      <c r="S911" s="268">
        <v>2.7</v>
      </c>
      <c r="T911" s="268">
        <v>2.7</v>
      </c>
      <c r="U911" s="268">
        <v>2.7</v>
      </c>
      <c r="V911" s="268">
        <v>2.7</v>
      </c>
      <c r="W911" s="268">
        <v>2.7</v>
      </c>
      <c r="X911" s="268">
        <v>2.7</v>
      </c>
      <c r="Y911" s="268">
        <v>2.7</v>
      </c>
      <c r="Z911" s="268">
        <v>2.7</v>
      </c>
      <c r="AA911" s="268">
        <v>2.7</v>
      </c>
      <c r="AB911" s="268">
        <v>2.7</v>
      </c>
      <c r="AC911" s="268">
        <v>2.7</v>
      </c>
      <c r="AD911" s="268">
        <v>2.7</v>
      </c>
      <c r="AE911" s="268">
        <v>2.7</v>
      </c>
      <c r="AF911" s="268">
        <v>2.7</v>
      </c>
      <c r="AG911" s="268">
        <v>2.7</v>
      </c>
      <c r="AH911" s="268">
        <v>2.7</v>
      </c>
      <c r="AI911" s="268">
        <v>2.7</v>
      </c>
      <c r="AJ911" s="268">
        <v>2.7</v>
      </c>
      <c r="AK911" s="268">
        <v>2.7</v>
      </c>
      <c r="AL911" s="268">
        <v>2.7</v>
      </c>
      <c r="AM911" s="378">
        <f t="shared" si="209"/>
        <v>2.7000000000000015</v>
      </c>
    </row>
    <row r="912" spans="1:39" x14ac:dyDescent="0.2">
      <c r="A912" s="1"/>
      <c r="B912" s="268" t="s">
        <v>368</v>
      </c>
      <c r="C912" s="30" t="s">
        <v>63</v>
      </c>
      <c r="D912" s="268" t="s">
        <v>358</v>
      </c>
      <c r="E912" s="267"/>
      <c r="F912" s="268">
        <v>5.5</v>
      </c>
      <c r="G912" s="268">
        <v>5.5</v>
      </c>
      <c r="H912" s="268">
        <v>5.5</v>
      </c>
      <c r="I912" s="268">
        <v>5.5</v>
      </c>
      <c r="J912" s="268">
        <v>5.5</v>
      </c>
      <c r="K912" s="268">
        <v>5.5</v>
      </c>
      <c r="L912" s="268">
        <v>5.5</v>
      </c>
      <c r="M912" s="268">
        <v>5.5</v>
      </c>
      <c r="N912" s="268">
        <v>5.5</v>
      </c>
      <c r="O912" s="268">
        <v>5.5</v>
      </c>
      <c r="P912" s="268">
        <v>5.5</v>
      </c>
      <c r="Q912" s="268">
        <v>5.5</v>
      </c>
      <c r="R912" s="268">
        <v>5.5</v>
      </c>
      <c r="S912" s="268">
        <v>5.5</v>
      </c>
      <c r="T912" s="268">
        <v>5.5</v>
      </c>
      <c r="U912" s="268">
        <v>5.5</v>
      </c>
      <c r="V912" s="268">
        <v>5.5</v>
      </c>
      <c r="W912" s="268">
        <v>5.5</v>
      </c>
      <c r="X912" s="268">
        <v>5.5</v>
      </c>
      <c r="Y912" s="268">
        <v>5.5</v>
      </c>
      <c r="Z912" s="268">
        <v>5.5</v>
      </c>
      <c r="AA912" s="268">
        <v>5.5</v>
      </c>
      <c r="AB912" s="268">
        <v>5.5</v>
      </c>
      <c r="AC912" s="268">
        <v>5.5</v>
      </c>
      <c r="AD912" s="268">
        <v>5.5</v>
      </c>
      <c r="AE912" s="268">
        <v>5.5</v>
      </c>
      <c r="AF912" s="268">
        <v>5.5</v>
      </c>
      <c r="AG912" s="268">
        <v>5.5</v>
      </c>
      <c r="AH912" s="268">
        <v>5.5</v>
      </c>
      <c r="AI912" s="268">
        <v>5.5</v>
      </c>
      <c r="AJ912" s="268">
        <v>5.5</v>
      </c>
      <c r="AK912" s="268">
        <v>5.5</v>
      </c>
      <c r="AL912" s="268">
        <v>5.5</v>
      </c>
      <c r="AM912" s="378">
        <f t="shared" si="209"/>
        <v>5.5</v>
      </c>
    </row>
    <row r="913" spans="1:39" x14ac:dyDescent="0.2">
      <c r="A913" s="1"/>
      <c r="B913" s="268" t="s">
        <v>369</v>
      </c>
      <c r="C913" s="30" t="s">
        <v>63</v>
      </c>
      <c r="D913" s="268" t="s">
        <v>356</v>
      </c>
      <c r="E913" s="267"/>
      <c r="F913" s="268">
        <v>0.3</v>
      </c>
      <c r="G913" s="268">
        <v>0.3</v>
      </c>
      <c r="H913" s="268">
        <v>0.3</v>
      </c>
      <c r="I913" s="268">
        <v>0.3</v>
      </c>
      <c r="J913" s="268">
        <v>0.3</v>
      </c>
      <c r="K913" s="268">
        <v>0.3</v>
      </c>
      <c r="L913" s="268">
        <v>0.3</v>
      </c>
      <c r="M913" s="268">
        <v>0.3</v>
      </c>
      <c r="N913" s="268">
        <v>0.3</v>
      </c>
      <c r="O913" s="268">
        <v>0.3</v>
      </c>
      <c r="P913" s="268">
        <v>0.3</v>
      </c>
      <c r="Q913" s="268">
        <v>0.3</v>
      </c>
      <c r="R913" s="268">
        <v>0.3</v>
      </c>
      <c r="S913" s="268">
        <v>0.3</v>
      </c>
      <c r="T913" s="268">
        <v>0.3</v>
      </c>
      <c r="U913" s="268">
        <v>0.3</v>
      </c>
      <c r="V913" s="268">
        <v>0.3</v>
      </c>
      <c r="W913" s="268">
        <v>0.3</v>
      </c>
      <c r="X913" s="268">
        <v>0.3</v>
      </c>
      <c r="Y913" s="268">
        <v>0.3</v>
      </c>
      <c r="Z913" s="268">
        <v>0.3</v>
      </c>
      <c r="AA913" s="268">
        <v>0.3</v>
      </c>
      <c r="AB913" s="268">
        <v>0.3</v>
      </c>
      <c r="AC913" s="268">
        <v>0.3</v>
      </c>
      <c r="AD913" s="268">
        <v>0.3</v>
      </c>
      <c r="AE913" s="268">
        <v>0.3</v>
      </c>
      <c r="AF913" s="268">
        <v>0.3</v>
      </c>
      <c r="AG913" s="268">
        <v>0.3</v>
      </c>
      <c r="AH913" s="268">
        <v>0.3</v>
      </c>
      <c r="AI913" s="268">
        <v>0.3</v>
      </c>
      <c r="AJ913" s="268">
        <v>0.3</v>
      </c>
      <c r="AK913" s="268">
        <v>0.3</v>
      </c>
      <c r="AL913" s="268">
        <v>0.3</v>
      </c>
      <c r="AM913" s="378">
        <f t="shared" si="209"/>
        <v>0.30000000000000004</v>
      </c>
    </row>
    <row r="914" spans="1:39" ht="15" x14ac:dyDescent="0.25">
      <c r="A914" s="69" t="s">
        <v>360</v>
      </c>
      <c r="B914" s="268" t="s">
        <v>370</v>
      </c>
      <c r="C914" s="30" t="s">
        <v>63</v>
      </c>
      <c r="D914" s="268" t="s">
        <v>356</v>
      </c>
      <c r="E914" s="267"/>
      <c r="F914" s="268">
        <v>5.28</v>
      </c>
      <c r="G914" s="268">
        <v>5.28</v>
      </c>
      <c r="H914" s="268">
        <v>5.28</v>
      </c>
      <c r="I914" s="268">
        <v>5.28</v>
      </c>
      <c r="J914" s="268">
        <v>5.28</v>
      </c>
      <c r="K914" s="268">
        <v>5.28</v>
      </c>
      <c r="L914" s="268">
        <v>5.28</v>
      </c>
      <c r="M914" s="268">
        <v>5.28</v>
      </c>
      <c r="N914" s="268">
        <v>5.28</v>
      </c>
      <c r="O914" s="268">
        <v>5.28</v>
      </c>
      <c r="P914" s="268">
        <v>5.28</v>
      </c>
      <c r="Q914" s="268">
        <v>5.28</v>
      </c>
      <c r="R914" s="268">
        <v>5.28</v>
      </c>
      <c r="S914" s="268">
        <v>5.28</v>
      </c>
      <c r="T914" s="268">
        <v>5.28</v>
      </c>
      <c r="U914" s="268">
        <v>5.28</v>
      </c>
      <c r="V914" s="268">
        <v>5.28</v>
      </c>
      <c r="W914" s="268">
        <v>5.28</v>
      </c>
      <c r="X914" s="268">
        <v>5.28</v>
      </c>
      <c r="Y914" s="268">
        <v>5.28</v>
      </c>
      <c r="Z914" s="268">
        <v>5.28</v>
      </c>
      <c r="AA914" s="268">
        <v>5.28</v>
      </c>
      <c r="AB914" s="268">
        <v>5.28</v>
      </c>
      <c r="AC914" s="268">
        <v>5.28</v>
      </c>
      <c r="AD914" s="268">
        <v>5.28</v>
      </c>
      <c r="AE914" s="268">
        <v>5.28</v>
      </c>
      <c r="AF914" s="268">
        <v>5.28</v>
      </c>
      <c r="AG914" s="268">
        <v>5.28</v>
      </c>
      <c r="AH914" s="268">
        <v>5.28</v>
      </c>
      <c r="AI914" s="268">
        <v>5.28</v>
      </c>
      <c r="AJ914" s="268">
        <v>5.28</v>
      </c>
      <c r="AK914" s="268">
        <v>5.28</v>
      </c>
      <c r="AL914" s="268">
        <v>5.28</v>
      </c>
      <c r="AM914" s="378">
        <f t="shared" si="209"/>
        <v>5.28</v>
      </c>
    </row>
    <row r="915" spans="1:39" x14ac:dyDescent="0.2">
      <c r="A915" s="1"/>
      <c r="B915" s="268" t="s">
        <v>371</v>
      </c>
      <c r="C915" s="30" t="s">
        <v>63</v>
      </c>
      <c r="D915" s="268" t="s">
        <v>356</v>
      </c>
      <c r="E915" s="267"/>
      <c r="F915" s="270">
        <v>2.4459999999999997</v>
      </c>
      <c r="G915" s="270">
        <v>2.4459999999999997</v>
      </c>
      <c r="H915" s="270">
        <v>2.4459999999999997</v>
      </c>
      <c r="I915" s="270">
        <v>2.4459999999999997</v>
      </c>
      <c r="J915" s="270">
        <v>2.4459999999999997</v>
      </c>
      <c r="K915" s="270">
        <v>2.4459999999999997</v>
      </c>
      <c r="L915" s="270">
        <v>2.4459999999999997</v>
      </c>
      <c r="M915" s="270">
        <v>2.4459999999999997</v>
      </c>
      <c r="N915" s="270">
        <v>2.4459999999999997</v>
      </c>
      <c r="O915" s="270">
        <v>2.4459999999999997</v>
      </c>
      <c r="P915" s="270">
        <v>2.4459999999999997</v>
      </c>
      <c r="Q915" s="270">
        <v>2.4459999999999997</v>
      </c>
      <c r="R915" s="270">
        <v>2.4459999999999997</v>
      </c>
      <c r="S915" s="270">
        <v>2.4459999999999997</v>
      </c>
      <c r="T915" s="270">
        <v>2.4459999999999997</v>
      </c>
      <c r="U915" s="270">
        <v>2.4459999999999997</v>
      </c>
      <c r="V915" s="270">
        <v>2.4459999999999997</v>
      </c>
      <c r="W915" s="270">
        <v>2.4459999999999997</v>
      </c>
      <c r="X915" s="270">
        <v>2.4459999999999997</v>
      </c>
      <c r="Y915" s="270">
        <v>2.4459999999999997</v>
      </c>
      <c r="Z915" s="270">
        <v>2.4459999999999997</v>
      </c>
      <c r="AA915" s="270">
        <v>2.4459999999999997</v>
      </c>
      <c r="AB915" s="270">
        <v>2.4459999999999997</v>
      </c>
      <c r="AC915" s="270">
        <v>2.4459999999999997</v>
      </c>
      <c r="AD915" s="270">
        <v>2.4459999999999997</v>
      </c>
      <c r="AE915" s="270">
        <v>2.4459999999999997</v>
      </c>
      <c r="AF915" s="270">
        <v>2.4459999999999997</v>
      </c>
      <c r="AG915" s="270">
        <v>2.4459999999999997</v>
      </c>
      <c r="AH915" s="270">
        <v>2.4459999999999997</v>
      </c>
      <c r="AI915" s="270">
        <v>2.4459999999999997</v>
      </c>
      <c r="AJ915" s="270">
        <v>2.4459999999999997</v>
      </c>
      <c r="AK915" s="270">
        <v>2.4459999999999997</v>
      </c>
      <c r="AL915" s="270">
        <v>2.4459999999999997</v>
      </c>
      <c r="AM915" s="378">
        <f t="shared" si="209"/>
        <v>2.4459999999999984</v>
      </c>
    </row>
    <row r="916" spans="1:39" x14ac:dyDescent="0.2">
      <c r="A916" s="1"/>
      <c r="B916" s="268" t="s">
        <v>372</v>
      </c>
      <c r="C916" s="30" t="s">
        <v>63</v>
      </c>
      <c r="D916" s="268" t="s">
        <v>356</v>
      </c>
      <c r="E916" s="267"/>
      <c r="F916" s="268">
        <v>0.5</v>
      </c>
      <c r="G916" s="268">
        <v>0.5</v>
      </c>
      <c r="H916" s="268">
        <v>0.5</v>
      </c>
      <c r="I916" s="268">
        <v>0.5</v>
      </c>
      <c r="J916" s="268">
        <v>0.5</v>
      </c>
      <c r="K916" s="268">
        <v>0.5</v>
      </c>
      <c r="L916" s="268">
        <v>0.5</v>
      </c>
      <c r="M916" s="268">
        <v>0.5</v>
      </c>
      <c r="N916" s="268">
        <v>0.5</v>
      </c>
      <c r="O916" s="268">
        <v>0.5</v>
      </c>
      <c r="P916" s="268">
        <v>0.5</v>
      </c>
      <c r="Q916" s="268">
        <v>0.5</v>
      </c>
      <c r="R916" s="268">
        <v>0.5</v>
      </c>
      <c r="S916" s="268">
        <v>0.5</v>
      </c>
      <c r="T916" s="268">
        <v>0.5</v>
      </c>
      <c r="U916" s="268">
        <v>0.5</v>
      </c>
      <c r="V916" s="268">
        <v>0.5</v>
      </c>
      <c r="W916" s="268">
        <v>0.5</v>
      </c>
      <c r="X916" s="268">
        <v>0.5</v>
      </c>
      <c r="Y916" s="268">
        <v>0.5</v>
      </c>
      <c r="Z916" s="268">
        <v>0.5</v>
      </c>
      <c r="AA916" s="268">
        <v>0.5</v>
      </c>
      <c r="AB916" s="268">
        <v>0.5</v>
      </c>
      <c r="AC916" s="268">
        <v>0.5</v>
      </c>
      <c r="AD916" s="268">
        <v>0.5</v>
      </c>
      <c r="AE916" s="268">
        <v>0.5</v>
      </c>
      <c r="AF916" s="268">
        <v>0.5</v>
      </c>
      <c r="AG916" s="268">
        <v>0.5</v>
      </c>
      <c r="AH916" s="268">
        <v>0.5</v>
      </c>
      <c r="AI916" s="268">
        <v>0.5</v>
      </c>
      <c r="AJ916" s="268">
        <v>0.5</v>
      </c>
      <c r="AK916" s="268">
        <v>0.5</v>
      </c>
      <c r="AL916" s="268">
        <v>0.5</v>
      </c>
      <c r="AM916" s="378">
        <f t="shared" si="209"/>
        <v>0.5</v>
      </c>
    </row>
    <row r="917" spans="1:39" x14ac:dyDescent="0.2">
      <c r="A917" s="1"/>
      <c r="B917" s="268" t="s">
        <v>373</v>
      </c>
      <c r="C917" s="30" t="s">
        <v>63</v>
      </c>
      <c r="D917" s="268" t="s">
        <v>356</v>
      </c>
      <c r="E917" s="267"/>
      <c r="F917" s="268">
        <v>6</v>
      </c>
      <c r="G917" s="268">
        <v>6</v>
      </c>
      <c r="H917" s="268">
        <v>6</v>
      </c>
      <c r="I917" s="268">
        <v>6</v>
      </c>
      <c r="J917" s="268">
        <v>6</v>
      </c>
      <c r="K917" s="268">
        <v>6</v>
      </c>
      <c r="L917" s="268">
        <v>6</v>
      </c>
      <c r="M917" s="268">
        <v>6</v>
      </c>
      <c r="N917" s="268">
        <v>6</v>
      </c>
      <c r="O917" s="268">
        <v>6</v>
      </c>
      <c r="P917" s="268">
        <v>6</v>
      </c>
      <c r="Q917" s="268">
        <v>6</v>
      </c>
      <c r="R917" s="268">
        <v>6</v>
      </c>
      <c r="S917" s="268">
        <v>6</v>
      </c>
      <c r="T917" s="268">
        <v>6</v>
      </c>
      <c r="U917" s="268">
        <v>6</v>
      </c>
      <c r="V917" s="268">
        <v>6</v>
      </c>
      <c r="W917" s="268">
        <v>6</v>
      </c>
      <c r="X917" s="268">
        <v>6</v>
      </c>
      <c r="Y917" s="268">
        <v>6</v>
      </c>
      <c r="Z917" s="268">
        <v>6</v>
      </c>
      <c r="AA917" s="268">
        <v>6</v>
      </c>
      <c r="AB917" s="268">
        <v>6</v>
      </c>
      <c r="AC917" s="268">
        <v>6</v>
      </c>
      <c r="AD917" s="268">
        <v>6</v>
      </c>
      <c r="AE917" s="268">
        <v>6</v>
      </c>
      <c r="AF917" s="268">
        <v>6</v>
      </c>
      <c r="AG917" s="268">
        <v>6</v>
      </c>
      <c r="AH917" s="268">
        <v>6</v>
      </c>
      <c r="AI917" s="268">
        <v>6</v>
      </c>
      <c r="AJ917" s="268">
        <v>6</v>
      </c>
      <c r="AK917" s="268">
        <v>6</v>
      </c>
      <c r="AL917" s="268">
        <v>6</v>
      </c>
      <c r="AM917" s="378">
        <f t="shared" si="209"/>
        <v>6</v>
      </c>
    </row>
    <row r="918" spans="1:39" x14ac:dyDescent="0.2">
      <c r="A918" s="1"/>
      <c r="B918" s="268" t="s">
        <v>374</v>
      </c>
      <c r="C918" s="30" t="s">
        <v>63</v>
      </c>
      <c r="D918" s="268" t="s">
        <v>356</v>
      </c>
      <c r="E918" s="267"/>
      <c r="F918" s="268">
        <v>2.9</v>
      </c>
      <c r="G918" s="268">
        <v>2.9</v>
      </c>
      <c r="H918" s="268">
        <v>2.9</v>
      </c>
      <c r="I918" s="268">
        <v>2.9</v>
      </c>
      <c r="J918" s="268">
        <v>2.9</v>
      </c>
      <c r="K918" s="268">
        <v>2.9</v>
      </c>
      <c r="L918" s="268">
        <v>2.9</v>
      </c>
      <c r="M918" s="268">
        <v>2.9</v>
      </c>
      <c r="N918" s="268">
        <v>2.9</v>
      </c>
      <c r="O918" s="268">
        <v>2.9</v>
      </c>
      <c r="P918" s="268">
        <v>2.9</v>
      </c>
      <c r="Q918" s="268">
        <v>2.9</v>
      </c>
      <c r="R918" s="268">
        <v>2.9</v>
      </c>
      <c r="S918" s="268">
        <v>2.9</v>
      </c>
      <c r="T918" s="268">
        <v>2.9</v>
      </c>
      <c r="U918" s="268">
        <v>2.9</v>
      </c>
      <c r="V918" s="268">
        <v>2.9</v>
      </c>
      <c r="W918" s="268">
        <v>2.9</v>
      </c>
      <c r="X918" s="268">
        <v>2.9</v>
      </c>
      <c r="Y918" s="268">
        <v>2.9</v>
      </c>
      <c r="Z918" s="268">
        <v>2.9</v>
      </c>
      <c r="AA918" s="268">
        <v>2.9</v>
      </c>
      <c r="AB918" s="268">
        <v>2.9</v>
      </c>
      <c r="AC918" s="268">
        <v>2.9</v>
      </c>
      <c r="AD918" s="268">
        <v>2.9</v>
      </c>
      <c r="AE918" s="268">
        <v>2.9</v>
      </c>
      <c r="AF918" s="268">
        <v>2.9</v>
      </c>
      <c r="AG918" s="268">
        <v>2.9</v>
      </c>
      <c r="AH918" s="268">
        <v>2.9</v>
      </c>
      <c r="AI918" s="268">
        <v>2.9</v>
      </c>
      <c r="AJ918" s="268">
        <v>2.9</v>
      </c>
      <c r="AK918" s="268">
        <v>2.9</v>
      </c>
      <c r="AL918" s="268">
        <v>2.9</v>
      </c>
      <c r="AM918" s="378">
        <f t="shared" si="209"/>
        <v>2.9000000000000008</v>
      </c>
    </row>
    <row r="919" spans="1:39" x14ac:dyDescent="0.2">
      <c r="A919" s="1"/>
      <c r="B919" s="268" t="s">
        <v>375</v>
      </c>
      <c r="C919" s="30" t="s">
        <v>63</v>
      </c>
      <c r="D919" s="268" t="s">
        <v>356</v>
      </c>
      <c r="E919" s="267"/>
      <c r="F919" s="268">
        <v>0.3</v>
      </c>
      <c r="G919" s="268">
        <v>0.3</v>
      </c>
      <c r="H919" s="268">
        <v>0.3</v>
      </c>
      <c r="I919" s="268">
        <v>0.3</v>
      </c>
      <c r="J919" s="268">
        <v>0.3</v>
      </c>
      <c r="K919" s="268">
        <v>0.3</v>
      </c>
      <c r="L919" s="268">
        <v>0.3</v>
      </c>
      <c r="M919" s="268">
        <v>0.3</v>
      </c>
      <c r="N919" s="268">
        <v>0.3</v>
      </c>
      <c r="O919" s="268">
        <v>0.3</v>
      </c>
      <c r="P919" s="268">
        <v>0.3</v>
      </c>
      <c r="Q919" s="268">
        <v>0.3</v>
      </c>
      <c r="R919" s="268">
        <v>0.3</v>
      </c>
      <c r="S919" s="268">
        <v>0.3</v>
      </c>
      <c r="T919" s="268">
        <v>0.3</v>
      </c>
      <c r="U919" s="268">
        <v>0.3</v>
      </c>
      <c r="V919" s="268">
        <v>0.3</v>
      </c>
      <c r="W919" s="268">
        <v>0.3</v>
      </c>
      <c r="X919" s="268">
        <v>0.3</v>
      </c>
      <c r="Y919" s="268">
        <v>0.3</v>
      </c>
      <c r="Z919" s="268">
        <v>0.3</v>
      </c>
      <c r="AA919" s="268">
        <v>0.3</v>
      </c>
      <c r="AB919" s="268">
        <v>0.3</v>
      </c>
      <c r="AC919" s="268">
        <v>0.3</v>
      </c>
      <c r="AD919" s="268">
        <v>0.3</v>
      </c>
      <c r="AE919" s="268">
        <v>0.3</v>
      </c>
      <c r="AF919" s="268">
        <v>0.3</v>
      </c>
      <c r="AG919" s="268">
        <v>0.3</v>
      </c>
      <c r="AH919" s="268">
        <v>0.3</v>
      </c>
      <c r="AI919" s="268">
        <v>0.3</v>
      </c>
      <c r="AJ919" s="268">
        <v>0.3</v>
      </c>
      <c r="AK919" s="268">
        <v>0.3</v>
      </c>
      <c r="AL919" s="268">
        <v>0.3</v>
      </c>
      <c r="AM919" s="378">
        <f t="shared" si="209"/>
        <v>0.30000000000000004</v>
      </c>
    </row>
    <row r="920" spans="1:39" x14ac:dyDescent="0.2">
      <c r="A920" s="1"/>
      <c r="B920" s="268"/>
      <c r="C920" s="30"/>
      <c r="D920" s="268"/>
      <c r="E920" s="270"/>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68"/>
      <c r="AE920" s="268"/>
      <c r="AF920" s="268"/>
      <c r="AG920" s="268"/>
      <c r="AH920" s="268"/>
      <c r="AI920" s="268"/>
      <c r="AJ920" s="268"/>
      <c r="AK920" s="268"/>
      <c r="AL920" s="268"/>
      <c r="AM920" s="378"/>
    </row>
    <row r="921" spans="1:39" ht="15" x14ac:dyDescent="0.25">
      <c r="A921" s="69" t="s">
        <v>354</v>
      </c>
      <c r="B921" s="268" t="s">
        <v>376</v>
      </c>
      <c r="C921" s="30" t="s">
        <v>63</v>
      </c>
      <c r="D921" s="268" t="s">
        <v>356</v>
      </c>
      <c r="E921" s="267"/>
      <c r="F921" s="268">
        <v>3.5</v>
      </c>
      <c r="G921" s="268">
        <v>3.5</v>
      </c>
      <c r="H921" s="268">
        <v>3.5</v>
      </c>
      <c r="I921" s="268">
        <v>3.5</v>
      </c>
      <c r="J921" s="268">
        <v>3.5</v>
      </c>
      <c r="K921" s="268">
        <v>3.5</v>
      </c>
      <c r="L921" s="268">
        <v>3.5</v>
      </c>
      <c r="M921" s="268">
        <v>3.5</v>
      </c>
      <c r="N921" s="268">
        <v>3.5</v>
      </c>
      <c r="O921" s="268">
        <v>3.5</v>
      </c>
      <c r="P921" s="268">
        <v>3.5</v>
      </c>
      <c r="Q921" s="268">
        <v>3.5</v>
      </c>
      <c r="R921" s="268">
        <v>3.5</v>
      </c>
      <c r="S921" s="268">
        <v>3.5</v>
      </c>
      <c r="T921" s="268">
        <v>3.5</v>
      </c>
      <c r="U921" s="268">
        <v>3.5</v>
      </c>
      <c r="V921" s="268">
        <v>3.5</v>
      </c>
      <c r="W921" s="268">
        <v>3.5</v>
      </c>
      <c r="X921" s="268">
        <v>3.5</v>
      </c>
      <c r="Y921" s="268">
        <v>3.5</v>
      </c>
      <c r="Z921" s="268">
        <v>3.5</v>
      </c>
      <c r="AA921" s="268">
        <v>3.5</v>
      </c>
      <c r="AB921" s="268">
        <v>3.5</v>
      </c>
      <c r="AC921" s="268">
        <v>3.5</v>
      </c>
      <c r="AD921" s="268">
        <v>3.5</v>
      </c>
      <c r="AE921" s="268">
        <v>3.5</v>
      </c>
      <c r="AF921" s="268">
        <v>3.5</v>
      </c>
      <c r="AG921" s="268">
        <v>3.5</v>
      </c>
      <c r="AH921" s="268">
        <v>3.5</v>
      </c>
      <c r="AI921" s="268">
        <v>3.5</v>
      </c>
      <c r="AJ921" s="268">
        <v>3.5</v>
      </c>
      <c r="AK921" s="268">
        <v>3.5</v>
      </c>
      <c r="AL921" s="268">
        <v>3.5</v>
      </c>
      <c r="AM921" s="378">
        <f t="shared" si="209"/>
        <v>3.5</v>
      </c>
    </row>
    <row r="922" spans="1:39" x14ac:dyDescent="0.2">
      <c r="A922" s="1"/>
      <c r="B922" s="268" t="s">
        <v>377</v>
      </c>
      <c r="C922" s="30" t="s">
        <v>63</v>
      </c>
      <c r="D922" s="268" t="s">
        <v>358</v>
      </c>
      <c r="E922" s="267"/>
      <c r="F922" s="268">
        <v>5.5</v>
      </c>
      <c r="G922" s="268">
        <v>5.5</v>
      </c>
      <c r="H922" s="268">
        <v>5.5</v>
      </c>
      <c r="I922" s="268">
        <v>5.5</v>
      </c>
      <c r="J922" s="268">
        <v>5.5</v>
      </c>
      <c r="K922" s="268">
        <v>5.5</v>
      </c>
      <c r="L922" s="268">
        <v>5.5</v>
      </c>
      <c r="M922" s="268">
        <v>5.5</v>
      </c>
      <c r="N922" s="268">
        <v>5.5</v>
      </c>
      <c r="O922" s="268">
        <v>5.5</v>
      </c>
      <c r="P922" s="268">
        <v>5.5</v>
      </c>
      <c r="Q922" s="268">
        <v>5.5</v>
      </c>
      <c r="R922" s="268">
        <v>5.5</v>
      </c>
      <c r="S922" s="268">
        <v>5.5</v>
      </c>
      <c r="T922" s="268">
        <v>5.5</v>
      </c>
      <c r="U922" s="268">
        <v>5.5</v>
      </c>
      <c r="V922" s="268">
        <v>5.5</v>
      </c>
      <c r="W922" s="268">
        <v>5.5</v>
      </c>
      <c r="X922" s="268">
        <v>5.5</v>
      </c>
      <c r="Y922" s="268">
        <v>5.5</v>
      </c>
      <c r="Z922" s="268">
        <v>5.5</v>
      </c>
      <c r="AA922" s="268">
        <v>5.5</v>
      </c>
      <c r="AB922" s="268">
        <v>5.5</v>
      </c>
      <c r="AC922" s="268">
        <v>5.5</v>
      </c>
      <c r="AD922" s="268">
        <v>5.5</v>
      </c>
      <c r="AE922" s="268">
        <v>5.5</v>
      </c>
      <c r="AF922" s="268">
        <v>5.5</v>
      </c>
      <c r="AG922" s="268">
        <v>5.5</v>
      </c>
      <c r="AH922" s="268">
        <v>5.5</v>
      </c>
      <c r="AI922" s="268">
        <v>5.5</v>
      </c>
      <c r="AJ922" s="268">
        <v>5.5</v>
      </c>
      <c r="AK922" s="268">
        <v>5.5</v>
      </c>
      <c r="AL922" s="268">
        <v>5.5</v>
      </c>
      <c r="AM922" s="378">
        <f t="shared" si="209"/>
        <v>5.5</v>
      </c>
    </row>
    <row r="923" spans="1:39" x14ac:dyDescent="0.2">
      <c r="A923" s="1"/>
      <c r="B923" s="268" t="s">
        <v>378</v>
      </c>
      <c r="C923" s="30" t="s">
        <v>63</v>
      </c>
      <c r="D923" s="268" t="s">
        <v>356</v>
      </c>
      <c r="E923" s="267"/>
      <c r="F923" s="19">
        <v>0.75</v>
      </c>
      <c r="G923" s="19">
        <v>0.75</v>
      </c>
      <c r="H923" s="19">
        <v>0.75</v>
      </c>
      <c r="I923" s="19">
        <v>0.75</v>
      </c>
      <c r="J923" s="19">
        <v>0.75</v>
      </c>
      <c r="K923" s="19">
        <v>0.75</v>
      </c>
      <c r="L923" s="19">
        <v>0.75</v>
      </c>
      <c r="M923" s="19">
        <v>0.75</v>
      </c>
      <c r="N923" s="19">
        <v>0.75</v>
      </c>
      <c r="O923" s="19">
        <v>0.75</v>
      </c>
      <c r="P923" s="19">
        <v>0.75</v>
      </c>
      <c r="Q923" s="19">
        <v>0.75</v>
      </c>
      <c r="R923" s="19">
        <v>0.75</v>
      </c>
      <c r="S923" s="19">
        <v>0.75</v>
      </c>
      <c r="T923" s="19">
        <v>0.75</v>
      </c>
      <c r="U923" s="19">
        <v>0.75</v>
      </c>
      <c r="V923" s="19">
        <v>0.75</v>
      </c>
      <c r="W923" s="19">
        <v>0.75</v>
      </c>
      <c r="X923" s="19">
        <v>0.75</v>
      </c>
      <c r="Y923" s="19">
        <v>0.75</v>
      </c>
      <c r="Z923" s="19">
        <v>0.75</v>
      </c>
      <c r="AA923" s="19">
        <v>0.75</v>
      </c>
      <c r="AB923" s="19">
        <v>0.75</v>
      </c>
      <c r="AC923" s="19">
        <v>0.75</v>
      </c>
      <c r="AD923" s="19">
        <v>0.75</v>
      </c>
      <c r="AE923" s="19">
        <v>0.75</v>
      </c>
      <c r="AF923" s="19">
        <v>0.75</v>
      </c>
      <c r="AG923" s="19">
        <v>0.75</v>
      </c>
      <c r="AH923" s="19">
        <v>0.75</v>
      </c>
      <c r="AI923" s="19">
        <v>0.75</v>
      </c>
      <c r="AJ923" s="19">
        <v>0.75</v>
      </c>
      <c r="AK923" s="19">
        <v>0.75</v>
      </c>
      <c r="AL923" s="19">
        <v>0.75</v>
      </c>
      <c r="AM923" s="378">
        <f t="shared" si="209"/>
        <v>0.75</v>
      </c>
    </row>
    <row r="924" spans="1:39" ht="15" x14ac:dyDescent="0.25">
      <c r="A924" s="69" t="s">
        <v>360</v>
      </c>
      <c r="B924" s="268" t="s">
        <v>379</v>
      </c>
      <c r="C924" s="30" t="s">
        <v>63</v>
      </c>
      <c r="D924" s="268" t="s">
        <v>356</v>
      </c>
      <c r="E924" s="267"/>
      <c r="F924" s="268">
        <v>5.28</v>
      </c>
      <c r="G924" s="268">
        <v>5.28</v>
      </c>
      <c r="H924" s="268">
        <v>5.28</v>
      </c>
      <c r="I924" s="268">
        <v>5.28</v>
      </c>
      <c r="J924" s="268">
        <v>5.28</v>
      </c>
      <c r="K924" s="268">
        <v>5.28</v>
      </c>
      <c r="L924" s="268">
        <v>5.28</v>
      </c>
      <c r="M924" s="268">
        <v>5.28</v>
      </c>
      <c r="N924" s="268">
        <v>5.28</v>
      </c>
      <c r="O924" s="268">
        <v>5.28</v>
      </c>
      <c r="P924" s="268">
        <v>5.28</v>
      </c>
      <c r="Q924" s="268">
        <v>5.28</v>
      </c>
      <c r="R924" s="268">
        <v>5.28</v>
      </c>
      <c r="S924" s="268">
        <v>5.28</v>
      </c>
      <c r="T924" s="268">
        <v>5.28</v>
      </c>
      <c r="U924" s="268">
        <v>5.28</v>
      </c>
      <c r="V924" s="268">
        <v>5.28</v>
      </c>
      <c r="W924" s="268">
        <v>5.28</v>
      </c>
      <c r="X924" s="268">
        <v>5.28</v>
      </c>
      <c r="Y924" s="268">
        <v>5.28</v>
      </c>
      <c r="Z924" s="268">
        <v>5.28</v>
      </c>
      <c r="AA924" s="268">
        <v>5.28</v>
      </c>
      <c r="AB924" s="268">
        <v>5.28</v>
      </c>
      <c r="AC924" s="268">
        <v>5.28</v>
      </c>
      <c r="AD924" s="268">
        <v>5.28</v>
      </c>
      <c r="AE924" s="268">
        <v>5.28</v>
      </c>
      <c r="AF924" s="268">
        <v>5.28</v>
      </c>
      <c r="AG924" s="268">
        <v>5.28</v>
      </c>
      <c r="AH924" s="268">
        <v>5.28</v>
      </c>
      <c r="AI924" s="268">
        <v>5.28</v>
      </c>
      <c r="AJ924" s="268">
        <v>5.28</v>
      </c>
      <c r="AK924" s="268">
        <v>5.28</v>
      </c>
      <c r="AL924" s="268">
        <v>5.28</v>
      </c>
      <c r="AM924" s="378">
        <f t="shared" si="209"/>
        <v>5.28</v>
      </c>
    </row>
    <row r="925" spans="1:39" x14ac:dyDescent="0.2">
      <c r="A925" s="1"/>
      <c r="B925" s="268" t="s">
        <v>380</v>
      </c>
      <c r="C925" s="30" t="s">
        <v>63</v>
      </c>
      <c r="D925" s="268" t="s">
        <v>356</v>
      </c>
      <c r="E925" s="267"/>
      <c r="F925" s="270">
        <v>2.4459999999999997</v>
      </c>
      <c r="G925" s="270">
        <v>2.4459999999999997</v>
      </c>
      <c r="H925" s="270">
        <v>2.4459999999999997</v>
      </c>
      <c r="I925" s="270">
        <v>2.4459999999999997</v>
      </c>
      <c r="J925" s="270">
        <v>2.4459999999999997</v>
      </c>
      <c r="K925" s="270">
        <v>2.4459999999999997</v>
      </c>
      <c r="L925" s="270">
        <v>2.4459999999999997</v>
      </c>
      <c r="M925" s="270">
        <v>2.4459999999999997</v>
      </c>
      <c r="N925" s="270">
        <v>2.4459999999999997</v>
      </c>
      <c r="O925" s="270">
        <v>2.4459999999999997</v>
      </c>
      <c r="P925" s="270">
        <v>2.4459999999999997</v>
      </c>
      <c r="Q925" s="270">
        <v>2.4459999999999997</v>
      </c>
      <c r="R925" s="270">
        <v>2.4459999999999997</v>
      </c>
      <c r="S925" s="270">
        <v>2.4459999999999997</v>
      </c>
      <c r="T925" s="270">
        <v>2.4459999999999997</v>
      </c>
      <c r="U925" s="270">
        <v>2.4459999999999997</v>
      </c>
      <c r="V925" s="270">
        <v>2.4459999999999997</v>
      </c>
      <c r="W925" s="270">
        <v>2.4459999999999997</v>
      </c>
      <c r="X925" s="270">
        <v>2.4459999999999997</v>
      </c>
      <c r="Y925" s="270">
        <v>2.4459999999999997</v>
      </c>
      <c r="Z925" s="270">
        <v>2.4459999999999997</v>
      </c>
      <c r="AA925" s="270">
        <v>2.4459999999999997</v>
      </c>
      <c r="AB925" s="270">
        <v>2.4459999999999997</v>
      </c>
      <c r="AC925" s="270">
        <v>2.4459999999999997</v>
      </c>
      <c r="AD925" s="270">
        <v>2.4459999999999997</v>
      </c>
      <c r="AE925" s="270">
        <v>2.4459999999999997</v>
      </c>
      <c r="AF925" s="270">
        <v>2.4459999999999997</v>
      </c>
      <c r="AG925" s="270">
        <v>2.4459999999999997</v>
      </c>
      <c r="AH925" s="270">
        <v>2.4459999999999997</v>
      </c>
      <c r="AI925" s="270">
        <v>2.4459999999999997</v>
      </c>
      <c r="AJ925" s="270">
        <v>2.4459999999999997</v>
      </c>
      <c r="AK925" s="270">
        <v>2.4459999999999997</v>
      </c>
      <c r="AL925" s="270">
        <v>2.4459999999999997</v>
      </c>
      <c r="AM925" s="378">
        <f t="shared" si="209"/>
        <v>2.4459999999999984</v>
      </c>
    </row>
    <row r="926" spans="1:39" x14ac:dyDescent="0.2">
      <c r="A926" s="1"/>
      <c r="B926" s="268" t="s">
        <v>381</v>
      </c>
      <c r="C926" s="30" t="s">
        <v>63</v>
      </c>
      <c r="D926" s="268" t="s">
        <v>356</v>
      </c>
      <c r="E926" s="267"/>
      <c r="F926" s="268">
        <v>0.5</v>
      </c>
      <c r="G926" s="268">
        <v>0.5</v>
      </c>
      <c r="H926" s="268">
        <v>0.5</v>
      </c>
      <c r="I926" s="268">
        <v>0.5</v>
      </c>
      <c r="J926" s="268">
        <v>0.5</v>
      </c>
      <c r="K926" s="268">
        <v>0.5</v>
      </c>
      <c r="L926" s="268">
        <v>0.5</v>
      </c>
      <c r="M926" s="268">
        <v>0.5</v>
      </c>
      <c r="N926" s="268">
        <v>0.5</v>
      </c>
      <c r="O926" s="268">
        <v>0.5</v>
      </c>
      <c r="P926" s="268">
        <v>0.5</v>
      </c>
      <c r="Q926" s="268">
        <v>0.5</v>
      </c>
      <c r="R926" s="268">
        <v>0.5</v>
      </c>
      <c r="S926" s="268">
        <v>0.5</v>
      </c>
      <c r="T926" s="268">
        <v>0.5</v>
      </c>
      <c r="U926" s="268">
        <v>0.5</v>
      </c>
      <c r="V926" s="268">
        <v>0.5</v>
      </c>
      <c r="W926" s="268">
        <v>0.5</v>
      </c>
      <c r="X926" s="268">
        <v>0.5</v>
      </c>
      <c r="Y926" s="268">
        <v>0.5</v>
      </c>
      <c r="Z926" s="268">
        <v>0.5</v>
      </c>
      <c r="AA926" s="268">
        <v>0.5</v>
      </c>
      <c r="AB926" s="268">
        <v>0.5</v>
      </c>
      <c r="AC926" s="268">
        <v>0.5</v>
      </c>
      <c r="AD926" s="268">
        <v>0.5</v>
      </c>
      <c r="AE926" s="268">
        <v>0.5</v>
      </c>
      <c r="AF926" s="268">
        <v>0.5</v>
      </c>
      <c r="AG926" s="268">
        <v>0.5</v>
      </c>
      <c r="AH926" s="268">
        <v>0.5</v>
      </c>
      <c r="AI926" s="268">
        <v>0.5</v>
      </c>
      <c r="AJ926" s="268">
        <v>0.5</v>
      </c>
      <c r="AK926" s="268">
        <v>0.5</v>
      </c>
      <c r="AL926" s="268">
        <v>0.5</v>
      </c>
      <c r="AM926" s="378">
        <f t="shared" si="209"/>
        <v>0.5</v>
      </c>
    </row>
    <row r="927" spans="1:39" x14ac:dyDescent="0.2">
      <c r="A927" s="1"/>
      <c r="B927" s="268" t="s">
        <v>382</v>
      </c>
      <c r="C927" s="30" t="s">
        <v>63</v>
      </c>
      <c r="D927" s="268" t="s">
        <v>356</v>
      </c>
      <c r="E927" s="267"/>
      <c r="F927" s="268">
        <v>6</v>
      </c>
      <c r="G927" s="268">
        <v>6</v>
      </c>
      <c r="H927" s="268">
        <v>6</v>
      </c>
      <c r="I927" s="268">
        <v>6</v>
      </c>
      <c r="J927" s="268">
        <v>6</v>
      </c>
      <c r="K927" s="268">
        <v>6</v>
      </c>
      <c r="L927" s="268">
        <v>6</v>
      </c>
      <c r="M927" s="268">
        <v>6</v>
      </c>
      <c r="N927" s="268">
        <v>6</v>
      </c>
      <c r="O927" s="268">
        <v>6</v>
      </c>
      <c r="P927" s="268">
        <v>6</v>
      </c>
      <c r="Q927" s="268">
        <v>6</v>
      </c>
      <c r="R927" s="268">
        <v>6</v>
      </c>
      <c r="S927" s="268">
        <v>6</v>
      </c>
      <c r="T927" s="268">
        <v>6</v>
      </c>
      <c r="U927" s="268">
        <v>6</v>
      </c>
      <c r="V927" s="268">
        <v>6</v>
      </c>
      <c r="W927" s="268">
        <v>6</v>
      </c>
      <c r="X927" s="268">
        <v>6</v>
      </c>
      <c r="Y927" s="268">
        <v>6</v>
      </c>
      <c r="Z927" s="268">
        <v>6</v>
      </c>
      <c r="AA927" s="268">
        <v>6</v>
      </c>
      <c r="AB927" s="268">
        <v>6</v>
      </c>
      <c r="AC927" s="268">
        <v>6</v>
      </c>
      <c r="AD927" s="268">
        <v>6</v>
      </c>
      <c r="AE927" s="268">
        <v>6</v>
      </c>
      <c r="AF927" s="268">
        <v>6</v>
      </c>
      <c r="AG927" s="268">
        <v>6</v>
      </c>
      <c r="AH927" s="268">
        <v>6</v>
      </c>
      <c r="AI927" s="268">
        <v>6</v>
      </c>
      <c r="AJ927" s="268">
        <v>6</v>
      </c>
      <c r="AK927" s="268">
        <v>6</v>
      </c>
      <c r="AL927" s="268">
        <v>6</v>
      </c>
      <c r="AM927" s="378">
        <f t="shared" si="209"/>
        <v>6</v>
      </c>
    </row>
    <row r="928" spans="1:39" x14ac:dyDescent="0.2">
      <c r="A928" s="1"/>
      <c r="B928" s="268" t="s">
        <v>383</v>
      </c>
      <c r="C928" s="30" t="s">
        <v>63</v>
      </c>
      <c r="D928" s="268" t="s">
        <v>356</v>
      </c>
      <c r="E928" s="267"/>
      <c r="F928" s="268">
        <v>2.9</v>
      </c>
      <c r="G928" s="268">
        <v>2.9</v>
      </c>
      <c r="H928" s="268">
        <v>2.9</v>
      </c>
      <c r="I928" s="268">
        <v>2.9</v>
      </c>
      <c r="J928" s="268">
        <v>2.9</v>
      </c>
      <c r="K928" s="268">
        <v>2.9</v>
      </c>
      <c r="L928" s="268">
        <v>2.9</v>
      </c>
      <c r="M928" s="268">
        <v>2.9</v>
      </c>
      <c r="N928" s="268">
        <v>2.9</v>
      </c>
      <c r="O928" s="268">
        <v>2.9</v>
      </c>
      <c r="P928" s="268">
        <v>2.9</v>
      </c>
      <c r="Q928" s="268">
        <v>2.9</v>
      </c>
      <c r="R928" s="268">
        <v>2.9</v>
      </c>
      <c r="S928" s="268">
        <v>2.9</v>
      </c>
      <c r="T928" s="268">
        <v>2.9</v>
      </c>
      <c r="U928" s="268">
        <v>2.9</v>
      </c>
      <c r="V928" s="268">
        <v>2.9</v>
      </c>
      <c r="W928" s="268">
        <v>2.9</v>
      </c>
      <c r="X928" s="268">
        <v>2.9</v>
      </c>
      <c r="Y928" s="268">
        <v>2.9</v>
      </c>
      <c r="Z928" s="268">
        <v>2.9</v>
      </c>
      <c r="AA928" s="268">
        <v>2.9</v>
      </c>
      <c r="AB928" s="268">
        <v>2.9</v>
      </c>
      <c r="AC928" s="268">
        <v>2.9</v>
      </c>
      <c r="AD928" s="268">
        <v>2.9</v>
      </c>
      <c r="AE928" s="268">
        <v>2.9</v>
      </c>
      <c r="AF928" s="268">
        <v>2.9</v>
      </c>
      <c r="AG928" s="268">
        <v>2.9</v>
      </c>
      <c r="AH928" s="268">
        <v>2.9</v>
      </c>
      <c r="AI928" s="268">
        <v>2.9</v>
      </c>
      <c r="AJ928" s="268">
        <v>2.9</v>
      </c>
      <c r="AK928" s="268">
        <v>2.9</v>
      </c>
      <c r="AL928" s="268">
        <v>2.9</v>
      </c>
      <c r="AM928" s="378">
        <f t="shared" si="209"/>
        <v>2.9000000000000008</v>
      </c>
    </row>
    <row r="929" spans="1:39" x14ac:dyDescent="0.2">
      <c r="A929" s="1"/>
      <c r="B929" s="268" t="s">
        <v>384</v>
      </c>
      <c r="C929" s="30" t="s">
        <v>63</v>
      </c>
      <c r="D929" s="268" t="s">
        <v>356</v>
      </c>
      <c r="E929" s="267"/>
      <c r="F929" s="268">
        <v>0.75</v>
      </c>
      <c r="G929" s="268">
        <v>0.75</v>
      </c>
      <c r="H929" s="268">
        <v>0.75</v>
      </c>
      <c r="I929" s="268">
        <v>0.75</v>
      </c>
      <c r="J929" s="268">
        <v>0.75</v>
      </c>
      <c r="K929" s="268">
        <v>0.75</v>
      </c>
      <c r="L929" s="268">
        <v>0.75</v>
      </c>
      <c r="M929" s="268">
        <v>0.75</v>
      </c>
      <c r="N929" s="268">
        <v>0.75</v>
      </c>
      <c r="O929" s="268">
        <v>0.75</v>
      </c>
      <c r="P929" s="268">
        <v>0.75</v>
      </c>
      <c r="Q929" s="268">
        <v>0.75</v>
      </c>
      <c r="R929" s="268">
        <v>0.75</v>
      </c>
      <c r="S929" s="268">
        <v>0.75</v>
      </c>
      <c r="T929" s="268">
        <v>0.75</v>
      </c>
      <c r="U929" s="268">
        <v>0.75</v>
      </c>
      <c r="V929" s="268">
        <v>0.75</v>
      </c>
      <c r="W929" s="268">
        <v>0.75</v>
      </c>
      <c r="X929" s="268">
        <v>0.75</v>
      </c>
      <c r="Y929" s="268">
        <v>0.75</v>
      </c>
      <c r="Z929" s="268">
        <v>0.75</v>
      </c>
      <c r="AA929" s="268">
        <v>0.75</v>
      </c>
      <c r="AB929" s="268">
        <v>0.75</v>
      </c>
      <c r="AC929" s="268">
        <v>0.75</v>
      </c>
      <c r="AD929" s="268">
        <v>0.75</v>
      </c>
      <c r="AE929" s="268">
        <v>0.75</v>
      </c>
      <c r="AF929" s="268">
        <v>0.75</v>
      </c>
      <c r="AG929" s="268">
        <v>0.75</v>
      </c>
      <c r="AH929" s="268">
        <v>0.75</v>
      </c>
      <c r="AI929" s="268">
        <v>0.75</v>
      </c>
      <c r="AJ929" s="268">
        <v>0.75</v>
      </c>
      <c r="AK929" s="268">
        <v>0.75</v>
      </c>
      <c r="AL929" s="268">
        <v>0.75</v>
      </c>
      <c r="AM929" s="378">
        <f t="shared" si="209"/>
        <v>0.75</v>
      </c>
    </row>
    <row r="930" spans="1:39" x14ac:dyDescent="0.2">
      <c r="A930" s="1"/>
      <c r="B930" s="268"/>
      <c r="C930" s="30"/>
      <c r="D930" s="268"/>
      <c r="E930" s="270"/>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68"/>
      <c r="AE930" s="268"/>
      <c r="AF930" s="268"/>
      <c r="AG930" s="268"/>
      <c r="AH930" s="268"/>
      <c r="AI930" s="268"/>
      <c r="AJ930" s="268"/>
      <c r="AK930" s="268"/>
      <c r="AL930" s="268"/>
      <c r="AM930" s="378"/>
    </row>
    <row r="931" spans="1:39" ht="15" x14ac:dyDescent="0.25">
      <c r="A931" s="69" t="s">
        <v>354</v>
      </c>
      <c r="B931" s="268" t="s">
        <v>385</v>
      </c>
      <c r="C931" s="30" t="s">
        <v>63</v>
      </c>
      <c r="D931" s="268" t="s">
        <v>356</v>
      </c>
      <c r="E931" s="267"/>
      <c r="F931" s="268">
        <v>3</v>
      </c>
      <c r="G931" s="268">
        <v>3</v>
      </c>
      <c r="H931" s="268">
        <v>3</v>
      </c>
      <c r="I931" s="268">
        <v>3</v>
      </c>
      <c r="J931" s="268">
        <v>3</v>
      </c>
      <c r="K931" s="268">
        <v>3</v>
      </c>
      <c r="L931" s="268">
        <v>3</v>
      </c>
      <c r="M931" s="268">
        <v>3</v>
      </c>
      <c r="N931" s="268">
        <v>3</v>
      </c>
      <c r="O931" s="268">
        <v>3</v>
      </c>
      <c r="P931" s="268">
        <v>3</v>
      </c>
      <c r="Q931" s="268">
        <v>3</v>
      </c>
      <c r="R931" s="268">
        <v>3</v>
      </c>
      <c r="S931" s="268">
        <v>3</v>
      </c>
      <c r="T931" s="268">
        <v>3</v>
      </c>
      <c r="U931" s="268">
        <v>3</v>
      </c>
      <c r="V931" s="268">
        <v>3</v>
      </c>
      <c r="W931" s="268">
        <v>3</v>
      </c>
      <c r="X931" s="268">
        <v>3</v>
      </c>
      <c r="Y931" s="268">
        <v>3</v>
      </c>
      <c r="Z931" s="268">
        <v>3</v>
      </c>
      <c r="AA931" s="268">
        <v>3</v>
      </c>
      <c r="AB931" s="268">
        <v>3</v>
      </c>
      <c r="AC931" s="268">
        <v>3</v>
      </c>
      <c r="AD931" s="268">
        <v>3</v>
      </c>
      <c r="AE931" s="268">
        <v>3</v>
      </c>
      <c r="AF931" s="268">
        <v>3</v>
      </c>
      <c r="AG931" s="268">
        <v>3</v>
      </c>
      <c r="AH931" s="268">
        <v>3</v>
      </c>
      <c r="AI931" s="268">
        <v>3</v>
      </c>
      <c r="AJ931" s="268">
        <v>3</v>
      </c>
      <c r="AK931" s="268">
        <v>3</v>
      </c>
      <c r="AL931" s="268">
        <v>3</v>
      </c>
      <c r="AM931" s="378">
        <f t="shared" si="209"/>
        <v>3</v>
      </c>
    </row>
    <row r="932" spans="1:39" x14ac:dyDescent="0.2">
      <c r="A932" s="1"/>
      <c r="B932" s="268" t="s">
        <v>386</v>
      </c>
      <c r="C932" s="30" t="s">
        <v>63</v>
      </c>
      <c r="D932" s="268" t="s">
        <v>358</v>
      </c>
      <c r="E932" s="267"/>
      <c r="F932" s="268">
        <v>5.5</v>
      </c>
      <c r="G932" s="268">
        <v>5.5</v>
      </c>
      <c r="H932" s="268">
        <v>5.5</v>
      </c>
      <c r="I932" s="268">
        <v>5.5</v>
      </c>
      <c r="J932" s="268">
        <v>5.5</v>
      </c>
      <c r="K932" s="268">
        <v>5.5</v>
      </c>
      <c r="L932" s="268">
        <v>5.5</v>
      </c>
      <c r="M932" s="268">
        <v>5.5</v>
      </c>
      <c r="N932" s="268">
        <v>5.5</v>
      </c>
      <c r="O932" s="268">
        <v>5.5</v>
      </c>
      <c r="P932" s="268">
        <v>5.5</v>
      </c>
      <c r="Q932" s="268">
        <v>5.5</v>
      </c>
      <c r="R932" s="268">
        <v>5.5</v>
      </c>
      <c r="S932" s="268">
        <v>5.5</v>
      </c>
      <c r="T932" s="268">
        <v>5.5</v>
      </c>
      <c r="U932" s="268">
        <v>5.5</v>
      </c>
      <c r="V932" s="268">
        <v>5.5</v>
      </c>
      <c r="W932" s="268">
        <v>5.5</v>
      </c>
      <c r="X932" s="268">
        <v>5.5</v>
      </c>
      <c r="Y932" s="268">
        <v>5.5</v>
      </c>
      <c r="Z932" s="268">
        <v>5.5</v>
      </c>
      <c r="AA932" s="268">
        <v>5.5</v>
      </c>
      <c r="AB932" s="268">
        <v>5.5</v>
      </c>
      <c r="AC932" s="268">
        <v>5.5</v>
      </c>
      <c r="AD932" s="268">
        <v>5.5</v>
      </c>
      <c r="AE932" s="268">
        <v>5.5</v>
      </c>
      <c r="AF932" s="268">
        <v>5.5</v>
      </c>
      <c r="AG932" s="268">
        <v>5.5</v>
      </c>
      <c r="AH932" s="268">
        <v>5.5</v>
      </c>
      <c r="AI932" s="268">
        <v>5.5</v>
      </c>
      <c r="AJ932" s="268">
        <v>5.5</v>
      </c>
      <c r="AK932" s="268">
        <v>5.5</v>
      </c>
      <c r="AL932" s="268">
        <v>5.5</v>
      </c>
      <c r="AM932" s="378">
        <f t="shared" si="209"/>
        <v>5.5</v>
      </c>
    </row>
    <row r="933" spans="1:39" x14ac:dyDescent="0.2">
      <c r="A933" s="1"/>
      <c r="B933" s="268" t="s">
        <v>387</v>
      </c>
      <c r="C933" s="30" t="s">
        <v>63</v>
      </c>
      <c r="D933" s="268" t="s">
        <v>356</v>
      </c>
      <c r="E933" s="267"/>
      <c r="F933" s="268">
        <v>0.32</v>
      </c>
      <c r="G933" s="268">
        <v>0.32</v>
      </c>
      <c r="H933" s="268">
        <v>0.32</v>
      </c>
      <c r="I933" s="268">
        <v>0.32</v>
      </c>
      <c r="J933" s="268">
        <v>0.32</v>
      </c>
      <c r="K933" s="268">
        <v>0.32</v>
      </c>
      <c r="L933" s="268">
        <v>0.32</v>
      </c>
      <c r="M933" s="268">
        <v>0.32</v>
      </c>
      <c r="N933" s="268">
        <v>0.32</v>
      </c>
      <c r="O933" s="268">
        <v>0.32</v>
      </c>
      <c r="P933" s="268">
        <v>0.32</v>
      </c>
      <c r="Q933" s="268">
        <v>0.32</v>
      </c>
      <c r="R933" s="268">
        <v>0.32</v>
      </c>
      <c r="S933" s="268">
        <v>0.32</v>
      </c>
      <c r="T933" s="268">
        <v>0.32</v>
      </c>
      <c r="U933" s="268">
        <v>0.32</v>
      </c>
      <c r="V933" s="268">
        <v>0.32</v>
      </c>
      <c r="W933" s="268">
        <v>0.32</v>
      </c>
      <c r="X933" s="268">
        <v>0.32</v>
      </c>
      <c r="Y933" s="268">
        <v>0.32</v>
      </c>
      <c r="Z933" s="268">
        <v>0.32</v>
      </c>
      <c r="AA933" s="268">
        <v>0.32</v>
      </c>
      <c r="AB933" s="268">
        <v>0.32</v>
      </c>
      <c r="AC933" s="268">
        <v>0.32</v>
      </c>
      <c r="AD933" s="268">
        <v>0.32</v>
      </c>
      <c r="AE933" s="268">
        <v>0.32</v>
      </c>
      <c r="AF933" s="268">
        <v>0.32</v>
      </c>
      <c r="AG933" s="268">
        <v>0.32</v>
      </c>
      <c r="AH933" s="268">
        <v>0.32</v>
      </c>
      <c r="AI933" s="268">
        <v>0.32</v>
      </c>
      <c r="AJ933" s="268">
        <v>0.32</v>
      </c>
      <c r="AK933" s="268">
        <v>0.32</v>
      </c>
      <c r="AL933" s="268">
        <v>0.32</v>
      </c>
      <c r="AM933" s="378">
        <f t="shared" si="209"/>
        <v>0.32000000000000012</v>
      </c>
    </row>
    <row r="934" spans="1:39" ht="15" x14ac:dyDescent="0.25">
      <c r="A934" s="69" t="s">
        <v>360</v>
      </c>
      <c r="B934" s="268" t="s">
        <v>388</v>
      </c>
      <c r="C934" s="30" t="s">
        <v>63</v>
      </c>
      <c r="D934" s="268" t="s">
        <v>356</v>
      </c>
      <c r="E934" s="267"/>
      <c r="F934" s="268">
        <v>5.28</v>
      </c>
      <c r="G934" s="268">
        <v>5.28</v>
      </c>
      <c r="H934" s="268">
        <v>5.28</v>
      </c>
      <c r="I934" s="268">
        <v>5.28</v>
      </c>
      <c r="J934" s="268">
        <v>5.28</v>
      </c>
      <c r="K934" s="268">
        <v>5.28</v>
      </c>
      <c r="L934" s="268">
        <v>5.28</v>
      </c>
      <c r="M934" s="268">
        <v>5.28</v>
      </c>
      <c r="N934" s="268">
        <v>5.28</v>
      </c>
      <c r="O934" s="268">
        <v>5.28</v>
      </c>
      <c r="P934" s="268">
        <v>5.28</v>
      </c>
      <c r="Q934" s="268">
        <v>5.28</v>
      </c>
      <c r="R934" s="268">
        <v>5.28</v>
      </c>
      <c r="S934" s="268">
        <v>5.28</v>
      </c>
      <c r="T934" s="268">
        <v>5.28</v>
      </c>
      <c r="U934" s="268">
        <v>5.28</v>
      </c>
      <c r="V934" s="268">
        <v>5.28</v>
      </c>
      <c r="W934" s="268">
        <v>5.28</v>
      </c>
      <c r="X934" s="268">
        <v>5.28</v>
      </c>
      <c r="Y934" s="268">
        <v>5.28</v>
      </c>
      <c r="Z934" s="268">
        <v>5.28</v>
      </c>
      <c r="AA934" s="268">
        <v>5.28</v>
      </c>
      <c r="AB934" s="268">
        <v>5.28</v>
      </c>
      <c r="AC934" s="268">
        <v>5.28</v>
      </c>
      <c r="AD934" s="268">
        <v>5.28</v>
      </c>
      <c r="AE934" s="268">
        <v>5.28</v>
      </c>
      <c r="AF934" s="268">
        <v>5.28</v>
      </c>
      <c r="AG934" s="268">
        <v>5.28</v>
      </c>
      <c r="AH934" s="268">
        <v>5.28</v>
      </c>
      <c r="AI934" s="268">
        <v>5.28</v>
      </c>
      <c r="AJ934" s="268">
        <v>5.28</v>
      </c>
      <c r="AK934" s="268">
        <v>5.28</v>
      </c>
      <c r="AL934" s="268">
        <v>5.28</v>
      </c>
      <c r="AM934" s="378">
        <f t="shared" si="209"/>
        <v>5.28</v>
      </c>
    </row>
    <row r="935" spans="1:39" x14ac:dyDescent="0.2">
      <c r="A935" s="1"/>
      <c r="B935" s="268" t="s">
        <v>389</v>
      </c>
      <c r="C935" s="30" t="s">
        <v>63</v>
      </c>
      <c r="D935" s="268" t="s">
        <v>356</v>
      </c>
      <c r="E935" s="267"/>
      <c r="F935" s="270">
        <v>2.4459999999999997</v>
      </c>
      <c r="G935" s="270">
        <v>2.4459999999999997</v>
      </c>
      <c r="H935" s="270">
        <v>2.4459999999999997</v>
      </c>
      <c r="I935" s="270">
        <v>2.4459999999999997</v>
      </c>
      <c r="J935" s="270">
        <v>2.4459999999999997</v>
      </c>
      <c r="K935" s="270">
        <v>2.4459999999999997</v>
      </c>
      <c r="L935" s="270">
        <v>2.4459999999999997</v>
      </c>
      <c r="M935" s="270">
        <v>2.4459999999999997</v>
      </c>
      <c r="N935" s="270">
        <v>2.4459999999999997</v>
      </c>
      <c r="O935" s="270">
        <v>2.4459999999999997</v>
      </c>
      <c r="P935" s="270">
        <v>2.4459999999999997</v>
      </c>
      <c r="Q935" s="270">
        <v>2.4459999999999997</v>
      </c>
      <c r="R935" s="270">
        <v>2.4459999999999997</v>
      </c>
      <c r="S935" s="270">
        <v>2.4459999999999997</v>
      </c>
      <c r="T935" s="270">
        <v>2.4459999999999997</v>
      </c>
      <c r="U935" s="270">
        <v>2.4459999999999997</v>
      </c>
      <c r="V935" s="270">
        <v>2.4459999999999997</v>
      </c>
      <c r="W935" s="270">
        <v>2.4459999999999997</v>
      </c>
      <c r="X935" s="270">
        <v>2.4459999999999997</v>
      </c>
      <c r="Y935" s="270">
        <v>2.4459999999999997</v>
      </c>
      <c r="Z935" s="270">
        <v>2.4459999999999997</v>
      </c>
      <c r="AA935" s="270">
        <v>2.4459999999999997</v>
      </c>
      <c r="AB935" s="270">
        <v>2.4459999999999997</v>
      </c>
      <c r="AC935" s="270">
        <v>2.4459999999999997</v>
      </c>
      <c r="AD935" s="270">
        <v>2.4459999999999997</v>
      </c>
      <c r="AE935" s="270">
        <v>2.4459999999999997</v>
      </c>
      <c r="AF935" s="270">
        <v>2.4459999999999997</v>
      </c>
      <c r="AG935" s="270">
        <v>2.4459999999999997</v>
      </c>
      <c r="AH935" s="270">
        <v>2.4459999999999997</v>
      </c>
      <c r="AI935" s="270">
        <v>2.4459999999999997</v>
      </c>
      <c r="AJ935" s="270">
        <v>2.4459999999999997</v>
      </c>
      <c r="AK935" s="270">
        <v>2.4459999999999997</v>
      </c>
      <c r="AL935" s="270">
        <v>2.4459999999999997</v>
      </c>
      <c r="AM935" s="378">
        <f t="shared" si="209"/>
        <v>2.4459999999999984</v>
      </c>
    </row>
    <row r="936" spans="1:39" x14ac:dyDescent="0.2">
      <c r="A936" s="1"/>
      <c r="B936" s="268" t="s">
        <v>390</v>
      </c>
      <c r="C936" s="30" t="s">
        <v>63</v>
      </c>
      <c r="D936" s="268" t="s">
        <v>356</v>
      </c>
      <c r="E936" s="267"/>
      <c r="F936" s="268">
        <v>0.5</v>
      </c>
      <c r="G936" s="268">
        <v>0.5</v>
      </c>
      <c r="H936" s="268">
        <v>0.5</v>
      </c>
      <c r="I936" s="268">
        <v>0.5</v>
      </c>
      <c r="J936" s="268">
        <v>0.5</v>
      </c>
      <c r="K936" s="268">
        <v>0.5</v>
      </c>
      <c r="L936" s="268">
        <v>0.5</v>
      </c>
      <c r="M936" s="268">
        <v>0.5</v>
      </c>
      <c r="N936" s="268">
        <v>0.5</v>
      </c>
      <c r="O936" s="268">
        <v>0.5</v>
      </c>
      <c r="P936" s="268">
        <v>0.5</v>
      </c>
      <c r="Q936" s="268">
        <v>0.5</v>
      </c>
      <c r="R936" s="268">
        <v>0.5</v>
      </c>
      <c r="S936" s="268">
        <v>0.5</v>
      </c>
      <c r="T936" s="268">
        <v>0.5</v>
      </c>
      <c r="U936" s="268">
        <v>0.5</v>
      </c>
      <c r="V936" s="268">
        <v>0.5</v>
      </c>
      <c r="W936" s="268">
        <v>0.5</v>
      </c>
      <c r="X936" s="268">
        <v>0.5</v>
      </c>
      <c r="Y936" s="268">
        <v>0.5</v>
      </c>
      <c r="Z936" s="268">
        <v>0.5</v>
      </c>
      <c r="AA936" s="268">
        <v>0.5</v>
      </c>
      <c r="AB936" s="268">
        <v>0.5</v>
      </c>
      <c r="AC936" s="268">
        <v>0.5</v>
      </c>
      <c r="AD936" s="268">
        <v>0.5</v>
      </c>
      <c r="AE936" s="268">
        <v>0.5</v>
      </c>
      <c r="AF936" s="268">
        <v>0.5</v>
      </c>
      <c r="AG936" s="268">
        <v>0.5</v>
      </c>
      <c r="AH936" s="268">
        <v>0.5</v>
      </c>
      <c r="AI936" s="268">
        <v>0.5</v>
      </c>
      <c r="AJ936" s="268">
        <v>0.5</v>
      </c>
      <c r="AK936" s="268">
        <v>0.5</v>
      </c>
      <c r="AL936" s="268">
        <v>0.5</v>
      </c>
      <c r="AM936" s="378">
        <f t="shared" si="209"/>
        <v>0.5</v>
      </c>
    </row>
    <row r="937" spans="1:39" x14ac:dyDescent="0.2">
      <c r="A937" s="1"/>
      <c r="B937" s="268" t="s">
        <v>391</v>
      </c>
      <c r="C937" s="30" t="s">
        <v>63</v>
      </c>
      <c r="D937" s="268" t="s">
        <v>356</v>
      </c>
      <c r="E937" s="267"/>
      <c r="F937" s="268">
        <v>6</v>
      </c>
      <c r="G937" s="268">
        <v>6</v>
      </c>
      <c r="H937" s="268">
        <v>6</v>
      </c>
      <c r="I937" s="268">
        <v>6</v>
      </c>
      <c r="J937" s="268">
        <v>6</v>
      </c>
      <c r="K937" s="268">
        <v>6</v>
      </c>
      <c r="L937" s="268">
        <v>6</v>
      </c>
      <c r="M937" s="268">
        <v>6</v>
      </c>
      <c r="N937" s="268">
        <v>6</v>
      </c>
      <c r="O937" s="268">
        <v>6</v>
      </c>
      <c r="P937" s="268">
        <v>6</v>
      </c>
      <c r="Q937" s="268">
        <v>6</v>
      </c>
      <c r="R937" s="268">
        <v>6</v>
      </c>
      <c r="S937" s="268">
        <v>6</v>
      </c>
      <c r="T937" s="268">
        <v>6</v>
      </c>
      <c r="U937" s="268">
        <v>6</v>
      </c>
      <c r="V937" s="268">
        <v>6</v>
      </c>
      <c r="W937" s="268">
        <v>6</v>
      </c>
      <c r="X937" s="268">
        <v>6</v>
      </c>
      <c r="Y937" s="268">
        <v>6</v>
      </c>
      <c r="Z937" s="268">
        <v>6</v>
      </c>
      <c r="AA937" s="268">
        <v>6</v>
      </c>
      <c r="AB937" s="268">
        <v>6</v>
      </c>
      <c r="AC937" s="268">
        <v>6</v>
      </c>
      <c r="AD937" s="268">
        <v>6</v>
      </c>
      <c r="AE937" s="268">
        <v>6</v>
      </c>
      <c r="AF937" s="268">
        <v>6</v>
      </c>
      <c r="AG937" s="268">
        <v>6</v>
      </c>
      <c r="AH937" s="268">
        <v>6</v>
      </c>
      <c r="AI937" s="268">
        <v>6</v>
      </c>
      <c r="AJ937" s="268">
        <v>6</v>
      </c>
      <c r="AK937" s="268">
        <v>6</v>
      </c>
      <c r="AL937" s="268">
        <v>6</v>
      </c>
      <c r="AM937" s="378">
        <f t="shared" si="209"/>
        <v>6</v>
      </c>
    </row>
    <row r="938" spans="1:39" x14ac:dyDescent="0.2">
      <c r="A938" s="1"/>
      <c r="B938" s="268" t="s">
        <v>392</v>
      </c>
      <c r="C938" s="30" t="s">
        <v>63</v>
      </c>
      <c r="D938" s="268" t="s">
        <v>356</v>
      </c>
      <c r="E938" s="267"/>
      <c r="F938" s="268">
        <v>2.9</v>
      </c>
      <c r="G938" s="268">
        <v>2.9</v>
      </c>
      <c r="H938" s="268">
        <v>2.9</v>
      </c>
      <c r="I938" s="268">
        <v>2.9</v>
      </c>
      <c r="J938" s="268">
        <v>2.9</v>
      </c>
      <c r="K938" s="268">
        <v>2.9</v>
      </c>
      <c r="L938" s="268">
        <v>2.9</v>
      </c>
      <c r="M938" s="268">
        <v>2.9</v>
      </c>
      <c r="N938" s="268">
        <v>2.9</v>
      </c>
      <c r="O938" s="268">
        <v>2.9</v>
      </c>
      <c r="P938" s="268">
        <v>2.9</v>
      </c>
      <c r="Q938" s="268">
        <v>2.9</v>
      </c>
      <c r="R938" s="268">
        <v>2.9</v>
      </c>
      <c r="S938" s="268">
        <v>2.9</v>
      </c>
      <c r="T938" s="268">
        <v>2.9</v>
      </c>
      <c r="U938" s="268">
        <v>2.9</v>
      </c>
      <c r="V938" s="268">
        <v>2.9</v>
      </c>
      <c r="W938" s="268">
        <v>2.9</v>
      </c>
      <c r="X938" s="268">
        <v>2.9</v>
      </c>
      <c r="Y938" s="268">
        <v>2.9</v>
      </c>
      <c r="Z938" s="268">
        <v>2.9</v>
      </c>
      <c r="AA938" s="268">
        <v>2.9</v>
      </c>
      <c r="AB938" s="268">
        <v>2.9</v>
      </c>
      <c r="AC938" s="268">
        <v>2.9</v>
      </c>
      <c r="AD938" s="268">
        <v>2.9</v>
      </c>
      <c r="AE938" s="268">
        <v>2.9</v>
      </c>
      <c r="AF938" s="268">
        <v>2.9</v>
      </c>
      <c r="AG938" s="268">
        <v>2.9</v>
      </c>
      <c r="AH938" s="268">
        <v>2.9</v>
      </c>
      <c r="AI938" s="268">
        <v>2.9</v>
      </c>
      <c r="AJ938" s="268">
        <v>2.9</v>
      </c>
      <c r="AK938" s="268">
        <v>2.9</v>
      </c>
      <c r="AL938" s="268">
        <v>2.9</v>
      </c>
      <c r="AM938" s="378">
        <f t="shared" si="209"/>
        <v>2.9000000000000008</v>
      </c>
    </row>
    <row r="939" spans="1:39" x14ac:dyDescent="0.2">
      <c r="A939" s="1"/>
      <c r="B939" s="268" t="s">
        <v>393</v>
      </c>
      <c r="C939" s="30" t="s">
        <v>63</v>
      </c>
      <c r="D939" s="268" t="s">
        <v>356</v>
      </c>
      <c r="E939" s="267"/>
      <c r="F939" s="268">
        <v>0.32</v>
      </c>
      <c r="G939" s="268">
        <v>0.32</v>
      </c>
      <c r="H939" s="268">
        <v>0.32</v>
      </c>
      <c r="I939" s="268">
        <v>0.32</v>
      </c>
      <c r="J939" s="268">
        <v>0.32</v>
      </c>
      <c r="K939" s="268">
        <v>0.32</v>
      </c>
      <c r="L939" s="268">
        <v>0.32</v>
      </c>
      <c r="M939" s="268">
        <v>0.32</v>
      </c>
      <c r="N939" s="268">
        <v>0.32</v>
      </c>
      <c r="O939" s="268">
        <v>0.32</v>
      </c>
      <c r="P939" s="268">
        <v>0.32</v>
      </c>
      <c r="Q939" s="268">
        <v>0.32</v>
      </c>
      <c r="R939" s="268">
        <v>0.32</v>
      </c>
      <c r="S939" s="268">
        <v>0.32</v>
      </c>
      <c r="T939" s="268">
        <v>0.32</v>
      </c>
      <c r="U939" s="268">
        <v>0.32</v>
      </c>
      <c r="V939" s="268">
        <v>0.32</v>
      </c>
      <c r="W939" s="268">
        <v>0.32</v>
      </c>
      <c r="X939" s="268">
        <v>0.32</v>
      </c>
      <c r="Y939" s="268">
        <v>0.32</v>
      </c>
      <c r="Z939" s="268">
        <v>0.32</v>
      </c>
      <c r="AA939" s="268">
        <v>0.32</v>
      </c>
      <c r="AB939" s="268">
        <v>0.32</v>
      </c>
      <c r="AC939" s="268">
        <v>0.32</v>
      </c>
      <c r="AD939" s="268">
        <v>0.32</v>
      </c>
      <c r="AE939" s="268">
        <v>0.32</v>
      </c>
      <c r="AF939" s="268">
        <v>0.32</v>
      </c>
      <c r="AG939" s="268">
        <v>0.32</v>
      </c>
      <c r="AH939" s="268">
        <v>0.32</v>
      </c>
      <c r="AI939" s="268">
        <v>0.32</v>
      </c>
      <c r="AJ939" s="268">
        <v>0.32</v>
      </c>
      <c r="AK939" s="268">
        <v>0.32</v>
      </c>
      <c r="AL939" s="268">
        <v>0.32</v>
      </c>
      <c r="AM939" s="378">
        <f t="shared" si="209"/>
        <v>0.32000000000000012</v>
      </c>
    </row>
    <row r="940" spans="1:39" x14ac:dyDescent="0.2">
      <c r="A940" s="1"/>
      <c r="B940" s="268" t="s">
        <v>394</v>
      </c>
      <c r="C940" s="30" t="s">
        <v>63</v>
      </c>
      <c r="D940" s="268" t="s">
        <v>356</v>
      </c>
      <c r="E940" s="270"/>
      <c r="F940" s="268">
        <v>1.79</v>
      </c>
      <c r="G940" s="268">
        <v>1.79</v>
      </c>
      <c r="H940" s="268">
        <v>1.79</v>
      </c>
      <c r="I940" s="268">
        <v>1.79</v>
      </c>
      <c r="J940" s="268">
        <v>1.79</v>
      </c>
      <c r="K940" s="268">
        <v>1.79</v>
      </c>
      <c r="L940" s="268">
        <v>1.79</v>
      </c>
      <c r="M940" s="268">
        <v>1.79</v>
      </c>
      <c r="N940" s="268">
        <v>1.79</v>
      </c>
      <c r="O940" s="268">
        <v>1.79</v>
      </c>
      <c r="P940" s="268">
        <v>1.79</v>
      </c>
      <c r="Q940" s="268">
        <v>1.79</v>
      </c>
      <c r="R940" s="268">
        <v>1.79</v>
      </c>
      <c r="S940" s="268">
        <v>1.79</v>
      </c>
      <c r="T940" s="268">
        <v>1.79</v>
      </c>
      <c r="U940" s="268">
        <v>1.79</v>
      </c>
      <c r="V940" s="268">
        <v>1.79</v>
      </c>
      <c r="W940" s="268">
        <v>1.79</v>
      </c>
      <c r="X940" s="268">
        <v>1.79</v>
      </c>
      <c r="Y940" s="268">
        <v>1.79</v>
      </c>
      <c r="Z940" s="268">
        <v>1.79</v>
      </c>
      <c r="AA940" s="268">
        <v>1.79</v>
      </c>
      <c r="AB940" s="268">
        <v>1.79</v>
      </c>
      <c r="AC940" s="268">
        <v>1.79</v>
      </c>
      <c r="AD940" s="268">
        <v>1.79</v>
      </c>
      <c r="AE940" s="268">
        <v>1.79</v>
      </c>
      <c r="AF940" s="268">
        <v>1.79</v>
      </c>
      <c r="AG940" s="268">
        <v>1.79</v>
      </c>
      <c r="AH940" s="268">
        <v>1.79</v>
      </c>
      <c r="AI940" s="268">
        <v>1.79</v>
      </c>
      <c r="AJ940" s="268">
        <v>1.79</v>
      </c>
      <c r="AK940" s="268">
        <v>1.79</v>
      </c>
      <c r="AL940" s="268">
        <v>1.79</v>
      </c>
      <c r="AM940" s="378">
        <f t="shared" si="209"/>
        <v>1.7899999999999994</v>
      </c>
    </row>
    <row r="941" spans="1:39" x14ac:dyDescent="0.2">
      <c r="A941" s="1"/>
      <c r="B941" s="268" t="s">
        <v>395</v>
      </c>
      <c r="C941" s="30" t="s">
        <v>63</v>
      </c>
      <c r="D941" s="268" t="s">
        <v>356</v>
      </c>
      <c r="E941" s="270"/>
      <c r="F941" s="268">
        <v>0.53</v>
      </c>
      <c r="G941" s="268">
        <v>0.53</v>
      </c>
      <c r="H941" s="268">
        <v>0.53</v>
      </c>
      <c r="I941" s="268">
        <v>0.53</v>
      </c>
      <c r="J941" s="268">
        <v>0.53</v>
      </c>
      <c r="K941" s="268">
        <v>0.53</v>
      </c>
      <c r="L941" s="268">
        <v>0.53</v>
      </c>
      <c r="M941" s="268">
        <v>0.53</v>
      </c>
      <c r="N941" s="268">
        <v>0.53</v>
      </c>
      <c r="O941" s="268">
        <v>0.53</v>
      </c>
      <c r="P941" s="268">
        <v>0.53</v>
      </c>
      <c r="Q941" s="268">
        <v>0.53</v>
      </c>
      <c r="R941" s="268">
        <v>0.53</v>
      </c>
      <c r="S941" s="268">
        <v>0.53</v>
      </c>
      <c r="T941" s="268">
        <v>0.53</v>
      </c>
      <c r="U941" s="268">
        <v>0.53</v>
      </c>
      <c r="V941" s="268">
        <v>0.53</v>
      </c>
      <c r="W941" s="268">
        <v>0.53</v>
      </c>
      <c r="X941" s="268">
        <v>0.53</v>
      </c>
      <c r="Y941" s="268">
        <v>0.53</v>
      </c>
      <c r="Z941" s="268">
        <v>0.53</v>
      </c>
      <c r="AA941" s="268">
        <v>0.53</v>
      </c>
      <c r="AB941" s="268">
        <v>0.53</v>
      </c>
      <c r="AC941" s="268">
        <v>0.53</v>
      </c>
      <c r="AD941" s="268">
        <v>0.53</v>
      </c>
      <c r="AE941" s="268">
        <v>0.53</v>
      </c>
      <c r="AF941" s="268">
        <v>0.53</v>
      </c>
      <c r="AG941" s="268">
        <v>0.53</v>
      </c>
      <c r="AH941" s="268">
        <v>0.53</v>
      </c>
      <c r="AI941" s="268">
        <v>0.53</v>
      </c>
      <c r="AJ941" s="268">
        <v>0.53</v>
      </c>
      <c r="AK941" s="268">
        <v>0.53</v>
      </c>
      <c r="AL941" s="268">
        <v>0.53</v>
      </c>
      <c r="AM941" s="378">
        <f t="shared" si="209"/>
        <v>0.5299999999999998</v>
      </c>
    </row>
    <row r="942" spans="1:39" x14ac:dyDescent="0.2">
      <c r="A942" s="1"/>
      <c r="B942" s="268" t="s">
        <v>396</v>
      </c>
      <c r="C942" s="30" t="s">
        <v>63</v>
      </c>
      <c r="D942" s="268" t="s">
        <v>356</v>
      </c>
      <c r="E942" s="270"/>
      <c r="F942" s="268">
        <v>0.94</v>
      </c>
      <c r="G942" s="268">
        <v>0.94</v>
      </c>
      <c r="H942" s="268">
        <v>0.94</v>
      </c>
      <c r="I942" s="268">
        <v>0.94</v>
      </c>
      <c r="J942" s="268">
        <v>0.94</v>
      </c>
      <c r="K942" s="268">
        <v>0.94</v>
      </c>
      <c r="L942" s="268">
        <v>0.94</v>
      </c>
      <c r="M942" s="268">
        <v>0.94</v>
      </c>
      <c r="N942" s="268">
        <v>0.94</v>
      </c>
      <c r="O942" s="268">
        <v>0.94</v>
      </c>
      <c r="P942" s="268">
        <v>0.94</v>
      </c>
      <c r="Q942" s="268">
        <v>0.94</v>
      </c>
      <c r="R942" s="268">
        <v>0.94</v>
      </c>
      <c r="S942" s="268">
        <v>0.94</v>
      </c>
      <c r="T942" s="268">
        <v>0.94</v>
      </c>
      <c r="U942" s="268">
        <v>0.94</v>
      </c>
      <c r="V942" s="268">
        <v>0.94</v>
      </c>
      <c r="W942" s="268">
        <v>0.94</v>
      </c>
      <c r="X942" s="268">
        <v>0.94</v>
      </c>
      <c r="Y942" s="268">
        <v>0.94</v>
      </c>
      <c r="Z942" s="268">
        <v>0.94</v>
      </c>
      <c r="AA942" s="268">
        <v>0.94</v>
      </c>
      <c r="AB942" s="268">
        <v>0.94</v>
      </c>
      <c r="AC942" s="268">
        <v>0.94</v>
      </c>
      <c r="AD942" s="268">
        <v>0.94</v>
      </c>
      <c r="AE942" s="268">
        <v>0.94</v>
      </c>
      <c r="AF942" s="268">
        <v>0.94</v>
      </c>
      <c r="AG942" s="268">
        <v>0.94</v>
      </c>
      <c r="AH942" s="268">
        <v>0.94</v>
      </c>
      <c r="AI942" s="268">
        <v>0.94</v>
      </c>
      <c r="AJ942" s="268">
        <v>0.94</v>
      </c>
      <c r="AK942" s="268">
        <v>0.94</v>
      </c>
      <c r="AL942" s="268">
        <v>0.94</v>
      </c>
      <c r="AM942" s="378">
        <f t="shared" si="209"/>
        <v>0.94000000000000039</v>
      </c>
    </row>
    <row r="943" spans="1:39" x14ac:dyDescent="0.2">
      <c r="A943" s="1"/>
      <c r="B943" s="268"/>
      <c r="C943" s="30"/>
      <c r="D943" s="268"/>
      <c r="E943" s="270"/>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68"/>
      <c r="AE943" s="268"/>
      <c r="AF943" s="268"/>
      <c r="AG943" s="268"/>
      <c r="AH943" s="268"/>
      <c r="AI943" s="268"/>
      <c r="AJ943" s="268"/>
      <c r="AK943" s="268"/>
      <c r="AL943" s="268"/>
      <c r="AM943" s="378"/>
    </row>
    <row r="944" spans="1:39" ht="15" x14ac:dyDescent="0.25">
      <c r="A944" s="69" t="s">
        <v>354</v>
      </c>
      <c r="B944" s="268" t="s">
        <v>397</v>
      </c>
      <c r="C944" s="30" t="s">
        <v>63</v>
      </c>
      <c r="D944" s="268" t="s">
        <v>398</v>
      </c>
      <c r="E944" s="267"/>
      <c r="F944" s="268">
        <v>3.13</v>
      </c>
      <c r="G944" s="268">
        <v>3.13</v>
      </c>
      <c r="H944" s="268">
        <v>3.13</v>
      </c>
      <c r="I944" s="268">
        <v>3.13</v>
      </c>
      <c r="J944" s="268">
        <v>3.13</v>
      </c>
      <c r="K944" s="268">
        <v>3.13</v>
      </c>
      <c r="L944" s="268">
        <v>3.13</v>
      </c>
      <c r="M944" s="268">
        <v>3.13</v>
      </c>
      <c r="N944" s="268">
        <v>3.13</v>
      </c>
      <c r="O944" s="268">
        <v>3.13</v>
      </c>
      <c r="P944" s="268">
        <v>3.13</v>
      </c>
      <c r="Q944" s="268">
        <v>3.13</v>
      </c>
      <c r="R944" s="268">
        <v>3.13</v>
      </c>
      <c r="S944" s="268">
        <v>3.13</v>
      </c>
      <c r="T944" s="268">
        <v>3.13</v>
      </c>
      <c r="U944" s="268">
        <v>3.13</v>
      </c>
      <c r="V944" s="268">
        <v>3.13</v>
      </c>
      <c r="W944" s="268">
        <v>3.13</v>
      </c>
      <c r="X944" s="268">
        <v>3.13</v>
      </c>
      <c r="Y944" s="268">
        <v>3.13</v>
      </c>
      <c r="Z944" s="268">
        <v>3.13</v>
      </c>
      <c r="AA944" s="268">
        <v>3.13</v>
      </c>
      <c r="AB944" s="268">
        <v>3.13</v>
      </c>
      <c r="AC944" s="268">
        <v>3.13</v>
      </c>
      <c r="AD944" s="268">
        <v>3.13</v>
      </c>
      <c r="AE944" s="268">
        <v>3.13</v>
      </c>
      <c r="AF944" s="268">
        <v>3.13</v>
      </c>
      <c r="AG944" s="268">
        <v>3.13</v>
      </c>
      <c r="AH944" s="268">
        <v>3.13</v>
      </c>
      <c r="AI944" s="268">
        <v>3.13</v>
      </c>
      <c r="AJ944" s="268">
        <v>3.13</v>
      </c>
      <c r="AK944" s="268">
        <v>3.13</v>
      </c>
      <c r="AL944" s="268">
        <v>3.13</v>
      </c>
      <c r="AM944" s="378">
        <f t="shared" si="209"/>
        <v>3.129999999999999</v>
      </c>
    </row>
    <row r="945" spans="1:39" x14ac:dyDescent="0.2">
      <c r="A945" s="1"/>
      <c r="B945" s="268" t="s">
        <v>399</v>
      </c>
      <c r="C945" s="30" t="s">
        <v>63</v>
      </c>
      <c r="D945" s="268" t="s">
        <v>398</v>
      </c>
      <c r="E945" s="267"/>
      <c r="F945" s="268">
        <v>5.5</v>
      </c>
      <c r="G945" s="268">
        <v>5.5</v>
      </c>
      <c r="H945" s="268">
        <v>5.5</v>
      </c>
      <c r="I945" s="268">
        <v>5.5</v>
      </c>
      <c r="J945" s="268">
        <v>5.5</v>
      </c>
      <c r="K945" s="268">
        <v>5.5</v>
      </c>
      <c r="L945" s="268">
        <v>5.5</v>
      </c>
      <c r="M945" s="268">
        <v>5.5</v>
      </c>
      <c r="N945" s="268">
        <v>5.5</v>
      </c>
      <c r="O945" s="268">
        <v>5.5</v>
      </c>
      <c r="P945" s="268">
        <v>5.5</v>
      </c>
      <c r="Q945" s="268">
        <v>5.5</v>
      </c>
      <c r="R945" s="268">
        <v>5.5</v>
      </c>
      <c r="S945" s="268">
        <v>5.5</v>
      </c>
      <c r="T945" s="268">
        <v>5.5</v>
      </c>
      <c r="U945" s="268">
        <v>5.5</v>
      </c>
      <c r="V945" s="268">
        <v>5.5</v>
      </c>
      <c r="W945" s="268">
        <v>5.5</v>
      </c>
      <c r="X945" s="268">
        <v>5.5</v>
      </c>
      <c r="Y945" s="268">
        <v>5.5</v>
      </c>
      <c r="Z945" s="268">
        <v>5.5</v>
      </c>
      <c r="AA945" s="268">
        <v>5.5</v>
      </c>
      <c r="AB945" s="268">
        <v>5.5</v>
      </c>
      <c r="AC945" s="268">
        <v>5.5</v>
      </c>
      <c r="AD945" s="268">
        <v>5.5</v>
      </c>
      <c r="AE945" s="268">
        <v>5.5</v>
      </c>
      <c r="AF945" s="268">
        <v>5.5</v>
      </c>
      <c r="AG945" s="268">
        <v>5.5</v>
      </c>
      <c r="AH945" s="268">
        <v>5.5</v>
      </c>
      <c r="AI945" s="268">
        <v>5.5</v>
      </c>
      <c r="AJ945" s="268">
        <v>5.5</v>
      </c>
      <c r="AK945" s="268">
        <v>5.5</v>
      </c>
      <c r="AL945" s="268">
        <v>5.5</v>
      </c>
      <c r="AM945" s="378">
        <f t="shared" si="209"/>
        <v>5.5</v>
      </c>
    </row>
    <row r="946" spans="1:39" x14ac:dyDescent="0.2">
      <c r="A946" s="1"/>
      <c r="B946" s="268" t="s">
        <v>400</v>
      </c>
      <c r="C946" s="30" t="s">
        <v>63</v>
      </c>
      <c r="D946" s="268" t="s">
        <v>398</v>
      </c>
      <c r="E946" s="267"/>
      <c r="F946" s="268">
        <v>0.3</v>
      </c>
      <c r="G946" s="268">
        <v>0.3</v>
      </c>
      <c r="H946" s="268">
        <v>0.3</v>
      </c>
      <c r="I946" s="268">
        <v>0.3</v>
      </c>
      <c r="J946" s="268">
        <v>0.3</v>
      </c>
      <c r="K946" s="268">
        <v>0.3</v>
      </c>
      <c r="L946" s="268">
        <v>0.3</v>
      </c>
      <c r="M946" s="268">
        <v>0.3</v>
      </c>
      <c r="N946" s="268">
        <v>0.3</v>
      </c>
      <c r="O946" s="268">
        <v>0.3</v>
      </c>
      <c r="P946" s="268">
        <v>0.3</v>
      </c>
      <c r="Q946" s="268">
        <v>0.3</v>
      </c>
      <c r="R946" s="268">
        <v>0.3</v>
      </c>
      <c r="S946" s="268">
        <v>0.3</v>
      </c>
      <c r="T946" s="268">
        <v>0.3</v>
      </c>
      <c r="U946" s="268">
        <v>0.3</v>
      </c>
      <c r="V946" s="268">
        <v>0.3</v>
      </c>
      <c r="W946" s="268">
        <v>0.3</v>
      </c>
      <c r="X946" s="268">
        <v>0.3</v>
      </c>
      <c r="Y946" s="268">
        <v>0.3</v>
      </c>
      <c r="Z946" s="268">
        <v>0.3</v>
      </c>
      <c r="AA946" s="268">
        <v>0.3</v>
      </c>
      <c r="AB946" s="268">
        <v>0.3</v>
      </c>
      <c r="AC946" s="268">
        <v>0.3</v>
      </c>
      <c r="AD946" s="268">
        <v>0.3</v>
      </c>
      <c r="AE946" s="268">
        <v>0.3</v>
      </c>
      <c r="AF946" s="268">
        <v>0.3</v>
      </c>
      <c r="AG946" s="268">
        <v>0.3</v>
      </c>
      <c r="AH946" s="268">
        <v>0.3</v>
      </c>
      <c r="AI946" s="268">
        <v>0.3</v>
      </c>
      <c r="AJ946" s="268">
        <v>0.3</v>
      </c>
      <c r="AK946" s="268">
        <v>0.3</v>
      </c>
      <c r="AL946" s="268">
        <v>0.3</v>
      </c>
      <c r="AM946" s="378">
        <f t="shared" si="209"/>
        <v>0.30000000000000004</v>
      </c>
    </row>
    <row r="947" spans="1:39" ht="15" x14ac:dyDescent="0.25">
      <c r="A947" s="69" t="s">
        <v>360</v>
      </c>
      <c r="B947" s="268" t="s">
        <v>401</v>
      </c>
      <c r="C947" s="30" t="s">
        <v>63</v>
      </c>
      <c r="D947" s="268" t="s">
        <v>398</v>
      </c>
      <c r="E947" s="267"/>
      <c r="F947" s="268">
        <v>5.28</v>
      </c>
      <c r="G947" s="268">
        <v>5.28</v>
      </c>
      <c r="H947" s="268">
        <v>5.28</v>
      </c>
      <c r="I947" s="268">
        <v>5.28</v>
      </c>
      <c r="J947" s="268">
        <v>5.28</v>
      </c>
      <c r="K947" s="268">
        <v>5.28</v>
      </c>
      <c r="L947" s="268">
        <v>5.28</v>
      </c>
      <c r="M947" s="268">
        <v>5.28</v>
      </c>
      <c r="N947" s="268">
        <v>5.28</v>
      </c>
      <c r="O947" s="268">
        <v>5.28</v>
      </c>
      <c r="P947" s="268">
        <v>5.28</v>
      </c>
      <c r="Q947" s="268">
        <v>5.28</v>
      </c>
      <c r="R947" s="268">
        <v>5.28</v>
      </c>
      <c r="S947" s="268">
        <v>5.28</v>
      </c>
      <c r="T947" s="268">
        <v>5.28</v>
      </c>
      <c r="U947" s="268">
        <v>5.28</v>
      </c>
      <c r="V947" s="268">
        <v>5.28</v>
      </c>
      <c r="W947" s="268">
        <v>5.28</v>
      </c>
      <c r="X947" s="268">
        <v>5.28</v>
      </c>
      <c r="Y947" s="268">
        <v>5.28</v>
      </c>
      <c r="Z947" s="268">
        <v>5.28</v>
      </c>
      <c r="AA947" s="268">
        <v>5.28</v>
      </c>
      <c r="AB947" s="268">
        <v>5.28</v>
      </c>
      <c r="AC947" s="268">
        <v>5.28</v>
      </c>
      <c r="AD947" s="268">
        <v>5.28</v>
      </c>
      <c r="AE947" s="268">
        <v>5.28</v>
      </c>
      <c r="AF947" s="268">
        <v>5.28</v>
      </c>
      <c r="AG947" s="268">
        <v>5.28</v>
      </c>
      <c r="AH947" s="268">
        <v>5.28</v>
      </c>
      <c r="AI947" s="268">
        <v>5.28</v>
      </c>
      <c r="AJ947" s="268">
        <v>5.28</v>
      </c>
      <c r="AK947" s="268">
        <v>5.28</v>
      </c>
      <c r="AL947" s="268">
        <v>5.28</v>
      </c>
      <c r="AM947" s="378">
        <f t="shared" si="209"/>
        <v>5.28</v>
      </c>
    </row>
    <row r="948" spans="1:39" x14ac:dyDescent="0.2">
      <c r="A948" s="1"/>
      <c r="B948" s="268" t="s">
        <v>402</v>
      </c>
      <c r="C948" s="30" t="s">
        <v>63</v>
      </c>
      <c r="D948" s="268" t="s">
        <v>398</v>
      </c>
      <c r="E948" s="267"/>
      <c r="F948" s="270">
        <v>2.4459999999999997</v>
      </c>
      <c r="G948" s="270">
        <v>2.4459999999999997</v>
      </c>
      <c r="H948" s="270">
        <v>2.4459999999999997</v>
      </c>
      <c r="I948" s="270">
        <v>2.4459999999999997</v>
      </c>
      <c r="J948" s="270">
        <v>2.4459999999999997</v>
      </c>
      <c r="K948" s="270">
        <v>2.4459999999999997</v>
      </c>
      <c r="L948" s="270">
        <v>2.4459999999999997</v>
      </c>
      <c r="M948" s="270">
        <v>2.4459999999999997</v>
      </c>
      <c r="N948" s="270">
        <v>2.4459999999999997</v>
      </c>
      <c r="O948" s="270">
        <v>2.4459999999999997</v>
      </c>
      <c r="P948" s="270">
        <v>2.4459999999999997</v>
      </c>
      <c r="Q948" s="270">
        <v>2.4459999999999997</v>
      </c>
      <c r="R948" s="270">
        <v>2.4459999999999997</v>
      </c>
      <c r="S948" s="270">
        <v>2.4459999999999997</v>
      </c>
      <c r="T948" s="270">
        <v>2.4459999999999997</v>
      </c>
      <c r="U948" s="270">
        <v>2.4459999999999997</v>
      </c>
      <c r="V948" s="270">
        <v>2.4459999999999997</v>
      </c>
      <c r="W948" s="270">
        <v>2.4459999999999997</v>
      </c>
      <c r="X948" s="270">
        <v>2.4459999999999997</v>
      </c>
      <c r="Y948" s="270">
        <v>2.4459999999999997</v>
      </c>
      <c r="Z948" s="270">
        <v>2.4459999999999997</v>
      </c>
      <c r="AA948" s="270">
        <v>2.4459999999999997</v>
      </c>
      <c r="AB948" s="270">
        <v>2.4459999999999997</v>
      </c>
      <c r="AC948" s="270">
        <v>2.4459999999999997</v>
      </c>
      <c r="AD948" s="270">
        <v>2.4459999999999997</v>
      </c>
      <c r="AE948" s="270">
        <v>2.4459999999999997</v>
      </c>
      <c r="AF948" s="270">
        <v>2.4459999999999997</v>
      </c>
      <c r="AG948" s="270">
        <v>2.4459999999999997</v>
      </c>
      <c r="AH948" s="270">
        <v>2.4459999999999997</v>
      </c>
      <c r="AI948" s="270">
        <v>2.4459999999999997</v>
      </c>
      <c r="AJ948" s="270">
        <v>2.4459999999999997</v>
      </c>
      <c r="AK948" s="270">
        <v>2.4459999999999997</v>
      </c>
      <c r="AL948" s="270">
        <v>2.4459999999999997</v>
      </c>
      <c r="AM948" s="378">
        <f t="shared" si="209"/>
        <v>2.4459999999999984</v>
      </c>
    </row>
    <row r="949" spans="1:39" x14ac:dyDescent="0.2">
      <c r="A949" s="1"/>
      <c r="B949" s="268" t="s">
        <v>403</v>
      </c>
      <c r="C949" s="30" t="s">
        <v>63</v>
      </c>
      <c r="D949" s="268" t="s">
        <v>398</v>
      </c>
      <c r="E949" s="267"/>
      <c r="F949" s="268">
        <v>0.5</v>
      </c>
      <c r="G949" s="268">
        <v>0.5</v>
      </c>
      <c r="H949" s="268">
        <v>0.5</v>
      </c>
      <c r="I949" s="268">
        <v>0.5</v>
      </c>
      <c r="J949" s="268">
        <v>0.5</v>
      </c>
      <c r="K949" s="268">
        <v>0.5</v>
      </c>
      <c r="L949" s="268">
        <v>0.5</v>
      </c>
      <c r="M949" s="268">
        <v>0.5</v>
      </c>
      <c r="N949" s="268">
        <v>0.5</v>
      </c>
      <c r="O949" s="268">
        <v>0.5</v>
      </c>
      <c r="P949" s="268">
        <v>0.5</v>
      </c>
      <c r="Q949" s="268">
        <v>0.5</v>
      </c>
      <c r="R949" s="268">
        <v>0.5</v>
      </c>
      <c r="S949" s="268">
        <v>0.5</v>
      </c>
      <c r="T949" s="268">
        <v>0.5</v>
      </c>
      <c r="U949" s="268">
        <v>0.5</v>
      </c>
      <c r="V949" s="268">
        <v>0.5</v>
      </c>
      <c r="W949" s="268">
        <v>0.5</v>
      </c>
      <c r="X949" s="268">
        <v>0.5</v>
      </c>
      <c r="Y949" s="268">
        <v>0.5</v>
      </c>
      <c r="Z949" s="268">
        <v>0.5</v>
      </c>
      <c r="AA949" s="268">
        <v>0.5</v>
      </c>
      <c r="AB949" s="268">
        <v>0.5</v>
      </c>
      <c r="AC949" s="268">
        <v>0.5</v>
      </c>
      <c r="AD949" s="268">
        <v>0.5</v>
      </c>
      <c r="AE949" s="268">
        <v>0.5</v>
      </c>
      <c r="AF949" s="268">
        <v>0.5</v>
      </c>
      <c r="AG949" s="268">
        <v>0.5</v>
      </c>
      <c r="AH949" s="268">
        <v>0.5</v>
      </c>
      <c r="AI949" s="268">
        <v>0.5</v>
      </c>
      <c r="AJ949" s="268">
        <v>0.5</v>
      </c>
      <c r="AK949" s="268">
        <v>0.5</v>
      </c>
      <c r="AL949" s="268">
        <v>0.5</v>
      </c>
      <c r="AM949" s="378">
        <f t="shared" si="209"/>
        <v>0.5</v>
      </c>
    </row>
    <row r="950" spans="1:39" x14ac:dyDescent="0.2">
      <c r="A950" s="1"/>
      <c r="B950" s="268" t="s">
        <v>404</v>
      </c>
      <c r="C950" s="30" t="s">
        <v>63</v>
      </c>
      <c r="D950" s="268" t="s">
        <v>398</v>
      </c>
      <c r="E950" s="267"/>
      <c r="F950" s="268">
        <v>6</v>
      </c>
      <c r="G950" s="268">
        <v>6</v>
      </c>
      <c r="H950" s="268">
        <v>6</v>
      </c>
      <c r="I950" s="268">
        <v>6</v>
      </c>
      <c r="J950" s="268">
        <v>6</v>
      </c>
      <c r="K950" s="268">
        <v>6</v>
      </c>
      <c r="L950" s="268">
        <v>6</v>
      </c>
      <c r="M950" s="268">
        <v>6</v>
      </c>
      <c r="N950" s="268">
        <v>6</v>
      </c>
      <c r="O950" s="268">
        <v>6</v>
      </c>
      <c r="P950" s="268">
        <v>6</v>
      </c>
      <c r="Q950" s="268">
        <v>6</v>
      </c>
      <c r="R950" s="268">
        <v>6</v>
      </c>
      <c r="S950" s="268">
        <v>6</v>
      </c>
      <c r="T950" s="268">
        <v>6</v>
      </c>
      <c r="U950" s="268">
        <v>6</v>
      </c>
      <c r="V950" s="268">
        <v>6</v>
      </c>
      <c r="W950" s="268">
        <v>6</v>
      </c>
      <c r="X950" s="268">
        <v>6</v>
      </c>
      <c r="Y950" s="268">
        <v>6</v>
      </c>
      <c r="Z950" s="268">
        <v>6</v>
      </c>
      <c r="AA950" s="268">
        <v>6</v>
      </c>
      <c r="AB950" s="268">
        <v>6</v>
      </c>
      <c r="AC950" s="268">
        <v>6</v>
      </c>
      <c r="AD950" s="268">
        <v>6</v>
      </c>
      <c r="AE950" s="268">
        <v>6</v>
      </c>
      <c r="AF950" s="268">
        <v>6</v>
      </c>
      <c r="AG950" s="268">
        <v>6</v>
      </c>
      <c r="AH950" s="268">
        <v>6</v>
      </c>
      <c r="AI950" s="268">
        <v>6</v>
      </c>
      <c r="AJ950" s="268">
        <v>6</v>
      </c>
      <c r="AK950" s="268">
        <v>6</v>
      </c>
      <c r="AL950" s="268">
        <v>6</v>
      </c>
      <c r="AM950" s="378">
        <f t="shared" si="209"/>
        <v>6</v>
      </c>
    </row>
    <row r="951" spans="1:39" x14ac:dyDescent="0.2">
      <c r="A951" s="1"/>
      <c r="B951" s="268" t="s">
        <v>405</v>
      </c>
      <c r="C951" s="30" t="s">
        <v>63</v>
      </c>
      <c r="D951" s="268" t="s">
        <v>398</v>
      </c>
      <c r="E951" s="267"/>
      <c r="F951" s="268">
        <v>2.9</v>
      </c>
      <c r="G951" s="268">
        <v>2.9</v>
      </c>
      <c r="H951" s="268">
        <v>2.9</v>
      </c>
      <c r="I951" s="268">
        <v>2.9</v>
      </c>
      <c r="J951" s="268">
        <v>2.9</v>
      </c>
      <c r="K951" s="268">
        <v>2.9</v>
      </c>
      <c r="L951" s="268">
        <v>2.9</v>
      </c>
      <c r="M951" s="268">
        <v>2.9</v>
      </c>
      <c r="N951" s="268">
        <v>2.9</v>
      </c>
      <c r="O951" s="268">
        <v>2.9</v>
      </c>
      <c r="P951" s="268">
        <v>2.9</v>
      </c>
      <c r="Q951" s="268">
        <v>2.9</v>
      </c>
      <c r="R951" s="268">
        <v>2.9</v>
      </c>
      <c r="S951" s="268">
        <v>2.9</v>
      </c>
      <c r="T951" s="268">
        <v>2.9</v>
      </c>
      <c r="U951" s="268">
        <v>2.9</v>
      </c>
      <c r="V951" s="268">
        <v>2.9</v>
      </c>
      <c r="W951" s="268">
        <v>2.9</v>
      </c>
      <c r="X951" s="268">
        <v>2.9</v>
      </c>
      <c r="Y951" s="268">
        <v>2.9</v>
      </c>
      <c r="Z951" s="268">
        <v>2.9</v>
      </c>
      <c r="AA951" s="268">
        <v>2.9</v>
      </c>
      <c r="AB951" s="268">
        <v>2.9</v>
      </c>
      <c r="AC951" s="268">
        <v>2.9</v>
      </c>
      <c r="AD951" s="268">
        <v>2.9</v>
      </c>
      <c r="AE951" s="268">
        <v>2.9</v>
      </c>
      <c r="AF951" s="268">
        <v>2.9</v>
      </c>
      <c r="AG951" s="268">
        <v>2.9</v>
      </c>
      <c r="AH951" s="268">
        <v>2.9</v>
      </c>
      <c r="AI951" s="268">
        <v>2.9</v>
      </c>
      <c r="AJ951" s="268">
        <v>2.9</v>
      </c>
      <c r="AK951" s="268">
        <v>2.9</v>
      </c>
      <c r="AL951" s="268">
        <v>2.9</v>
      </c>
      <c r="AM951" s="378">
        <f t="shared" si="209"/>
        <v>2.9000000000000008</v>
      </c>
    </row>
    <row r="952" spans="1:39" x14ac:dyDescent="0.2">
      <c r="A952" s="1"/>
      <c r="B952" s="268" t="s">
        <v>406</v>
      </c>
      <c r="C952" s="30" t="s">
        <v>63</v>
      </c>
      <c r="D952" s="268" t="s">
        <v>398</v>
      </c>
      <c r="E952" s="267"/>
      <c r="F952" s="268">
        <v>0.3</v>
      </c>
      <c r="G952" s="268">
        <v>0.3</v>
      </c>
      <c r="H952" s="268">
        <v>0.3</v>
      </c>
      <c r="I952" s="268">
        <v>0.3</v>
      </c>
      <c r="J952" s="268">
        <v>0.3</v>
      </c>
      <c r="K952" s="268">
        <v>0.3</v>
      </c>
      <c r="L952" s="268">
        <v>0.3</v>
      </c>
      <c r="M952" s="268">
        <v>0.3</v>
      </c>
      <c r="N952" s="268">
        <v>0.3</v>
      </c>
      <c r="O952" s="268">
        <v>0.3</v>
      </c>
      <c r="P952" s="268">
        <v>0.3</v>
      </c>
      <c r="Q952" s="268">
        <v>0.3</v>
      </c>
      <c r="R952" s="268">
        <v>0.3</v>
      </c>
      <c r="S952" s="268">
        <v>0.3</v>
      </c>
      <c r="T952" s="268">
        <v>0.3</v>
      </c>
      <c r="U952" s="268">
        <v>0.3</v>
      </c>
      <c r="V952" s="268">
        <v>0.3</v>
      </c>
      <c r="W952" s="268">
        <v>0.3</v>
      </c>
      <c r="X952" s="268">
        <v>0.3</v>
      </c>
      <c r="Y952" s="268">
        <v>0.3</v>
      </c>
      <c r="Z952" s="268">
        <v>0.3</v>
      </c>
      <c r="AA952" s="268">
        <v>0.3</v>
      </c>
      <c r="AB952" s="268">
        <v>0.3</v>
      </c>
      <c r="AC952" s="268">
        <v>0.3</v>
      </c>
      <c r="AD952" s="268">
        <v>0.3</v>
      </c>
      <c r="AE952" s="268">
        <v>0.3</v>
      </c>
      <c r="AF952" s="268">
        <v>0.3</v>
      </c>
      <c r="AG952" s="268">
        <v>0.3</v>
      </c>
      <c r="AH952" s="268">
        <v>0.3</v>
      </c>
      <c r="AI952" s="268">
        <v>0.3</v>
      </c>
      <c r="AJ952" s="268">
        <v>0.3</v>
      </c>
      <c r="AK952" s="268">
        <v>0.3</v>
      </c>
      <c r="AL952" s="268">
        <v>0.3</v>
      </c>
      <c r="AM952" s="378">
        <f t="shared" si="209"/>
        <v>0.30000000000000004</v>
      </c>
    </row>
    <row r="953" spans="1:39" x14ac:dyDescent="0.2">
      <c r="A953" s="1"/>
      <c r="B953" s="268"/>
      <c r="C953" s="30"/>
      <c r="D953" s="268"/>
      <c r="E953" s="270"/>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68"/>
      <c r="AE953" s="268"/>
      <c r="AF953" s="268"/>
      <c r="AG953" s="268"/>
      <c r="AH953" s="268"/>
      <c r="AI953" s="268"/>
      <c r="AJ953" s="268"/>
      <c r="AK953" s="268"/>
      <c r="AL953" s="268"/>
      <c r="AM953" s="107"/>
    </row>
    <row r="954" spans="1:39" x14ac:dyDescent="0.2">
      <c r="A954" s="1"/>
      <c r="B954" s="1"/>
      <c r="C954" s="3"/>
      <c r="D954" s="1"/>
      <c r="E954" s="270"/>
      <c r="AM954" s="107"/>
    </row>
    <row r="955" spans="1:39" x14ac:dyDescent="0.2">
      <c r="A955" s="1"/>
      <c r="B955" s="67" t="s">
        <v>407</v>
      </c>
      <c r="C955" s="68"/>
      <c r="D955" s="67"/>
      <c r="E955" s="27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107"/>
    </row>
    <row r="956" spans="1:39" ht="15" x14ac:dyDescent="0.25">
      <c r="A956" s="69" t="s">
        <v>354</v>
      </c>
      <c r="B956" s="19" t="s">
        <v>408</v>
      </c>
      <c r="C956" s="30" t="s">
        <v>63</v>
      </c>
      <c r="D956" s="268" t="s">
        <v>409</v>
      </c>
      <c r="E956" s="31"/>
      <c r="F956" s="27">
        <v>69.230769230769226</v>
      </c>
      <c r="G956" s="27">
        <v>69.230769230769226</v>
      </c>
      <c r="H956" s="27">
        <v>69.230769230769226</v>
      </c>
      <c r="I956" s="27">
        <v>69.230769230769226</v>
      </c>
      <c r="J956" s="27">
        <v>69.230769230769226</v>
      </c>
      <c r="K956" s="27">
        <v>69.230769230769226</v>
      </c>
      <c r="L956" s="27">
        <v>69.230769230769226</v>
      </c>
      <c r="M956" s="27">
        <v>69.230769230769226</v>
      </c>
      <c r="N956" s="27">
        <v>69.230769230769226</v>
      </c>
      <c r="O956" s="27">
        <v>69.230769230769226</v>
      </c>
      <c r="P956" s="27">
        <v>69.230769230769226</v>
      </c>
      <c r="Q956" s="27">
        <v>69.230769230769226</v>
      </c>
      <c r="R956" s="27">
        <v>69.230769230769226</v>
      </c>
      <c r="S956" s="27">
        <v>69.230769230769226</v>
      </c>
      <c r="T956" s="27">
        <v>69.230769230769226</v>
      </c>
      <c r="U956" s="27">
        <v>69.230769230769226</v>
      </c>
      <c r="V956" s="27">
        <v>69.230769230769226</v>
      </c>
      <c r="W956" s="27">
        <v>69.230769230769226</v>
      </c>
      <c r="X956" s="27">
        <v>69.230769230769226</v>
      </c>
      <c r="Y956" s="27">
        <v>69.230769230769226</v>
      </c>
      <c r="Z956" s="27">
        <v>69.230769230769226</v>
      </c>
      <c r="AA956" s="27">
        <v>69.230769230769226</v>
      </c>
      <c r="AB956" s="27">
        <v>69.230769230769226</v>
      </c>
      <c r="AC956" s="27">
        <v>69.230769230769226</v>
      </c>
      <c r="AD956" s="27">
        <v>69.230769230769226</v>
      </c>
      <c r="AE956" s="27">
        <v>69.230769230769226</v>
      </c>
      <c r="AF956" s="27">
        <v>69.230769230769226</v>
      </c>
      <c r="AG956" s="27">
        <v>69.230769230769226</v>
      </c>
      <c r="AH956" s="27">
        <v>69.230769230769226</v>
      </c>
      <c r="AI956" s="27">
        <v>69.230769230769226</v>
      </c>
      <c r="AJ956" s="27">
        <v>69.230769230769226</v>
      </c>
      <c r="AK956" s="27">
        <v>69.230769230769226</v>
      </c>
      <c r="AL956" s="27">
        <v>69.230769230769226</v>
      </c>
      <c r="AM956" s="378">
        <f t="shared" ref="AM956:AM964" si="210">AVERAGE(F956:AL956)</f>
        <v>69.230769230769255</v>
      </c>
    </row>
    <row r="957" spans="1:39" x14ac:dyDescent="0.2">
      <c r="A957" s="1"/>
      <c r="B957" s="19" t="s">
        <v>410</v>
      </c>
      <c r="C957" s="30" t="s">
        <v>63</v>
      </c>
      <c r="D957" s="268" t="s">
        <v>409</v>
      </c>
      <c r="E957" s="31"/>
      <c r="F957" s="27">
        <v>19.230769230769234</v>
      </c>
      <c r="G957" s="27">
        <v>19.230769230769234</v>
      </c>
      <c r="H957" s="27">
        <v>19.230769230769234</v>
      </c>
      <c r="I957" s="27">
        <v>19.230769230769234</v>
      </c>
      <c r="J957" s="27">
        <v>19.230769230769234</v>
      </c>
      <c r="K957" s="27">
        <v>19.230769230769234</v>
      </c>
      <c r="L957" s="27">
        <v>19.230769230769234</v>
      </c>
      <c r="M957" s="27">
        <v>19.230769230769234</v>
      </c>
      <c r="N957" s="27">
        <v>19.230769230769234</v>
      </c>
      <c r="O957" s="27">
        <v>19.230769230769234</v>
      </c>
      <c r="P957" s="27">
        <v>19.230769230769234</v>
      </c>
      <c r="Q957" s="27">
        <v>19.230769230769234</v>
      </c>
      <c r="R957" s="27">
        <v>19.230769230769234</v>
      </c>
      <c r="S957" s="27">
        <v>19.230769230769234</v>
      </c>
      <c r="T957" s="27">
        <v>19.230769230769234</v>
      </c>
      <c r="U957" s="27">
        <v>19.230769230769234</v>
      </c>
      <c r="V957" s="27">
        <v>19.230769230769234</v>
      </c>
      <c r="W957" s="27">
        <v>19.230769230769234</v>
      </c>
      <c r="X957" s="27">
        <v>19.230769230769234</v>
      </c>
      <c r="Y957" s="27">
        <v>19.230769230769234</v>
      </c>
      <c r="Z957" s="27">
        <v>19.230769230769234</v>
      </c>
      <c r="AA957" s="27">
        <v>19.230769230769234</v>
      </c>
      <c r="AB957" s="27">
        <v>19.230769230769234</v>
      </c>
      <c r="AC957" s="27">
        <v>19.230769230769234</v>
      </c>
      <c r="AD957" s="27">
        <v>19.230769230769234</v>
      </c>
      <c r="AE957" s="27">
        <v>19.230769230769234</v>
      </c>
      <c r="AF957" s="27">
        <v>19.230769230769234</v>
      </c>
      <c r="AG957" s="27">
        <v>19.230769230769234</v>
      </c>
      <c r="AH957" s="27">
        <v>19.230769230769234</v>
      </c>
      <c r="AI957" s="27">
        <v>19.230769230769234</v>
      </c>
      <c r="AJ957" s="27">
        <v>19.230769230769234</v>
      </c>
      <c r="AK957" s="27">
        <v>19.230769230769234</v>
      </c>
      <c r="AL957" s="27">
        <v>19.230769230769234</v>
      </c>
      <c r="AM957" s="378">
        <f t="shared" si="210"/>
        <v>19.230769230769237</v>
      </c>
    </row>
    <row r="958" spans="1:39" x14ac:dyDescent="0.2">
      <c r="A958" s="1"/>
      <c r="B958" s="19" t="s">
        <v>411</v>
      </c>
      <c r="C958" s="30" t="s">
        <v>63</v>
      </c>
      <c r="D958" s="268" t="s">
        <v>409</v>
      </c>
      <c r="E958" s="31"/>
      <c r="F958" s="27">
        <v>11.538461538461538</v>
      </c>
      <c r="G958" s="27">
        <v>11.538461538461538</v>
      </c>
      <c r="H958" s="27">
        <v>11.538461538461538</v>
      </c>
      <c r="I958" s="27">
        <v>11.538461538461538</v>
      </c>
      <c r="J958" s="27">
        <v>11.538461538461538</v>
      </c>
      <c r="K958" s="27">
        <v>11.538461538461538</v>
      </c>
      <c r="L958" s="27">
        <v>11.538461538461538</v>
      </c>
      <c r="M958" s="27">
        <v>11.538461538461538</v>
      </c>
      <c r="N958" s="27">
        <v>11.538461538461538</v>
      </c>
      <c r="O958" s="27">
        <v>11.538461538461538</v>
      </c>
      <c r="P958" s="27">
        <v>11.538461538461538</v>
      </c>
      <c r="Q958" s="27">
        <v>11.538461538461538</v>
      </c>
      <c r="R958" s="27">
        <v>11.538461538461538</v>
      </c>
      <c r="S958" s="27">
        <v>11.538461538461538</v>
      </c>
      <c r="T958" s="27">
        <v>11.538461538461538</v>
      </c>
      <c r="U958" s="27">
        <v>11.538461538461538</v>
      </c>
      <c r="V958" s="27">
        <v>11.538461538461538</v>
      </c>
      <c r="W958" s="27">
        <v>11.538461538461538</v>
      </c>
      <c r="X958" s="27">
        <v>11.538461538461538</v>
      </c>
      <c r="Y958" s="27">
        <v>11.538461538461538</v>
      </c>
      <c r="Z958" s="27">
        <v>11.538461538461538</v>
      </c>
      <c r="AA958" s="27">
        <v>11.538461538461538</v>
      </c>
      <c r="AB958" s="27">
        <v>11.538461538461538</v>
      </c>
      <c r="AC958" s="27">
        <v>11.538461538461538</v>
      </c>
      <c r="AD958" s="27">
        <v>11.538461538461538</v>
      </c>
      <c r="AE958" s="27">
        <v>11.538461538461538</v>
      </c>
      <c r="AF958" s="27">
        <v>11.538461538461538</v>
      </c>
      <c r="AG958" s="27">
        <v>11.538461538461538</v>
      </c>
      <c r="AH958" s="27">
        <v>11.538461538461538</v>
      </c>
      <c r="AI958" s="27">
        <v>11.538461538461538</v>
      </c>
      <c r="AJ958" s="27">
        <v>11.538461538461538</v>
      </c>
      <c r="AK958" s="27">
        <v>11.538461538461538</v>
      </c>
      <c r="AL958" s="27">
        <v>11.538461538461538</v>
      </c>
      <c r="AM958" s="378">
        <f t="shared" si="210"/>
        <v>11.538461538461542</v>
      </c>
    </row>
    <row r="959" spans="1:39" ht="15" x14ac:dyDescent="0.25">
      <c r="A959" s="69" t="s">
        <v>360</v>
      </c>
      <c r="B959" s="19" t="s">
        <v>412</v>
      </c>
      <c r="C959" s="30" t="s">
        <v>63</v>
      </c>
      <c r="D959" s="268" t="s">
        <v>409</v>
      </c>
      <c r="E959" s="31"/>
      <c r="F959" s="27">
        <v>15.384615384615385</v>
      </c>
      <c r="G959" s="27">
        <v>15.384615384615385</v>
      </c>
      <c r="H959" s="27">
        <v>15.384615384615385</v>
      </c>
      <c r="I959" s="27">
        <v>15.384615384615385</v>
      </c>
      <c r="J959" s="27">
        <v>15.384615384615385</v>
      </c>
      <c r="K959" s="27">
        <v>15.384615384615385</v>
      </c>
      <c r="L959" s="27">
        <v>15.384615384615385</v>
      </c>
      <c r="M959" s="27">
        <v>15.384615384615385</v>
      </c>
      <c r="N959" s="27">
        <v>15.384615384615385</v>
      </c>
      <c r="O959" s="27">
        <v>15.384615384615385</v>
      </c>
      <c r="P959" s="27">
        <v>15.384615384615385</v>
      </c>
      <c r="Q959" s="27">
        <v>15.384615384615385</v>
      </c>
      <c r="R959" s="27">
        <v>15.384615384615385</v>
      </c>
      <c r="S959" s="27">
        <v>15.384615384615385</v>
      </c>
      <c r="T959" s="27">
        <v>15.384615384615385</v>
      </c>
      <c r="U959" s="27">
        <v>15.384615384615385</v>
      </c>
      <c r="V959" s="27">
        <v>15.384615384615385</v>
      </c>
      <c r="W959" s="27">
        <v>15.384615384615385</v>
      </c>
      <c r="X959" s="27">
        <v>15.384615384615385</v>
      </c>
      <c r="Y959" s="27">
        <v>15.384615384615385</v>
      </c>
      <c r="Z959" s="27">
        <v>15.384615384615385</v>
      </c>
      <c r="AA959" s="27">
        <v>15.384615384615385</v>
      </c>
      <c r="AB959" s="27">
        <v>15.384615384615385</v>
      </c>
      <c r="AC959" s="27">
        <v>15.384615384615385</v>
      </c>
      <c r="AD959" s="27">
        <v>15.384615384615385</v>
      </c>
      <c r="AE959" s="27">
        <v>15.384615384615385</v>
      </c>
      <c r="AF959" s="27">
        <v>15.384615384615385</v>
      </c>
      <c r="AG959" s="27">
        <v>15.384615384615385</v>
      </c>
      <c r="AH959" s="27">
        <v>15.384615384615385</v>
      </c>
      <c r="AI959" s="27">
        <v>15.384615384615385</v>
      </c>
      <c r="AJ959" s="27">
        <v>15.384615384615385</v>
      </c>
      <c r="AK959" s="27">
        <v>15.384615384615385</v>
      </c>
      <c r="AL959" s="27">
        <v>15.384615384615385</v>
      </c>
      <c r="AM959" s="378">
        <f t="shared" si="210"/>
        <v>15.384615384615373</v>
      </c>
    </row>
    <row r="960" spans="1:39" x14ac:dyDescent="0.2">
      <c r="A960" s="8"/>
      <c r="B960" s="19" t="s">
        <v>413</v>
      </c>
      <c r="C960" s="30" t="s">
        <v>63</v>
      </c>
      <c r="D960" s="268" t="s">
        <v>409</v>
      </c>
      <c r="E960" s="31"/>
      <c r="F960" s="27">
        <v>7.6923076923076925</v>
      </c>
      <c r="G960" s="27">
        <v>7.6923076923076925</v>
      </c>
      <c r="H960" s="27">
        <v>7.6923076923076925</v>
      </c>
      <c r="I960" s="27">
        <v>7.6923076923076925</v>
      </c>
      <c r="J960" s="27">
        <v>7.6923076923076925</v>
      </c>
      <c r="K960" s="27">
        <v>7.6923076923076925</v>
      </c>
      <c r="L960" s="27">
        <v>7.6923076923076925</v>
      </c>
      <c r="M960" s="27">
        <v>7.6923076923076925</v>
      </c>
      <c r="N960" s="27">
        <v>7.6923076923076925</v>
      </c>
      <c r="O960" s="27">
        <v>7.6923076923076925</v>
      </c>
      <c r="P960" s="27">
        <v>7.6923076923076925</v>
      </c>
      <c r="Q960" s="27">
        <v>7.6923076923076925</v>
      </c>
      <c r="R960" s="27">
        <v>7.6923076923076925</v>
      </c>
      <c r="S960" s="27">
        <v>7.6923076923076925</v>
      </c>
      <c r="T960" s="27">
        <v>7.6923076923076925</v>
      </c>
      <c r="U960" s="27">
        <v>7.6923076923076925</v>
      </c>
      <c r="V960" s="27">
        <v>7.6923076923076925</v>
      </c>
      <c r="W960" s="27">
        <v>7.6923076923076925</v>
      </c>
      <c r="X960" s="27">
        <v>7.6923076923076925</v>
      </c>
      <c r="Y960" s="27">
        <v>7.6923076923076925</v>
      </c>
      <c r="Z960" s="27">
        <v>7.6923076923076925</v>
      </c>
      <c r="AA960" s="27">
        <v>7.6923076923076925</v>
      </c>
      <c r="AB960" s="27">
        <v>7.6923076923076925</v>
      </c>
      <c r="AC960" s="27">
        <v>7.6923076923076925</v>
      </c>
      <c r="AD960" s="27">
        <v>7.6923076923076925</v>
      </c>
      <c r="AE960" s="27">
        <v>7.6923076923076925</v>
      </c>
      <c r="AF960" s="27">
        <v>7.6923076923076925</v>
      </c>
      <c r="AG960" s="27">
        <v>7.6923076923076925</v>
      </c>
      <c r="AH960" s="27">
        <v>7.6923076923076925</v>
      </c>
      <c r="AI960" s="27">
        <v>7.6923076923076925</v>
      </c>
      <c r="AJ960" s="27">
        <v>7.6923076923076925</v>
      </c>
      <c r="AK960" s="27">
        <v>7.6923076923076925</v>
      </c>
      <c r="AL960" s="27">
        <v>7.6923076923076925</v>
      </c>
      <c r="AM960" s="378">
        <f t="shared" si="210"/>
        <v>7.6923076923076863</v>
      </c>
    </row>
    <row r="961" spans="1:39" x14ac:dyDescent="0.2">
      <c r="A961" s="8"/>
      <c r="B961" s="19" t="s">
        <v>414</v>
      </c>
      <c r="C961" s="30" t="s">
        <v>63</v>
      </c>
      <c r="D961" s="268" t="s">
        <v>409</v>
      </c>
      <c r="E961" s="31"/>
      <c r="F961" s="27">
        <v>48.07692307692308</v>
      </c>
      <c r="G961" s="27">
        <v>48.07692307692308</v>
      </c>
      <c r="H961" s="27">
        <v>48.07692307692308</v>
      </c>
      <c r="I961" s="27">
        <v>48.07692307692308</v>
      </c>
      <c r="J961" s="27">
        <v>48.07692307692308</v>
      </c>
      <c r="K961" s="27">
        <v>48.07692307692308</v>
      </c>
      <c r="L961" s="27">
        <v>48.07692307692308</v>
      </c>
      <c r="M961" s="27">
        <v>48.07692307692308</v>
      </c>
      <c r="N961" s="27">
        <v>48.07692307692308</v>
      </c>
      <c r="O961" s="27">
        <v>48.07692307692308</v>
      </c>
      <c r="P961" s="27">
        <v>48.07692307692308</v>
      </c>
      <c r="Q961" s="27">
        <v>48.07692307692308</v>
      </c>
      <c r="R961" s="27">
        <v>48.07692307692308</v>
      </c>
      <c r="S961" s="27">
        <v>48.07692307692308</v>
      </c>
      <c r="T961" s="27">
        <v>48.07692307692308</v>
      </c>
      <c r="U961" s="27">
        <v>48.07692307692308</v>
      </c>
      <c r="V961" s="27">
        <v>48.07692307692308</v>
      </c>
      <c r="W961" s="27">
        <v>48.07692307692308</v>
      </c>
      <c r="X961" s="27">
        <v>48.07692307692308</v>
      </c>
      <c r="Y961" s="27">
        <v>48.07692307692308</v>
      </c>
      <c r="Z961" s="27">
        <v>48.07692307692308</v>
      </c>
      <c r="AA961" s="27">
        <v>48.07692307692308</v>
      </c>
      <c r="AB961" s="27">
        <v>48.07692307692308</v>
      </c>
      <c r="AC961" s="27">
        <v>48.07692307692308</v>
      </c>
      <c r="AD961" s="27">
        <v>48.07692307692308</v>
      </c>
      <c r="AE961" s="27">
        <v>48.07692307692308</v>
      </c>
      <c r="AF961" s="27">
        <v>48.07692307692308</v>
      </c>
      <c r="AG961" s="27">
        <v>48.07692307692308</v>
      </c>
      <c r="AH961" s="27">
        <v>48.07692307692308</v>
      </c>
      <c r="AI961" s="27">
        <v>48.07692307692308</v>
      </c>
      <c r="AJ961" s="27">
        <v>48.07692307692308</v>
      </c>
      <c r="AK961" s="27">
        <v>48.07692307692308</v>
      </c>
      <c r="AL961" s="27">
        <v>48.07692307692308</v>
      </c>
      <c r="AM961" s="378">
        <f t="shared" si="210"/>
        <v>48.076923076923087</v>
      </c>
    </row>
    <row r="962" spans="1:39" x14ac:dyDescent="0.2">
      <c r="A962" s="8"/>
      <c r="B962" s="19" t="s">
        <v>415</v>
      </c>
      <c r="C962" s="30" t="s">
        <v>63</v>
      </c>
      <c r="D962" s="268" t="s">
        <v>409</v>
      </c>
      <c r="E962" s="31"/>
      <c r="F962" s="27">
        <v>5.7692307692307692</v>
      </c>
      <c r="G962" s="27">
        <v>5.7692307692307692</v>
      </c>
      <c r="H962" s="27">
        <v>5.7692307692307692</v>
      </c>
      <c r="I962" s="27">
        <v>5.7692307692307692</v>
      </c>
      <c r="J962" s="27">
        <v>5.7692307692307692</v>
      </c>
      <c r="K962" s="27">
        <v>5.7692307692307692</v>
      </c>
      <c r="L962" s="27">
        <v>5.7692307692307692</v>
      </c>
      <c r="M962" s="27">
        <v>5.7692307692307692</v>
      </c>
      <c r="N962" s="27">
        <v>5.7692307692307692</v>
      </c>
      <c r="O962" s="27">
        <v>5.7692307692307692</v>
      </c>
      <c r="P962" s="27">
        <v>5.7692307692307692</v>
      </c>
      <c r="Q962" s="27">
        <v>5.7692307692307692</v>
      </c>
      <c r="R962" s="27">
        <v>5.7692307692307692</v>
      </c>
      <c r="S962" s="27">
        <v>5.7692307692307692</v>
      </c>
      <c r="T962" s="27">
        <v>5.7692307692307692</v>
      </c>
      <c r="U962" s="27">
        <v>5.7692307692307692</v>
      </c>
      <c r="V962" s="27">
        <v>5.7692307692307692</v>
      </c>
      <c r="W962" s="27">
        <v>5.7692307692307692</v>
      </c>
      <c r="X962" s="27">
        <v>5.7692307692307692</v>
      </c>
      <c r="Y962" s="27">
        <v>5.7692307692307692</v>
      </c>
      <c r="Z962" s="27">
        <v>5.7692307692307692</v>
      </c>
      <c r="AA962" s="27">
        <v>5.7692307692307692</v>
      </c>
      <c r="AB962" s="27">
        <v>5.7692307692307692</v>
      </c>
      <c r="AC962" s="27">
        <v>5.7692307692307692</v>
      </c>
      <c r="AD962" s="27">
        <v>5.7692307692307692</v>
      </c>
      <c r="AE962" s="27">
        <v>5.7692307692307692</v>
      </c>
      <c r="AF962" s="27">
        <v>5.7692307692307692</v>
      </c>
      <c r="AG962" s="27">
        <v>5.7692307692307692</v>
      </c>
      <c r="AH962" s="27">
        <v>5.7692307692307692</v>
      </c>
      <c r="AI962" s="27">
        <v>5.7692307692307692</v>
      </c>
      <c r="AJ962" s="27">
        <v>5.7692307692307692</v>
      </c>
      <c r="AK962" s="27">
        <v>5.7692307692307692</v>
      </c>
      <c r="AL962" s="27">
        <v>5.7692307692307692</v>
      </c>
      <c r="AM962" s="378">
        <f t="shared" si="210"/>
        <v>5.7692307692307709</v>
      </c>
    </row>
    <row r="963" spans="1:39" x14ac:dyDescent="0.2">
      <c r="A963" s="8"/>
      <c r="B963" s="19" t="s">
        <v>416</v>
      </c>
      <c r="C963" s="30" t="s">
        <v>63</v>
      </c>
      <c r="D963" s="268" t="s">
        <v>409</v>
      </c>
      <c r="E963" s="31"/>
      <c r="F963" s="27">
        <v>5.7692307692307692</v>
      </c>
      <c r="G963" s="27">
        <v>5.7692307692307692</v>
      </c>
      <c r="H963" s="27">
        <v>5.7692307692307692</v>
      </c>
      <c r="I963" s="27">
        <v>5.7692307692307692</v>
      </c>
      <c r="J963" s="27">
        <v>5.7692307692307692</v>
      </c>
      <c r="K963" s="27">
        <v>5.7692307692307692</v>
      </c>
      <c r="L963" s="27">
        <v>5.7692307692307692</v>
      </c>
      <c r="M963" s="27">
        <v>5.7692307692307692</v>
      </c>
      <c r="N963" s="27">
        <v>5.7692307692307692</v>
      </c>
      <c r="O963" s="27">
        <v>5.7692307692307692</v>
      </c>
      <c r="P963" s="27">
        <v>5.7692307692307692</v>
      </c>
      <c r="Q963" s="27">
        <v>5.7692307692307692</v>
      </c>
      <c r="R963" s="27">
        <v>5.7692307692307692</v>
      </c>
      <c r="S963" s="27">
        <v>5.7692307692307692</v>
      </c>
      <c r="T963" s="27">
        <v>5.7692307692307692</v>
      </c>
      <c r="U963" s="27">
        <v>5.7692307692307692</v>
      </c>
      <c r="V963" s="27">
        <v>5.7692307692307692</v>
      </c>
      <c r="W963" s="27">
        <v>5.7692307692307692</v>
      </c>
      <c r="X963" s="27">
        <v>5.7692307692307692</v>
      </c>
      <c r="Y963" s="27">
        <v>5.7692307692307692</v>
      </c>
      <c r="Z963" s="27">
        <v>5.7692307692307692</v>
      </c>
      <c r="AA963" s="27">
        <v>5.7692307692307692</v>
      </c>
      <c r="AB963" s="27">
        <v>5.7692307692307692</v>
      </c>
      <c r="AC963" s="27">
        <v>5.7692307692307692</v>
      </c>
      <c r="AD963" s="27">
        <v>5.7692307692307692</v>
      </c>
      <c r="AE963" s="27">
        <v>5.7692307692307692</v>
      </c>
      <c r="AF963" s="27">
        <v>5.7692307692307692</v>
      </c>
      <c r="AG963" s="27">
        <v>5.7692307692307692</v>
      </c>
      <c r="AH963" s="27">
        <v>5.7692307692307692</v>
      </c>
      <c r="AI963" s="27">
        <v>5.7692307692307692</v>
      </c>
      <c r="AJ963" s="27">
        <v>5.7692307692307692</v>
      </c>
      <c r="AK963" s="27">
        <v>5.7692307692307692</v>
      </c>
      <c r="AL963" s="27">
        <v>5.7692307692307692</v>
      </c>
      <c r="AM963" s="378">
        <f t="shared" si="210"/>
        <v>5.7692307692307709</v>
      </c>
    </row>
    <row r="964" spans="1:39" x14ac:dyDescent="0.2">
      <c r="A964" s="8"/>
      <c r="B964" s="19" t="s">
        <v>417</v>
      </c>
      <c r="C964" s="30" t="s">
        <v>63</v>
      </c>
      <c r="D964" s="268" t="s">
        <v>409</v>
      </c>
      <c r="E964" s="31"/>
      <c r="F964" s="27">
        <v>9.6153846153846168</v>
      </c>
      <c r="G964" s="27">
        <v>9.6153846153846168</v>
      </c>
      <c r="H964" s="27">
        <v>9.6153846153846168</v>
      </c>
      <c r="I964" s="27">
        <v>9.6153846153846168</v>
      </c>
      <c r="J964" s="27">
        <v>9.6153846153846168</v>
      </c>
      <c r="K964" s="27">
        <v>9.6153846153846168</v>
      </c>
      <c r="L964" s="27">
        <v>9.6153846153846168</v>
      </c>
      <c r="M964" s="27">
        <v>9.6153846153846168</v>
      </c>
      <c r="N964" s="27">
        <v>9.6153846153846168</v>
      </c>
      <c r="O964" s="27">
        <v>9.6153846153846168</v>
      </c>
      <c r="P964" s="27">
        <v>9.6153846153846168</v>
      </c>
      <c r="Q964" s="27">
        <v>9.6153846153846168</v>
      </c>
      <c r="R964" s="27">
        <v>9.6153846153846168</v>
      </c>
      <c r="S964" s="27">
        <v>9.6153846153846168</v>
      </c>
      <c r="T964" s="27">
        <v>9.6153846153846168</v>
      </c>
      <c r="U964" s="27">
        <v>9.6153846153846168</v>
      </c>
      <c r="V964" s="27">
        <v>9.6153846153846168</v>
      </c>
      <c r="W964" s="27">
        <v>9.6153846153846168</v>
      </c>
      <c r="X964" s="27">
        <v>9.6153846153846168</v>
      </c>
      <c r="Y964" s="27">
        <v>9.6153846153846168</v>
      </c>
      <c r="Z964" s="27">
        <v>9.6153846153846168</v>
      </c>
      <c r="AA964" s="27">
        <v>9.6153846153846168</v>
      </c>
      <c r="AB964" s="27">
        <v>9.6153846153846168</v>
      </c>
      <c r="AC964" s="27">
        <v>9.6153846153846168</v>
      </c>
      <c r="AD964" s="27">
        <v>9.6153846153846168</v>
      </c>
      <c r="AE964" s="27">
        <v>9.6153846153846168</v>
      </c>
      <c r="AF964" s="27">
        <v>9.6153846153846168</v>
      </c>
      <c r="AG964" s="27">
        <v>9.6153846153846168</v>
      </c>
      <c r="AH964" s="27">
        <v>9.6153846153846168</v>
      </c>
      <c r="AI964" s="27">
        <v>9.6153846153846168</v>
      </c>
      <c r="AJ964" s="27">
        <v>9.6153846153846168</v>
      </c>
      <c r="AK964" s="27">
        <v>9.6153846153846168</v>
      </c>
      <c r="AL964" s="27">
        <v>9.6153846153846168</v>
      </c>
      <c r="AM964" s="378">
        <f t="shared" si="210"/>
        <v>9.6153846153846185</v>
      </c>
    </row>
    <row r="965" spans="1:39" x14ac:dyDescent="0.2">
      <c r="A965" s="8"/>
      <c r="B965" s="8" t="s">
        <v>418</v>
      </c>
      <c r="C965" s="3" t="s">
        <v>63</v>
      </c>
      <c r="D965" s="8"/>
      <c r="E965" s="70"/>
      <c r="F965" s="70">
        <f t="shared" ref="F965:AM965" si="211">(F908/100*F963)/2+(F903/100*F958)/2+(F901/100*F956)</f>
        <v>2.2678846153846153</v>
      </c>
      <c r="G965" s="70">
        <f t="shared" si="211"/>
        <v>2.2678846153846153</v>
      </c>
      <c r="H965" s="70">
        <f t="shared" si="211"/>
        <v>2.2678846153846153</v>
      </c>
      <c r="I965" s="70">
        <f t="shared" si="211"/>
        <v>2.2678846153846153</v>
      </c>
      <c r="J965" s="70">
        <f t="shared" si="211"/>
        <v>2.2678846153846153</v>
      </c>
      <c r="K965" s="70">
        <f t="shared" si="211"/>
        <v>2.2678846153846153</v>
      </c>
      <c r="L965" s="70">
        <f t="shared" si="211"/>
        <v>2.2678846153846153</v>
      </c>
      <c r="M965" s="70">
        <f t="shared" si="211"/>
        <v>2.2678846153846153</v>
      </c>
      <c r="N965" s="70">
        <f t="shared" si="211"/>
        <v>2.2678846153846153</v>
      </c>
      <c r="O965" s="70">
        <f t="shared" si="211"/>
        <v>2.2678846153846153</v>
      </c>
      <c r="P965" s="70">
        <f t="shared" si="211"/>
        <v>2.2678846153846153</v>
      </c>
      <c r="Q965" s="70">
        <f t="shared" si="211"/>
        <v>2.2678846153846153</v>
      </c>
      <c r="R965" s="70">
        <f t="shared" si="211"/>
        <v>2.2678846153846153</v>
      </c>
      <c r="S965" s="70">
        <f t="shared" si="211"/>
        <v>2.2678846153846153</v>
      </c>
      <c r="T965" s="70">
        <f t="shared" si="211"/>
        <v>2.2678846153846153</v>
      </c>
      <c r="U965" s="70">
        <f t="shared" si="211"/>
        <v>2.2678846153846153</v>
      </c>
      <c r="V965" s="70">
        <f t="shared" si="211"/>
        <v>2.2678846153846153</v>
      </c>
      <c r="W965" s="70">
        <f t="shared" si="211"/>
        <v>2.2678846153846153</v>
      </c>
      <c r="X965" s="70">
        <f t="shared" si="211"/>
        <v>2.2678846153846153</v>
      </c>
      <c r="Y965" s="70">
        <f t="shared" si="211"/>
        <v>2.2678846153846153</v>
      </c>
      <c r="Z965" s="70">
        <f t="shared" si="211"/>
        <v>2.2678846153846153</v>
      </c>
      <c r="AA965" s="70">
        <f t="shared" si="211"/>
        <v>2.2678846153846153</v>
      </c>
      <c r="AB965" s="70">
        <f t="shared" si="211"/>
        <v>2.2678846153846153</v>
      </c>
      <c r="AC965" s="70">
        <f t="shared" si="211"/>
        <v>2.2678846153846153</v>
      </c>
      <c r="AD965" s="70">
        <f t="shared" si="211"/>
        <v>2.2678846153846153</v>
      </c>
      <c r="AE965" s="70">
        <f t="shared" si="211"/>
        <v>2.2678846153846153</v>
      </c>
      <c r="AF965" s="70">
        <f t="shared" si="211"/>
        <v>2.2678846153846153</v>
      </c>
      <c r="AG965" s="70">
        <f t="shared" si="211"/>
        <v>2.2678846153846153</v>
      </c>
      <c r="AH965" s="70">
        <f t="shared" si="211"/>
        <v>2.2678846153846153</v>
      </c>
      <c r="AI965" s="70">
        <f t="shared" si="211"/>
        <v>2.2678846153846153</v>
      </c>
      <c r="AJ965" s="70">
        <f t="shared" si="211"/>
        <v>2.2678846153846153</v>
      </c>
      <c r="AK965" s="70">
        <f t="shared" si="211"/>
        <v>2.2678846153846153</v>
      </c>
      <c r="AL965" s="70">
        <f t="shared" si="211"/>
        <v>2.2678846153846153</v>
      </c>
      <c r="AM965" s="130">
        <f t="shared" si="211"/>
        <v>2.2678846153846153</v>
      </c>
    </row>
    <row r="966" spans="1:39" x14ac:dyDescent="0.2">
      <c r="A966" s="8"/>
      <c r="B966" s="8" t="s">
        <v>419</v>
      </c>
      <c r="C966" s="3" t="s">
        <v>63</v>
      </c>
      <c r="D966" s="8"/>
      <c r="E966" s="70"/>
      <c r="F966" s="70">
        <f t="shared" ref="F966:AM966" si="212">(F901/100*F956)+(F902/100*F957)+(F903/100*F958)+(F904/100*F959)+(F905/100*F960)+(F906/100*F961)+(F907/100*F962)+(F908/100*F963)+(F909/100*F964)-F965</f>
        <v>2.7745000000000002</v>
      </c>
      <c r="G966" s="70">
        <f t="shared" si="212"/>
        <v>2.7745000000000002</v>
      </c>
      <c r="H966" s="70">
        <f t="shared" si="212"/>
        <v>2.7745000000000002</v>
      </c>
      <c r="I966" s="70">
        <f t="shared" si="212"/>
        <v>2.7745000000000002</v>
      </c>
      <c r="J966" s="70">
        <f t="shared" si="212"/>
        <v>2.7745000000000002</v>
      </c>
      <c r="K966" s="70">
        <f t="shared" si="212"/>
        <v>2.7745000000000002</v>
      </c>
      <c r="L966" s="70">
        <f t="shared" si="212"/>
        <v>2.7745000000000002</v>
      </c>
      <c r="M966" s="70">
        <f t="shared" si="212"/>
        <v>2.7745000000000002</v>
      </c>
      <c r="N966" s="70">
        <f t="shared" si="212"/>
        <v>2.7745000000000002</v>
      </c>
      <c r="O966" s="70">
        <f t="shared" si="212"/>
        <v>2.7745000000000002</v>
      </c>
      <c r="P966" s="70">
        <f t="shared" si="212"/>
        <v>2.7745000000000002</v>
      </c>
      <c r="Q966" s="70">
        <f t="shared" si="212"/>
        <v>2.7745000000000002</v>
      </c>
      <c r="R966" s="70">
        <f t="shared" si="212"/>
        <v>2.7745000000000002</v>
      </c>
      <c r="S966" s="70">
        <f t="shared" si="212"/>
        <v>2.7745000000000002</v>
      </c>
      <c r="T966" s="70">
        <f t="shared" si="212"/>
        <v>2.7745000000000002</v>
      </c>
      <c r="U966" s="70">
        <f t="shared" si="212"/>
        <v>2.7745000000000002</v>
      </c>
      <c r="V966" s="70">
        <f t="shared" si="212"/>
        <v>2.7745000000000002</v>
      </c>
      <c r="W966" s="70">
        <f t="shared" si="212"/>
        <v>2.7745000000000002</v>
      </c>
      <c r="X966" s="70">
        <f t="shared" si="212"/>
        <v>2.7745000000000002</v>
      </c>
      <c r="Y966" s="70">
        <f t="shared" si="212"/>
        <v>2.7745000000000002</v>
      </c>
      <c r="Z966" s="70">
        <f t="shared" si="212"/>
        <v>2.7745000000000002</v>
      </c>
      <c r="AA966" s="70">
        <f t="shared" si="212"/>
        <v>2.7745000000000002</v>
      </c>
      <c r="AB966" s="70">
        <f t="shared" si="212"/>
        <v>2.7745000000000002</v>
      </c>
      <c r="AC966" s="70">
        <f t="shared" si="212"/>
        <v>2.7745000000000002</v>
      </c>
      <c r="AD966" s="70">
        <f t="shared" si="212"/>
        <v>2.7745000000000002</v>
      </c>
      <c r="AE966" s="70">
        <f t="shared" si="212"/>
        <v>2.7745000000000002</v>
      </c>
      <c r="AF966" s="70">
        <f t="shared" si="212"/>
        <v>2.7745000000000002</v>
      </c>
      <c r="AG966" s="70">
        <f t="shared" si="212"/>
        <v>2.7745000000000002</v>
      </c>
      <c r="AH966" s="70">
        <f t="shared" si="212"/>
        <v>2.7745000000000002</v>
      </c>
      <c r="AI966" s="70">
        <f t="shared" si="212"/>
        <v>2.7745000000000002</v>
      </c>
      <c r="AJ966" s="70">
        <f t="shared" si="212"/>
        <v>2.7745000000000002</v>
      </c>
      <c r="AK966" s="70">
        <f t="shared" si="212"/>
        <v>2.7745000000000002</v>
      </c>
      <c r="AL966" s="70">
        <f t="shared" si="212"/>
        <v>2.7745000000000002</v>
      </c>
      <c r="AM966" s="130">
        <f t="shared" si="212"/>
        <v>2.7744999999999993</v>
      </c>
    </row>
    <row r="967" spans="1:39" x14ac:dyDescent="0.2">
      <c r="A967" s="8"/>
      <c r="B967" s="19"/>
      <c r="C967" s="30"/>
      <c r="D967" s="19"/>
      <c r="E967" s="8"/>
      <c r="F967" s="28"/>
      <c r="G967" s="28"/>
      <c r="H967" s="28"/>
      <c r="I967" s="28"/>
      <c r="J967" s="28"/>
      <c r="K967" s="28"/>
      <c r="L967" s="28"/>
      <c r="M967" s="28"/>
      <c r="N967" s="28"/>
      <c r="O967" s="28"/>
      <c r="P967" s="28"/>
      <c r="Q967" s="28"/>
      <c r="R967" s="28"/>
      <c r="S967" s="28"/>
      <c r="T967" s="28"/>
      <c r="U967" s="28"/>
      <c r="V967" s="28"/>
      <c r="W967" s="28"/>
      <c r="X967" s="28"/>
      <c r="Y967" s="28"/>
      <c r="Z967" s="28"/>
      <c r="AA967" s="28"/>
      <c r="AB967" s="28"/>
      <c r="AC967" s="28"/>
      <c r="AD967" s="28"/>
      <c r="AE967" s="28"/>
      <c r="AF967" s="28"/>
      <c r="AG967" s="28"/>
      <c r="AH967" s="28"/>
      <c r="AI967" s="28"/>
      <c r="AJ967" s="28"/>
      <c r="AK967" s="28"/>
      <c r="AL967" s="28"/>
      <c r="AM967" s="107"/>
    </row>
    <row r="968" spans="1:39" ht="15" x14ac:dyDescent="0.25">
      <c r="A968" s="69" t="s">
        <v>354</v>
      </c>
      <c r="B968" s="19" t="s">
        <v>420</v>
      </c>
      <c r="C968" s="30" t="s">
        <v>63</v>
      </c>
      <c r="D968" s="268" t="s">
        <v>409</v>
      </c>
      <c r="E968" s="31"/>
      <c r="F968" s="66">
        <v>75</v>
      </c>
      <c r="G968" s="66">
        <v>75</v>
      </c>
      <c r="H968" s="66">
        <v>75</v>
      </c>
      <c r="I968" s="66">
        <v>75</v>
      </c>
      <c r="J968" s="66">
        <v>75</v>
      </c>
      <c r="K968" s="66">
        <v>75</v>
      </c>
      <c r="L968" s="66">
        <v>75</v>
      </c>
      <c r="M968" s="66">
        <v>75</v>
      </c>
      <c r="N968" s="66">
        <v>75</v>
      </c>
      <c r="O968" s="66">
        <v>75</v>
      </c>
      <c r="P968" s="66">
        <v>75</v>
      </c>
      <c r="Q968" s="66">
        <v>75</v>
      </c>
      <c r="R968" s="66">
        <v>75</v>
      </c>
      <c r="S968" s="66">
        <v>75</v>
      </c>
      <c r="T968" s="66">
        <v>75</v>
      </c>
      <c r="U968" s="66">
        <v>75</v>
      </c>
      <c r="V968" s="66">
        <v>75</v>
      </c>
      <c r="W968" s="66">
        <v>75</v>
      </c>
      <c r="X968" s="66">
        <v>75</v>
      </c>
      <c r="Y968" s="66">
        <v>75</v>
      </c>
      <c r="Z968" s="66">
        <v>75</v>
      </c>
      <c r="AA968" s="66">
        <v>75</v>
      </c>
      <c r="AB968" s="66">
        <v>75</v>
      </c>
      <c r="AC968" s="66">
        <v>75</v>
      </c>
      <c r="AD968" s="66">
        <v>75</v>
      </c>
      <c r="AE968" s="66">
        <v>75</v>
      </c>
      <c r="AF968" s="66">
        <v>75</v>
      </c>
      <c r="AG968" s="66">
        <v>75</v>
      </c>
      <c r="AH968" s="66">
        <v>75</v>
      </c>
      <c r="AI968" s="66">
        <v>75</v>
      </c>
      <c r="AJ968" s="66">
        <v>75</v>
      </c>
      <c r="AK968" s="66">
        <v>75</v>
      </c>
      <c r="AL968" s="66">
        <v>75</v>
      </c>
      <c r="AM968" s="378">
        <f t="shared" ref="AM968:AM976" si="213">AVERAGE(F968:AL968)</f>
        <v>75</v>
      </c>
    </row>
    <row r="969" spans="1:39" x14ac:dyDescent="0.2">
      <c r="A969" s="1"/>
      <c r="B969" s="19" t="s">
        <v>421</v>
      </c>
      <c r="C969" s="30" t="s">
        <v>63</v>
      </c>
      <c r="D969" s="268" t="s">
        <v>409</v>
      </c>
      <c r="E969" s="31"/>
      <c r="F969" s="66">
        <v>15.384615384615399</v>
      </c>
      <c r="G969" s="66">
        <v>15.384615384615399</v>
      </c>
      <c r="H969" s="66">
        <v>15.384615384615399</v>
      </c>
      <c r="I969" s="66">
        <v>15.384615384615399</v>
      </c>
      <c r="J969" s="66">
        <v>15.384615384615399</v>
      </c>
      <c r="K969" s="66">
        <v>15.384615384615399</v>
      </c>
      <c r="L969" s="66">
        <v>15.384615384615399</v>
      </c>
      <c r="M969" s="66">
        <v>15.384615384615399</v>
      </c>
      <c r="N969" s="66">
        <v>15.384615384615399</v>
      </c>
      <c r="O969" s="66">
        <v>15.384615384615399</v>
      </c>
      <c r="P969" s="66">
        <v>15.384615384615399</v>
      </c>
      <c r="Q969" s="66">
        <v>15.384615384615399</v>
      </c>
      <c r="R969" s="66">
        <v>15.384615384615399</v>
      </c>
      <c r="S969" s="66">
        <v>15.384615384615399</v>
      </c>
      <c r="T969" s="66">
        <v>15.384615384615399</v>
      </c>
      <c r="U969" s="66">
        <v>15.384615384615399</v>
      </c>
      <c r="V969" s="66">
        <v>15.384615384615399</v>
      </c>
      <c r="W969" s="66">
        <v>15.384615384615399</v>
      </c>
      <c r="X969" s="66">
        <v>15.384615384615399</v>
      </c>
      <c r="Y969" s="66">
        <v>15.384615384615399</v>
      </c>
      <c r="Z969" s="66">
        <v>15.384615384615399</v>
      </c>
      <c r="AA969" s="66">
        <v>15.384615384615399</v>
      </c>
      <c r="AB969" s="66">
        <v>15.384615384615399</v>
      </c>
      <c r="AC969" s="66">
        <v>15.384615384615399</v>
      </c>
      <c r="AD969" s="66">
        <v>15.384615384615399</v>
      </c>
      <c r="AE969" s="66">
        <v>15.384615384615399</v>
      </c>
      <c r="AF969" s="66">
        <v>15.384615384615399</v>
      </c>
      <c r="AG969" s="66">
        <v>15.384615384615399</v>
      </c>
      <c r="AH969" s="66">
        <v>15.384615384615399</v>
      </c>
      <c r="AI969" s="66">
        <v>15.384615384615399</v>
      </c>
      <c r="AJ969" s="66">
        <v>15.384615384615399</v>
      </c>
      <c r="AK969" s="66">
        <v>15.384615384615399</v>
      </c>
      <c r="AL969" s="66">
        <v>15.384615384615399</v>
      </c>
      <c r="AM969" s="378">
        <f t="shared" si="213"/>
        <v>15.384615384615405</v>
      </c>
    </row>
    <row r="970" spans="1:39" x14ac:dyDescent="0.2">
      <c r="A970" s="1"/>
      <c r="B970" s="19" t="s">
        <v>422</v>
      </c>
      <c r="C970" s="30" t="s">
        <v>63</v>
      </c>
      <c r="D970" s="268" t="s">
        <v>409</v>
      </c>
      <c r="E970" s="31"/>
      <c r="F970" s="66">
        <v>9.6153846153846203</v>
      </c>
      <c r="G970" s="66">
        <v>9.6153846153846203</v>
      </c>
      <c r="H970" s="66">
        <v>9.6153846153846203</v>
      </c>
      <c r="I970" s="66">
        <v>9.6153846153846203</v>
      </c>
      <c r="J970" s="66">
        <v>9.6153846153846203</v>
      </c>
      <c r="K970" s="66">
        <v>9.6153846153846203</v>
      </c>
      <c r="L970" s="66">
        <v>9.6153846153846203</v>
      </c>
      <c r="M970" s="66">
        <v>9.6153846153846203</v>
      </c>
      <c r="N970" s="66">
        <v>9.6153846153846203</v>
      </c>
      <c r="O970" s="66">
        <v>9.6153846153846203</v>
      </c>
      <c r="P970" s="66">
        <v>9.6153846153846203</v>
      </c>
      <c r="Q970" s="66">
        <v>9.6153846153846203</v>
      </c>
      <c r="R970" s="66">
        <v>9.6153846153846203</v>
      </c>
      <c r="S970" s="66">
        <v>9.6153846153846203</v>
      </c>
      <c r="T970" s="66">
        <v>9.6153846153846203</v>
      </c>
      <c r="U970" s="66">
        <v>9.6153846153846203</v>
      </c>
      <c r="V970" s="66">
        <v>9.6153846153846203</v>
      </c>
      <c r="W970" s="66">
        <v>9.6153846153846203</v>
      </c>
      <c r="X970" s="66">
        <v>9.6153846153846203</v>
      </c>
      <c r="Y970" s="66">
        <v>9.6153846153846203</v>
      </c>
      <c r="Z970" s="66">
        <v>9.6153846153846203</v>
      </c>
      <c r="AA970" s="66">
        <v>9.6153846153846203</v>
      </c>
      <c r="AB970" s="66">
        <v>9.6153846153846203</v>
      </c>
      <c r="AC970" s="66">
        <v>9.6153846153846203</v>
      </c>
      <c r="AD970" s="66">
        <v>9.6153846153846203</v>
      </c>
      <c r="AE970" s="66">
        <v>9.6153846153846203</v>
      </c>
      <c r="AF970" s="66">
        <v>9.6153846153846203</v>
      </c>
      <c r="AG970" s="66">
        <v>9.6153846153846203</v>
      </c>
      <c r="AH970" s="66">
        <v>9.6153846153846203</v>
      </c>
      <c r="AI970" s="66">
        <v>9.6153846153846203</v>
      </c>
      <c r="AJ970" s="66">
        <v>9.6153846153846203</v>
      </c>
      <c r="AK970" s="66">
        <v>9.6153846153846203</v>
      </c>
      <c r="AL970" s="66">
        <v>9.6153846153846203</v>
      </c>
      <c r="AM970" s="378">
        <f t="shared" si="213"/>
        <v>9.6153846153846203</v>
      </c>
    </row>
    <row r="971" spans="1:39" ht="15" x14ac:dyDescent="0.25">
      <c r="A971" s="69" t="s">
        <v>360</v>
      </c>
      <c r="B971" s="19" t="s">
        <v>423</v>
      </c>
      <c r="C971" s="30" t="s">
        <v>63</v>
      </c>
      <c r="D971" s="268" t="s">
        <v>409</v>
      </c>
      <c r="E971" s="31"/>
      <c r="F971" s="66">
        <v>15.384615384615399</v>
      </c>
      <c r="G971" s="66">
        <v>15.384615384615399</v>
      </c>
      <c r="H971" s="66">
        <v>15.384615384615399</v>
      </c>
      <c r="I971" s="66">
        <v>15.384615384615399</v>
      </c>
      <c r="J971" s="66">
        <v>15.384615384615399</v>
      </c>
      <c r="K971" s="66">
        <v>15.384615384615399</v>
      </c>
      <c r="L971" s="66">
        <v>15.384615384615399</v>
      </c>
      <c r="M971" s="66">
        <v>15.384615384615399</v>
      </c>
      <c r="N971" s="66">
        <v>15.384615384615399</v>
      </c>
      <c r="O971" s="66">
        <v>15.384615384615399</v>
      </c>
      <c r="P971" s="66">
        <v>15.384615384615399</v>
      </c>
      <c r="Q971" s="66">
        <v>15.384615384615399</v>
      </c>
      <c r="R971" s="66">
        <v>15.384615384615399</v>
      </c>
      <c r="S971" s="66">
        <v>15.384615384615399</v>
      </c>
      <c r="T971" s="66">
        <v>15.384615384615399</v>
      </c>
      <c r="U971" s="66">
        <v>15.384615384615399</v>
      </c>
      <c r="V971" s="66">
        <v>15.384615384615399</v>
      </c>
      <c r="W971" s="66">
        <v>15.384615384615399</v>
      </c>
      <c r="X971" s="66">
        <v>15.384615384615399</v>
      </c>
      <c r="Y971" s="66">
        <v>15.384615384615399</v>
      </c>
      <c r="Z971" s="66">
        <v>15.384615384615399</v>
      </c>
      <c r="AA971" s="66">
        <v>15.384615384615399</v>
      </c>
      <c r="AB971" s="66">
        <v>15.384615384615399</v>
      </c>
      <c r="AC971" s="66">
        <v>15.384615384615399</v>
      </c>
      <c r="AD971" s="66">
        <v>15.384615384615399</v>
      </c>
      <c r="AE971" s="66">
        <v>15.384615384615399</v>
      </c>
      <c r="AF971" s="66">
        <v>15.384615384615399</v>
      </c>
      <c r="AG971" s="66">
        <v>15.384615384615399</v>
      </c>
      <c r="AH971" s="66">
        <v>15.384615384615399</v>
      </c>
      <c r="AI971" s="66">
        <v>15.384615384615399</v>
      </c>
      <c r="AJ971" s="66">
        <v>15.384615384615399</v>
      </c>
      <c r="AK971" s="66">
        <v>15.384615384615399</v>
      </c>
      <c r="AL971" s="66">
        <v>15.384615384615399</v>
      </c>
      <c r="AM971" s="378">
        <f t="shared" si="213"/>
        <v>15.384615384615405</v>
      </c>
    </row>
    <row r="972" spans="1:39" x14ac:dyDescent="0.2">
      <c r="A972" s="8"/>
      <c r="B972" s="19" t="s">
        <v>424</v>
      </c>
      <c r="C972" s="30" t="s">
        <v>63</v>
      </c>
      <c r="D972" s="268" t="s">
        <v>409</v>
      </c>
      <c r="E972" s="31"/>
      <c r="F972" s="66">
        <v>7.6923076923076898</v>
      </c>
      <c r="G972" s="66">
        <v>7.6923076923076898</v>
      </c>
      <c r="H972" s="66">
        <v>7.6923076923076898</v>
      </c>
      <c r="I972" s="66">
        <v>7.6923076923076898</v>
      </c>
      <c r="J972" s="66">
        <v>7.6923076923076898</v>
      </c>
      <c r="K972" s="66">
        <v>7.6923076923076898</v>
      </c>
      <c r="L972" s="66">
        <v>7.6923076923076898</v>
      </c>
      <c r="M972" s="66">
        <v>7.6923076923076898</v>
      </c>
      <c r="N972" s="66">
        <v>7.6923076923076898</v>
      </c>
      <c r="O972" s="66">
        <v>7.6923076923076898</v>
      </c>
      <c r="P972" s="66">
        <v>7.6923076923076898</v>
      </c>
      <c r="Q972" s="66">
        <v>7.6923076923076898</v>
      </c>
      <c r="R972" s="66">
        <v>7.6923076923076898</v>
      </c>
      <c r="S972" s="66">
        <v>7.6923076923076898</v>
      </c>
      <c r="T972" s="66">
        <v>7.6923076923076898</v>
      </c>
      <c r="U972" s="66">
        <v>7.6923076923076898</v>
      </c>
      <c r="V972" s="66">
        <v>7.6923076923076898</v>
      </c>
      <c r="W972" s="66">
        <v>7.6923076923076898</v>
      </c>
      <c r="X972" s="66">
        <v>7.6923076923076898</v>
      </c>
      <c r="Y972" s="66">
        <v>7.6923076923076898</v>
      </c>
      <c r="Z972" s="66">
        <v>7.6923076923076898</v>
      </c>
      <c r="AA972" s="66">
        <v>7.6923076923076898</v>
      </c>
      <c r="AB972" s="66">
        <v>7.6923076923076898</v>
      </c>
      <c r="AC972" s="66">
        <v>7.6923076923076898</v>
      </c>
      <c r="AD972" s="66">
        <v>7.6923076923076898</v>
      </c>
      <c r="AE972" s="66">
        <v>7.6923076923076898</v>
      </c>
      <c r="AF972" s="66">
        <v>7.6923076923076898</v>
      </c>
      <c r="AG972" s="66">
        <v>7.6923076923076898</v>
      </c>
      <c r="AH972" s="66">
        <v>7.6923076923076898</v>
      </c>
      <c r="AI972" s="66">
        <v>7.6923076923076898</v>
      </c>
      <c r="AJ972" s="66">
        <v>7.6923076923076898</v>
      </c>
      <c r="AK972" s="66">
        <v>7.6923076923076898</v>
      </c>
      <c r="AL972" s="66">
        <v>7.6923076923076898</v>
      </c>
      <c r="AM972" s="378">
        <f t="shared" si="213"/>
        <v>7.6923076923076863</v>
      </c>
    </row>
    <row r="973" spans="1:39" x14ac:dyDescent="0.2">
      <c r="A973" s="8"/>
      <c r="B973" s="19" t="s">
        <v>425</v>
      </c>
      <c r="C973" s="30" t="s">
        <v>63</v>
      </c>
      <c r="D973" s="268" t="s">
        <v>409</v>
      </c>
      <c r="E973" s="31"/>
      <c r="F973" s="66">
        <v>48.076923076923102</v>
      </c>
      <c r="G973" s="66">
        <v>48.076923076923102</v>
      </c>
      <c r="H973" s="66">
        <v>48.076923076923102</v>
      </c>
      <c r="I973" s="66">
        <v>48.076923076923102</v>
      </c>
      <c r="J973" s="66">
        <v>48.076923076923102</v>
      </c>
      <c r="K973" s="66">
        <v>48.076923076923102</v>
      </c>
      <c r="L973" s="66">
        <v>48.076923076923102</v>
      </c>
      <c r="M973" s="66">
        <v>48.076923076923102</v>
      </c>
      <c r="N973" s="66">
        <v>48.076923076923102</v>
      </c>
      <c r="O973" s="66">
        <v>48.076923076923102</v>
      </c>
      <c r="P973" s="66">
        <v>48.076923076923102</v>
      </c>
      <c r="Q973" s="66">
        <v>48.076923076923102</v>
      </c>
      <c r="R973" s="66">
        <v>48.076923076923102</v>
      </c>
      <c r="S973" s="66">
        <v>48.076923076923102</v>
      </c>
      <c r="T973" s="66">
        <v>48.076923076923102</v>
      </c>
      <c r="U973" s="66">
        <v>48.076923076923102</v>
      </c>
      <c r="V973" s="66">
        <v>48.076923076923102</v>
      </c>
      <c r="W973" s="66">
        <v>48.076923076923102</v>
      </c>
      <c r="X973" s="66">
        <v>48.076923076923102</v>
      </c>
      <c r="Y973" s="66">
        <v>48.076923076923102</v>
      </c>
      <c r="Z973" s="66">
        <v>48.076923076923102</v>
      </c>
      <c r="AA973" s="66">
        <v>48.076923076923102</v>
      </c>
      <c r="AB973" s="66">
        <v>48.076923076923102</v>
      </c>
      <c r="AC973" s="66">
        <v>48.076923076923102</v>
      </c>
      <c r="AD973" s="66">
        <v>48.076923076923102</v>
      </c>
      <c r="AE973" s="66">
        <v>48.076923076923102</v>
      </c>
      <c r="AF973" s="66">
        <v>48.076923076923102</v>
      </c>
      <c r="AG973" s="66">
        <v>48.076923076923102</v>
      </c>
      <c r="AH973" s="66">
        <v>48.076923076923102</v>
      </c>
      <c r="AI973" s="66">
        <v>48.076923076923102</v>
      </c>
      <c r="AJ973" s="66">
        <v>48.076923076923102</v>
      </c>
      <c r="AK973" s="66">
        <v>48.076923076923102</v>
      </c>
      <c r="AL973" s="66">
        <v>48.076923076923102</v>
      </c>
      <c r="AM973" s="378">
        <f t="shared" si="213"/>
        <v>48.076923076923102</v>
      </c>
    </row>
    <row r="974" spans="1:39" x14ac:dyDescent="0.2">
      <c r="A974" s="8"/>
      <c r="B974" s="19" t="s">
        <v>426</v>
      </c>
      <c r="C974" s="30" t="s">
        <v>63</v>
      </c>
      <c r="D974" s="268" t="s">
        <v>409</v>
      </c>
      <c r="E974" s="31"/>
      <c r="F974" s="66">
        <v>5.7692307692307701</v>
      </c>
      <c r="G974" s="66">
        <v>5.7692307692307701</v>
      </c>
      <c r="H974" s="66">
        <v>5.7692307692307701</v>
      </c>
      <c r="I974" s="66">
        <v>5.7692307692307701</v>
      </c>
      <c r="J974" s="66">
        <v>5.7692307692307701</v>
      </c>
      <c r="K974" s="66">
        <v>5.7692307692307701</v>
      </c>
      <c r="L974" s="66">
        <v>5.7692307692307701</v>
      </c>
      <c r="M974" s="66">
        <v>5.7692307692307701</v>
      </c>
      <c r="N974" s="66">
        <v>5.7692307692307701</v>
      </c>
      <c r="O974" s="66">
        <v>5.7692307692307701</v>
      </c>
      <c r="P974" s="66">
        <v>5.7692307692307701</v>
      </c>
      <c r="Q974" s="66">
        <v>5.7692307692307701</v>
      </c>
      <c r="R974" s="66">
        <v>5.7692307692307701</v>
      </c>
      <c r="S974" s="66">
        <v>5.7692307692307701</v>
      </c>
      <c r="T974" s="66">
        <v>5.7692307692307701</v>
      </c>
      <c r="U974" s="66">
        <v>5.7692307692307701</v>
      </c>
      <c r="V974" s="66">
        <v>5.7692307692307701</v>
      </c>
      <c r="W974" s="66">
        <v>5.7692307692307701</v>
      </c>
      <c r="X974" s="66">
        <v>5.7692307692307701</v>
      </c>
      <c r="Y974" s="66">
        <v>5.7692307692307701</v>
      </c>
      <c r="Z974" s="66">
        <v>5.7692307692307701</v>
      </c>
      <c r="AA974" s="66">
        <v>5.7692307692307701</v>
      </c>
      <c r="AB974" s="66">
        <v>5.7692307692307701</v>
      </c>
      <c r="AC974" s="66">
        <v>5.7692307692307701</v>
      </c>
      <c r="AD974" s="66">
        <v>5.7692307692307701</v>
      </c>
      <c r="AE974" s="66">
        <v>5.7692307692307701</v>
      </c>
      <c r="AF974" s="66">
        <v>5.7692307692307701</v>
      </c>
      <c r="AG974" s="66">
        <v>5.7692307692307701</v>
      </c>
      <c r="AH974" s="66">
        <v>5.7692307692307701</v>
      </c>
      <c r="AI974" s="66">
        <v>5.7692307692307701</v>
      </c>
      <c r="AJ974" s="66">
        <v>5.7692307692307701</v>
      </c>
      <c r="AK974" s="66">
        <v>5.7692307692307701</v>
      </c>
      <c r="AL974" s="66">
        <v>5.7692307692307701</v>
      </c>
      <c r="AM974" s="378">
        <f t="shared" si="213"/>
        <v>5.7692307692307727</v>
      </c>
    </row>
    <row r="975" spans="1:39" x14ac:dyDescent="0.2">
      <c r="A975" s="8"/>
      <c r="B975" s="19" t="s">
        <v>427</v>
      </c>
      <c r="C975" s="30" t="s">
        <v>63</v>
      </c>
      <c r="D975" s="268" t="s">
        <v>409</v>
      </c>
      <c r="E975" s="31"/>
      <c r="F975" s="66">
        <v>5.7692307692307701</v>
      </c>
      <c r="G975" s="66">
        <v>5.7692307692307701</v>
      </c>
      <c r="H975" s="66">
        <v>5.7692307692307701</v>
      </c>
      <c r="I975" s="66">
        <v>5.7692307692307701</v>
      </c>
      <c r="J975" s="66">
        <v>5.7692307692307701</v>
      </c>
      <c r="K975" s="66">
        <v>5.7692307692307701</v>
      </c>
      <c r="L975" s="66">
        <v>5.7692307692307701</v>
      </c>
      <c r="M975" s="66">
        <v>5.7692307692307701</v>
      </c>
      <c r="N975" s="66">
        <v>5.7692307692307701</v>
      </c>
      <c r="O975" s="66">
        <v>5.7692307692307701</v>
      </c>
      <c r="P975" s="66">
        <v>5.7692307692307701</v>
      </c>
      <c r="Q975" s="66">
        <v>5.7692307692307701</v>
      </c>
      <c r="R975" s="66">
        <v>5.7692307692307701</v>
      </c>
      <c r="S975" s="66">
        <v>5.7692307692307701</v>
      </c>
      <c r="T975" s="66">
        <v>5.7692307692307701</v>
      </c>
      <c r="U975" s="66">
        <v>5.7692307692307701</v>
      </c>
      <c r="V975" s="66">
        <v>5.7692307692307701</v>
      </c>
      <c r="W975" s="66">
        <v>5.7692307692307701</v>
      </c>
      <c r="X975" s="66">
        <v>5.7692307692307701</v>
      </c>
      <c r="Y975" s="66">
        <v>5.7692307692307701</v>
      </c>
      <c r="Z975" s="66">
        <v>5.7692307692307701</v>
      </c>
      <c r="AA975" s="66">
        <v>5.7692307692307701</v>
      </c>
      <c r="AB975" s="66">
        <v>5.7692307692307701</v>
      </c>
      <c r="AC975" s="66">
        <v>5.7692307692307701</v>
      </c>
      <c r="AD975" s="66">
        <v>5.7692307692307701</v>
      </c>
      <c r="AE975" s="66">
        <v>5.7692307692307701</v>
      </c>
      <c r="AF975" s="66">
        <v>5.7692307692307701</v>
      </c>
      <c r="AG975" s="66">
        <v>5.7692307692307701</v>
      </c>
      <c r="AH975" s="66">
        <v>5.7692307692307701</v>
      </c>
      <c r="AI975" s="66">
        <v>5.7692307692307701</v>
      </c>
      <c r="AJ975" s="66">
        <v>5.7692307692307701</v>
      </c>
      <c r="AK975" s="66">
        <v>5.7692307692307701</v>
      </c>
      <c r="AL975" s="66">
        <v>5.7692307692307701</v>
      </c>
      <c r="AM975" s="378">
        <f t="shared" si="213"/>
        <v>5.7692307692307727</v>
      </c>
    </row>
    <row r="976" spans="1:39" x14ac:dyDescent="0.2">
      <c r="A976" s="8"/>
      <c r="B976" s="19" t="s">
        <v>428</v>
      </c>
      <c r="C976" s="30" t="s">
        <v>63</v>
      </c>
      <c r="D976" s="268" t="s">
        <v>409</v>
      </c>
      <c r="E976" s="31"/>
      <c r="F976" s="66">
        <v>9.6153846153846203</v>
      </c>
      <c r="G976" s="66">
        <v>9.6153846153846203</v>
      </c>
      <c r="H976" s="66">
        <v>9.6153846153846203</v>
      </c>
      <c r="I976" s="66">
        <v>9.6153846153846203</v>
      </c>
      <c r="J976" s="66">
        <v>9.6153846153846203</v>
      </c>
      <c r="K976" s="66">
        <v>9.6153846153846203</v>
      </c>
      <c r="L976" s="66">
        <v>9.6153846153846203</v>
      </c>
      <c r="M976" s="66">
        <v>9.6153846153846203</v>
      </c>
      <c r="N976" s="66">
        <v>9.6153846153846203</v>
      </c>
      <c r="O976" s="66">
        <v>9.6153846153846203</v>
      </c>
      <c r="P976" s="66">
        <v>9.6153846153846203</v>
      </c>
      <c r="Q976" s="66">
        <v>9.6153846153846203</v>
      </c>
      <c r="R976" s="66">
        <v>9.6153846153846203</v>
      </c>
      <c r="S976" s="66">
        <v>9.6153846153846203</v>
      </c>
      <c r="T976" s="66">
        <v>9.6153846153846203</v>
      </c>
      <c r="U976" s="66">
        <v>9.6153846153846203</v>
      </c>
      <c r="V976" s="66">
        <v>9.6153846153846203</v>
      </c>
      <c r="W976" s="66">
        <v>9.6153846153846203</v>
      </c>
      <c r="X976" s="66">
        <v>9.6153846153846203</v>
      </c>
      <c r="Y976" s="66">
        <v>9.6153846153846203</v>
      </c>
      <c r="Z976" s="66">
        <v>9.6153846153846203</v>
      </c>
      <c r="AA976" s="66">
        <v>9.6153846153846203</v>
      </c>
      <c r="AB976" s="66">
        <v>9.6153846153846203</v>
      </c>
      <c r="AC976" s="66">
        <v>9.6153846153846203</v>
      </c>
      <c r="AD976" s="66">
        <v>9.6153846153846203</v>
      </c>
      <c r="AE976" s="66">
        <v>9.6153846153846203</v>
      </c>
      <c r="AF976" s="66">
        <v>9.6153846153846203</v>
      </c>
      <c r="AG976" s="66">
        <v>9.6153846153846203</v>
      </c>
      <c r="AH976" s="66">
        <v>9.6153846153846203</v>
      </c>
      <c r="AI976" s="66">
        <v>9.6153846153846203</v>
      </c>
      <c r="AJ976" s="66">
        <v>9.6153846153846203</v>
      </c>
      <c r="AK976" s="66">
        <v>9.6153846153846203</v>
      </c>
      <c r="AL976" s="66">
        <v>9.6153846153846203</v>
      </c>
      <c r="AM976" s="378">
        <f t="shared" si="213"/>
        <v>9.6153846153846203</v>
      </c>
    </row>
    <row r="977" spans="1:39" x14ac:dyDescent="0.2">
      <c r="A977" s="8"/>
      <c r="B977" s="8" t="s">
        <v>429</v>
      </c>
      <c r="C977" s="3" t="s">
        <v>63</v>
      </c>
      <c r="D977" s="19"/>
      <c r="E977" s="70"/>
      <c r="F977" s="70">
        <f t="shared" ref="F977:AL977" si="214">(F918/100*F975)/2+(F913/100*F970)/2+(F911/100*F968)</f>
        <v>2.1230769230769235</v>
      </c>
      <c r="G977" s="70">
        <f t="shared" si="214"/>
        <v>2.1230769230769235</v>
      </c>
      <c r="H977" s="70">
        <f t="shared" si="214"/>
        <v>2.1230769230769235</v>
      </c>
      <c r="I977" s="70">
        <f t="shared" si="214"/>
        <v>2.1230769230769235</v>
      </c>
      <c r="J977" s="70">
        <f t="shared" si="214"/>
        <v>2.1230769230769235</v>
      </c>
      <c r="K977" s="70">
        <f t="shared" si="214"/>
        <v>2.1230769230769235</v>
      </c>
      <c r="L977" s="70">
        <f t="shared" si="214"/>
        <v>2.1230769230769235</v>
      </c>
      <c r="M977" s="70">
        <f t="shared" si="214"/>
        <v>2.1230769230769235</v>
      </c>
      <c r="N977" s="70">
        <f t="shared" si="214"/>
        <v>2.1230769230769235</v>
      </c>
      <c r="O977" s="70">
        <f t="shared" si="214"/>
        <v>2.1230769230769235</v>
      </c>
      <c r="P977" s="70">
        <f t="shared" si="214"/>
        <v>2.1230769230769235</v>
      </c>
      <c r="Q977" s="70">
        <f t="shared" si="214"/>
        <v>2.1230769230769235</v>
      </c>
      <c r="R977" s="70">
        <f t="shared" si="214"/>
        <v>2.1230769230769235</v>
      </c>
      <c r="S977" s="70">
        <f t="shared" si="214"/>
        <v>2.1230769230769235</v>
      </c>
      <c r="T977" s="70">
        <f t="shared" si="214"/>
        <v>2.1230769230769235</v>
      </c>
      <c r="U977" s="70">
        <f t="shared" si="214"/>
        <v>2.1230769230769235</v>
      </c>
      <c r="V977" s="70">
        <f t="shared" si="214"/>
        <v>2.1230769230769235</v>
      </c>
      <c r="W977" s="70">
        <f t="shared" si="214"/>
        <v>2.1230769230769235</v>
      </c>
      <c r="X977" s="70">
        <f t="shared" si="214"/>
        <v>2.1230769230769235</v>
      </c>
      <c r="Y977" s="70">
        <f t="shared" si="214"/>
        <v>2.1230769230769235</v>
      </c>
      <c r="Z977" s="70">
        <f t="shared" si="214"/>
        <v>2.1230769230769235</v>
      </c>
      <c r="AA977" s="70">
        <f t="shared" si="214"/>
        <v>2.1230769230769235</v>
      </c>
      <c r="AB977" s="70">
        <f t="shared" si="214"/>
        <v>2.1230769230769235</v>
      </c>
      <c r="AC977" s="70">
        <f t="shared" si="214"/>
        <v>2.1230769230769235</v>
      </c>
      <c r="AD977" s="70">
        <f t="shared" si="214"/>
        <v>2.1230769230769235</v>
      </c>
      <c r="AE977" s="70">
        <f t="shared" si="214"/>
        <v>2.1230769230769235</v>
      </c>
      <c r="AF977" s="70">
        <f t="shared" si="214"/>
        <v>2.1230769230769235</v>
      </c>
      <c r="AG977" s="70">
        <f t="shared" si="214"/>
        <v>2.1230769230769235</v>
      </c>
      <c r="AH977" s="70">
        <f t="shared" si="214"/>
        <v>2.1230769230769235</v>
      </c>
      <c r="AI977" s="70">
        <f t="shared" si="214"/>
        <v>2.1230769230769235</v>
      </c>
      <c r="AJ977" s="70">
        <f t="shared" si="214"/>
        <v>2.1230769230769235</v>
      </c>
      <c r="AK977" s="70">
        <f t="shared" si="214"/>
        <v>2.1230769230769235</v>
      </c>
      <c r="AL977" s="70">
        <f t="shared" si="214"/>
        <v>2.1230769230769235</v>
      </c>
      <c r="AM977" s="130">
        <f>(AM920/100*AM975)/2+(AM915/100*AM970)/2+(AM913/100*AM968)</f>
        <v>0.34259615384615388</v>
      </c>
    </row>
    <row r="978" spans="1:39" x14ac:dyDescent="0.2">
      <c r="A978" s="8"/>
      <c r="B978" s="8" t="s">
        <v>430</v>
      </c>
      <c r="C978" s="3" t="s">
        <v>63</v>
      </c>
      <c r="D978" s="19"/>
      <c r="E978" s="70"/>
      <c r="F978" s="70">
        <f t="shared" ref="F978:AL978" si="215">(F911/100*F968)+(F912/100*F969)+(F913/100*F970)+(F914/100*F971)+(F915/100*F972)+(F916/100*F973)+(F917/100*F974)+(F918/100*F975)+(F919/100*F976)-F977</f>
        <v>2.5600769230769238</v>
      </c>
      <c r="G978" s="70">
        <f t="shared" si="215"/>
        <v>2.5600769230769238</v>
      </c>
      <c r="H978" s="70">
        <f t="shared" si="215"/>
        <v>2.5600769230769238</v>
      </c>
      <c r="I978" s="70">
        <f t="shared" si="215"/>
        <v>2.5600769230769238</v>
      </c>
      <c r="J978" s="70">
        <f t="shared" si="215"/>
        <v>2.5600769230769238</v>
      </c>
      <c r="K978" s="70">
        <f t="shared" si="215"/>
        <v>2.5600769230769238</v>
      </c>
      <c r="L978" s="70">
        <f t="shared" si="215"/>
        <v>2.5600769230769238</v>
      </c>
      <c r="M978" s="70">
        <f t="shared" si="215"/>
        <v>2.5600769230769238</v>
      </c>
      <c r="N978" s="70">
        <f t="shared" si="215"/>
        <v>2.5600769230769238</v>
      </c>
      <c r="O978" s="70">
        <f t="shared" si="215"/>
        <v>2.5600769230769238</v>
      </c>
      <c r="P978" s="70">
        <f t="shared" si="215"/>
        <v>2.5600769230769238</v>
      </c>
      <c r="Q978" s="70">
        <f t="shared" si="215"/>
        <v>2.5600769230769238</v>
      </c>
      <c r="R978" s="70">
        <f t="shared" si="215"/>
        <v>2.5600769230769238</v>
      </c>
      <c r="S978" s="70">
        <f t="shared" si="215"/>
        <v>2.5600769230769238</v>
      </c>
      <c r="T978" s="70">
        <f t="shared" si="215"/>
        <v>2.5600769230769238</v>
      </c>
      <c r="U978" s="70">
        <f t="shared" si="215"/>
        <v>2.5600769230769238</v>
      </c>
      <c r="V978" s="70">
        <f t="shared" si="215"/>
        <v>2.5600769230769238</v>
      </c>
      <c r="W978" s="70">
        <f t="shared" si="215"/>
        <v>2.5600769230769238</v>
      </c>
      <c r="X978" s="70">
        <f t="shared" si="215"/>
        <v>2.5600769230769238</v>
      </c>
      <c r="Y978" s="70">
        <f t="shared" si="215"/>
        <v>2.5600769230769238</v>
      </c>
      <c r="Z978" s="70">
        <f t="shared" si="215"/>
        <v>2.5600769230769238</v>
      </c>
      <c r="AA978" s="70">
        <f t="shared" si="215"/>
        <v>2.5600769230769238</v>
      </c>
      <c r="AB978" s="70">
        <f t="shared" si="215"/>
        <v>2.5600769230769238</v>
      </c>
      <c r="AC978" s="70">
        <f t="shared" si="215"/>
        <v>2.5600769230769238</v>
      </c>
      <c r="AD978" s="70">
        <f t="shared" si="215"/>
        <v>2.5600769230769238</v>
      </c>
      <c r="AE978" s="70">
        <f t="shared" si="215"/>
        <v>2.5600769230769238</v>
      </c>
      <c r="AF978" s="70">
        <f t="shared" si="215"/>
        <v>2.5600769230769238</v>
      </c>
      <c r="AG978" s="70">
        <f t="shared" si="215"/>
        <v>2.5600769230769238</v>
      </c>
      <c r="AH978" s="70">
        <f t="shared" si="215"/>
        <v>2.5600769230769238</v>
      </c>
      <c r="AI978" s="70">
        <f t="shared" si="215"/>
        <v>2.5600769230769238</v>
      </c>
      <c r="AJ978" s="70">
        <f t="shared" si="215"/>
        <v>2.5600769230769238</v>
      </c>
      <c r="AK978" s="70">
        <f t="shared" si="215"/>
        <v>2.5600769230769238</v>
      </c>
      <c r="AL978" s="70">
        <f t="shared" si="215"/>
        <v>2.5600769230769238</v>
      </c>
      <c r="AM978" s="130">
        <f>(AM913/100*AM968)+(AM914/100*AM969)+(AM915/100*AM970)+(AM916/100*AM971)+(AM917/100*AM972)+(AM918/100*AM973)+(AM919/100*AM974)+(AM920/100*AM975)+(AM921/100*AM976)-AM977</f>
        <v>3.2164423076923097</v>
      </c>
    </row>
    <row r="979" spans="1:39" x14ac:dyDescent="0.2">
      <c r="A979" s="8"/>
      <c r="B979" s="19"/>
      <c r="C979" s="18"/>
      <c r="D979" s="19"/>
      <c r="E979" s="8"/>
      <c r="F979" s="28"/>
      <c r="G979" s="28"/>
      <c r="H979" s="28"/>
      <c r="I979" s="28"/>
      <c r="J979" s="28"/>
      <c r="K979" s="28"/>
      <c r="L979" s="28"/>
      <c r="M979" s="28"/>
      <c r="N979" s="28"/>
      <c r="O979" s="28"/>
      <c r="P979" s="28"/>
      <c r="Q979" s="28"/>
      <c r="R979" s="28"/>
      <c r="S979" s="28"/>
      <c r="T979" s="28"/>
      <c r="U979" s="28"/>
      <c r="V979" s="28"/>
      <c r="W979" s="28"/>
      <c r="X979" s="28"/>
      <c r="Y979" s="28"/>
      <c r="Z979" s="28"/>
      <c r="AA979" s="28"/>
      <c r="AB979" s="28"/>
      <c r="AC979" s="28"/>
      <c r="AD979" s="28"/>
      <c r="AE979" s="28"/>
      <c r="AF979" s="28"/>
      <c r="AG979" s="28"/>
      <c r="AH979" s="28"/>
      <c r="AI979" s="28"/>
      <c r="AJ979" s="28"/>
      <c r="AK979" s="28"/>
      <c r="AL979" s="28"/>
      <c r="AM979" s="107"/>
    </row>
    <row r="980" spans="1:39" ht="15" x14ac:dyDescent="0.25">
      <c r="A980" s="69" t="s">
        <v>354</v>
      </c>
      <c r="B980" s="19" t="s">
        <v>431</v>
      </c>
      <c r="C980" s="30" t="s">
        <v>63</v>
      </c>
      <c r="D980" s="268" t="s">
        <v>409</v>
      </c>
      <c r="E980" s="31"/>
      <c r="F980" s="66">
        <v>78.571428571428598</v>
      </c>
      <c r="G980" s="66">
        <v>78.571428571428598</v>
      </c>
      <c r="H980" s="66">
        <v>78.571428571428598</v>
      </c>
      <c r="I980" s="66">
        <v>78.571428571428598</v>
      </c>
      <c r="J980" s="66">
        <v>78.571428571428598</v>
      </c>
      <c r="K980" s="66">
        <v>78.571428571428598</v>
      </c>
      <c r="L980" s="66">
        <v>78.571428571428598</v>
      </c>
      <c r="M980" s="66">
        <v>78.571428571428598</v>
      </c>
      <c r="N980" s="66">
        <v>78.571428571428598</v>
      </c>
      <c r="O980" s="66">
        <v>78.571428571428598</v>
      </c>
      <c r="P980" s="66">
        <v>78.571428571428598</v>
      </c>
      <c r="Q980" s="66">
        <v>78.571428571428598</v>
      </c>
      <c r="R980" s="66">
        <v>78.571428571428598</v>
      </c>
      <c r="S980" s="66">
        <v>78.571428571428598</v>
      </c>
      <c r="T980" s="66">
        <v>78.571428571428598</v>
      </c>
      <c r="U980" s="66">
        <v>78.571428571428598</v>
      </c>
      <c r="V980" s="66">
        <v>78.571428571428598</v>
      </c>
      <c r="W980" s="66">
        <v>78.571428571428598</v>
      </c>
      <c r="X980" s="66">
        <v>78.571428571428598</v>
      </c>
      <c r="Y980" s="66">
        <v>78.571428571428598</v>
      </c>
      <c r="Z980" s="66">
        <v>78.571428571428598</v>
      </c>
      <c r="AA980" s="66">
        <v>78.571428571428598</v>
      </c>
      <c r="AB980" s="66">
        <v>78.571428571428598</v>
      </c>
      <c r="AC980" s="66">
        <v>78.571428571428598</v>
      </c>
      <c r="AD980" s="66">
        <v>78.571428571428598</v>
      </c>
      <c r="AE980" s="66">
        <v>78.571428571428598</v>
      </c>
      <c r="AF980" s="66">
        <v>78.571428571428598</v>
      </c>
      <c r="AG980" s="66">
        <v>78.571428571428598</v>
      </c>
      <c r="AH980" s="66">
        <v>78.571428571428598</v>
      </c>
      <c r="AI980" s="66">
        <v>78.571428571428598</v>
      </c>
      <c r="AJ980" s="66">
        <v>78.571428571428598</v>
      </c>
      <c r="AK980" s="66">
        <v>78.571428571428598</v>
      </c>
      <c r="AL980" s="66">
        <v>78.571428571428598</v>
      </c>
      <c r="AM980" s="378">
        <f t="shared" ref="AM980:AM988" si="216">AVERAGE(F980:AL980)</f>
        <v>78.571428571428598</v>
      </c>
    </row>
    <row r="981" spans="1:39" x14ac:dyDescent="0.2">
      <c r="A981" s="1"/>
      <c r="B981" s="19" t="s">
        <v>432</v>
      </c>
      <c r="C981" s="30" t="s">
        <v>63</v>
      </c>
      <c r="D981" s="268" t="s">
        <v>409</v>
      </c>
      <c r="E981" s="31"/>
      <c r="F981" s="66">
        <v>14.285714285714301</v>
      </c>
      <c r="G981" s="66">
        <v>14.285714285714301</v>
      </c>
      <c r="H981" s="66">
        <v>14.285714285714301</v>
      </c>
      <c r="I981" s="66">
        <v>14.285714285714301</v>
      </c>
      <c r="J981" s="66">
        <v>14.285714285714301</v>
      </c>
      <c r="K981" s="66">
        <v>14.285714285714301</v>
      </c>
      <c r="L981" s="66">
        <v>14.285714285714301</v>
      </c>
      <c r="M981" s="66">
        <v>14.285714285714301</v>
      </c>
      <c r="N981" s="66">
        <v>14.285714285714301</v>
      </c>
      <c r="O981" s="66">
        <v>14.285714285714301</v>
      </c>
      <c r="P981" s="66">
        <v>14.285714285714301</v>
      </c>
      <c r="Q981" s="66">
        <v>14.285714285714301</v>
      </c>
      <c r="R981" s="66">
        <v>14.285714285714301</v>
      </c>
      <c r="S981" s="66">
        <v>14.285714285714301</v>
      </c>
      <c r="T981" s="66">
        <v>14.285714285714301</v>
      </c>
      <c r="U981" s="66">
        <v>14.285714285714301</v>
      </c>
      <c r="V981" s="66">
        <v>14.285714285714301</v>
      </c>
      <c r="W981" s="66">
        <v>14.285714285714301</v>
      </c>
      <c r="X981" s="66">
        <v>14.285714285714301</v>
      </c>
      <c r="Y981" s="66">
        <v>14.285714285714301</v>
      </c>
      <c r="Z981" s="66">
        <v>14.285714285714301</v>
      </c>
      <c r="AA981" s="66">
        <v>14.285714285714301</v>
      </c>
      <c r="AB981" s="66">
        <v>14.285714285714301</v>
      </c>
      <c r="AC981" s="66">
        <v>14.285714285714301</v>
      </c>
      <c r="AD981" s="66">
        <v>14.285714285714301</v>
      </c>
      <c r="AE981" s="66">
        <v>14.285714285714301</v>
      </c>
      <c r="AF981" s="66">
        <v>14.285714285714301</v>
      </c>
      <c r="AG981" s="66">
        <v>14.285714285714301</v>
      </c>
      <c r="AH981" s="66">
        <v>14.285714285714301</v>
      </c>
      <c r="AI981" s="66">
        <v>14.285714285714301</v>
      </c>
      <c r="AJ981" s="66">
        <v>14.285714285714301</v>
      </c>
      <c r="AK981" s="66">
        <v>14.285714285714301</v>
      </c>
      <c r="AL981" s="66">
        <v>14.285714285714301</v>
      </c>
      <c r="AM981" s="378">
        <f t="shared" si="216"/>
        <v>14.285714285714292</v>
      </c>
    </row>
    <row r="982" spans="1:39" x14ac:dyDescent="0.2">
      <c r="A982" s="1"/>
      <c r="B982" s="19" t="s">
        <v>433</v>
      </c>
      <c r="C982" s="30" t="s">
        <v>63</v>
      </c>
      <c r="D982" s="268" t="s">
        <v>409</v>
      </c>
      <c r="E982" s="31"/>
      <c r="F982" s="66">
        <v>7.1428571428571397</v>
      </c>
      <c r="G982" s="66">
        <v>7.1428571428571397</v>
      </c>
      <c r="H982" s="66">
        <v>7.1428571428571397</v>
      </c>
      <c r="I982" s="66">
        <v>7.1428571428571397</v>
      </c>
      <c r="J982" s="66">
        <v>7.1428571428571397</v>
      </c>
      <c r="K982" s="66">
        <v>7.1428571428571397</v>
      </c>
      <c r="L982" s="66">
        <v>7.1428571428571397</v>
      </c>
      <c r="M982" s="66">
        <v>7.1428571428571397</v>
      </c>
      <c r="N982" s="66">
        <v>7.1428571428571397</v>
      </c>
      <c r="O982" s="66">
        <v>7.1428571428571397</v>
      </c>
      <c r="P982" s="66">
        <v>7.1428571428571397</v>
      </c>
      <c r="Q982" s="66">
        <v>7.1428571428571397</v>
      </c>
      <c r="R982" s="66">
        <v>7.1428571428571397</v>
      </c>
      <c r="S982" s="66">
        <v>7.1428571428571397</v>
      </c>
      <c r="T982" s="66">
        <v>7.1428571428571397</v>
      </c>
      <c r="U982" s="66">
        <v>7.1428571428571397</v>
      </c>
      <c r="V982" s="66">
        <v>7.1428571428571397</v>
      </c>
      <c r="W982" s="66">
        <v>7.1428571428571397</v>
      </c>
      <c r="X982" s="66">
        <v>7.1428571428571397</v>
      </c>
      <c r="Y982" s="66">
        <v>7.1428571428571397</v>
      </c>
      <c r="Z982" s="66">
        <v>7.1428571428571397</v>
      </c>
      <c r="AA982" s="66">
        <v>7.1428571428571397</v>
      </c>
      <c r="AB982" s="66">
        <v>7.1428571428571397</v>
      </c>
      <c r="AC982" s="66">
        <v>7.1428571428571397</v>
      </c>
      <c r="AD982" s="66">
        <v>7.1428571428571397</v>
      </c>
      <c r="AE982" s="66">
        <v>7.1428571428571397</v>
      </c>
      <c r="AF982" s="66">
        <v>7.1428571428571397</v>
      </c>
      <c r="AG982" s="66">
        <v>7.1428571428571397</v>
      </c>
      <c r="AH982" s="66">
        <v>7.1428571428571397</v>
      </c>
      <c r="AI982" s="66">
        <v>7.1428571428571397</v>
      </c>
      <c r="AJ982" s="66">
        <v>7.1428571428571397</v>
      </c>
      <c r="AK982" s="66">
        <v>7.1428571428571397</v>
      </c>
      <c r="AL982" s="66">
        <v>7.1428571428571397</v>
      </c>
      <c r="AM982" s="378">
        <f t="shared" si="216"/>
        <v>7.1428571428571397</v>
      </c>
    </row>
    <row r="983" spans="1:39" ht="15" x14ac:dyDescent="0.25">
      <c r="A983" s="69" t="s">
        <v>360</v>
      </c>
      <c r="B983" s="19" t="s">
        <v>434</v>
      </c>
      <c r="C983" s="30" t="s">
        <v>63</v>
      </c>
      <c r="D983" s="268" t="s">
        <v>409</v>
      </c>
      <c r="E983" s="31"/>
      <c r="F983" s="27">
        <v>11.4285714285714</v>
      </c>
      <c r="G983" s="27">
        <v>11.4285714285714</v>
      </c>
      <c r="H983" s="27">
        <v>11.4285714285714</v>
      </c>
      <c r="I983" s="27">
        <v>11.4285714285714</v>
      </c>
      <c r="J983" s="27">
        <v>11.4285714285714</v>
      </c>
      <c r="K983" s="27">
        <v>11.4285714285714</v>
      </c>
      <c r="L983" s="27">
        <v>11.4285714285714</v>
      </c>
      <c r="M983" s="27">
        <v>11.4285714285714</v>
      </c>
      <c r="N983" s="27">
        <v>11.4285714285714</v>
      </c>
      <c r="O983" s="27">
        <v>11.4285714285714</v>
      </c>
      <c r="P983" s="27">
        <v>11.4285714285714</v>
      </c>
      <c r="Q983" s="27">
        <v>11.4285714285714</v>
      </c>
      <c r="R983" s="27">
        <v>11.4285714285714</v>
      </c>
      <c r="S983" s="27">
        <v>11.4285714285714</v>
      </c>
      <c r="T983" s="27">
        <v>11.4285714285714</v>
      </c>
      <c r="U983" s="27">
        <v>11.4285714285714</v>
      </c>
      <c r="V983" s="27">
        <v>11.4285714285714</v>
      </c>
      <c r="W983" s="27">
        <v>11.4285714285714</v>
      </c>
      <c r="X983" s="27">
        <v>11.4285714285714</v>
      </c>
      <c r="Y983" s="27">
        <v>11.4285714285714</v>
      </c>
      <c r="Z983" s="27">
        <v>11.4285714285714</v>
      </c>
      <c r="AA983" s="27">
        <v>11.4285714285714</v>
      </c>
      <c r="AB983" s="27">
        <v>11.4285714285714</v>
      </c>
      <c r="AC983" s="27">
        <v>11.4285714285714</v>
      </c>
      <c r="AD983" s="27">
        <v>11.4285714285714</v>
      </c>
      <c r="AE983" s="27">
        <v>11.4285714285714</v>
      </c>
      <c r="AF983" s="27">
        <v>11.4285714285714</v>
      </c>
      <c r="AG983" s="27">
        <v>11.4285714285714</v>
      </c>
      <c r="AH983" s="27">
        <v>11.4285714285714</v>
      </c>
      <c r="AI983" s="27">
        <v>11.4285714285714</v>
      </c>
      <c r="AJ983" s="27">
        <v>11.4285714285714</v>
      </c>
      <c r="AK983" s="27">
        <v>11.4285714285714</v>
      </c>
      <c r="AL983" s="27">
        <v>11.4285714285714</v>
      </c>
      <c r="AM983" s="378">
        <f t="shared" si="216"/>
        <v>11.428571428571393</v>
      </c>
    </row>
    <row r="984" spans="1:39" x14ac:dyDescent="0.2">
      <c r="A984" s="8"/>
      <c r="B984" s="19" t="s">
        <v>435</v>
      </c>
      <c r="C984" s="30" t="s">
        <v>63</v>
      </c>
      <c r="D984" s="268" t="s">
        <v>409</v>
      </c>
      <c r="E984" s="31"/>
      <c r="F984" s="27">
        <v>4.8571428571428603</v>
      </c>
      <c r="G984" s="27">
        <v>4.8571428571428603</v>
      </c>
      <c r="H984" s="27">
        <v>4.8571428571428603</v>
      </c>
      <c r="I984" s="27">
        <v>4.8571428571428603</v>
      </c>
      <c r="J984" s="27">
        <v>4.8571428571428603</v>
      </c>
      <c r="K984" s="27">
        <v>4.8571428571428603</v>
      </c>
      <c r="L984" s="27">
        <v>4.8571428571428603</v>
      </c>
      <c r="M984" s="27">
        <v>4.8571428571428603</v>
      </c>
      <c r="N984" s="27">
        <v>4.8571428571428603</v>
      </c>
      <c r="O984" s="27">
        <v>4.8571428571428603</v>
      </c>
      <c r="P984" s="27">
        <v>4.8571428571428603</v>
      </c>
      <c r="Q984" s="27">
        <v>4.8571428571428603</v>
      </c>
      <c r="R984" s="27">
        <v>4.8571428571428603</v>
      </c>
      <c r="S984" s="27">
        <v>4.8571428571428603</v>
      </c>
      <c r="T984" s="27">
        <v>4.8571428571428603</v>
      </c>
      <c r="U984" s="27">
        <v>4.8571428571428603</v>
      </c>
      <c r="V984" s="27">
        <v>4.8571428571428603</v>
      </c>
      <c r="W984" s="27">
        <v>4.8571428571428603</v>
      </c>
      <c r="X984" s="27">
        <v>4.8571428571428603</v>
      </c>
      <c r="Y984" s="27">
        <v>4.8571428571428603</v>
      </c>
      <c r="Z984" s="27">
        <v>4.8571428571428603</v>
      </c>
      <c r="AA984" s="27">
        <v>4.8571428571428603</v>
      </c>
      <c r="AB984" s="27">
        <v>4.8571428571428603</v>
      </c>
      <c r="AC984" s="27">
        <v>4.8571428571428603</v>
      </c>
      <c r="AD984" s="27">
        <v>4.8571428571428603</v>
      </c>
      <c r="AE984" s="27">
        <v>4.8571428571428603</v>
      </c>
      <c r="AF984" s="27">
        <v>4.8571428571428603</v>
      </c>
      <c r="AG984" s="27">
        <v>4.8571428571428603</v>
      </c>
      <c r="AH984" s="27">
        <v>4.8571428571428603</v>
      </c>
      <c r="AI984" s="27">
        <v>4.8571428571428603</v>
      </c>
      <c r="AJ984" s="27">
        <v>4.8571428571428603</v>
      </c>
      <c r="AK984" s="27">
        <v>4.8571428571428603</v>
      </c>
      <c r="AL984" s="27">
        <v>4.8571428571428603</v>
      </c>
      <c r="AM984" s="378">
        <f t="shared" si="216"/>
        <v>4.8571428571428603</v>
      </c>
    </row>
    <row r="985" spans="1:39" x14ac:dyDescent="0.2">
      <c r="A985" s="8"/>
      <c r="B985" s="19" t="s">
        <v>436</v>
      </c>
      <c r="C985" s="30" t="s">
        <v>63</v>
      </c>
      <c r="D985" s="268" t="s">
        <v>409</v>
      </c>
      <c r="E985" s="31"/>
      <c r="F985" s="27">
        <v>14.285714285714301</v>
      </c>
      <c r="G985" s="27">
        <v>14.285714285714301</v>
      </c>
      <c r="H985" s="27">
        <v>14.285714285714301</v>
      </c>
      <c r="I985" s="27">
        <v>14.285714285714301</v>
      </c>
      <c r="J985" s="27">
        <v>14.285714285714301</v>
      </c>
      <c r="K985" s="27">
        <v>14.285714285714301</v>
      </c>
      <c r="L985" s="27">
        <v>14.285714285714301</v>
      </c>
      <c r="M985" s="27">
        <v>14.285714285714301</v>
      </c>
      <c r="N985" s="27">
        <v>14.285714285714301</v>
      </c>
      <c r="O985" s="27">
        <v>14.285714285714301</v>
      </c>
      <c r="P985" s="27">
        <v>14.285714285714301</v>
      </c>
      <c r="Q985" s="27">
        <v>14.285714285714301</v>
      </c>
      <c r="R985" s="27">
        <v>14.285714285714301</v>
      </c>
      <c r="S985" s="27">
        <v>14.285714285714301</v>
      </c>
      <c r="T985" s="27">
        <v>14.285714285714301</v>
      </c>
      <c r="U985" s="27">
        <v>14.285714285714301</v>
      </c>
      <c r="V985" s="27">
        <v>14.285714285714301</v>
      </c>
      <c r="W985" s="27">
        <v>14.285714285714301</v>
      </c>
      <c r="X985" s="27">
        <v>14.285714285714301</v>
      </c>
      <c r="Y985" s="27">
        <v>14.285714285714301</v>
      </c>
      <c r="Z985" s="27">
        <v>14.285714285714301</v>
      </c>
      <c r="AA985" s="27">
        <v>14.285714285714301</v>
      </c>
      <c r="AB985" s="27">
        <v>14.285714285714301</v>
      </c>
      <c r="AC985" s="27">
        <v>14.285714285714301</v>
      </c>
      <c r="AD985" s="27">
        <v>14.285714285714301</v>
      </c>
      <c r="AE985" s="27">
        <v>14.285714285714301</v>
      </c>
      <c r="AF985" s="27">
        <v>14.285714285714301</v>
      </c>
      <c r="AG985" s="27">
        <v>14.285714285714301</v>
      </c>
      <c r="AH985" s="27">
        <v>14.285714285714301</v>
      </c>
      <c r="AI985" s="27">
        <v>14.285714285714301</v>
      </c>
      <c r="AJ985" s="27">
        <v>14.285714285714301</v>
      </c>
      <c r="AK985" s="27">
        <v>14.285714285714301</v>
      </c>
      <c r="AL985" s="27">
        <v>14.285714285714301</v>
      </c>
      <c r="AM985" s="378">
        <f t="shared" si="216"/>
        <v>14.285714285714292</v>
      </c>
    </row>
    <row r="986" spans="1:39" x14ac:dyDescent="0.2">
      <c r="A986" s="8"/>
      <c r="B986" s="19" t="s">
        <v>437</v>
      </c>
      <c r="C986" s="30" t="s">
        <v>63</v>
      </c>
      <c r="D986" s="268" t="s">
        <v>409</v>
      </c>
      <c r="E986" s="31"/>
      <c r="F986" s="27">
        <v>4.28571428571429</v>
      </c>
      <c r="G986" s="27">
        <v>4.28571428571429</v>
      </c>
      <c r="H986" s="27">
        <v>4.28571428571429</v>
      </c>
      <c r="I986" s="27">
        <v>4.28571428571429</v>
      </c>
      <c r="J986" s="27">
        <v>4.28571428571429</v>
      </c>
      <c r="K986" s="27">
        <v>4.28571428571429</v>
      </c>
      <c r="L986" s="27">
        <v>4.28571428571429</v>
      </c>
      <c r="M986" s="27">
        <v>4.28571428571429</v>
      </c>
      <c r="N986" s="27">
        <v>4.28571428571429</v>
      </c>
      <c r="O986" s="27">
        <v>4.28571428571429</v>
      </c>
      <c r="P986" s="27">
        <v>4.28571428571429</v>
      </c>
      <c r="Q986" s="27">
        <v>4.28571428571429</v>
      </c>
      <c r="R986" s="27">
        <v>4.28571428571429</v>
      </c>
      <c r="S986" s="27">
        <v>4.28571428571429</v>
      </c>
      <c r="T986" s="27">
        <v>4.28571428571429</v>
      </c>
      <c r="U986" s="27">
        <v>4.28571428571429</v>
      </c>
      <c r="V986" s="27">
        <v>4.28571428571429</v>
      </c>
      <c r="W986" s="27">
        <v>4.28571428571429</v>
      </c>
      <c r="X986" s="27">
        <v>4.28571428571429</v>
      </c>
      <c r="Y986" s="27">
        <v>4.28571428571429</v>
      </c>
      <c r="Z986" s="27">
        <v>4.28571428571429</v>
      </c>
      <c r="AA986" s="27">
        <v>4.28571428571429</v>
      </c>
      <c r="AB986" s="27">
        <v>4.28571428571429</v>
      </c>
      <c r="AC986" s="27">
        <v>4.28571428571429</v>
      </c>
      <c r="AD986" s="27">
        <v>4.28571428571429</v>
      </c>
      <c r="AE986" s="27">
        <v>4.28571428571429</v>
      </c>
      <c r="AF986" s="27">
        <v>4.28571428571429</v>
      </c>
      <c r="AG986" s="27">
        <v>4.28571428571429</v>
      </c>
      <c r="AH986" s="27">
        <v>4.28571428571429</v>
      </c>
      <c r="AI986" s="27">
        <v>4.28571428571429</v>
      </c>
      <c r="AJ986" s="27">
        <v>4.28571428571429</v>
      </c>
      <c r="AK986" s="27">
        <v>4.28571428571429</v>
      </c>
      <c r="AL986" s="27">
        <v>4.28571428571429</v>
      </c>
      <c r="AM986" s="378">
        <f t="shared" si="216"/>
        <v>4.28571428571429</v>
      </c>
    </row>
    <row r="987" spans="1:39" x14ac:dyDescent="0.2">
      <c r="A987" s="8"/>
      <c r="B987" s="19" t="s">
        <v>438</v>
      </c>
      <c r="C987" s="30" t="s">
        <v>63</v>
      </c>
      <c r="D987" s="268" t="s">
        <v>409</v>
      </c>
      <c r="E987" s="31"/>
      <c r="F987" s="27">
        <v>3.5714285714285698</v>
      </c>
      <c r="G987" s="27">
        <v>3.5714285714285698</v>
      </c>
      <c r="H987" s="27">
        <v>3.5714285714285698</v>
      </c>
      <c r="I987" s="27">
        <v>3.5714285714285698</v>
      </c>
      <c r="J987" s="27">
        <v>3.5714285714285698</v>
      </c>
      <c r="K987" s="27">
        <v>3.5714285714285698</v>
      </c>
      <c r="L987" s="27">
        <v>3.5714285714285698</v>
      </c>
      <c r="M987" s="27">
        <v>3.5714285714285698</v>
      </c>
      <c r="N987" s="27">
        <v>3.5714285714285698</v>
      </c>
      <c r="O987" s="27">
        <v>3.5714285714285698</v>
      </c>
      <c r="P987" s="27">
        <v>3.5714285714285698</v>
      </c>
      <c r="Q987" s="27">
        <v>3.5714285714285698</v>
      </c>
      <c r="R987" s="27">
        <v>3.5714285714285698</v>
      </c>
      <c r="S987" s="27">
        <v>3.5714285714285698</v>
      </c>
      <c r="T987" s="27">
        <v>3.5714285714285698</v>
      </c>
      <c r="U987" s="27">
        <v>3.5714285714285698</v>
      </c>
      <c r="V987" s="27">
        <v>3.5714285714285698</v>
      </c>
      <c r="W987" s="27">
        <v>3.5714285714285698</v>
      </c>
      <c r="X987" s="27">
        <v>3.5714285714285698</v>
      </c>
      <c r="Y987" s="27">
        <v>3.5714285714285698</v>
      </c>
      <c r="Z987" s="27">
        <v>3.5714285714285698</v>
      </c>
      <c r="AA987" s="27">
        <v>3.5714285714285698</v>
      </c>
      <c r="AB987" s="27">
        <v>3.5714285714285698</v>
      </c>
      <c r="AC987" s="27">
        <v>3.5714285714285698</v>
      </c>
      <c r="AD987" s="27">
        <v>3.5714285714285698</v>
      </c>
      <c r="AE987" s="27">
        <v>3.5714285714285698</v>
      </c>
      <c r="AF987" s="27">
        <v>3.5714285714285698</v>
      </c>
      <c r="AG987" s="27">
        <v>3.5714285714285698</v>
      </c>
      <c r="AH987" s="27">
        <v>3.5714285714285698</v>
      </c>
      <c r="AI987" s="27">
        <v>3.5714285714285698</v>
      </c>
      <c r="AJ987" s="27">
        <v>3.5714285714285698</v>
      </c>
      <c r="AK987" s="27">
        <v>3.5714285714285698</v>
      </c>
      <c r="AL987" s="27">
        <v>3.5714285714285698</v>
      </c>
      <c r="AM987" s="378">
        <f t="shared" si="216"/>
        <v>3.5714285714285698</v>
      </c>
    </row>
    <row r="988" spans="1:39" x14ac:dyDescent="0.2">
      <c r="A988" s="8"/>
      <c r="B988" s="19" t="s">
        <v>439</v>
      </c>
      <c r="C988" s="30" t="s">
        <v>63</v>
      </c>
      <c r="D988" s="268" t="s">
        <v>409</v>
      </c>
      <c r="E988" s="31"/>
      <c r="F988" s="27">
        <v>4.4285714285714297</v>
      </c>
      <c r="G988" s="27">
        <v>4.4285714285714297</v>
      </c>
      <c r="H988" s="27">
        <v>4.4285714285714297</v>
      </c>
      <c r="I988" s="27">
        <v>4.4285714285714297</v>
      </c>
      <c r="J988" s="27">
        <v>4.4285714285714297</v>
      </c>
      <c r="K988" s="27">
        <v>4.4285714285714297</v>
      </c>
      <c r="L988" s="27">
        <v>4.4285714285714297</v>
      </c>
      <c r="M988" s="27">
        <v>4.4285714285714297</v>
      </c>
      <c r="N988" s="27">
        <v>4.4285714285714297</v>
      </c>
      <c r="O988" s="27">
        <v>4.4285714285714297</v>
      </c>
      <c r="P988" s="27">
        <v>4.4285714285714297</v>
      </c>
      <c r="Q988" s="27">
        <v>4.4285714285714297</v>
      </c>
      <c r="R988" s="27">
        <v>4.4285714285714297</v>
      </c>
      <c r="S988" s="27">
        <v>4.4285714285714297</v>
      </c>
      <c r="T988" s="27">
        <v>4.4285714285714297</v>
      </c>
      <c r="U988" s="27">
        <v>4.4285714285714297</v>
      </c>
      <c r="V988" s="27">
        <v>4.4285714285714297</v>
      </c>
      <c r="W988" s="27">
        <v>4.4285714285714297</v>
      </c>
      <c r="X988" s="27">
        <v>4.4285714285714297</v>
      </c>
      <c r="Y988" s="27">
        <v>4.4285714285714297</v>
      </c>
      <c r="Z988" s="27">
        <v>4.4285714285714297</v>
      </c>
      <c r="AA988" s="27">
        <v>4.4285714285714297</v>
      </c>
      <c r="AB988" s="27">
        <v>4.4285714285714297</v>
      </c>
      <c r="AC988" s="27">
        <v>4.4285714285714297</v>
      </c>
      <c r="AD988" s="27">
        <v>4.4285714285714297</v>
      </c>
      <c r="AE988" s="27">
        <v>4.4285714285714297</v>
      </c>
      <c r="AF988" s="27">
        <v>4.4285714285714297</v>
      </c>
      <c r="AG988" s="27">
        <v>4.4285714285714297</v>
      </c>
      <c r="AH988" s="27">
        <v>4.4285714285714297</v>
      </c>
      <c r="AI988" s="27">
        <v>4.4285714285714297</v>
      </c>
      <c r="AJ988" s="27">
        <v>4.4285714285714297</v>
      </c>
      <c r="AK988" s="27">
        <v>4.4285714285714297</v>
      </c>
      <c r="AL988" s="27">
        <v>4.4285714285714297</v>
      </c>
      <c r="AM988" s="378">
        <f t="shared" si="216"/>
        <v>4.4285714285714288</v>
      </c>
    </row>
    <row r="989" spans="1:39" x14ac:dyDescent="0.2">
      <c r="A989" s="8"/>
      <c r="B989" s="8" t="s">
        <v>440</v>
      </c>
      <c r="C989" s="3" t="s">
        <v>63</v>
      </c>
      <c r="D989" s="19"/>
      <c r="E989" s="70"/>
      <c r="F989" s="70">
        <f t="shared" ref="F989:AL989" si="217">(F928/100*F987)/2+(F923/100*F982)/2+(F921/100*F980)</f>
        <v>2.8285714285714301</v>
      </c>
      <c r="G989" s="70">
        <f t="shared" si="217"/>
        <v>2.8285714285714301</v>
      </c>
      <c r="H989" s="70">
        <f t="shared" si="217"/>
        <v>2.8285714285714301</v>
      </c>
      <c r="I989" s="70">
        <f t="shared" si="217"/>
        <v>2.8285714285714301</v>
      </c>
      <c r="J989" s="70">
        <f t="shared" si="217"/>
        <v>2.8285714285714301</v>
      </c>
      <c r="K989" s="70">
        <f t="shared" si="217"/>
        <v>2.8285714285714301</v>
      </c>
      <c r="L989" s="70">
        <f t="shared" si="217"/>
        <v>2.8285714285714301</v>
      </c>
      <c r="M989" s="70">
        <f t="shared" si="217"/>
        <v>2.8285714285714301</v>
      </c>
      <c r="N989" s="70">
        <f t="shared" si="217"/>
        <v>2.8285714285714301</v>
      </c>
      <c r="O989" s="70">
        <f t="shared" si="217"/>
        <v>2.8285714285714301</v>
      </c>
      <c r="P989" s="70">
        <f t="shared" si="217"/>
        <v>2.8285714285714301</v>
      </c>
      <c r="Q989" s="70">
        <f t="shared" si="217"/>
        <v>2.8285714285714301</v>
      </c>
      <c r="R989" s="70">
        <f t="shared" si="217"/>
        <v>2.8285714285714301</v>
      </c>
      <c r="S989" s="70">
        <f t="shared" si="217"/>
        <v>2.8285714285714301</v>
      </c>
      <c r="T989" s="70">
        <f t="shared" si="217"/>
        <v>2.8285714285714301</v>
      </c>
      <c r="U989" s="70">
        <f t="shared" si="217"/>
        <v>2.8285714285714301</v>
      </c>
      <c r="V989" s="70">
        <f t="shared" si="217"/>
        <v>2.8285714285714301</v>
      </c>
      <c r="W989" s="70">
        <f t="shared" si="217"/>
        <v>2.8285714285714301</v>
      </c>
      <c r="X989" s="70">
        <f t="shared" si="217"/>
        <v>2.8285714285714301</v>
      </c>
      <c r="Y989" s="70">
        <f t="shared" si="217"/>
        <v>2.8285714285714301</v>
      </c>
      <c r="Z989" s="70">
        <f t="shared" si="217"/>
        <v>2.8285714285714301</v>
      </c>
      <c r="AA989" s="70">
        <f t="shared" si="217"/>
        <v>2.8285714285714301</v>
      </c>
      <c r="AB989" s="70">
        <f t="shared" si="217"/>
        <v>2.8285714285714301</v>
      </c>
      <c r="AC989" s="70">
        <f t="shared" si="217"/>
        <v>2.8285714285714301</v>
      </c>
      <c r="AD989" s="70">
        <f t="shared" si="217"/>
        <v>2.8285714285714301</v>
      </c>
      <c r="AE989" s="70">
        <f t="shared" si="217"/>
        <v>2.8285714285714301</v>
      </c>
      <c r="AF989" s="70">
        <f t="shared" si="217"/>
        <v>2.8285714285714301</v>
      </c>
      <c r="AG989" s="70">
        <f t="shared" si="217"/>
        <v>2.8285714285714301</v>
      </c>
      <c r="AH989" s="70">
        <f t="shared" si="217"/>
        <v>2.8285714285714301</v>
      </c>
      <c r="AI989" s="70">
        <f t="shared" si="217"/>
        <v>2.8285714285714301</v>
      </c>
      <c r="AJ989" s="70">
        <f t="shared" si="217"/>
        <v>2.8285714285714301</v>
      </c>
      <c r="AK989" s="70">
        <f t="shared" si="217"/>
        <v>2.8285714285714301</v>
      </c>
      <c r="AL989" s="70">
        <f t="shared" si="217"/>
        <v>2.8285714285714301</v>
      </c>
      <c r="AM989" s="130">
        <f>(AM932/100*AM987)/2+(AM927/100*AM982)/2+(AM925/100*AM980)</f>
        <v>2.2343571428571423</v>
      </c>
    </row>
    <row r="990" spans="1:39" x14ac:dyDescent="0.2">
      <c r="A990" s="8"/>
      <c r="B990" s="8" t="s">
        <v>441</v>
      </c>
      <c r="C990" s="3" t="s">
        <v>63</v>
      </c>
      <c r="D990" s="19"/>
      <c r="E990" s="70"/>
      <c r="F990" s="70">
        <f t="shared" ref="F990:AL990" si="218">(F921/100*F980)+(F922/100*F981)+(F923/100*F982)+(F924/100*F983)+(F925/100*F984)+(F926/100*F985)+(F927/100*F986)+(F928/100*F987)+(F929/100*F988)-F989</f>
        <v>1.9483057142857136</v>
      </c>
      <c r="G990" s="70">
        <f t="shared" si="218"/>
        <v>1.9483057142857136</v>
      </c>
      <c r="H990" s="70">
        <f t="shared" si="218"/>
        <v>1.9483057142857136</v>
      </c>
      <c r="I990" s="70">
        <f t="shared" si="218"/>
        <v>1.9483057142857136</v>
      </c>
      <c r="J990" s="70">
        <f t="shared" si="218"/>
        <v>1.9483057142857136</v>
      </c>
      <c r="K990" s="70">
        <f t="shared" si="218"/>
        <v>1.9483057142857136</v>
      </c>
      <c r="L990" s="70">
        <f t="shared" si="218"/>
        <v>1.9483057142857136</v>
      </c>
      <c r="M990" s="70">
        <f t="shared" si="218"/>
        <v>1.9483057142857136</v>
      </c>
      <c r="N990" s="70">
        <f t="shared" si="218"/>
        <v>1.9483057142857136</v>
      </c>
      <c r="O990" s="70">
        <f t="shared" si="218"/>
        <v>1.9483057142857136</v>
      </c>
      <c r="P990" s="70">
        <f t="shared" si="218"/>
        <v>1.9483057142857136</v>
      </c>
      <c r="Q990" s="70">
        <f t="shared" si="218"/>
        <v>1.9483057142857136</v>
      </c>
      <c r="R990" s="70">
        <f t="shared" si="218"/>
        <v>1.9483057142857136</v>
      </c>
      <c r="S990" s="70">
        <f t="shared" si="218"/>
        <v>1.9483057142857136</v>
      </c>
      <c r="T990" s="70">
        <f t="shared" si="218"/>
        <v>1.9483057142857136</v>
      </c>
      <c r="U990" s="70">
        <f t="shared" si="218"/>
        <v>1.9483057142857136</v>
      </c>
      <c r="V990" s="70">
        <f t="shared" si="218"/>
        <v>1.9483057142857136</v>
      </c>
      <c r="W990" s="70">
        <f t="shared" si="218"/>
        <v>1.9483057142857136</v>
      </c>
      <c r="X990" s="70">
        <f t="shared" si="218"/>
        <v>1.9483057142857136</v>
      </c>
      <c r="Y990" s="70">
        <f t="shared" si="218"/>
        <v>1.9483057142857136</v>
      </c>
      <c r="Z990" s="70">
        <f t="shared" si="218"/>
        <v>1.9483057142857136</v>
      </c>
      <c r="AA990" s="70">
        <f t="shared" si="218"/>
        <v>1.9483057142857136</v>
      </c>
      <c r="AB990" s="70">
        <f t="shared" si="218"/>
        <v>1.9483057142857136</v>
      </c>
      <c r="AC990" s="70">
        <f t="shared" si="218"/>
        <v>1.9483057142857136</v>
      </c>
      <c r="AD990" s="70">
        <f t="shared" si="218"/>
        <v>1.9483057142857136</v>
      </c>
      <c r="AE990" s="70">
        <f t="shared" si="218"/>
        <v>1.9483057142857136</v>
      </c>
      <c r="AF990" s="70">
        <f t="shared" si="218"/>
        <v>1.9483057142857136</v>
      </c>
      <c r="AG990" s="70">
        <f t="shared" si="218"/>
        <v>1.9483057142857136</v>
      </c>
      <c r="AH990" s="70">
        <f t="shared" si="218"/>
        <v>1.9483057142857136</v>
      </c>
      <c r="AI990" s="70">
        <f t="shared" si="218"/>
        <v>1.9483057142857136</v>
      </c>
      <c r="AJ990" s="70">
        <f t="shared" si="218"/>
        <v>1.9483057142857136</v>
      </c>
      <c r="AK990" s="70">
        <f t="shared" si="218"/>
        <v>1.9483057142857136</v>
      </c>
      <c r="AL990" s="70">
        <f t="shared" si="218"/>
        <v>1.9483057142857136</v>
      </c>
      <c r="AM990" s="130">
        <f>(AM925/100*AM980)+(AM926/100*AM981)+(AM927/100*AM982)+(AM928/100*AM983)+(AM929/100*AM984)+(AM930/100*AM985)+(AM931/100*AM986)+(AM932/100*AM987)+(AM933/100*AM988)-AM989</f>
        <v>0.89452857142857045</v>
      </c>
    </row>
    <row r="991" spans="1:39" x14ac:dyDescent="0.2">
      <c r="A991" s="8"/>
      <c r="B991" s="19"/>
      <c r="C991" s="18"/>
      <c r="D991" s="19"/>
      <c r="E991" s="8"/>
      <c r="F991" s="28"/>
      <c r="G991" s="28"/>
      <c r="H991" s="28"/>
      <c r="I991" s="28"/>
      <c r="J991" s="28"/>
      <c r="K991" s="28"/>
      <c r="L991" s="28"/>
      <c r="M991" s="28"/>
      <c r="N991" s="28"/>
      <c r="O991" s="28"/>
      <c r="P991" s="28"/>
      <c r="Q991" s="28"/>
      <c r="R991" s="28"/>
      <c r="S991" s="28"/>
      <c r="T991" s="28"/>
      <c r="U991" s="28"/>
      <c r="V991" s="28"/>
      <c r="W991" s="28"/>
      <c r="X991" s="28"/>
      <c r="Y991" s="28"/>
      <c r="Z991" s="28"/>
      <c r="AA991" s="28"/>
      <c r="AB991" s="28"/>
      <c r="AC991" s="28"/>
      <c r="AD991" s="28"/>
      <c r="AE991" s="28"/>
      <c r="AF991" s="28"/>
      <c r="AG991" s="28"/>
      <c r="AH991" s="28"/>
      <c r="AI991" s="28"/>
      <c r="AJ991" s="28"/>
      <c r="AK991" s="28"/>
      <c r="AL991" s="28"/>
      <c r="AM991" s="107"/>
    </row>
    <row r="992" spans="1:39" ht="15" x14ac:dyDescent="0.25">
      <c r="A992" s="69" t="s">
        <v>354</v>
      </c>
      <c r="B992" s="19" t="s">
        <v>442</v>
      </c>
      <c r="C992" s="30" t="s">
        <v>63</v>
      </c>
      <c r="D992" s="268" t="s">
        <v>409</v>
      </c>
      <c r="E992" s="31"/>
      <c r="F992" s="66">
        <v>67.142857142857096</v>
      </c>
      <c r="G992" s="66">
        <v>67.142857142857096</v>
      </c>
      <c r="H992" s="66">
        <v>67.142857142857096</v>
      </c>
      <c r="I992" s="66">
        <v>67.142857142857096</v>
      </c>
      <c r="J992" s="66">
        <v>67.142857142857096</v>
      </c>
      <c r="K992" s="66">
        <v>67.142857142857096</v>
      </c>
      <c r="L992" s="66">
        <v>67.142857142857096</v>
      </c>
      <c r="M992" s="66">
        <v>67.142857142857096</v>
      </c>
      <c r="N992" s="66">
        <v>67.142857142857096</v>
      </c>
      <c r="O992" s="66">
        <v>67.142857142857096</v>
      </c>
      <c r="P992" s="66">
        <v>67.142857142857096</v>
      </c>
      <c r="Q992" s="66">
        <v>67.142857142857096</v>
      </c>
      <c r="R992" s="66">
        <v>67.142857142857096</v>
      </c>
      <c r="S992" s="66">
        <v>67.142857142857096</v>
      </c>
      <c r="T992" s="66">
        <v>67.142857142857096</v>
      </c>
      <c r="U992" s="66">
        <v>67.142857142857096</v>
      </c>
      <c r="V992" s="66">
        <v>67.142857142857096</v>
      </c>
      <c r="W992" s="66">
        <v>67.142857142857096</v>
      </c>
      <c r="X992" s="66">
        <v>67.142857142857096</v>
      </c>
      <c r="Y992" s="66">
        <v>67.142857142857096</v>
      </c>
      <c r="Z992" s="66">
        <v>67.142857142857096</v>
      </c>
      <c r="AA992" s="66">
        <v>67.142857142857096</v>
      </c>
      <c r="AB992" s="66">
        <v>67.142857142857096</v>
      </c>
      <c r="AC992" s="66">
        <v>67.142857142857096</v>
      </c>
      <c r="AD992" s="66">
        <v>67.142857142857096</v>
      </c>
      <c r="AE992" s="66">
        <v>67.142857142857096</v>
      </c>
      <c r="AF992" s="66">
        <v>67.142857142857096</v>
      </c>
      <c r="AG992" s="66">
        <v>67.142857142857096</v>
      </c>
      <c r="AH992" s="66">
        <v>67.142857142857096</v>
      </c>
      <c r="AI992" s="66">
        <v>67.142857142857096</v>
      </c>
      <c r="AJ992" s="66">
        <v>67.142857142857096</v>
      </c>
      <c r="AK992" s="66">
        <v>67.142857142857096</v>
      </c>
      <c r="AL992" s="66">
        <v>67.142857142857096</v>
      </c>
      <c r="AM992" s="378">
        <f t="shared" ref="AM992:AM1000" si="219">AVERAGE(F992:AL992)</f>
        <v>67.142857142857096</v>
      </c>
    </row>
    <row r="993" spans="1:39" x14ac:dyDescent="0.2">
      <c r="A993" s="1"/>
      <c r="B993" s="19" t="s">
        <v>443</v>
      </c>
      <c r="C993" s="30" t="s">
        <v>63</v>
      </c>
      <c r="D993" s="268" t="s">
        <v>409</v>
      </c>
      <c r="E993" s="31"/>
      <c r="F993" s="66">
        <v>28.571428571428601</v>
      </c>
      <c r="G993" s="66">
        <v>28.571428571428601</v>
      </c>
      <c r="H993" s="66">
        <v>28.571428571428601</v>
      </c>
      <c r="I993" s="66">
        <v>28.571428571428601</v>
      </c>
      <c r="J993" s="66">
        <v>28.571428571428601</v>
      </c>
      <c r="K993" s="66">
        <v>28.571428571428601</v>
      </c>
      <c r="L993" s="66">
        <v>28.571428571428601</v>
      </c>
      <c r="M993" s="66">
        <v>28.571428571428601</v>
      </c>
      <c r="N993" s="66">
        <v>28.571428571428601</v>
      </c>
      <c r="O993" s="66">
        <v>28.571428571428601</v>
      </c>
      <c r="P993" s="66">
        <v>28.571428571428601</v>
      </c>
      <c r="Q993" s="66">
        <v>28.571428571428601</v>
      </c>
      <c r="R993" s="66">
        <v>28.571428571428601</v>
      </c>
      <c r="S993" s="66">
        <v>28.571428571428601</v>
      </c>
      <c r="T993" s="66">
        <v>28.571428571428601</v>
      </c>
      <c r="U993" s="66">
        <v>28.571428571428601</v>
      </c>
      <c r="V993" s="66">
        <v>28.571428571428601</v>
      </c>
      <c r="W993" s="66">
        <v>28.571428571428601</v>
      </c>
      <c r="X993" s="66">
        <v>28.571428571428601</v>
      </c>
      <c r="Y993" s="66">
        <v>28.571428571428601</v>
      </c>
      <c r="Z993" s="66">
        <v>28.571428571428601</v>
      </c>
      <c r="AA993" s="66">
        <v>28.571428571428601</v>
      </c>
      <c r="AB993" s="66">
        <v>28.571428571428601</v>
      </c>
      <c r="AC993" s="66">
        <v>28.571428571428601</v>
      </c>
      <c r="AD993" s="66">
        <v>28.571428571428601</v>
      </c>
      <c r="AE993" s="66">
        <v>28.571428571428601</v>
      </c>
      <c r="AF993" s="66">
        <v>28.571428571428601</v>
      </c>
      <c r="AG993" s="66">
        <v>28.571428571428601</v>
      </c>
      <c r="AH993" s="66">
        <v>28.571428571428601</v>
      </c>
      <c r="AI993" s="66">
        <v>28.571428571428601</v>
      </c>
      <c r="AJ993" s="66">
        <v>28.571428571428601</v>
      </c>
      <c r="AK993" s="66">
        <v>28.571428571428601</v>
      </c>
      <c r="AL993" s="66">
        <v>28.571428571428601</v>
      </c>
      <c r="AM993" s="378">
        <f t="shared" si="219"/>
        <v>28.571428571428584</v>
      </c>
    </row>
    <row r="994" spans="1:39" x14ac:dyDescent="0.2">
      <c r="A994" s="1"/>
      <c r="B994" s="19" t="s">
        <v>444</v>
      </c>
      <c r="C994" s="30" t="s">
        <v>63</v>
      </c>
      <c r="D994" s="268" t="s">
        <v>409</v>
      </c>
      <c r="E994" s="31"/>
      <c r="F994" s="66">
        <v>4.28571428571429</v>
      </c>
      <c r="G994" s="66">
        <v>4.28571428571429</v>
      </c>
      <c r="H994" s="66">
        <v>4.28571428571429</v>
      </c>
      <c r="I994" s="66">
        <v>4.28571428571429</v>
      </c>
      <c r="J994" s="66">
        <v>4.28571428571429</v>
      </c>
      <c r="K994" s="66">
        <v>4.28571428571429</v>
      </c>
      <c r="L994" s="66">
        <v>4.28571428571429</v>
      </c>
      <c r="M994" s="66">
        <v>4.28571428571429</v>
      </c>
      <c r="N994" s="66">
        <v>4.28571428571429</v>
      </c>
      <c r="O994" s="66">
        <v>4.28571428571429</v>
      </c>
      <c r="P994" s="66">
        <v>4.28571428571429</v>
      </c>
      <c r="Q994" s="66">
        <v>4.28571428571429</v>
      </c>
      <c r="R994" s="66">
        <v>4.28571428571429</v>
      </c>
      <c r="S994" s="66">
        <v>4.28571428571429</v>
      </c>
      <c r="T994" s="66">
        <v>4.28571428571429</v>
      </c>
      <c r="U994" s="66">
        <v>4.28571428571429</v>
      </c>
      <c r="V994" s="66">
        <v>4.28571428571429</v>
      </c>
      <c r="W994" s="66">
        <v>4.28571428571429</v>
      </c>
      <c r="X994" s="66">
        <v>4.28571428571429</v>
      </c>
      <c r="Y994" s="66">
        <v>4.28571428571429</v>
      </c>
      <c r="Z994" s="66">
        <v>4.28571428571429</v>
      </c>
      <c r="AA994" s="66">
        <v>4.28571428571429</v>
      </c>
      <c r="AB994" s="66">
        <v>4.28571428571429</v>
      </c>
      <c r="AC994" s="66">
        <v>4.28571428571429</v>
      </c>
      <c r="AD994" s="66">
        <v>4.28571428571429</v>
      </c>
      <c r="AE994" s="66">
        <v>4.28571428571429</v>
      </c>
      <c r="AF994" s="66">
        <v>4.28571428571429</v>
      </c>
      <c r="AG994" s="66">
        <v>4.28571428571429</v>
      </c>
      <c r="AH994" s="66">
        <v>4.28571428571429</v>
      </c>
      <c r="AI994" s="66">
        <v>4.28571428571429</v>
      </c>
      <c r="AJ994" s="66">
        <v>4.28571428571429</v>
      </c>
      <c r="AK994" s="66">
        <v>4.28571428571429</v>
      </c>
      <c r="AL994" s="66">
        <v>4.28571428571429</v>
      </c>
      <c r="AM994" s="378">
        <f t="shared" si="219"/>
        <v>4.28571428571429</v>
      </c>
    </row>
    <row r="995" spans="1:39" ht="15" x14ac:dyDescent="0.25">
      <c r="A995" s="69" t="s">
        <v>360</v>
      </c>
      <c r="B995" s="19" t="s">
        <v>445</v>
      </c>
      <c r="C995" s="30" t="s">
        <v>63</v>
      </c>
      <c r="D995" s="268" t="s">
        <v>409</v>
      </c>
      <c r="E995" s="31"/>
      <c r="F995" s="27">
        <v>14.285714285714301</v>
      </c>
      <c r="G995" s="27">
        <v>14.285714285714301</v>
      </c>
      <c r="H995" s="27">
        <v>14.285714285714301</v>
      </c>
      <c r="I995" s="27">
        <v>14.285714285714301</v>
      </c>
      <c r="J995" s="27">
        <v>14.285714285714301</v>
      </c>
      <c r="K995" s="27">
        <v>14.285714285714301</v>
      </c>
      <c r="L995" s="27">
        <v>14.285714285714301</v>
      </c>
      <c r="M995" s="27">
        <v>14.285714285714301</v>
      </c>
      <c r="N995" s="27">
        <v>14.285714285714301</v>
      </c>
      <c r="O995" s="27">
        <v>14.285714285714301</v>
      </c>
      <c r="P995" s="27">
        <v>14.285714285714301</v>
      </c>
      <c r="Q995" s="27">
        <v>14.285714285714301</v>
      </c>
      <c r="R995" s="27">
        <v>14.285714285714301</v>
      </c>
      <c r="S995" s="27">
        <v>14.285714285714301</v>
      </c>
      <c r="T995" s="27">
        <v>14.285714285714301</v>
      </c>
      <c r="U995" s="27">
        <v>14.285714285714301</v>
      </c>
      <c r="V995" s="27">
        <v>14.285714285714301</v>
      </c>
      <c r="W995" s="27">
        <v>14.285714285714301</v>
      </c>
      <c r="X995" s="27">
        <v>14.285714285714301</v>
      </c>
      <c r="Y995" s="27">
        <v>14.285714285714301</v>
      </c>
      <c r="Z995" s="27">
        <v>14.285714285714301</v>
      </c>
      <c r="AA995" s="27">
        <v>14.285714285714301</v>
      </c>
      <c r="AB995" s="27">
        <v>14.285714285714301</v>
      </c>
      <c r="AC995" s="27">
        <v>14.285714285714301</v>
      </c>
      <c r="AD995" s="27">
        <v>14.285714285714301</v>
      </c>
      <c r="AE995" s="27">
        <v>14.285714285714301</v>
      </c>
      <c r="AF995" s="27">
        <v>14.285714285714301</v>
      </c>
      <c r="AG995" s="27">
        <v>14.285714285714301</v>
      </c>
      <c r="AH995" s="27">
        <v>14.285714285714301</v>
      </c>
      <c r="AI995" s="27">
        <v>14.285714285714301</v>
      </c>
      <c r="AJ995" s="27">
        <v>14.285714285714301</v>
      </c>
      <c r="AK995" s="27">
        <v>14.285714285714301</v>
      </c>
      <c r="AL995" s="27">
        <v>14.285714285714301</v>
      </c>
      <c r="AM995" s="378">
        <f t="shared" si="219"/>
        <v>14.285714285714292</v>
      </c>
    </row>
    <row r="996" spans="1:39" x14ac:dyDescent="0.2">
      <c r="A996" s="8"/>
      <c r="B996" s="19" t="s">
        <v>446</v>
      </c>
      <c r="C996" s="30" t="s">
        <v>63</v>
      </c>
      <c r="D996" s="268" t="s">
        <v>409</v>
      </c>
      <c r="E996" s="31"/>
      <c r="F996" s="27">
        <v>4.8571428571428603</v>
      </c>
      <c r="G996" s="27">
        <v>4.8571428571428603</v>
      </c>
      <c r="H996" s="27">
        <v>4.8571428571428603</v>
      </c>
      <c r="I996" s="27">
        <v>4.8571428571428603</v>
      </c>
      <c r="J996" s="27">
        <v>4.8571428571428603</v>
      </c>
      <c r="K996" s="27">
        <v>4.8571428571428603</v>
      </c>
      <c r="L996" s="27">
        <v>4.8571428571428603</v>
      </c>
      <c r="M996" s="27">
        <v>4.8571428571428603</v>
      </c>
      <c r="N996" s="27">
        <v>4.8571428571428603</v>
      </c>
      <c r="O996" s="27">
        <v>4.8571428571428603</v>
      </c>
      <c r="P996" s="27">
        <v>4.8571428571428603</v>
      </c>
      <c r="Q996" s="27">
        <v>4.8571428571428603</v>
      </c>
      <c r="R996" s="27">
        <v>4.8571428571428603</v>
      </c>
      <c r="S996" s="27">
        <v>4.8571428571428603</v>
      </c>
      <c r="T996" s="27">
        <v>4.8571428571428603</v>
      </c>
      <c r="U996" s="27">
        <v>4.8571428571428603</v>
      </c>
      <c r="V996" s="27">
        <v>4.8571428571428603</v>
      </c>
      <c r="W996" s="27">
        <v>4.8571428571428603</v>
      </c>
      <c r="X996" s="27">
        <v>4.8571428571428603</v>
      </c>
      <c r="Y996" s="27">
        <v>4.8571428571428603</v>
      </c>
      <c r="Z996" s="27">
        <v>4.8571428571428603</v>
      </c>
      <c r="AA996" s="27">
        <v>4.8571428571428603</v>
      </c>
      <c r="AB996" s="27">
        <v>4.8571428571428603</v>
      </c>
      <c r="AC996" s="27">
        <v>4.8571428571428603</v>
      </c>
      <c r="AD996" s="27">
        <v>4.8571428571428603</v>
      </c>
      <c r="AE996" s="27">
        <v>4.8571428571428603</v>
      </c>
      <c r="AF996" s="27">
        <v>4.8571428571428603</v>
      </c>
      <c r="AG996" s="27">
        <v>4.8571428571428603</v>
      </c>
      <c r="AH996" s="27">
        <v>4.8571428571428603</v>
      </c>
      <c r="AI996" s="27">
        <v>4.8571428571428603</v>
      </c>
      <c r="AJ996" s="27">
        <v>4.8571428571428603</v>
      </c>
      <c r="AK996" s="27">
        <v>4.8571428571428603</v>
      </c>
      <c r="AL996" s="27">
        <v>4.8571428571428603</v>
      </c>
      <c r="AM996" s="378">
        <f t="shared" si="219"/>
        <v>4.8571428571428603</v>
      </c>
    </row>
    <row r="997" spans="1:39" x14ac:dyDescent="0.2">
      <c r="A997" s="8"/>
      <c r="B997" s="19" t="s">
        <v>447</v>
      </c>
      <c r="C997" s="30" t="s">
        <v>63</v>
      </c>
      <c r="D997" s="268" t="s">
        <v>409</v>
      </c>
      <c r="E997" s="31"/>
      <c r="F997" s="27">
        <v>11.4285714285714</v>
      </c>
      <c r="G997" s="27">
        <v>11.4285714285714</v>
      </c>
      <c r="H997" s="27">
        <v>11.4285714285714</v>
      </c>
      <c r="I997" s="27">
        <v>11.4285714285714</v>
      </c>
      <c r="J997" s="27">
        <v>11.4285714285714</v>
      </c>
      <c r="K997" s="27">
        <v>11.4285714285714</v>
      </c>
      <c r="L997" s="27">
        <v>11.4285714285714</v>
      </c>
      <c r="M997" s="27">
        <v>11.4285714285714</v>
      </c>
      <c r="N997" s="27">
        <v>11.4285714285714</v>
      </c>
      <c r="O997" s="27">
        <v>11.4285714285714</v>
      </c>
      <c r="P997" s="27">
        <v>11.4285714285714</v>
      </c>
      <c r="Q997" s="27">
        <v>11.4285714285714</v>
      </c>
      <c r="R997" s="27">
        <v>11.4285714285714</v>
      </c>
      <c r="S997" s="27">
        <v>11.4285714285714</v>
      </c>
      <c r="T997" s="27">
        <v>11.4285714285714</v>
      </c>
      <c r="U997" s="27">
        <v>11.4285714285714</v>
      </c>
      <c r="V997" s="27">
        <v>11.4285714285714</v>
      </c>
      <c r="W997" s="27">
        <v>11.4285714285714</v>
      </c>
      <c r="X997" s="27">
        <v>11.4285714285714</v>
      </c>
      <c r="Y997" s="27">
        <v>11.4285714285714</v>
      </c>
      <c r="Z997" s="27">
        <v>11.4285714285714</v>
      </c>
      <c r="AA997" s="27">
        <v>11.4285714285714</v>
      </c>
      <c r="AB997" s="27">
        <v>11.4285714285714</v>
      </c>
      <c r="AC997" s="27">
        <v>11.4285714285714</v>
      </c>
      <c r="AD997" s="27">
        <v>11.4285714285714</v>
      </c>
      <c r="AE997" s="27">
        <v>11.4285714285714</v>
      </c>
      <c r="AF997" s="27">
        <v>11.4285714285714</v>
      </c>
      <c r="AG997" s="27">
        <v>11.4285714285714</v>
      </c>
      <c r="AH997" s="27">
        <v>11.4285714285714</v>
      </c>
      <c r="AI997" s="27">
        <v>11.4285714285714</v>
      </c>
      <c r="AJ997" s="27">
        <v>11.4285714285714</v>
      </c>
      <c r="AK997" s="27">
        <v>11.4285714285714</v>
      </c>
      <c r="AL997" s="27">
        <v>11.4285714285714</v>
      </c>
      <c r="AM997" s="378">
        <f t="shared" si="219"/>
        <v>11.428571428571393</v>
      </c>
    </row>
    <row r="998" spans="1:39" x14ac:dyDescent="0.2">
      <c r="A998" s="8"/>
      <c r="B998" s="19" t="s">
        <v>448</v>
      </c>
      <c r="C998" s="30" t="s">
        <v>63</v>
      </c>
      <c r="D998" s="268" t="s">
        <v>409</v>
      </c>
      <c r="E998" s="31"/>
      <c r="F998" s="27">
        <v>4.28571428571429</v>
      </c>
      <c r="G998" s="27">
        <v>4.28571428571429</v>
      </c>
      <c r="H998" s="27">
        <v>4.28571428571429</v>
      </c>
      <c r="I998" s="27">
        <v>4.28571428571429</v>
      </c>
      <c r="J998" s="27">
        <v>4.28571428571429</v>
      </c>
      <c r="K998" s="27">
        <v>4.28571428571429</v>
      </c>
      <c r="L998" s="27">
        <v>4.28571428571429</v>
      </c>
      <c r="M998" s="27">
        <v>4.28571428571429</v>
      </c>
      <c r="N998" s="27">
        <v>4.28571428571429</v>
      </c>
      <c r="O998" s="27">
        <v>4.28571428571429</v>
      </c>
      <c r="P998" s="27">
        <v>4.28571428571429</v>
      </c>
      <c r="Q998" s="27">
        <v>4.28571428571429</v>
      </c>
      <c r="R998" s="27">
        <v>4.28571428571429</v>
      </c>
      <c r="S998" s="27">
        <v>4.28571428571429</v>
      </c>
      <c r="T998" s="27">
        <v>4.28571428571429</v>
      </c>
      <c r="U998" s="27">
        <v>4.28571428571429</v>
      </c>
      <c r="V998" s="27">
        <v>4.28571428571429</v>
      </c>
      <c r="W998" s="27">
        <v>4.28571428571429</v>
      </c>
      <c r="X998" s="27">
        <v>4.28571428571429</v>
      </c>
      <c r="Y998" s="27">
        <v>4.28571428571429</v>
      </c>
      <c r="Z998" s="27">
        <v>4.28571428571429</v>
      </c>
      <c r="AA998" s="27">
        <v>4.28571428571429</v>
      </c>
      <c r="AB998" s="27">
        <v>4.28571428571429</v>
      </c>
      <c r="AC998" s="27">
        <v>4.28571428571429</v>
      </c>
      <c r="AD998" s="27">
        <v>4.28571428571429</v>
      </c>
      <c r="AE998" s="27">
        <v>4.28571428571429</v>
      </c>
      <c r="AF998" s="27">
        <v>4.28571428571429</v>
      </c>
      <c r="AG998" s="27">
        <v>4.28571428571429</v>
      </c>
      <c r="AH998" s="27">
        <v>4.28571428571429</v>
      </c>
      <c r="AI998" s="27">
        <v>4.28571428571429</v>
      </c>
      <c r="AJ998" s="27">
        <v>4.28571428571429</v>
      </c>
      <c r="AK998" s="27">
        <v>4.28571428571429</v>
      </c>
      <c r="AL998" s="27">
        <v>4.28571428571429</v>
      </c>
      <c r="AM998" s="378">
        <f t="shared" si="219"/>
        <v>4.28571428571429</v>
      </c>
    </row>
    <row r="999" spans="1:39" x14ac:dyDescent="0.2">
      <c r="A999" s="8"/>
      <c r="B999" s="19" t="s">
        <v>449</v>
      </c>
      <c r="C999" s="30" t="s">
        <v>63</v>
      </c>
      <c r="D999" s="268" t="s">
        <v>409</v>
      </c>
      <c r="E999" s="31"/>
      <c r="F999" s="27">
        <v>3.5714285714285698</v>
      </c>
      <c r="G999" s="27">
        <v>3.5714285714285698</v>
      </c>
      <c r="H999" s="27">
        <v>3.5714285714285698</v>
      </c>
      <c r="I999" s="27">
        <v>3.5714285714285698</v>
      </c>
      <c r="J999" s="27">
        <v>3.5714285714285698</v>
      </c>
      <c r="K999" s="27">
        <v>3.5714285714285698</v>
      </c>
      <c r="L999" s="27">
        <v>3.5714285714285698</v>
      </c>
      <c r="M999" s="27">
        <v>3.5714285714285698</v>
      </c>
      <c r="N999" s="27">
        <v>3.5714285714285698</v>
      </c>
      <c r="O999" s="27">
        <v>3.5714285714285698</v>
      </c>
      <c r="P999" s="27">
        <v>3.5714285714285698</v>
      </c>
      <c r="Q999" s="27">
        <v>3.5714285714285698</v>
      </c>
      <c r="R999" s="27">
        <v>3.5714285714285698</v>
      </c>
      <c r="S999" s="27">
        <v>3.5714285714285698</v>
      </c>
      <c r="T999" s="27">
        <v>3.5714285714285698</v>
      </c>
      <c r="U999" s="27">
        <v>3.5714285714285698</v>
      </c>
      <c r="V999" s="27">
        <v>3.5714285714285698</v>
      </c>
      <c r="W999" s="27">
        <v>3.5714285714285698</v>
      </c>
      <c r="X999" s="27">
        <v>3.5714285714285698</v>
      </c>
      <c r="Y999" s="27">
        <v>3.5714285714285698</v>
      </c>
      <c r="Z999" s="27">
        <v>3.5714285714285698</v>
      </c>
      <c r="AA999" s="27">
        <v>3.5714285714285698</v>
      </c>
      <c r="AB999" s="27">
        <v>3.5714285714285698</v>
      </c>
      <c r="AC999" s="27">
        <v>3.5714285714285698</v>
      </c>
      <c r="AD999" s="27">
        <v>3.5714285714285698</v>
      </c>
      <c r="AE999" s="27">
        <v>3.5714285714285698</v>
      </c>
      <c r="AF999" s="27">
        <v>3.5714285714285698</v>
      </c>
      <c r="AG999" s="27">
        <v>3.5714285714285698</v>
      </c>
      <c r="AH999" s="27">
        <v>3.5714285714285698</v>
      </c>
      <c r="AI999" s="27">
        <v>3.5714285714285698</v>
      </c>
      <c r="AJ999" s="27">
        <v>3.5714285714285698</v>
      </c>
      <c r="AK999" s="27">
        <v>3.5714285714285698</v>
      </c>
      <c r="AL999" s="27">
        <v>3.5714285714285698</v>
      </c>
      <c r="AM999" s="378">
        <f t="shared" si="219"/>
        <v>3.5714285714285698</v>
      </c>
    </row>
    <row r="1000" spans="1:39" x14ac:dyDescent="0.2">
      <c r="A1000" s="8"/>
      <c r="B1000" s="19" t="s">
        <v>450</v>
      </c>
      <c r="C1000" s="30" t="s">
        <v>63</v>
      </c>
      <c r="D1000" s="268" t="s">
        <v>409</v>
      </c>
      <c r="E1000" s="31"/>
      <c r="F1000" s="27">
        <v>4.4285714285714297</v>
      </c>
      <c r="G1000" s="27">
        <v>4.4285714285714297</v>
      </c>
      <c r="H1000" s="27">
        <v>4.4285714285714297</v>
      </c>
      <c r="I1000" s="27">
        <v>4.4285714285714297</v>
      </c>
      <c r="J1000" s="27">
        <v>4.4285714285714297</v>
      </c>
      <c r="K1000" s="27">
        <v>4.4285714285714297</v>
      </c>
      <c r="L1000" s="27">
        <v>4.4285714285714297</v>
      </c>
      <c r="M1000" s="27">
        <v>4.4285714285714297</v>
      </c>
      <c r="N1000" s="27">
        <v>4.4285714285714297</v>
      </c>
      <c r="O1000" s="27">
        <v>4.4285714285714297</v>
      </c>
      <c r="P1000" s="27">
        <v>4.4285714285714297</v>
      </c>
      <c r="Q1000" s="27">
        <v>4.4285714285714297</v>
      </c>
      <c r="R1000" s="27">
        <v>4.4285714285714297</v>
      </c>
      <c r="S1000" s="27">
        <v>4.4285714285714297</v>
      </c>
      <c r="T1000" s="27">
        <v>4.4285714285714297</v>
      </c>
      <c r="U1000" s="27">
        <v>4.4285714285714297</v>
      </c>
      <c r="V1000" s="27">
        <v>4.4285714285714297</v>
      </c>
      <c r="W1000" s="27">
        <v>4.4285714285714297</v>
      </c>
      <c r="X1000" s="27">
        <v>4.4285714285714297</v>
      </c>
      <c r="Y1000" s="27">
        <v>4.4285714285714297</v>
      </c>
      <c r="Z1000" s="27">
        <v>4.4285714285714297</v>
      </c>
      <c r="AA1000" s="27">
        <v>4.4285714285714297</v>
      </c>
      <c r="AB1000" s="27">
        <v>4.4285714285714297</v>
      </c>
      <c r="AC1000" s="27">
        <v>4.4285714285714297</v>
      </c>
      <c r="AD1000" s="27">
        <v>4.4285714285714297</v>
      </c>
      <c r="AE1000" s="27">
        <v>4.4285714285714297</v>
      </c>
      <c r="AF1000" s="27">
        <v>4.4285714285714297</v>
      </c>
      <c r="AG1000" s="27">
        <v>4.4285714285714297</v>
      </c>
      <c r="AH1000" s="27">
        <v>4.4285714285714297</v>
      </c>
      <c r="AI1000" s="27">
        <v>4.4285714285714297</v>
      </c>
      <c r="AJ1000" s="27">
        <v>4.4285714285714297</v>
      </c>
      <c r="AK1000" s="27">
        <v>4.4285714285714297</v>
      </c>
      <c r="AL1000" s="27">
        <v>4.4285714285714297</v>
      </c>
      <c r="AM1000" s="378">
        <f t="shared" si="219"/>
        <v>4.4285714285714288</v>
      </c>
    </row>
    <row r="1001" spans="1:39" x14ac:dyDescent="0.2">
      <c r="A1001" s="8"/>
      <c r="B1001" s="8" t="s">
        <v>451</v>
      </c>
      <c r="C1001" s="3" t="s">
        <v>63</v>
      </c>
      <c r="D1001" s="8"/>
      <c r="E1001" s="70"/>
      <c r="F1001" s="70">
        <f t="shared" ref="F1001:AL1001" si="220">(F938/100*F999)/2+(F933/100*F994)/2+(F931/100*F992)</f>
        <v>2.0729285714285699</v>
      </c>
      <c r="G1001" s="70">
        <f t="shared" si="220"/>
        <v>2.0729285714285699</v>
      </c>
      <c r="H1001" s="70">
        <f t="shared" si="220"/>
        <v>2.0729285714285699</v>
      </c>
      <c r="I1001" s="70">
        <f t="shared" si="220"/>
        <v>2.0729285714285699</v>
      </c>
      <c r="J1001" s="70">
        <f t="shared" si="220"/>
        <v>2.0729285714285699</v>
      </c>
      <c r="K1001" s="70">
        <f t="shared" si="220"/>
        <v>2.0729285714285699</v>
      </c>
      <c r="L1001" s="70">
        <f t="shared" si="220"/>
        <v>2.0729285714285699</v>
      </c>
      <c r="M1001" s="70">
        <f t="shared" si="220"/>
        <v>2.0729285714285699</v>
      </c>
      <c r="N1001" s="70">
        <f t="shared" si="220"/>
        <v>2.0729285714285699</v>
      </c>
      <c r="O1001" s="70">
        <f t="shared" si="220"/>
        <v>2.0729285714285699</v>
      </c>
      <c r="P1001" s="70">
        <f t="shared" si="220"/>
        <v>2.0729285714285699</v>
      </c>
      <c r="Q1001" s="70">
        <f t="shared" si="220"/>
        <v>2.0729285714285699</v>
      </c>
      <c r="R1001" s="70">
        <f t="shared" si="220"/>
        <v>2.0729285714285699</v>
      </c>
      <c r="S1001" s="70">
        <f t="shared" si="220"/>
        <v>2.0729285714285699</v>
      </c>
      <c r="T1001" s="70">
        <f t="shared" si="220"/>
        <v>2.0729285714285699</v>
      </c>
      <c r="U1001" s="70">
        <f t="shared" si="220"/>
        <v>2.0729285714285699</v>
      </c>
      <c r="V1001" s="70">
        <f t="shared" si="220"/>
        <v>2.0729285714285699</v>
      </c>
      <c r="W1001" s="70">
        <f t="shared" si="220"/>
        <v>2.0729285714285699</v>
      </c>
      <c r="X1001" s="70">
        <f t="shared" si="220"/>
        <v>2.0729285714285699</v>
      </c>
      <c r="Y1001" s="70">
        <f t="shared" si="220"/>
        <v>2.0729285714285699</v>
      </c>
      <c r="Z1001" s="70">
        <f t="shared" si="220"/>
        <v>2.0729285714285699</v>
      </c>
      <c r="AA1001" s="70">
        <f t="shared" si="220"/>
        <v>2.0729285714285699</v>
      </c>
      <c r="AB1001" s="70">
        <f t="shared" si="220"/>
        <v>2.0729285714285699</v>
      </c>
      <c r="AC1001" s="70">
        <f t="shared" si="220"/>
        <v>2.0729285714285699</v>
      </c>
      <c r="AD1001" s="70">
        <f t="shared" si="220"/>
        <v>2.0729285714285699</v>
      </c>
      <c r="AE1001" s="70">
        <f t="shared" si="220"/>
        <v>2.0729285714285699</v>
      </c>
      <c r="AF1001" s="70">
        <f t="shared" si="220"/>
        <v>2.0729285714285699</v>
      </c>
      <c r="AG1001" s="70">
        <f t="shared" si="220"/>
        <v>2.0729285714285699</v>
      </c>
      <c r="AH1001" s="70">
        <f t="shared" si="220"/>
        <v>2.0729285714285699</v>
      </c>
      <c r="AI1001" s="70">
        <f t="shared" si="220"/>
        <v>2.0729285714285699</v>
      </c>
      <c r="AJ1001" s="70">
        <f t="shared" si="220"/>
        <v>2.0729285714285699</v>
      </c>
      <c r="AK1001" s="70">
        <f t="shared" si="220"/>
        <v>2.0729285714285699</v>
      </c>
      <c r="AL1001" s="70">
        <f t="shared" si="220"/>
        <v>2.0729285714285699</v>
      </c>
      <c r="AM1001" s="130">
        <f>(AM944/100*AM999)/2+(AM939/100*AM994)/2+(AM937/100*AM992)</f>
        <v>4.0913214285714261</v>
      </c>
    </row>
    <row r="1002" spans="1:39" x14ac:dyDescent="0.2">
      <c r="A1002" s="8"/>
      <c r="B1002" s="8" t="s">
        <v>452</v>
      </c>
      <c r="C1002" s="3" t="s">
        <v>63</v>
      </c>
      <c r="D1002" s="8"/>
      <c r="E1002" s="70"/>
      <c r="F1002" s="70">
        <f t="shared" ref="F1002:AL1002" si="221">(F931/100*F992)+(F932/100*F993)+(F933/100*F994)+(F934/100*F995)+(F935/100*F996)+(F936/100*F997)+(F937/100*F998)+(F938/100*F999)+(F939/100*F1000)-F1001</f>
        <v>2.8316200000000022</v>
      </c>
      <c r="G1002" s="70">
        <f t="shared" si="221"/>
        <v>2.8316200000000022</v>
      </c>
      <c r="H1002" s="70">
        <f t="shared" si="221"/>
        <v>2.8316200000000022</v>
      </c>
      <c r="I1002" s="70">
        <f t="shared" si="221"/>
        <v>2.8316200000000022</v>
      </c>
      <c r="J1002" s="70">
        <f t="shared" si="221"/>
        <v>2.8316200000000022</v>
      </c>
      <c r="K1002" s="70">
        <f t="shared" si="221"/>
        <v>2.8316200000000022</v>
      </c>
      <c r="L1002" s="70">
        <f t="shared" si="221"/>
        <v>2.8316200000000022</v>
      </c>
      <c r="M1002" s="70">
        <f t="shared" si="221"/>
        <v>2.8316200000000022</v>
      </c>
      <c r="N1002" s="70">
        <f t="shared" si="221"/>
        <v>2.8316200000000022</v>
      </c>
      <c r="O1002" s="70">
        <f t="shared" si="221"/>
        <v>2.8316200000000022</v>
      </c>
      <c r="P1002" s="70">
        <f t="shared" si="221"/>
        <v>2.8316200000000022</v>
      </c>
      <c r="Q1002" s="70">
        <f t="shared" si="221"/>
        <v>2.8316200000000022</v>
      </c>
      <c r="R1002" s="70">
        <f t="shared" si="221"/>
        <v>2.8316200000000022</v>
      </c>
      <c r="S1002" s="70">
        <f t="shared" si="221"/>
        <v>2.8316200000000022</v>
      </c>
      <c r="T1002" s="70">
        <f t="shared" si="221"/>
        <v>2.8316200000000022</v>
      </c>
      <c r="U1002" s="70">
        <f t="shared" si="221"/>
        <v>2.8316200000000022</v>
      </c>
      <c r="V1002" s="70">
        <f t="shared" si="221"/>
        <v>2.8316200000000022</v>
      </c>
      <c r="W1002" s="70">
        <f t="shared" si="221"/>
        <v>2.8316200000000022</v>
      </c>
      <c r="X1002" s="70">
        <f t="shared" si="221"/>
        <v>2.8316200000000022</v>
      </c>
      <c r="Y1002" s="70">
        <f t="shared" si="221"/>
        <v>2.8316200000000022</v>
      </c>
      <c r="Z1002" s="70">
        <f t="shared" si="221"/>
        <v>2.8316200000000022</v>
      </c>
      <c r="AA1002" s="70">
        <f t="shared" si="221"/>
        <v>2.8316200000000022</v>
      </c>
      <c r="AB1002" s="70">
        <f t="shared" si="221"/>
        <v>2.8316200000000022</v>
      </c>
      <c r="AC1002" s="70">
        <f t="shared" si="221"/>
        <v>2.8316200000000022</v>
      </c>
      <c r="AD1002" s="70">
        <f t="shared" si="221"/>
        <v>2.8316200000000022</v>
      </c>
      <c r="AE1002" s="70">
        <f t="shared" si="221"/>
        <v>2.8316200000000022</v>
      </c>
      <c r="AF1002" s="70">
        <f t="shared" si="221"/>
        <v>2.8316200000000022</v>
      </c>
      <c r="AG1002" s="70">
        <f t="shared" si="221"/>
        <v>2.8316200000000022</v>
      </c>
      <c r="AH1002" s="70">
        <f t="shared" si="221"/>
        <v>2.8316200000000022</v>
      </c>
      <c r="AI1002" s="70">
        <f t="shared" si="221"/>
        <v>2.8316200000000022</v>
      </c>
      <c r="AJ1002" s="70">
        <f t="shared" si="221"/>
        <v>2.8316200000000022</v>
      </c>
      <c r="AK1002" s="70">
        <f t="shared" si="221"/>
        <v>2.8316200000000022</v>
      </c>
      <c r="AL1002" s="70">
        <f t="shared" si="221"/>
        <v>2.8316200000000022</v>
      </c>
      <c r="AM1002" s="130">
        <f>(AM937/100*AM992)+(AM938/100*AM993)+(AM939/100*AM994)+(AM940/100*AM995)+(AM941/100*AM996)+(AM942/100*AM997)+(AM943/100*AM998)+(AM944/100*AM999)+(AM945/100*AM1000)-AM1001</f>
        <v>1.5237785714285703</v>
      </c>
    </row>
    <row r="1003" spans="1:39" x14ac:dyDescent="0.2">
      <c r="A1003" s="8"/>
      <c r="B1003" s="8"/>
      <c r="C1003" s="3"/>
      <c r="D1003" s="8"/>
      <c r="E1003" s="70"/>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107"/>
    </row>
    <row r="1004" spans="1:39" ht="15" x14ac:dyDescent="0.25">
      <c r="A1004" s="69" t="s">
        <v>354</v>
      </c>
      <c r="B1004" s="19" t="s">
        <v>453</v>
      </c>
      <c r="C1004" s="30" t="s">
        <v>63</v>
      </c>
      <c r="D1004" s="19" t="s">
        <v>398</v>
      </c>
      <c r="E1004" s="31"/>
      <c r="F1004" s="27">
        <v>69.230769230769226</v>
      </c>
      <c r="G1004" s="27">
        <v>69.230769230769226</v>
      </c>
      <c r="H1004" s="27">
        <v>69.230769230769226</v>
      </c>
      <c r="I1004" s="27">
        <v>69.230769230769226</v>
      </c>
      <c r="J1004" s="27">
        <v>69.230769230769226</v>
      </c>
      <c r="K1004" s="27">
        <v>69.230769230769226</v>
      </c>
      <c r="L1004" s="27">
        <v>69.230769230769226</v>
      </c>
      <c r="M1004" s="27">
        <v>69.230769230769226</v>
      </c>
      <c r="N1004" s="27">
        <v>69.230769230769226</v>
      </c>
      <c r="O1004" s="27">
        <v>69.230769230769226</v>
      </c>
      <c r="P1004" s="27">
        <v>69.230769230769226</v>
      </c>
      <c r="Q1004" s="27">
        <v>69.230769230769226</v>
      </c>
      <c r="R1004" s="27">
        <v>69.230769230769226</v>
      </c>
      <c r="S1004" s="27">
        <v>69.230769230769226</v>
      </c>
      <c r="T1004" s="27">
        <v>69.230769230769226</v>
      </c>
      <c r="U1004" s="27">
        <v>69.230769230769226</v>
      </c>
      <c r="V1004" s="27">
        <v>69.230769230769226</v>
      </c>
      <c r="W1004" s="27">
        <v>69.230769230769226</v>
      </c>
      <c r="X1004" s="27">
        <v>69.230769230769226</v>
      </c>
      <c r="Y1004" s="27">
        <v>69.230769230769226</v>
      </c>
      <c r="Z1004" s="27">
        <v>69.230769230769226</v>
      </c>
      <c r="AA1004" s="27">
        <v>69.230769230769226</v>
      </c>
      <c r="AB1004" s="27">
        <v>69.230769230769226</v>
      </c>
      <c r="AC1004" s="27">
        <v>69.230769230769226</v>
      </c>
      <c r="AD1004" s="27">
        <v>69.230769230769226</v>
      </c>
      <c r="AE1004" s="27">
        <v>69.230769230769226</v>
      </c>
      <c r="AF1004" s="27">
        <v>69.230769230769226</v>
      </c>
      <c r="AG1004" s="27">
        <v>69.230769230769226</v>
      </c>
      <c r="AH1004" s="27">
        <v>69.230769230769226</v>
      </c>
      <c r="AI1004" s="27">
        <v>69.230769230769226</v>
      </c>
      <c r="AJ1004" s="27">
        <v>69.230769230769226</v>
      </c>
      <c r="AK1004" s="27">
        <v>69.230769230769226</v>
      </c>
      <c r="AL1004" s="27">
        <v>69.230769230769226</v>
      </c>
      <c r="AM1004" s="378">
        <f t="shared" ref="AM1004:AM1012" si="222">AVERAGE(F1004:AL1004)</f>
        <v>69.230769230769255</v>
      </c>
    </row>
    <row r="1005" spans="1:39" x14ac:dyDescent="0.2">
      <c r="A1005" s="1"/>
      <c r="B1005" s="19" t="s">
        <v>454</v>
      </c>
      <c r="C1005" s="30" t="s">
        <v>63</v>
      </c>
      <c r="D1005" s="19" t="s">
        <v>398</v>
      </c>
      <c r="E1005" s="31"/>
      <c r="F1005" s="27">
        <v>19.230769230769234</v>
      </c>
      <c r="G1005" s="27">
        <v>19.230769230769234</v>
      </c>
      <c r="H1005" s="27">
        <v>19.230769230769234</v>
      </c>
      <c r="I1005" s="27">
        <v>19.230769230769234</v>
      </c>
      <c r="J1005" s="27">
        <v>19.230769230769234</v>
      </c>
      <c r="K1005" s="27">
        <v>19.230769230769234</v>
      </c>
      <c r="L1005" s="27">
        <v>19.230769230769234</v>
      </c>
      <c r="M1005" s="27">
        <v>19.230769230769234</v>
      </c>
      <c r="N1005" s="27">
        <v>19.230769230769234</v>
      </c>
      <c r="O1005" s="27">
        <v>19.230769230769234</v>
      </c>
      <c r="P1005" s="27">
        <v>19.230769230769234</v>
      </c>
      <c r="Q1005" s="27">
        <v>19.230769230769234</v>
      </c>
      <c r="R1005" s="27">
        <v>19.230769230769234</v>
      </c>
      <c r="S1005" s="27">
        <v>19.230769230769234</v>
      </c>
      <c r="T1005" s="27">
        <v>19.230769230769234</v>
      </c>
      <c r="U1005" s="27">
        <v>19.230769230769234</v>
      </c>
      <c r="V1005" s="27">
        <v>19.230769230769234</v>
      </c>
      <c r="W1005" s="27">
        <v>19.230769230769234</v>
      </c>
      <c r="X1005" s="27">
        <v>19.230769230769234</v>
      </c>
      <c r="Y1005" s="27">
        <v>19.230769230769234</v>
      </c>
      <c r="Z1005" s="27">
        <v>19.230769230769234</v>
      </c>
      <c r="AA1005" s="27">
        <v>19.230769230769234</v>
      </c>
      <c r="AB1005" s="27">
        <v>19.230769230769234</v>
      </c>
      <c r="AC1005" s="27">
        <v>19.230769230769234</v>
      </c>
      <c r="AD1005" s="27">
        <v>19.230769230769234</v>
      </c>
      <c r="AE1005" s="27">
        <v>19.230769230769234</v>
      </c>
      <c r="AF1005" s="27">
        <v>19.230769230769234</v>
      </c>
      <c r="AG1005" s="27">
        <v>19.230769230769234</v>
      </c>
      <c r="AH1005" s="27">
        <v>19.230769230769234</v>
      </c>
      <c r="AI1005" s="27">
        <v>19.230769230769234</v>
      </c>
      <c r="AJ1005" s="27">
        <v>19.230769230769234</v>
      </c>
      <c r="AK1005" s="27">
        <v>19.230769230769234</v>
      </c>
      <c r="AL1005" s="27">
        <v>19.230769230769234</v>
      </c>
      <c r="AM1005" s="378">
        <f t="shared" si="222"/>
        <v>19.230769230769237</v>
      </c>
    </row>
    <row r="1006" spans="1:39" x14ac:dyDescent="0.2">
      <c r="A1006" s="1"/>
      <c r="B1006" s="19" t="s">
        <v>455</v>
      </c>
      <c r="C1006" s="30" t="s">
        <v>63</v>
      </c>
      <c r="D1006" s="19" t="s">
        <v>398</v>
      </c>
      <c r="E1006" s="31"/>
      <c r="F1006" s="27">
        <v>11.538461538461538</v>
      </c>
      <c r="G1006" s="27">
        <v>11.538461538461538</v>
      </c>
      <c r="H1006" s="27">
        <v>11.538461538461538</v>
      </c>
      <c r="I1006" s="27">
        <v>11.538461538461538</v>
      </c>
      <c r="J1006" s="27">
        <v>11.538461538461538</v>
      </c>
      <c r="K1006" s="27">
        <v>11.538461538461538</v>
      </c>
      <c r="L1006" s="27">
        <v>11.538461538461538</v>
      </c>
      <c r="M1006" s="27">
        <v>11.538461538461538</v>
      </c>
      <c r="N1006" s="27">
        <v>11.538461538461538</v>
      </c>
      <c r="O1006" s="27">
        <v>11.538461538461538</v>
      </c>
      <c r="P1006" s="27">
        <v>11.538461538461538</v>
      </c>
      <c r="Q1006" s="27">
        <v>11.538461538461538</v>
      </c>
      <c r="R1006" s="27">
        <v>11.538461538461538</v>
      </c>
      <c r="S1006" s="27">
        <v>11.538461538461538</v>
      </c>
      <c r="T1006" s="27">
        <v>11.538461538461538</v>
      </c>
      <c r="U1006" s="27">
        <v>11.538461538461538</v>
      </c>
      <c r="V1006" s="27">
        <v>11.538461538461538</v>
      </c>
      <c r="W1006" s="27">
        <v>11.538461538461538</v>
      </c>
      <c r="X1006" s="27">
        <v>11.538461538461538</v>
      </c>
      <c r="Y1006" s="27">
        <v>11.538461538461538</v>
      </c>
      <c r="Z1006" s="27">
        <v>11.538461538461538</v>
      </c>
      <c r="AA1006" s="27">
        <v>11.538461538461538</v>
      </c>
      <c r="AB1006" s="27">
        <v>11.538461538461538</v>
      </c>
      <c r="AC1006" s="27">
        <v>11.538461538461538</v>
      </c>
      <c r="AD1006" s="27">
        <v>11.538461538461538</v>
      </c>
      <c r="AE1006" s="27">
        <v>11.538461538461538</v>
      </c>
      <c r="AF1006" s="27">
        <v>11.538461538461538</v>
      </c>
      <c r="AG1006" s="27">
        <v>11.538461538461538</v>
      </c>
      <c r="AH1006" s="27">
        <v>11.538461538461538</v>
      </c>
      <c r="AI1006" s="27">
        <v>11.538461538461538</v>
      </c>
      <c r="AJ1006" s="27">
        <v>11.538461538461538</v>
      </c>
      <c r="AK1006" s="27">
        <v>11.538461538461538</v>
      </c>
      <c r="AL1006" s="27">
        <v>11.538461538461538</v>
      </c>
      <c r="AM1006" s="378">
        <f t="shared" si="222"/>
        <v>11.538461538461542</v>
      </c>
    </row>
    <row r="1007" spans="1:39" ht="15" x14ac:dyDescent="0.25">
      <c r="A1007" s="69" t="s">
        <v>360</v>
      </c>
      <c r="B1007" s="19" t="s">
        <v>456</v>
      </c>
      <c r="C1007" s="30" t="s">
        <v>63</v>
      </c>
      <c r="D1007" s="19" t="s">
        <v>398</v>
      </c>
      <c r="E1007" s="31"/>
      <c r="F1007" s="27">
        <v>15.384615384615385</v>
      </c>
      <c r="G1007" s="27">
        <v>15.384615384615385</v>
      </c>
      <c r="H1007" s="27">
        <v>15.384615384615385</v>
      </c>
      <c r="I1007" s="27">
        <v>15.384615384615385</v>
      </c>
      <c r="J1007" s="27">
        <v>15.384615384615385</v>
      </c>
      <c r="K1007" s="27">
        <v>15.384615384615385</v>
      </c>
      <c r="L1007" s="27">
        <v>15.384615384615385</v>
      </c>
      <c r="M1007" s="27">
        <v>15.384615384615385</v>
      </c>
      <c r="N1007" s="27">
        <v>15.384615384615385</v>
      </c>
      <c r="O1007" s="27">
        <v>15.384615384615385</v>
      </c>
      <c r="P1007" s="27">
        <v>15.384615384615385</v>
      </c>
      <c r="Q1007" s="27">
        <v>15.384615384615385</v>
      </c>
      <c r="R1007" s="27">
        <v>15.384615384615385</v>
      </c>
      <c r="S1007" s="27">
        <v>15.384615384615385</v>
      </c>
      <c r="T1007" s="27">
        <v>15.384615384615385</v>
      </c>
      <c r="U1007" s="27">
        <v>15.384615384615385</v>
      </c>
      <c r="V1007" s="27">
        <v>15.384615384615385</v>
      </c>
      <c r="W1007" s="27">
        <v>15.384615384615385</v>
      </c>
      <c r="X1007" s="27">
        <v>15.384615384615385</v>
      </c>
      <c r="Y1007" s="27">
        <v>15.384615384615385</v>
      </c>
      <c r="Z1007" s="27">
        <v>15.384615384615385</v>
      </c>
      <c r="AA1007" s="27">
        <v>15.384615384615385</v>
      </c>
      <c r="AB1007" s="27">
        <v>15.384615384615385</v>
      </c>
      <c r="AC1007" s="27">
        <v>15.384615384615385</v>
      </c>
      <c r="AD1007" s="27">
        <v>15.384615384615385</v>
      </c>
      <c r="AE1007" s="27">
        <v>15.384615384615385</v>
      </c>
      <c r="AF1007" s="27">
        <v>15.384615384615385</v>
      </c>
      <c r="AG1007" s="27">
        <v>15.384615384615385</v>
      </c>
      <c r="AH1007" s="27">
        <v>15.384615384615385</v>
      </c>
      <c r="AI1007" s="27">
        <v>15.384615384615385</v>
      </c>
      <c r="AJ1007" s="27">
        <v>15.384615384615385</v>
      </c>
      <c r="AK1007" s="27">
        <v>15.384615384615385</v>
      </c>
      <c r="AL1007" s="27">
        <v>15.384615384615385</v>
      </c>
      <c r="AM1007" s="378">
        <f t="shared" si="222"/>
        <v>15.384615384615373</v>
      </c>
    </row>
    <row r="1008" spans="1:39" x14ac:dyDescent="0.2">
      <c r="A1008" s="8"/>
      <c r="B1008" s="19" t="s">
        <v>457</v>
      </c>
      <c r="C1008" s="30" t="s">
        <v>63</v>
      </c>
      <c r="D1008" s="19" t="s">
        <v>398</v>
      </c>
      <c r="E1008" s="31"/>
      <c r="F1008" s="27">
        <v>7.6923076923076925</v>
      </c>
      <c r="G1008" s="27">
        <v>7.6923076923076925</v>
      </c>
      <c r="H1008" s="27">
        <v>7.6923076923076925</v>
      </c>
      <c r="I1008" s="27">
        <v>7.6923076923076925</v>
      </c>
      <c r="J1008" s="27">
        <v>7.6923076923076925</v>
      </c>
      <c r="K1008" s="27">
        <v>7.6923076923076925</v>
      </c>
      <c r="L1008" s="27">
        <v>7.6923076923076925</v>
      </c>
      <c r="M1008" s="27">
        <v>7.6923076923076925</v>
      </c>
      <c r="N1008" s="27">
        <v>7.6923076923076925</v>
      </c>
      <c r="O1008" s="27">
        <v>7.6923076923076925</v>
      </c>
      <c r="P1008" s="27">
        <v>7.6923076923076925</v>
      </c>
      <c r="Q1008" s="27">
        <v>7.6923076923076925</v>
      </c>
      <c r="R1008" s="27">
        <v>7.6923076923076925</v>
      </c>
      <c r="S1008" s="27">
        <v>7.6923076923076925</v>
      </c>
      <c r="T1008" s="27">
        <v>7.6923076923076925</v>
      </c>
      <c r="U1008" s="27">
        <v>7.6923076923076925</v>
      </c>
      <c r="V1008" s="27">
        <v>7.6923076923076925</v>
      </c>
      <c r="W1008" s="27">
        <v>7.6923076923076925</v>
      </c>
      <c r="X1008" s="27">
        <v>7.6923076923076925</v>
      </c>
      <c r="Y1008" s="27">
        <v>7.6923076923076925</v>
      </c>
      <c r="Z1008" s="27">
        <v>7.6923076923076925</v>
      </c>
      <c r="AA1008" s="27">
        <v>7.6923076923076925</v>
      </c>
      <c r="AB1008" s="27">
        <v>7.6923076923076925</v>
      </c>
      <c r="AC1008" s="27">
        <v>7.6923076923076925</v>
      </c>
      <c r="AD1008" s="27">
        <v>7.6923076923076925</v>
      </c>
      <c r="AE1008" s="27">
        <v>7.6923076923076925</v>
      </c>
      <c r="AF1008" s="27">
        <v>7.6923076923076925</v>
      </c>
      <c r="AG1008" s="27">
        <v>7.6923076923076925</v>
      </c>
      <c r="AH1008" s="27">
        <v>7.6923076923076925</v>
      </c>
      <c r="AI1008" s="27">
        <v>7.6923076923076925</v>
      </c>
      <c r="AJ1008" s="27">
        <v>7.6923076923076925</v>
      </c>
      <c r="AK1008" s="27">
        <v>7.6923076923076925</v>
      </c>
      <c r="AL1008" s="27">
        <v>7.6923076923076925</v>
      </c>
      <c r="AM1008" s="378">
        <f t="shared" si="222"/>
        <v>7.6923076923076863</v>
      </c>
    </row>
    <row r="1009" spans="1:39" x14ac:dyDescent="0.2">
      <c r="A1009" s="8"/>
      <c r="B1009" s="19" t="s">
        <v>458</v>
      </c>
      <c r="C1009" s="30" t="s">
        <v>63</v>
      </c>
      <c r="D1009" s="19" t="s">
        <v>398</v>
      </c>
      <c r="E1009" s="31"/>
      <c r="F1009" s="27">
        <v>48.07692307692308</v>
      </c>
      <c r="G1009" s="27">
        <v>48.07692307692308</v>
      </c>
      <c r="H1009" s="27">
        <v>48.07692307692308</v>
      </c>
      <c r="I1009" s="27">
        <v>48.07692307692308</v>
      </c>
      <c r="J1009" s="27">
        <v>48.07692307692308</v>
      </c>
      <c r="K1009" s="27">
        <v>48.07692307692308</v>
      </c>
      <c r="L1009" s="27">
        <v>48.07692307692308</v>
      </c>
      <c r="M1009" s="27">
        <v>48.07692307692308</v>
      </c>
      <c r="N1009" s="27">
        <v>48.07692307692308</v>
      </c>
      <c r="O1009" s="27">
        <v>48.07692307692308</v>
      </c>
      <c r="P1009" s="27">
        <v>48.07692307692308</v>
      </c>
      <c r="Q1009" s="27">
        <v>48.07692307692308</v>
      </c>
      <c r="R1009" s="27">
        <v>48.07692307692308</v>
      </c>
      <c r="S1009" s="27">
        <v>48.07692307692308</v>
      </c>
      <c r="T1009" s="27">
        <v>48.07692307692308</v>
      </c>
      <c r="U1009" s="27">
        <v>48.07692307692308</v>
      </c>
      <c r="V1009" s="27">
        <v>48.07692307692308</v>
      </c>
      <c r="W1009" s="27">
        <v>48.07692307692308</v>
      </c>
      <c r="X1009" s="27">
        <v>48.07692307692308</v>
      </c>
      <c r="Y1009" s="27">
        <v>48.07692307692308</v>
      </c>
      <c r="Z1009" s="27">
        <v>48.07692307692308</v>
      </c>
      <c r="AA1009" s="27">
        <v>48.07692307692308</v>
      </c>
      <c r="AB1009" s="27">
        <v>48.07692307692308</v>
      </c>
      <c r="AC1009" s="27">
        <v>48.07692307692308</v>
      </c>
      <c r="AD1009" s="27">
        <v>48.07692307692308</v>
      </c>
      <c r="AE1009" s="27">
        <v>48.07692307692308</v>
      </c>
      <c r="AF1009" s="27">
        <v>48.07692307692308</v>
      </c>
      <c r="AG1009" s="27">
        <v>48.07692307692308</v>
      </c>
      <c r="AH1009" s="27">
        <v>48.07692307692308</v>
      </c>
      <c r="AI1009" s="27">
        <v>48.07692307692308</v>
      </c>
      <c r="AJ1009" s="27">
        <v>48.07692307692308</v>
      </c>
      <c r="AK1009" s="27">
        <v>48.07692307692308</v>
      </c>
      <c r="AL1009" s="27">
        <v>48.07692307692308</v>
      </c>
      <c r="AM1009" s="378">
        <f t="shared" si="222"/>
        <v>48.076923076923087</v>
      </c>
    </row>
    <row r="1010" spans="1:39" x14ac:dyDescent="0.2">
      <c r="A1010" s="8"/>
      <c r="B1010" s="19" t="s">
        <v>459</v>
      </c>
      <c r="C1010" s="30" t="s">
        <v>63</v>
      </c>
      <c r="D1010" s="19" t="s">
        <v>398</v>
      </c>
      <c r="E1010" s="31"/>
      <c r="F1010" s="27">
        <v>5.7692307692307692</v>
      </c>
      <c r="G1010" s="27">
        <v>5.7692307692307692</v>
      </c>
      <c r="H1010" s="27">
        <v>5.7692307692307692</v>
      </c>
      <c r="I1010" s="27">
        <v>5.7692307692307692</v>
      </c>
      <c r="J1010" s="27">
        <v>5.7692307692307692</v>
      </c>
      <c r="K1010" s="27">
        <v>5.7692307692307692</v>
      </c>
      <c r="L1010" s="27">
        <v>5.7692307692307692</v>
      </c>
      <c r="M1010" s="27">
        <v>5.7692307692307692</v>
      </c>
      <c r="N1010" s="27">
        <v>5.7692307692307692</v>
      </c>
      <c r="O1010" s="27">
        <v>5.7692307692307692</v>
      </c>
      <c r="P1010" s="27">
        <v>5.7692307692307692</v>
      </c>
      <c r="Q1010" s="27">
        <v>5.7692307692307692</v>
      </c>
      <c r="R1010" s="27">
        <v>5.7692307692307692</v>
      </c>
      <c r="S1010" s="27">
        <v>5.7692307692307692</v>
      </c>
      <c r="T1010" s="27">
        <v>5.7692307692307692</v>
      </c>
      <c r="U1010" s="27">
        <v>5.7692307692307692</v>
      </c>
      <c r="V1010" s="27">
        <v>5.7692307692307692</v>
      </c>
      <c r="W1010" s="27">
        <v>5.7692307692307692</v>
      </c>
      <c r="X1010" s="27">
        <v>5.7692307692307692</v>
      </c>
      <c r="Y1010" s="27">
        <v>5.7692307692307692</v>
      </c>
      <c r="Z1010" s="27">
        <v>5.7692307692307692</v>
      </c>
      <c r="AA1010" s="27">
        <v>5.7692307692307692</v>
      </c>
      <c r="AB1010" s="27">
        <v>5.7692307692307692</v>
      </c>
      <c r="AC1010" s="27">
        <v>5.7692307692307692</v>
      </c>
      <c r="AD1010" s="27">
        <v>5.7692307692307692</v>
      </c>
      <c r="AE1010" s="27">
        <v>5.7692307692307692</v>
      </c>
      <c r="AF1010" s="27">
        <v>5.7692307692307692</v>
      </c>
      <c r="AG1010" s="27">
        <v>5.7692307692307692</v>
      </c>
      <c r="AH1010" s="27">
        <v>5.7692307692307692</v>
      </c>
      <c r="AI1010" s="27">
        <v>5.7692307692307692</v>
      </c>
      <c r="AJ1010" s="27">
        <v>5.7692307692307692</v>
      </c>
      <c r="AK1010" s="27">
        <v>5.7692307692307692</v>
      </c>
      <c r="AL1010" s="27">
        <v>5.7692307692307692</v>
      </c>
      <c r="AM1010" s="378">
        <f t="shared" si="222"/>
        <v>5.7692307692307709</v>
      </c>
    </row>
    <row r="1011" spans="1:39" x14ac:dyDescent="0.2">
      <c r="A1011" s="8"/>
      <c r="B1011" s="19" t="s">
        <v>460</v>
      </c>
      <c r="C1011" s="30" t="s">
        <v>63</v>
      </c>
      <c r="D1011" s="19" t="s">
        <v>398</v>
      </c>
      <c r="E1011" s="31"/>
      <c r="F1011" s="27">
        <v>5.7692307692307692</v>
      </c>
      <c r="G1011" s="27">
        <v>5.7692307692307692</v>
      </c>
      <c r="H1011" s="27">
        <v>5.7692307692307692</v>
      </c>
      <c r="I1011" s="27">
        <v>5.7692307692307692</v>
      </c>
      <c r="J1011" s="27">
        <v>5.7692307692307692</v>
      </c>
      <c r="K1011" s="27">
        <v>5.7692307692307692</v>
      </c>
      <c r="L1011" s="27">
        <v>5.7692307692307692</v>
      </c>
      <c r="M1011" s="27">
        <v>5.7692307692307692</v>
      </c>
      <c r="N1011" s="27">
        <v>5.7692307692307692</v>
      </c>
      <c r="O1011" s="27">
        <v>5.7692307692307692</v>
      </c>
      <c r="P1011" s="27">
        <v>5.7692307692307692</v>
      </c>
      <c r="Q1011" s="27">
        <v>5.7692307692307692</v>
      </c>
      <c r="R1011" s="27">
        <v>5.7692307692307692</v>
      </c>
      <c r="S1011" s="27">
        <v>5.7692307692307692</v>
      </c>
      <c r="T1011" s="27">
        <v>5.7692307692307692</v>
      </c>
      <c r="U1011" s="27">
        <v>5.7692307692307692</v>
      </c>
      <c r="V1011" s="27">
        <v>5.7692307692307692</v>
      </c>
      <c r="W1011" s="27">
        <v>5.7692307692307692</v>
      </c>
      <c r="X1011" s="27">
        <v>5.7692307692307692</v>
      </c>
      <c r="Y1011" s="27">
        <v>5.7692307692307692</v>
      </c>
      <c r="Z1011" s="27">
        <v>5.7692307692307692</v>
      </c>
      <c r="AA1011" s="27">
        <v>5.7692307692307692</v>
      </c>
      <c r="AB1011" s="27">
        <v>5.7692307692307692</v>
      </c>
      <c r="AC1011" s="27">
        <v>5.7692307692307692</v>
      </c>
      <c r="AD1011" s="27">
        <v>5.7692307692307692</v>
      </c>
      <c r="AE1011" s="27">
        <v>5.7692307692307692</v>
      </c>
      <c r="AF1011" s="27">
        <v>5.7692307692307692</v>
      </c>
      <c r="AG1011" s="27">
        <v>5.7692307692307692</v>
      </c>
      <c r="AH1011" s="27">
        <v>5.7692307692307692</v>
      </c>
      <c r="AI1011" s="27">
        <v>5.7692307692307692</v>
      </c>
      <c r="AJ1011" s="27">
        <v>5.7692307692307692</v>
      </c>
      <c r="AK1011" s="27">
        <v>5.7692307692307692</v>
      </c>
      <c r="AL1011" s="27">
        <v>5.7692307692307692</v>
      </c>
      <c r="AM1011" s="378">
        <f t="shared" si="222"/>
        <v>5.7692307692307709</v>
      </c>
    </row>
    <row r="1012" spans="1:39" x14ac:dyDescent="0.2">
      <c r="A1012" s="8"/>
      <c r="B1012" s="19" t="s">
        <v>461</v>
      </c>
      <c r="C1012" s="30" t="s">
        <v>63</v>
      </c>
      <c r="D1012" s="19" t="s">
        <v>398</v>
      </c>
      <c r="E1012" s="31"/>
      <c r="F1012" s="27">
        <v>9.6153846153846168</v>
      </c>
      <c r="G1012" s="27">
        <v>9.6153846153846168</v>
      </c>
      <c r="H1012" s="27">
        <v>9.6153846153846168</v>
      </c>
      <c r="I1012" s="27">
        <v>9.6153846153846168</v>
      </c>
      <c r="J1012" s="27">
        <v>9.6153846153846168</v>
      </c>
      <c r="K1012" s="27">
        <v>9.6153846153846168</v>
      </c>
      <c r="L1012" s="27">
        <v>9.6153846153846168</v>
      </c>
      <c r="M1012" s="27">
        <v>9.6153846153846168</v>
      </c>
      <c r="N1012" s="27">
        <v>9.6153846153846168</v>
      </c>
      <c r="O1012" s="27">
        <v>9.6153846153846168</v>
      </c>
      <c r="P1012" s="27">
        <v>9.6153846153846168</v>
      </c>
      <c r="Q1012" s="27">
        <v>9.6153846153846168</v>
      </c>
      <c r="R1012" s="27">
        <v>9.6153846153846168</v>
      </c>
      <c r="S1012" s="27">
        <v>9.6153846153846168</v>
      </c>
      <c r="T1012" s="27">
        <v>9.6153846153846168</v>
      </c>
      <c r="U1012" s="27">
        <v>9.6153846153846168</v>
      </c>
      <c r="V1012" s="27">
        <v>9.6153846153846168</v>
      </c>
      <c r="W1012" s="27">
        <v>9.6153846153846168</v>
      </c>
      <c r="X1012" s="27">
        <v>9.6153846153846168</v>
      </c>
      <c r="Y1012" s="27">
        <v>9.6153846153846168</v>
      </c>
      <c r="Z1012" s="27">
        <v>9.6153846153846168</v>
      </c>
      <c r="AA1012" s="27">
        <v>9.6153846153846168</v>
      </c>
      <c r="AB1012" s="27">
        <v>9.6153846153846168</v>
      </c>
      <c r="AC1012" s="27">
        <v>9.6153846153846168</v>
      </c>
      <c r="AD1012" s="27">
        <v>9.6153846153846168</v>
      </c>
      <c r="AE1012" s="27">
        <v>9.6153846153846168</v>
      </c>
      <c r="AF1012" s="27">
        <v>9.6153846153846168</v>
      </c>
      <c r="AG1012" s="27">
        <v>9.6153846153846168</v>
      </c>
      <c r="AH1012" s="27">
        <v>9.6153846153846168</v>
      </c>
      <c r="AI1012" s="27">
        <v>9.6153846153846168</v>
      </c>
      <c r="AJ1012" s="27">
        <v>9.6153846153846168</v>
      </c>
      <c r="AK1012" s="27">
        <v>9.6153846153846168</v>
      </c>
      <c r="AL1012" s="27">
        <v>9.6153846153846168</v>
      </c>
      <c r="AM1012" s="378">
        <f t="shared" si="222"/>
        <v>9.6153846153846185</v>
      </c>
    </row>
    <row r="1013" spans="1:39" x14ac:dyDescent="0.2">
      <c r="A1013" s="8"/>
      <c r="B1013" s="8" t="s">
        <v>462</v>
      </c>
      <c r="C1013" s="3" t="s">
        <v>63</v>
      </c>
      <c r="D1013" s="8"/>
      <c r="E1013" s="70"/>
      <c r="F1013" s="70">
        <f>(F951/100*F1011)/2+(F946/100*F1006)/2+(F944/100*F1004)</f>
        <v>2.2678846153846153</v>
      </c>
      <c r="G1013" s="70">
        <f t="shared" ref="G1013:AL1013" si="223">(G951/100*G1011)/2+(G946/100*G1006)/2+(G944/100*G1004)</f>
        <v>2.2678846153846153</v>
      </c>
      <c r="H1013" s="70">
        <f t="shared" si="223"/>
        <v>2.2678846153846153</v>
      </c>
      <c r="I1013" s="70">
        <f t="shared" si="223"/>
        <v>2.2678846153846153</v>
      </c>
      <c r="J1013" s="70">
        <f t="shared" si="223"/>
        <v>2.2678846153846153</v>
      </c>
      <c r="K1013" s="70">
        <f t="shared" si="223"/>
        <v>2.2678846153846153</v>
      </c>
      <c r="L1013" s="70">
        <f t="shared" si="223"/>
        <v>2.2678846153846153</v>
      </c>
      <c r="M1013" s="70">
        <f t="shared" si="223"/>
        <v>2.2678846153846153</v>
      </c>
      <c r="N1013" s="70">
        <f t="shared" si="223"/>
        <v>2.2678846153846153</v>
      </c>
      <c r="O1013" s="70">
        <f t="shared" si="223"/>
        <v>2.2678846153846153</v>
      </c>
      <c r="P1013" s="70">
        <f t="shared" si="223"/>
        <v>2.2678846153846153</v>
      </c>
      <c r="Q1013" s="70">
        <f t="shared" si="223"/>
        <v>2.2678846153846153</v>
      </c>
      <c r="R1013" s="70">
        <f t="shared" si="223"/>
        <v>2.2678846153846153</v>
      </c>
      <c r="S1013" s="70">
        <f t="shared" si="223"/>
        <v>2.2678846153846153</v>
      </c>
      <c r="T1013" s="70">
        <f t="shared" si="223"/>
        <v>2.2678846153846153</v>
      </c>
      <c r="U1013" s="70">
        <f t="shared" si="223"/>
        <v>2.2678846153846153</v>
      </c>
      <c r="V1013" s="70">
        <f t="shared" si="223"/>
        <v>2.2678846153846153</v>
      </c>
      <c r="W1013" s="70">
        <f t="shared" si="223"/>
        <v>2.2678846153846153</v>
      </c>
      <c r="X1013" s="70">
        <f t="shared" si="223"/>
        <v>2.2678846153846153</v>
      </c>
      <c r="Y1013" s="70">
        <f t="shared" si="223"/>
        <v>2.2678846153846153</v>
      </c>
      <c r="Z1013" s="70">
        <f t="shared" si="223"/>
        <v>2.2678846153846153</v>
      </c>
      <c r="AA1013" s="70">
        <f t="shared" si="223"/>
        <v>2.2678846153846153</v>
      </c>
      <c r="AB1013" s="70">
        <f t="shared" si="223"/>
        <v>2.2678846153846153</v>
      </c>
      <c r="AC1013" s="70">
        <f t="shared" si="223"/>
        <v>2.2678846153846153</v>
      </c>
      <c r="AD1013" s="70">
        <f t="shared" si="223"/>
        <v>2.2678846153846153</v>
      </c>
      <c r="AE1013" s="70">
        <f t="shared" si="223"/>
        <v>2.2678846153846153</v>
      </c>
      <c r="AF1013" s="70">
        <f t="shared" si="223"/>
        <v>2.2678846153846153</v>
      </c>
      <c r="AG1013" s="70">
        <f t="shared" si="223"/>
        <v>2.2678846153846153</v>
      </c>
      <c r="AH1013" s="70">
        <f t="shared" si="223"/>
        <v>2.2678846153846153</v>
      </c>
      <c r="AI1013" s="70">
        <f t="shared" si="223"/>
        <v>2.2678846153846153</v>
      </c>
      <c r="AJ1013" s="70">
        <f t="shared" si="223"/>
        <v>2.2678846153846153</v>
      </c>
      <c r="AK1013" s="70">
        <f t="shared" si="223"/>
        <v>2.2678846153846153</v>
      </c>
      <c r="AL1013" s="70">
        <f t="shared" si="223"/>
        <v>2.2678846153846153</v>
      </c>
      <c r="AM1013" s="130">
        <f>(AM956/100*AM1011)/2+(AM951/100*AM1006)/2+(AM949/100*AM1004)</f>
        <v>2.5105029585798833</v>
      </c>
    </row>
    <row r="1014" spans="1:39" x14ac:dyDescent="0.2">
      <c r="A1014" s="8"/>
      <c r="B1014" s="8" t="s">
        <v>463</v>
      </c>
      <c r="C1014" s="3" t="s">
        <v>63</v>
      </c>
      <c r="D1014" s="8"/>
      <c r="E1014" s="70"/>
      <c r="F1014" s="70">
        <f>(F944/100*F1004)+(F945/100*F1005)+(F946/100*F1006)+(F947/100*F1007)+(F948/100*F1008)+(F949/100*F1009)+(F950/100*F1010)+(F951/100*F1011)+(F952/100*F1012)-F1013</f>
        <v>2.7745000000000002</v>
      </c>
      <c r="G1014" s="70">
        <f t="shared" ref="G1014:AL1014" si="224">(G944/100*G1004)+(G945/100*G1005)+(G946/100*G1006)+(G947/100*G1007)+(G948/100*G1008)+(G949/100*G1009)+(G950/100*G1010)+(G951/100*G1011)+(G952/100*G1012)-G1013</f>
        <v>2.7745000000000002</v>
      </c>
      <c r="H1014" s="70">
        <f t="shared" si="224"/>
        <v>2.7745000000000002</v>
      </c>
      <c r="I1014" s="70">
        <f t="shared" si="224"/>
        <v>2.7745000000000002</v>
      </c>
      <c r="J1014" s="70">
        <f t="shared" si="224"/>
        <v>2.7745000000000002</v>
      </c>
      <c r="K1014" s="70">
        <f t="shared" si="224"/>
        <v>2.7745000000000002</v>
      </c>
      <c r="L1014" s="70">
        <f t="shared" si="224"/>
        <v>2.7745000000000002</v>
      </c>
      <c r="M1014" s="70">
        <f t="shared" si="224"/>
        <v>2.7745000000000002</v>
      </c>
      <c r="N1014" s="70">
        <f t="shared" si="224"/>
        <v>2.7745000000000002</v>
      </c>
      <c r="O1014" s="70">
        <f t="shared" si="224"/>
        <v>2.7745000000000002</v>
      </c>
      <c r="P1014" s="70">
        <f t="shared" si="224"/>
        <v>2.7745000000000002</v>
      </c>
      <c r="Q1014" s="70">
        <f t="shared" si="224"/>
        <v>2.7745000000000002</v>
      </c>
      <c r="R1014" s="70">
        <f t="shared" si="224"/>
        <v>2.7745000000000002</v>
      </c>
      <c r="S1014" s="70">
        <f t="shared" si="224"/>
        <v>2.7745000000000002</v>
      </c>
      <c r="T1014" s="70">
        <f t="shared" si="224"/>
        <v>2.7745000000000002</v>
      </c>
      <c r="U1014" s="70">
        <f t="shared" si="224"/>
        <v>2.7745000000000002</v>
      </c>
      <c r="V1014" s="70">
        <f t="shared" si="224"/>
        <v>2.7745000000000002</v>
      </c>
      <c r="W1014" s="70">
        <f t="shared" si="224"/>
        <v>2.7745000000000002</v>
      </c>
      <c r="X1014" s="70">
        <f t="shared" si="224"/>
        <v>2.7745000000000002</v>
      </c>
      <c r="Y1014" s="70">
        <f t="shared" si="224"/>
        <v>2.7745000000000002</v>
      </c>
      <c r="Z1014" s="70">
        <f t="shared" si="224"/>
        <v>2.7745000000000002</v>
      </c>
      <c r="AA1014" s="70">
        <f t="shared" si="224"/>
        <v>2.7745000000000002</v>
      </c>
      <c r="AB1014" s="70">
        <f t="shared" si="224"/>
        <v>2.7745000000000002</v>
      </c>
      <c r="AC1014" s="70">
        <f t="shared" si="224"/>
        <v>2.7745000000000002</v>
      </c>
      <c r="AD1014" s="70">
        <f t="shared" si="224"/>
        <v>2.7745000000000002</v>
      </c>
      <c r="AE1014" s="70">
        <f t="shared" si="224"/>
        <v>2.7745000000000002</v>
      </c>
      <c r="AF1014" s="70">
        <f t="shared" si="224"/>
        <v>2.7745000000000002</v>
      </c>
      <c r="AG1014" s="70">
        <f t="shared" si="224"/>
        <v>2.7745000000000002</v>
      </c>
      <c r="AH1014" s="70">
        <f t="shared" si="224"/>
        <v>2.7745000000000002</v>
      </c>
      <c r="AI1014" s="70">
        <f t="shared" si="224"/>
        <v>2.7745000000000002</v>
      </c>
      <c r="AJ1014" s="70">
        <f t="shared" si="224"/>
        <v>2.7745000000000002</v>
      </c>
      <c r="AK1014" s="70">
        <f t="shared" si="224"/>
        <v>2.7745000000000002</v>
      </c>
      <c r="AL1014" s="70">
        <f t="shared" si="224"/>
        <v>2.7745000000000002</v>
      </c>
      <c r="AM1014" s="130">
        <f>(AM949/100*AM1004)+(AM950/100*AM1005)+(AM951/100*AM1006)+(AM952/100*AM1007)+(AM953/100*AM1008)+(AM954/100*AM1009)+(AM955/100*AM1010)+(AM956/100*AM1011)+(AM957/100*AM1012)-AM1013</f>
        <v>5.2134615384615408</v>
      </c>
    </row>
    <row r="1015" spans="1:39" x14ac:dyDescent="0.2">
      <c r="A1015" s="8"/>
      <c r="B1015" s="19"/>
      <c r="C1015" s="18"/>
      <c r="D1015" s="19"/>
      <c r="E1015" s="71"/>
      <c r="F1015" s="71"/>
      <c r="G1015" s="71"/>
      <c r="H1015" s="71"/>
      <c r="I1015" s="71"/>
      <c r="J1015" s="71"/>
      <c r="K1015" s="71"/>
      <c r="L1015" s="71"/>
      <c r="M1015" s="71"/>
      <c r="N1015" s="71"/>
      <c r="O1015" s="71"/>
      <c r="P1015" s="71"/>
      <c r="Q1015" s="71"/>
      <c r="R1015" s="71"/>
      <c r="S1015" s="71"/>
      <c r="T1015" s="71"/>
      <c r="U1015" s="71"/>
      <c r="V1015" s="71"/>
      <c r="W1015" s="71"/>
      <c r="X1015" s="71"/>
      <c r="Y1015" s="71"/>
      <c r="Z1015" s="71"/>
      <c r="AA1015" s="71"/>
      <c r="AB1015" s="71"/>
      <c r="AC1015" s="71"/>
      <c r="AD1015" s="71"/>
      <c r="AE1015" s="71"/>
      <c r="AF1015" s="71"/>
      <c r="AG1015" s="71"/>
      <c r="AH1015" s="71"/>
      <c r="AI1015" s="71"/>
      <c r="AJ1015" s="71"/>
      <c r="AK1015" s="71"/>
      <c r="AL1015" s="71"/>
      <c r="AM1015" s="107"/>
    </row>
    <row r="1016" spans="1:39" x14ac:dyDescent="0.2">
      <c r="A1016" s="8"/>
      <c r="B1016" s="8" t="s">
        <v>464</v>
      </c>
      <c r="C1016" s="22" t="s">
        <v>77</v>
      </c>
      <c r="D1016" s="8"/>
      <c r="E1016" s="72"/>
      <c r="F1016" s="70">
        <f>(F1001/100*F894)+(F989/100*F893)+(F977/100*(F891+F892))+(F965/100*F890)+(F1013/100*F895)</f>
        <v>0</v>
      </c>
      <c r="G1016" s="70">
        <f t="shared" ref="G1016:AL1016" si="225">(G1001/100*G894)+(G989/100*G893)+(G977/100*(G891+G892))+(G965/100*G890)+(G1013/100*G895)</f>
        <v>0</v>
      </c>
      <c r="H1016" s="70">
        <f t="shared" si="225"/>
        <v>0</v>
      </c>
      <c r="I1016" s="70">
        <f t="shared" si="225"/>
        <v>0</v>
      </c>
      <c r="J1016" s="70">
        <f t="shared" si="225"/>
        <v>6.1668521773649463</v>
      </c>
      <c r="K1016" s="70">
        <f t="shared" si="225"/>
        <v>3.2401009024469758</v>
      </c>
      <c r="L1016" s="70">
        <f t="shared" si="225"/>
        <v>3.1185255165214865</v>
      </c>
      <c r="M1016" s="70">
        <f t="shared" si="225"/>
        <v>0</v>
      </c>
      <c r="N1016" s="70">
        <f t="shared" si="225"/>
        <v>0</v>
      </c>
      <c r="O1016" s="70">
        <f t="shared" si="225"/>
        <v>0</v>
      </c>
      <c r="P1016" s="70">
        <f t="shared" si="225"/>
        <v>9.2738866488256075</v>
      </c>
      <c r="Q1016" s="70">
        <f t="shared" si="225"/>
        <v>0</v>
      </c>
      <c r="R1016" s="70">
        <f t="shared" si="225"/>
        <v>23.400442118657253</v>
      </c>
      <c r="S1016" s="70">
        <f t="shared" si="225"/>
        <v>14.282719479030888</v>
      </c>
      <c r="T1016" s="70">
        <f t="shared" si="225"/>
        <v>24.093372923620716</v>
      </c>
      <c r="U1016" s="70">
        <f t="shared" si="225"/>
        <v>0</v>
      </c>
      <c r="V1016" s="70">
        <f t="shared" si="225"/>
        <v>15.547209213988751</v>
      </c>
      <c r="W1016" s="70">
        <f t="shared" si="225"/>
        <v>1.885789541059999</v>
      </c>
      <c r="X1016" s="70">
        <f t="shared" si="225"/>
        <v>1.5455145125127863</v>
      </c>
      <c r="Y1016" s="70">
        <f t="shared" si="225"/>
        <v>2.6475408402374048</v>
      </c>
      <c r="Z1016" s="70">
        <f t="shared" si="225"/>
        <v>2.3920993724289024</v>
      </c>
      <c r="AA1016" s="70">
        <f t="shared" si="225"/>
        <v>4.4926223603693156</v>
      </c>
      <c r="AB1016" s="70">
        <f t="shared" si="225"/>
        <v>4.0405060883764312</v>
      </c>
      <c r="AC1016" s="70">
        <f t="shared" si="225"/>
        <v>14.775477021554815</v>
      </c>
      <c r="AD1016" s="70">
        <f t="shared" si="225"/>
        <v>0</v>
      </c>
      <c r="AE1016" s="70">
        <f t="shared" si="225"/>
        <v>3.8586149462251154</v>
      </c>
      <c r="AF1016" s="70">
        <f t="shared" si="225"/>
        <v>0</v>
      </c>
      <c r="AG1016" s="70">
        <f t="shared" si="225"/>
        <v>5.3861759722440441</v>
      </c>
      <c r="AH1016" s="70">
        <f t="shared" si="225"/>
        <v>1.8456728569077561</v>
      </c>
      <c r="AI1016" s="70">
        <f t="shared" si="225"/>
        <v>0</v>
      </c>
      <c r="AJ1016" s="70">
        <f t="shared" si="225"/>
        <v>0</v>
      </c>
      <c r="AK1016" s="70">
        <f t="shared" si="225"/>
        <v>0</v>
      </c>
      <c r="AL1016" s="70">
        <f t="shared" si="225"/>
        <v>0</v>
      </c>
      <c r="AM1016" s="379">
        <f>SUM(F1016:AL1016)</f>
        <v>141.99312249237317</v>
      </c>
    </row>
    <row r="1017" spans="1:39" x14ac:dyDescent="0.2">
      <c r="A1017" s="8"/>
      <c r="B1017" s="8" t="s">
        <v>465</v>
      </c>
      <c r="C1017" s="22" t="s">
        <v>77</v>
      </c>
      <c r="D1017" s="8"/>
      <c r="E1017" s="72"/>
      <c r="F1017" s="70">
        <f>(F940/100*F896)+(F941/100*F897)+(F942/100*F898)</f>
        <v>0</v>
      </c>
      <c r="G1017" s="70">
        <f t="shared" ref="G1017:AL1017" si="226">(G940/100*G896)+(G941/100*G897)+(G942/100*G898)</f>
        <v>0</v>
      </c>
      <c r="H1017" s="70">
        <f t="shared" si="226"/>
        <v>0</v>
      </c>
      <c r="I1017" s="70">
        <f t="shared" si="226"/>
        <v>0</v>
      </c>
      <c r="J1017" s="70">
        <f t="shared" si="226"/>
        <v>15.770340284326783</v>
      </c>
      <c r="K1017" s="70">
        <f t="shared" si="226"/>
        <v>7.440776540600643</v>
      </c>
      <c r="L1017" s="70">
        <f t="shared" si="226"/>
        <v>10.696616313708555</v>
      </c>
      <c r="M1017" s="70">
        <f t="shared" si="226"/>
        <v>0</v>
      </c>
      <c r="N1017" s="70">
        <f t="shared" si="226"/>
        <v>0</v>
      </c>
      <c r="O1017" s="70">
        <f t="shared" si="226"/>
        <v>0</v>
      </c>
      <c r="P1017" s="70">
        <f t="shared" si="226"/>
        <v>25.645307500237244</v>
      </c>
      <c r="Q1017" s="70">
        <f t="shared" si="226"/>
        <v>0</v>
      </c>
      <c r="R1017" s="70">
        <f t="shared" si="226"/>
        <v>38.583098895429181</v>
      </c>
      <c r="S1017" s="70">
        <f t="shared" si="226"/>
        <v>14.455131795374571</v>
      </c>
      <c r="T1017" s="70">
        <f t="shared" si="226"/>
        <v>34.749951536860848</v>
      </c>
      <c r="U1017" s="70">
        <f t="shared" si="226"/>
        <v>0</v>
      </c>
      <c r="V1017" s="70">
        <f t="shared" si="226"/>
        <v>19.213664558057403</v>
      </c>
      <c r="W1017" s="70">
        <f t="shared" si="226"/>
        <v>12.268403453527343</v>
      </c>
      <c r="X1017" s="70">
        <f t="shared" si="226"/>
        <v>6.0442853298716148</v>
      </c>
      <c r="Y1017" s="70">
        <f t="shared" si="226"/>
        <v>7.1976451652821432</v>
      </c>
      <c r="Z1017" s="70">
        <f t="shared" si="226"/>
        <v>2.3856781009877044</v>
      </c>
      <c r="AA1017" s="70">
        <f t="shared" si="226"/>
        <v>7.2212491665342871</v>
      </c>
      <c r="AB1017" s="70">
        <f t="shared" si="226"/>
        <v>5.5870107736501664</v>
      </c>
      <c r="AC1017" s="70">
        <f t="shared" si="226"/>
        <v>17.684565966742809</v>
      </c>
      <c r="AD1017" s="70">
        <f t="shared" si="226"/>
        <v>0</v>
      </c>
      <c r="AE1017" s="70">
        <f t="shared" si="226"/>
        <v>5.0964296497917756</v>
      </c>
      <c r="AF1017" s="70">
        <f t="shared" si="226"/>
        <v>0</v>
      </c>
      <c r="AG1017" s="70">
        <f t="shared" si="226"/>
        <v>4.7705229974661458</v>
      </c>
      <c r="AH1017" s="70">
        <f t="shared" si="226"/>
        <v>4.5218996834970371</v>
      </c>
      <c r="AI1017" s="70">
        <f t="shared" si="226"/>
        <v>0</v>
      </c>
      <c r="AJ1017" s="70">
        <f t="shared" si="226"/>
        <v>0</v>
      </c>
      <c r="AK1017" s="70">
        <f t="shared" si="226"/>
        <v>0</v>
      </c>
      <c r="AL1017" s="70">
        <f t="shared" si="226"/>
        <v>0</v>
      </c>
      <c r="AM1017" s="379">
        <f>SUM(F1017:AL1017)</f>
        <v>239.3325777119463</v>
      </c>
    </row>
    <row r="1018" spans="1:39" x14ac:dyDescent="0.2">
      <c r="A1018" s="8"/>
      <c r="B1018" s="8" t="s">
        <v>466</v>
      </c>
      <c r="C1018" s="22" t="s">
        <v>77</v>
      </c>
      <c r="D1018" s="8"/>
      <c r="E1018" s="72"/>
      <c r="F1018" s="70">
        <f>(F1002/100*F894)+(F990/100*F893)+(F978/100*(F891+F892))+(F966/100*F890)+(F1014/100*F895)</f>
        <v>0</v>
      </c>
      <c r="G1018" s="70">
        <f t="shared" ref="G1018:AL1018" si="227">(G1002/100*G894)+(G990/100*G893)+(G978/100*(G891+G892))+(G966/100*G890)+(G1014/100*G895)</f>
        <v>0</v>
      </c>
      <c r="H1018" s="70">
        <f t="shared" si="227"/>
        <v>0</v>
      </c>
      <c r="I1018" s="70">
        <f t="shared" si="227"/>
        <v>0</v>
      </c>
      <c r="J1018" s="70">
        <f t="shared" si="227"/>
        <v>7.6664198753633102</v>
      </c>
      <c r="K1018" s="70">
        <f t="shared" si="227"/>
        <v>4.0336364499763571</v>
      </c>
      <c r="L1018" s="70">
        <f t="shared" si="227"/>
        <v>3.735521123729511</v>
      </c>
      <c r="M1018" s="70">
        <f t="shared" si="227"/>
        <v>0</v>
      </c>
      <c r="N1018" s="70">
        <f t="shared" si="227"/>
        <v>0</v>
      </c>
      <c r="O1018" s="70">
        <f t="shared" si="227"/>
        <v>0</v>
      </c>
      <c r="P1018" s="70">
        <f t="shared" si="227"/>
        <v>11.504420088576824</v>
      </c>
      <c r="Q1018" s="70">
        <f t="shared" si="227"/>
        <v>0</v>
      </c>
      <c r="R1018" s="70">
        <f t="shared" si="227"/>
        <v>27.371250766361147</v>
      </c>
      <c r="S1018" s="70">
        <f t="shared" si="227"/>
        <v>18.21599148693798</v>
      </c>
      <c r="T1018" s="70">
        <f t="shared" si="227"/>
        <v>30.40773541280512</v>
      </c>
      <c r="U1018" s="70">
        <f t="shared" si="227"/>
        <v>0</v>
      </c>
      <c r="V1018" s="70">
        <f t="shared" si="227"/>
        <v>19.508229846192897</v>
      </c>
      <c r="W1018" s="70">
        <f t="shared" si="227"/>
        <v>2.3056486675358241</v>
      </c>
      <c r="X1018" s="70">
        <f t="shared" si="227"/>
        <v>1.9844672648542587</v>
      </c>
      <c r="Y1018" s="70">
        <f t="shared" si="227"/>
        <v>3.2500134625648371</v>
      </c>
      <c r="Z1018" s="70">
        <f t="shared" si="227"/>
        <v>3.0752672403017258</v>
      </c>
      <c r="AA1018" s="70">
        <f t="shared" si="227"/>
        <v>5.6886403323444013</v>
      </c>
      <c r="AB1018" s="70">
        <f t="shared" si="227"/>
        <v>5.0235134891175237</v>
      </c>
      <c r="AC1018" s="70">
        <f t="shared" si="227"/>
        <v>18.896457697928962</v>
      </c>
      <c r="AD1018" s="70">
        <f t="shared" si="227"/>
        <v>0</v>
      </c>
      <c r="AE1018" s="70">
        <f t="shared" si="227"/>
        <v>4.7161385945011478</v>
      </c>
      <c r="AF1018" s="70">
        <f t="shared" si="227"/>
        <v>0</v>
      </c>
      <c r="AG1018" s="70">
        <f t="shared" si="227"/>
        <v>6.8418759802529481</v>
      </c>
      <c r="AH1018" s="70">
        <f t="shared" si="227"/>
        <v>2.2646564621900476</v>
      </c>
      <c r="AI1018" s="70">
        <f t="shared" si="227"/>
        <v>0</v>
      </c>
      <c r="AJ1018" s="70">
        <f t="shared" si="227"/>
        <v>0</v>
      </c>
      <c r="AK1018" s="70">
        <f t="shared" si="227"/>
        <v>0</v>
      </c>
      <c r="AL1018" s="70">
        <f t="shared" si="227"/>
        <v>0</v>
      </c>
      <c r="AM1018" s="379">
        <f>SUM(F1018:AL1018)</f>
        <v>176.48988424153481</v>
      </c>
    </row>
    <row r="1019" spans="1:39" x14ac:dyDescent="0.2">
      <c r="A1019" s="8"/>
      <c r="B1019" s="21" t="s">
        <v>467</v>
      </c>
      <c r="C1019" s="22" t="s">
        <v>77</v>
      </c>
      <c r="D1019" s="21"/>
      <c r="E1019" s="73"/>
      <c r="F1019" s="74">
        <f>F1017+F1016</f>
        <v>0</v>
      </c>
      <c r="G1019" s="74">
        <f t="shared" ref="G1019:AL1019" si="228">G1017+G1016</f>
        <v>0</v>
      </c>
      <c r="H1019" s="74">
        <f t="shared" si="228"/>
        <v>0</v>
      </c>
      <c r="I1019" s="74">
        <f t="shared" si="228"/>
        <v>0</v>
      </c>
      <c r="J1019" s="74">
        <f t="shared" si="228"/>
        <v>21.93719246169173</v>
      </c>
      <c r="K1019" s="74">
        <f t="shared" si="228"/>
        <v>10.680877443047619</v>
      </c>
      <c r="L1019" s="74">
        <f t="shared" si="228"/>
        <v>13.815141830230042</v>
      </c>
      <c r="M1019" s="74">
        <f t="shared" si="228"/>
        <v>0</v>
      </c>
      <c r="N1019" s="74">
        <f t="shared" si="228"/>
        <v>0</v>
      </c>
      <c r="O1019" s="74">
        <f t="shared" si="228"/>
        <v>0</v>
      </c>
      <c r="P1019" s="74">
        <f t="shared" si="228"/>
        <v>34.919194149062854</v>
      </c>
      <c r="Q1019" s="74">
        <f t="shared" si="228"/>
        <v>0</v>
      </c>
      <c r="R1019" s="74">
        <f>R1017+R1016</f>
        <v>61.983541014086434</v>
      </c>
      <c r="S1019" s="74">
        <f t="shared" si="228"/>
        <v>28.737851274405458</v>
      </c>
      <c r="T1019" s="74">
        <f t="shared" si="228"/>
        <v>58.843324460481568</v>
      </c>
      <c r="U1019" s="74">
        <f t="shared" si="228"/>
        <v>0</v>
      </c>
      <c r="V1019" s="74">
        <f t="shared" si="228"/>
        <v>34.760873772046153</v>
      </c>
      <c r="W1019" s="74">
        <f t="shared" si="228"/>
        <v>14.154192994587342</v>
      </c>
      <c r="X1019" s="74">
        <f t="shared" si="228"/>
        <v>7.5897998423844015</v>
      </c>
      <c r="Y1019" s="74">
        <f t="shared" si="228"/>
        <v>9.8451860055195475</v>
      </c>
      <c r="Z1019" s="74">
        <f>Z1017+Z1016</f>
        <v>4.7777774734166067</v>
      </c>
      <c r="AA1019" s="74">
        <f t="shared" si="228"/>
        <v>11.713871526903603</v>
      </c>
      <c r="AB1019" s="74">
        <f t="shared" si="228"/>
        <v>9.6275168620265976</v>
      </c>
      <c r="AC1019" s="74">
        <f t="shared" si="228"/>
        <v>32.460042988297623</v>
      </c>
      <c r="AD1019" s="74">
        <f t="shared" si="228"/>
        <v>0</v>
      </c>
      <c r="AE1019" s="74">
        <f t="shared" si="228"/>
        <v>8.9550445960168901</v>
      </c>
      <c r="AF1019" s="74">
        <f t="shared" si="228"/>
        <v>0</v>
      </c>
      <c r="AG1019" s="74">
        <f t="shared" si="228"/>
        <v>10.15669896971019</v>
      </c>
      <c r="AH1019" s="74">
        <f t="shared" si="228"/>
        <v>6.3675725404047929</v>
      </c>
      <c r="AI1019" s="74">
        <f t="shared" si="228"/>
        <v>0</v>
      </c>
      <c r="AJ1019" s="74">
        <f t="shared" si="228"/>
        <v>0</v>
      </c>
      <c r="AK1019" s="74">
        <f t="shared" si="228"/>
        <v>0</v>
      </c>
      <c r="AL1019" s="74">
        <f t="shared" si="228"/>
        <v>0</v>
      </c>
      <c r="AM1019" s="379">
        <f>SUM(F1019:AL1019)</f>
        <v>381.32570020431945</v>
      </c>
    </row>
    <row r="1020" spans="1:39" x14ac:dyDescent="0.2">
      <c r="A1020" s="8"/>
      <c r="B1020" s="21" t="s">
        <v>468</v>
      </c>
      <c r="C1020" s="22" t="s">
        <v>77</v>
      </c>
      <c r="D1020" s="21"/>
      <c r="E1020" s="73"/>
      <c r="F1020" s="74">
        <f>SUM(F1016:F1018)</f>
        <v>0</v>
      </c>
      <c r="G1020" s="74">
        <f t="shared" ref="G1020:AL1020" si="229">SUM(G1016:G1018)</f>
        <v>0</v>
      </c>
      <c r="H1020" s="74">
        <f t="shared" si="229"/>
        <v>0</v>
      </c>
      <c r="I1020" s="74">
        <f t="shared" si="229"/>
        <v>0</v>
      </c>
      <c r="J1020" s="74">
        <f t="shared" si="229"/>
        <v>29.60361233705504</v>
      </c>
      <c r="K1020" s="74">
        <f t="shared" si="229"/>
        <v>14.714513893023977</v>
      </c>
      <c r="L1020" s="74">
        <f t="shared" si="229"/>
        <v>17.550662953959552</v>
      </c>
      <c r="M1020" s="74">
        <f t="shared" si="229"/>
        <v>0</v>
      </c>
      <c r="N1020" s="74">
        <f t="shared" si="229"/>
        <v>0</v>
      </c>
      <c r="O1020" s="74">
        <f t="shared" si="229"/>
        <v>0</v>
      </c>
      <c r="P1020" s="74">
        <f t="shared" si="229"/>
        <v>46.423614237639676</v>
      </c>
      <c r="Q1020" s="74">
        <f t="shared" si="229"/>
        <v>0</v>
      </c>
      <c r="R1020" s="74">
        <f t="shared" si="229"/>
        <v>89.354791780447584</v>
      </c>
      <c r="S1020" s="74">
        <f t="shared" si="229"/>
        <v>46.953842761343438</v>
      </c>
      <c r="T1020" s="74">
        <f t="shared" si="229"/>
        <v>89.251059873286692</v>
      </c>
      <c r="U1020" s="74">
        <f t="shared" si="229"/>
        <v>0</v>
      </c>
      <c r="V1020" s="74">
        <f t="shared" si="229"/>
        <v>54.26910361823905</v>
      </c>
      <c r="W1020" s="74">
        <f t="shared" si="229"/>
        <v>16.459841662123168</v>
      </c>
      <c r="X1020" s="74">
        <f t="shared" si="229"/>
        <v>9.5742671072386596</v>
      </c>
      <c r="Y1020" s="74">
        <f t="shared" si="229"/>
        <v>13.095199468084385</v>
      </c>
      <c r="Z1020" s="74">
        <f>SUM(Z1016:Z1018)</f>
        <v>7.853044713718333</v>
      </c>
      <c r="AA1020" s="74">
        <f t="shared" si="229"/>
        <v>17.402511859248005</v>
      </c>
      <c r="AB1020" s="74">
        <f t="shared" si="229"/>
        <v>14.651030351144122</v>
      </c>
      <c r="AC1020" s="74">
        <f t="shared" si="229"/>
        <v>51.356500686226582</v>
      </c>
      <c r="AD1020" s="74">
        <f t="shared" si="229"/>
        <v>0</v>
      </c>
      <c r="AE1020" s="74">
        <f t="shared" si="229"/>
        <v>13.671183190518038</v>
      </c>
      <c r="AF1020" s="74">
        <f t="shared" si="229"/>
        <v>0</v>
      </c>
      <c r="AG1020" s="74">
        <f t="shared" si="229"/>
        <v>16.998574949963139</v>
      </c>
      <c r="AH1020" s="74">
        <f t="shared" si="229"/>
        <v>8.6322290025948405</v>
      </c>
      <c r="AI1020" s="74">
        <f t="shared" si="229"/>
        <v>0</v>
      </c>
      <c r="AJ1020" s="74">
        <f t="shared" si="229"/>
        <v>0</v>
      </c>
      <c r="AK1020" s="74">
        <f t="shared" si="229"/>
        <v>0</v>
      </c>
      <c r="AL1020" s="74">
        <f t="shared" si="229"/>
        <v>0</v>
      </c>
      <c r="AM1020" s="379">
        <f>SUM(F1020:AL1020)</f>
        <v>557.81558444585426</v>
      </c>
    </row>
    <row r="1021" spans="1:39" x14ac:dyDescent="0.2">
      <c r="A1021" s="1"/>
      <c r="B1021" s="1"/>
      <c r="C1021" s="3"/>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07"/>
    </row>
    <row r="1022" spans="1:39" x14ac:dyDescent="0.2">
      <c r="A1022" s="1"/>
      <c r="B1022" s="67" t="s">
        <v>469</v>
      </c>
      <c r="C1022" s="68"/>
      <c r="D1022" s="67"/>
      <c r="E1022" s="12"/>
      <c r="F1022" s="173"/>
      <c r="G1022" s="170"/>
      <c r="H1022" s="173"/>
      <c r="I1022" s="173"/>
      <c r="J1022" s="173"/>
      <c r="K1022" s="173"/>
      <c r="L1022" s="173"/>
      <c r="M1022" s="173"/>
      <c r="N1022" s="173"/>
      <c r="O1022" s="173"/>
      <c r="P1022" s="173"/>
      <c r="Q1022" s="173"/>
      <c r="R1022" s="173"/>
      <c r="S1022" s="173"/>
      <c r="T1022" s="173"/>
      <c r="U1022" s="173"/>
      <c r="V1022" s="173"/>
      <c r="W1022" s="173"/>
      <c r="X1022" s="173"/>
      <c r="Y1022" s="173"/>
      <c r="Z1022" s="173"/>
      <c r="AA1022" s="173"/>
      <c r="AB1022" s="173"/>
      <c r="AC1022" s="173"/>
      <c r="AD1022" s="173"/>
      <c r="AE1022" s="173"/>
      <c r="AF1022" s="173"/>
      <c r="AG1022" s="173"/>
      <c r="AH1022" s="173"/>
      <c r="AI1022" s="173"/>
      <c r="AJ1022" s="173"/>
      <c r="AK1022" s="173"/>
      <c r="AL1022" s="173"/>
      <c r="AM1022" s="107"/>
    </row>
    <row r="1023" spans="1:39" x14ac:dyDescent="0.2">
      <c r="A1023" s="232"/>
      <c r="B1023" s="181" t="s">
        <v>470</v>
      </c>
      <c r="C1023" s="75" t="s">
        <v>471</v>
      </c>
      <c r="D1023" s="76" t="s">
        <v>723</v>
      </c>
      <c r="E1023" s="24"/>
      <c r="F1023" s="317">
        <f>F$1120*1000000*hypo!F81/F1069</f>
        <v>0</v>
      </c>
      <c r="G1023" s="317">
        <f>G$1120*1000000*hypo!G81/G1069</f>
        <v>0</v>
      </c>
      <c r="H1023" s="317">
        <f>H$1120*1000000*hypo!H81/H1069</f>
        <v>0</v>
      </c>
      <c r="I1023" s="317">
        <f>I$1120*1000000*hypo!I81/I1069</f>
        <v>0</v>
      </c>
      <c r="J1023" s="317">
        <f>J$1120*1000000*hypo!J81/J1069</f>
        <v>478902.00772710313</v>
      </c>
      <c r="K1023" s="317">
        <f>K$1120*1000000*hypo!K81/K1069</f>
        <v>222982.02512646085</v>
      </c>
      <c r="L1023" s="317">
        <f>L$1120*1000000*hypo!L81/L1069</f>
        <v>342893.96923857479</v>
      </c>
      <c r="M1023" s="317">
        <f>M$1120*1000000*hypo!M81/M1069</f>
        <v>0</v>
      </c>
      <c r="N1023" s="317">
        <f>N$1120*1000000*hypo!N81/N1069</f>
        <v>0</v>
      </c>
      <c r="O1023" s="317">
        <f>O$1120*1000000*hypo!O81/O1069</f>
        <v>0</v>
      </c>
      <c r="P1023" s="317">
        <f>P$1120*1000000*hypo!P81/P1069</f>
        <v>732018.96837867075</v>
      </c>
      <c r="Q1023" s="317">
        <f>Q$1120*1000000*hypo!Q81/Q1069</f>
        <v>0</v>
      </c>
      <c r="R1023" s="317">
        <f>R$1120*1000000*hypo!R81/R1069</f>
        <v>751245.4368666088</v>
      </c>
      <c r="S1023" s="317">
        <f>S$1120*1000000*hypo!S81/S1069</f>
        <v>362735.76714603824</v>
      </c>
      <c r="T1023" s="317">
        <f>T$1120*1000000*hypo!T81/T1069</f>
        <v>914510.70994809992</v>
      </c>
      <c r="U1023" s="317">
        <f>U$1120*1000000*hypo!U81/U1069</f>
        <v>0</v>
      </c>
      <c r="V1023" s="317">
        <f>V$1120*1000000*hypo!V81/V1069</f>
        <v>619997.60500942741</v>
      </c>
      <c r="W1023" s="317">
        <f>W$1120*1000000*hypo!W81/W1069</f>
        <v>400040.33313762012</v>
      </c>
      <c r="X1023" s="317">
        <f>X$1120*1000000*hypo!X81/X1069</f>
        <v>218296.9585679759</v>
      </c>
      <c r="Y1023" s="317">
        <f>Y$1120*1000000*hypo!Y81/Y1069</f>
        <v>206802.98865924287</v>
      </c>
      <c r="Z1023" s="317">
        <f>Z$1120*1000000*hypo!Z81/Z1069</f>
        <v>49448.13590150942</v>
      </c>
      <c r="AA1023" s="317">
        <f>AA$1120*1000000*hypo!AA81/AA1069</f>
        <v>202726.70969066481</v>
      </c>
      <c r="AB1023" s="317">
        <f>AB$1120*1000000*hypo!AB81/AB1069</f>
        <v>171061.77599204148</v>
      </c>
      <c r="AC1023" s="317">
        <f>AC$1120*1000000*hypo!AC81/AC1069</f>
        <v>469830.10980556824</v>
      </c>
      <c r="AD1023" s="317">
        <f>AD$1120*1000000*hypo!AD81/AD1069</f>
        <v>0</v>
      </c>
      <c r="AE1023" s="317">
        <f>AE$1120*1000000*hypo!AE81/AE1069</f>
        <v>147791.80902521044</v>
      </c>
      <c r="AF1023" s="317">
        <f>AF$1120*1000000*hypo!AF81/AF1069</f>
        <v>0</v>
      </c>
      <c r="AG1023" s="317">
        <f>AG$1120*1000000*hypo!AG81/AG1069</f>
        <v>141532.10741118883</v>
      </c>
      <c r="AH1023" s="317">
        <f>AH$1120*1000000*hypo!AH81/AH1069</f>
        <v>153577.85487946504</v>
      </c>
      <c r="AI1023" s="317">
        <f>AI$1120*1000000*hypo!AI81/AI1069</f>
        <v>0</v>
      </c>
      <c r="AJ1023" s="317">
        <f>AJ$1120*1000000*hypo!AJ81/AJ1069</f>
        <v>0</v>
      </c>
      <c r="AK1023" s="317">
        <f>AK$1120*1000000*hypo!AK81/AK1069</f>
        <v>0</v>
      </c>
      <c r="AL1023" s="317">
        <f>AL$1120*1000000*hypo!AL81/AL1069</f>
        <v>0</v>
      </c>
      <c r="AM1023" s="317">
        <f>AM$1120*1000000*hypo!AM81/AM1069</f>
        <v>0</v>
      </c>
    </row>
    <row r="1024" spans="1:39" x14ac:dyDescent="0.2">
      <c r="A1024" s="232"/>
      <c r="B1024" s="181" t="s">
        <v>472</v>
      </c>
      <c r="C1024" s="75" t="s">
        <v>471</v>
      </c>
      <c r="D1024" s="76" t="s">
        <v>723</v>
      </c>
      <c r="E1024" s="24"/>
      <c r="F1024" s="317">
        <f>F$1120*1000000*hypo!F82/F1070</f>
        <v>0</v>
      </c>
      <c r="G1024" s="317">
        <f>G$1120*1000000*hypo!G82/G1070</f>
        <v>0</v>
      </c>
      <c r="H1024" s="317">
        <f>H$1120*1000000*hypo!H82/H1070</f>
        <v>0</v>
      </c>
      <c r="I1024" s="317">
        <f>I$1120*1000000*hypo!I82/I1070</f>
        <v>0</v>
      </c>
      <c r="J1024" s="317">
        <f>J$1120*1000000*hypo!J82/J1070</f>
        <v>251151.24854828167</v>
      </c>
      <c r="K1024" s="317">
        <f>K$1120*1000000*hypo!K82/K1070</f>
        <v>117689.8275422092</v>
      </c>
      <c r="L1024" s="317">
        <f>L$1120*1000000*hypo!L82/L1070</f>
        <v>67306.870057809632</v>
      </c>
      <c r="M1024" s="317">
        <f>M$1120*1000000*hypo!M82/M1070</f>
        <v>0</v>
      </c>
      <c r="N1024" s="317">
        <f>N$1120*1000000*hypo!N82/N1070</f>
        <v>0</v>
      </c>
      <c r="O1024" s="317">
        <f>O$1120*1000000*hypo!O82/O1070</f>
        <v>0</v>
      </c>
      <c r="P1024" s="317">
        <f>P$1120*1000000*hypo!P82/P1070</f>
        <v>527918.32560942776</v>
      </c>
      <c r="Q1024" s="317">
        <f>Q$1120*1000000*hypo!Q82/Q1070</f>
        <v>0</v>
      </c>
      <c r="R1024" s="317">
        <f>R$1120*1000000*hypo!R82/R1070</f>
        <v>136525.87432002672</v>
      </c>
      <c r="S1024" s="317">
        <f>S$1120*1000000*hypo!S82/S1070</f>
        <v>609324.43474536424</v>
      </c>
      <c r="T1024" s="317">
        <f>T$1120*1000000*hypo!T82/T1070</f>
        <v>780612.66881687858</v>
      </c>
      <c r="U1024" s="317">
        <f>U$1120*1000000*hypo!U82/U1070</f>
        <v>0</v>
      </c>
      <c r="V1024" s="317">
        <f>V$1120*1000000*hypo!V82/V1070</f>
        <v>2416623.4346404574</v>
      </c>
      <c r="W1024" s="317">
        <f>W$1120*1000000*hypo!W82/W1070</f>
        <v>50222.555006386829</v>
      </c>
      <c r="X1024" s="317">
        <f>X$1120*1000000*hypo!X82/X1070</f>
        <v>23562.511273864409</v>
      </c>
      <c r="Y1024" s="317">
        <f>Y$1120*1000000*hypo!Y82/Y1070</f>
        <v>101833.19042410434</v>
      </c>
      <c r="Z1024" s="317">
        <f>Z$1120*1000000*hypo!Z82/Z1070</f>
        <v>76786.594333239977</v>
      </c>
      <c r="AA1024" s="317">
        <f>AA$1120*1000000*hypo!AA82/AA1070</f>
        <v>163179.3946306775</v>
      </c>
      <c r="AB1024" s="317">
        <f>AB$1120*1000000*hypo!AB82/AB1070</f>
        <v>503411.69993813831</v>
      </c>
      <c r="AC1024" s="317">
        <f>AC$1120*1000000*hypo!AC82/AC1070</f>
        <v>1253261.8852789782</v>
      </c>
      <c r="AD1024" s="317">
        <f>AD$1120*1000000*hypo!AD82/AD1070</f>
        <v>0</v>
      </c>
      <c r="AE1024" s="317">
        <f>AE$1120*1000000*hypo!AE82/AE1070</f>
        <v>408118.94901413203</v>
      </c>
      <c r="AF1024" s="317">
        <f>AF$1120*1000000*hypo!AF82/AF1070</f>
        <v>0</v>
      </c>
      <c r="AG1024" s="317">
        <f>AG$1120*1000000*hypo!AG82/AG1070</f>
        <v>352163.20311835536</v>
      </c>
      <c r="AH1024" s="317">
        <f>AH$1120*1000000*hypo!AH82/AH1070</f>
        <v>520801.21344379307</v>
      </c>
      <c r="AI1024" s="317">
        <f>AI$1120*1000000*hypo!AI82/AI1070</f>
        <v>0</v>
      </c>
      <c r="AJ1024" s="317">
        <f>AJ$1120*1000000*hypo!AJ82/AJ1070</f>
        <v>0</v>
      </c>
      <c r="AK1024" s="317">
        <f>AK$1120*1000000*hypo!AK82/AK1070</f>
        <v>0</v>
      </c>
      <c r="AL1024" s="317">
        <f>AL$1120*1000000*hypo!AL82/AL1070</f>
        <v>0</v>
      </c>
      <c r="AM1024" s="317">
        <f>AM$1120*1000000*hypo!AM82/AM1070</f>
        <v>0</v>
      </c>
    </row>
    <row r="1025" spans="1:39" x14ac:dyDescent="0.2">
      <c r="A1025" s="232"/>
      <c r="B1025" s="181" t="s">
        <v>473</v>
      </c>
      <c r="C1025" s="75" t="s">
        <v>471</v>
      </c>
      <c r="D1025" s="76" t="s">
        <v>723</v>
      </c>
      <c r="E1025" s="24"/>
      <c r="F1025" s="317">
        <f>F$1120*1000000*hypo!F83/F1071</f>
        <v>0</v>
      </c>
      <c r="G1025" s="317">
        <f>G$1120*1000000*hypo!G83/G1071</f>
        <v>0</v>
      </c>
      <c r="H1025" s="317">
        <f>H$1120*1000000*hypo!H83/H1071</f>
        <v>0</v>
      </c>
      <c r="I1025" s="317">
        <f>I$1120*1000000*hypo!I83/I1071</f>
        <v>0</v>
      </c>
      <c r="J1025" s="317">
        <f>J$1120*1000000*hypo!J83/J1071</f>
        <v>126080.47654523069</v>
      </c>
      <c r="K1025" s="317">
        <f>K$1120*1000000*hypo!K83/K1071</f>
        <v>66143.094357361624</v>
      </c>
      <c r="L1025" s="317">
        <f>L$1120*1000000*hypo!L83/L1071</f>
        <v>84724.105112118385</v>
      </c>
      <c r="M1025" s="317">
        <f>M$1120*1000000*hypo!M83/M1071</f>
        <v>0</v>
      </c>
      <c r="N1025" s="317">
        <f>N$1120*1000000*hypo!N83/N1071</f>
        <v>0</v>
      </c>
      <c r="O1025" s="317">
        <f>O$1120*1000000*hypo!O83/O1071</f>
        <v>0</v>
      </c>
      <c r="P1025" s="317">
        <f>P$1120*1000000*hypo!P83/P1071</f>
        <v>200570.52104838155</v>
      </c>
      <c r="Q1025" s="317">
        <f>Q$1120*1000000*hypo!Q83/Q1071</f>
        <v>0</v>
      </c>
      <c r="R1025" s="317">
        <f>R$1120*1000000*hypo!R83/R1071</f>
        <v>123343.88997003934</v>
      </c>
      <c r="S1025" s="317">
        <f>S$1120*1000000*hypo!S83/S1071</f>
        <v>67093.908378562119</v>
      </c>
      <c r="T1025" s="317">
        <f>T$1120*1000000*hypo!T83/T1071</f>
        <v>193532.5953927114</v>
      </c>
      <c r="U1025" s="317">
        <f>U$1120*1000000*hypo!U83/U1071</f>
        <v>0</v>
      </c>
      <c r="V1025" s="317">
        <f>V$1120*1000000*hypo!V83/V1071</f>
        <v>116664.56424976551</v>
      </c>
      <c r="W1025" s="317">
        <f>W$1120*1000000*hypo!W83/W1071</f>
        <v>115022.95792323128</v>
      </c>
      <c r="X1025" s="317">
        <f>X$1120*1000000*hypo!X83/X1071</f>
        <v>52126.589760779811</v>
      </c>
      <c r="Y1025" s="317">
        <f>Y$1120*1000000*hypo!Y83/Y1071</f>
        <v>44811.075682403782</v>
      </c>
      <c r="Z1025" s="317">
        <f>Z$1120*1000000*hypo!Z83/Z1071</f>
        <v>25065.982836385971</v>
      </c>
      <c r="AA1025" s="317">
        <f>AA$1120*1000000*hypo!AA83/AA1071</f>
        <v>48461.930142021003</v>
      </c>
      <c r="AB1025" s="317">
        <f>AB$1120*1000000*hypo!AB83/AB1071</f>
        <v>28868.760675892725</v>
      </c>
      <c r="AC1025" s="317">
        <f>AC$1120*1000000*hypo!AC83/AC1071</f>
        <v>84549.217811018956</v>
      </c>
      <c r="AD1025" s="317">
        <f>AD$1120*1000000*hypo!AD83/AD1071</f>
        <v>0</v>
      </c>
      <c r="AE1025" s="317">
        <f>AE$1120*1000000*hypo!AE83/AE1071</f>
        <v>23545.634112951062</v>
      </c>
      <c r="AF1025" s="317">
        <f>AF$1120*1000000*hypo!AF83/AF1071</f>
        <v>0</v>
      </c>
      <c r="AG1025" s="317">
        <f>AG$1120*1000000*hypo!AG83/AG1071</f>
        <v>25048.448137420353</v>
      </c>
      <c r="AH1025" s="317">
        <f>AH$1120*1000000*hypo!AH83/AH1071</f>
        <v>28575.983853958453</v>
      </c>
      <c r="AI1025" s="317">
        <f>AI$1120*1000000*hypo!AI83/AI1071</f>
        <v>0</v>
      </c>
      <c r="AJ1025" s="317">
        <f>AJ$1120*1000000*hypo!AJ83/AJ1071</f>
        <v>0</v>
      </c>
      <c r="AK1025" s="317">
        <f>AK$1120*1000000*hypo!AK83/AK1071</f>
        <v>0</v>
      </c>
      <c r="AL1025" s="317">
        <f>AL$1120*1000000*hypo!AL83/AL1071</f>
        <v>0</v>
      </c>
      <c r="AM1025" s="317">
        <f>AM$1120*1000000*hypo!AM83/AM1071</f>
        <v>0</v>
      </c>
    </row>
    <row r="1026" spans="1:39" x14ac:dyDescent="0.2">
      <c r="A1026" s="232"/>
      <c r="B1026" s="181" t="s">
        <v>474</v>
      </c>
      <c r="C1026" s="75" t="s">
        <v>471</v>
      </c>
      <c r="D1026" s="76" t="s">
        <v>723</v>
      </c>
      <c r="E1026" s="24"/>
      <c r="F1026" s="317">
        <f>F$1120*1000000*hypo!F84/F1072</f>
        <v>0</v>
      </c>
      <c r="G1026" s="317">
        <f>G$1120*1000000*hypo!G84/G1072</f>
        <v>0</v>
      </c>
      <c r="H1026" s="317">
        <f>H$1120*1000000*hypo!H84/H1072</f>
        <v>0</v>
      </c>
      <c r="I1026" s="317">
        <f>I$1120*1000000*hypo!I84/I1072</f>
        <v>0</v>
      </c>
      <c r="J1026" s="317">
        <f>J$1120*1000000*hypo!J84/J1072</f>
        <v>64136.164357220165</v>
      </c>
      <c r="K1026" s="317">
        <f>K$1120*1000000*hypo!K84/K1072</f>
        <v>34795.104089227651</v>
      </c>
      <c r="L1026" s="317">
        <f>L$1120*1000000*hypo!L84/L1072</f>
        <v>19702.995438915659</v>
      </c>
      <c r="M1026" s="317">
        <f>M$1120*1000000*hypo!M84/M1072</f>
        <v>0</v>
      </c>
      <c r="N1026" s="317">
        <f>N$1120*1000000*hypo!N84/N1072</f>
        <v>0</v>
      </c>
      <c r="O1026" s="317">
        <f>O$1120*1000000*hypo!O84/O1072</f>
        <v>0</v>
      </c>
      <c r="P1026" s="317">
        <f>P$1120*1000000*hypo!P84/P1072</f>
        <v>129241.62262042509</v>
      </c>
      <c r="Q1026" s="317">
        <f>Q$1120*1000000*hypo!Q84/Q1072</f>
        <v>0</v>
      </c>
      <c r="R1026" s="317">
        <f>R$1120*1000000*hypo!R84/R1072</f>
        <v>31617.381046696595</v>
      </c>
      <c r="S1026" s="317">
        <f>S$1120*1000000*hypo!S84/S1072</f>
        <v>168455.42409903454</v>
      </c>
      <c r="T1026" s="317">
        <f>T$1120*1000000*hypo!T84/T1072</f>
        <v>218982.24845033209</v>
      </c>
      <c r="U1026" s="317">
        <f>U$1120*1000000*hypo!U84/U1072</f>
        <v>0</v>
      </c>
      <c r="V1026" s="317">
        <f>V$1120*1000000*hypo!V84/V1072</f>
        <v>432421.23582225392</v>
      </c>
      <c r="W1026" s="317">
        <f>W$1120*1000000*hypo!W84/W1072</f>
        <v>10074.32632822545</v>
      </c>
      <c r="X1026" s="317">
        <f>X$1120*1000000*hypo!X84/X1072</f>
        <v>4771.1024127294113</v>
      </c>
      <c r="Y1026" s="317">
        <f>Y$1120*1000000*hypo!Y84/Y1072</f>
        <v>23441.443291008152</v>
      </c>
      <c r="Z1026" s="317">
        <f>Z$1120*1000000*hypo!Z84/Z1072</f>
        <v>18683.162404080998</v>
      </c>
      <c r="AA1026" s="317">
        <f>AA$1120*1000000*hypo!AA84/AA1072</f>
        <v>36382.229820176712</v>
      </c>
      <c r="AB1026" s="317">
        <f>AB$1120*1000000*hypo!AB84/AB1072</f>
        <v>73262.625228516757</v>
      </c>
      <c r="AC1026" s="317">
        <f>AC$1120*1000000*hypo!AC84/AC1072</f>
        <v>257567.73037044372</v>
      </c>
      <c r="AD1026" s="317">
        <f>AD$1120*1000000*hypo!AD84/AD1072</f>
        <v>0</v>
      </c>
      <c r="AE1026" s="317">
        <f>AE$1120*1000000*hypo!AE84/AE1072</f>
        <v>106812.14900412198</v>
      </c>
      <c r="AF1026" s="317">
        <f>AF$1120*1000000*hypo!AF84/AF1072</f>
        <v>0</v>
      </c>
      <c r="AG1026" s="317">
        <f>AG$1120*1000000*hypo!AG84/AG1072</f>
        <v>58510.551332547053</v>
      </c>
      <c r="AH1026" s="317">
        <f>AH$1120*1000000*hypo!AH84/AH1072</f>
        <v>77272.209944721631</v>
      </c>
      <c r="AI1026" s="317">
        <f>AI$1120*1000000*hypo!AI84/AI1072</f>
        <v>0</v>
      </c>
      <c r="AJ1026" s="317">
        <f>AJ$1120*1000000*hypo!AJ84/AJ1072</f>
        <v>0</v>
      </c>
      <c r="AK1026" s="317">
        <f>AK$1120*1000000*hypo!AK84/AK1072</f>
        <v>0</v>
      </c>
      <c r="AL1026" s="317">
        <f>AL$1120*1000000*hypo!AL84/AL1072</f>
        <v>0</v>
      </c>
      <c r="AM1026" s="317">
        <f>AM$1120*1000000*hypo!AM84/AM1072</f>
        <v>0</v>
      </c>
    </row>
    <row r="1027" spans="1:39" x14ac:dyDescent="0.2">
      <c r="A1027" s="232"/>
      <c r="B1027" s="181" t="s">
        <v>475</v>
      </c>
      <c r="C1027" s="75" t="s">
        <v>471</v>
      </c>
      <c r="D1027" s="76" t="s">
        <v>723</v>
      </c>
      <c r="E1027" s="24"/>
      <c r="F1027" s="317">
        <f>F$1120*1000000*hypo!F85/F1073</f>
        <v>0</v>
      </c>
      <c r="G1027" s="317">
        <f>G$1120*1000000*hypo!G85/G1073</f>
        <v>0</v>
      </c>
      <c r="H1027" s="317">
        <f>H$1120*1000000*hypo!H85/H1073</f>
        <v>0</v>
      </c>
      <c r="I1027" s="317">
        <f>I$1120*1000000*hypo!I85/I1073</f>
        <v>0</v>
      </c>
      <c r="J1027" s="317">
        <f>J$1120*1000000*hypo!J85/J1073</f>
        <v>36060.344438891858</v>
      </c>
      <c r="K1027" s="317">
        <f>K$1120*1000000*hypo!K85/K1073</f>
        <v>13742.070090977881</v>
      </c>
      <c r="L1027" s="317">
        <f>L$1120*1000000*hypo!L85/L1073</f>
        <v>12646.225460183816</v>
      </c>
      <c r="M1027" s="317">
        <f>M$1120*1000000*hypo!M85/M1073</f>
        <v>0</v>
      </c>
      <c r="N1027" s="317">
        <f>N$1120*1000000*hypo!N85/N1073</f>
        <v>0</v>
      </c>
      <c r="O1027" s="317">
        <f>O$1120*1000000*hypo!O85/O1073</f>
        <v>0</v>
      </c>
      <c r="P1027" s="317">
        <f>P$1120*1000000*hypo!P85/P1073</f>
        <v>49593.377153501562</v>
      </c>
      <c r="Q1027" s="317">
        <f>Q$1120*1000000*hypo!Q85/Q1073</f>
        <v>0</v>
      </c>
      <c r="R1027" s="317">
        <f>R$1120*1000000*hypo!R85/R1073</f>
        <v>22148.405791223729</v>
      </c>
      <c r="S1027" s="317">
        <f>S$1120*1000000*hypo!S85/S1073</f>
        <v>49506.050183106992</v>
      </c>
      <c r="T1027" s="317">
        <f>T$1120*1000000*hypo!T85/T1073</f>
        <v>64209.704682050258</v>
      </c>
      <c r="U1027" s="317">
        <f>U$1120*1000000*hypo!U85/U1073</f>
        <v>0</v>
      </c>
      <c r="V1027" s="317">
        <f>V$1120*1000000*hypo!V85/V1073</f>
        <v>159598.86928716386</v>
      </c>
      <c r="W1027" s="317">
        <f>W$1120*1000000*hypo!W85/W1073</f>
        <v>13349.614751667032</v>
      </c>
      <c r="X1027" s="317">
        <f>X$1120*1000000*hypo!X85/X1073</f>
        <v>6019.198314281176</v>
      </c>
      <c r="Y1027" s="317">
        <f>Y$1120*1000000*hypo!Y85/Y1073</f>
        <v>19108.980199195114</v>
      </c>
      <c r="Z1027" s="317">
        <f>Z$1120*1000000*hypo!Z85/Z1073</f>
        <v>9249.5035847250783</v>
      </c>
      <c r="AA1027" s="317">
        <f>AA$1120*1000000*hypo!AA85/AA1073</f>
        <v>25913.197875700509</v>
      </c>
      <c r="AB1027" s="317">
        <f>AB$1120*1000000*hypo!AB85/AB1073</f>
        <v>10004.928955657766</v>
      </c>
      <c r="AC1027" s="317">
        <f>AC$1120*1000000*hypo!AC85/AC1073</f>
        <v>27172.974904506653</v>
      </c>
      <c r="AD1027" s="317">
        <f>AD$1120*1000000*hypo!AD85/AD1073</f>
        <v>0</v>
      </c>
      <c r="AE1027" s="317">
        <f>AE$1120*1000000*hypo!AE85/AE1073</f>
        <v>7836.2575949386264</v>
      </c>
      <c r="AF1027" s="317">
        <f>AF$1120*1000000*hypo!AF85/AF1073</f>
        <v>0</v>
      </c>
      <c r="AG1027" s="317">
        <f>AG$1120*1000000*hypo!AG85/AG1073</f>
        <v>12401.777571740024</v>
      </c>
      <c r="AH1027" s="317">
        <f>AH$1120*1000000*hypo!AH85/AH1073</f>
        <v>7549.5684179061873</v>
      </c>
      <c r="AI1027" s="317">
        <f>AI$1120*1000000*hypo!AI85/AI1073</f>
        <v>0</v>
      </c>
      <c r="AJ1027" s="317">
        <f>AJ$1120*1000000*hypo!AJ85/AJ1073</f>
        <v>0</v>
      </c>
      <c r="AK1027" s="317">
        <f>AK$1120*1000000*hypo!AK85/AK1073</f>
        <v>0</v>
      </c>
      <c r="AL1027" s="317">
        <f>AL$1120*1000000*hypo!AL85/AL1073</f>
        <v>0</v>
      </c>
      <c r="AM1027" s="317">
        <f>AM$1120*1000000*hypo!AM85/AM1073</f>
        <v>0</v>
      </c>
    </row>
    <row r="1028" spans="1:39" x14ac:dyDescent="0.2">
      <c r="A1028" s="232"/>
      <c r="B1028" s="181" t="s">
        <v>476</v>
      </c>
      <c r="C1028" s="75" t="s">
        <v>471</v>
      </c>
      <c r="D1028" s="76" t="s">
        <v>723</v>
      </c>
      <c r="E1028" s="24"/>
      <c r="F1028" s="317">
        <f>F$1120*1000000*hypo!F86/F1074</f>
        <v>0</v>
      </c>
      <c r="G1028" s="317">
        <f>G$1120*1000000*hypo!G86/G1074</f>
        <v>0</v>
      </c>
      <c r="H1028" s="317">
        <f>H$1120*1000000*hypo!H86/H1074</f>
        <v>0</v>
      </c>
      <c r="I1028" s="317">
        <f>I$1120*1000000*hypo!I86/I1074</f>
        <v>0</v>
      </c>
      <c r="J1028" s="317">
        <f>J$1120*1000000*hypo!J86/J1074</f>
        <v>37621.270936964538</v>
      </c>
      <c r="K1028" s="317">
        <f>K$1120*1000000*hypo!K86/K1074</f>
        <v>38339.736387777542</v>
      </c>
      <c r="L1028" s="317">
        <f>L$1120*1000000*hypo!L86/L1074</f>
        <v>22979.134228187402</v>
      </c>
      <c r="M1028" s="317">
        <f>M$1120*1000000*hypo!M86/M1074</f>
        <v>0</v>
      </c>
      <c r="N1028" s="317">
        <f>N$1120*1000000*hypo!N86/N1074</f>
        <v>0</v>
      </c>
      <c r="O1028" s="317">
        <f>O$1120*1000000*hypo!O86/O1074</f>
        <v>0</v>
      </c>
      <c r="P1028" s="317">
        <f>P$1120*1000000*hypo!P86/P1074</f>
        <v>50443.687419693109</v>
      </c>
      <c r="Q1028" s="317">
        <f>Q$1120*1000000*hypo!Q86/Q1074</f>
        <v>0</v>
      </c>
      <c r="R1028" s="317">
        <f>R$1120*1000000*hypo!R86/R1074</f>
        <v>11662.017260755159</v>
      </c>
      <c r="S1028" s="317">
        <f>S$1120*1000000*hypo!S86/S1074</f>
        <v>3951.3981421203875</v>
      </c>
      <c r="T1028" s="317">
        <f>T$1120*1000000*hypo!T86/T1074</f>
        <v>31083.012385857855</v>
      </c>
      <c r="U1028" s="317">
        <f>U$1120*1000000*hypo!U86/U1074</f>
        <v>0</v>
      </c>
      <c r="V1028" s="317">
        <f>V$1120*1000000*hypo!V86/V1074</f>
        <v>6790.8570484864558</v>
      </c>
      <c r="W1028" s="317">
        <f>W$1120*1000000*hypo!W86/W1074</f>
        <v>6553.2153713918406</v>
      </c>
      <c r="X1028" s="317">
        <f>X$1120*1000000*hypo!X86/X1074</f>
        <v>2421.4110045172092</v>
      </c>
      <c r="Y1028" s="317">
        <f>Y$1120*1000000*hypo!Y86/Y1074</f>
        <v>1661.8871181411005</v>
      </c>
      <c r="Z1028" s="317">
        <f>Z$1120*1000000*hypo!Z86/Z1074</f>
        <v>798.00601673364736</v>
      </c>
      <c r="AA1028" s="317">
        <f>AA$1120*1000000*hypo!AA86/AA1074</f>
        <v>2765.0744670067311</v>
      </c>
      <c r="AB1028" s="317">
        <f>AB$1120*1000000*hypo!AB86/AB1074</f>
        <v>1033.8685313371718</v>
      </c>
      <c r="AC1028" s="317">
        <f>AC$1120*1000000*hypo!AC86/AC1074</f>
        <v>5221.0827739131028</v>
      </c>
      <c r="AD1028" s="317">
        <f>AD$1120*1000000*hypo!AD86/AD1074</f>
        <v>0</v>
      </c>
      <c r="AE1028" s="317">
        <f>AE$1120*1000000*hypo!AE86/AE1074</f>
        <v>662.58237322994898</v>
      </c>
      <c r="AF1028" s="317">
        <f>AF$1120*1000000*hypo!AF86/AF1074</f>
        <v>0</v>
      </c>
      <c r="AG1028" s="317">
        <f>AG$1120*1000000*hypo!AG86/AG1074</f>
        <v>3077.4414383018843</v>
      </c>
      <c r="AH1028" s="317">
        <f>AH$1120*1000000*hypo!AH86/AH1074</f>
        <v>1060.1131089531041</v>
      </c>
      <c r="AI1028" s="317">
        <f>AI$1120*1000000*hypo!AI86/AI1074</f>
        <v>0</v>
      </c>
      <c r="AJ1028" s="317">
        <f>AJ$1120*1000000*hypo!AJ86/AJ1074</f>
        <v>0</v>
      </c>
      <c r="AK1028" s="317">
        <f>AK$1120*1000000*hypo!AK86/AK1074</f>
        <v>0</v>
      </c>
      <c r="AL1028" s="317">
        <f>AL$1120*1000000*hypo!AL86/AL1074</f>
        <v>0</v>
      </c>
      <c r="AM1028" s="317">
        <f>AM$1120*1000000*hypo!AM86/AM1074</f>
        <v>0</v>
      </c>
    </row>
    <row r="1029" spans="1:39" x14ac:dyDescent="0.2">
      <c r="A1029" s="232"/>
      <c r="B1029" s="181" t="s">
        <v>477</v>
      </c>
      <c r="C1029" s="75" t="s">
        <v>471</v>
      </c>
      <c r="D1029" s="76" t="s">
        <v>723</v>
      </c>
      <c r="E1029" s="24"/>
      <c r="F1029" s="317">
        <f>F$1120*1000000*hypo!F87/F1075</f>
        <v>0</v>
      </c>
      <c r="G1029" s="317">
        <f>G$1120*1000000*hypo!G87/G1075</f>
        <v>0</v>
      </c>
      <c r="H1029" s="317">
        <f>H$1120*1000000*hypo!H87/H1075</f>
        <v>0</v>
      </c>
      <c r="I1029" s="317">
        <f>I$1120*1000000*hypo!I87/I1075</f>
        <v>0</v>
      </c>
      <c r="J1029" s="317">
        <f>J$1120*1000000*hypo!J87/J1075</f>
        <v>37385.884263907516</v>
      </c>
      <c r="K1029" s="317">
        <f>K$1120*1000000*hypo!K87/K1075</f>
        <v>22268.910445634887</v>
      </c>
      <c r="L1029" s="317">
        <f>L$1120*1000000*hypo!L87/L1075</f>
        <v>12345.696840837252</v>
      </c>
      <c r="M1029" s="317">
        <f>M$1120*1000000*hypo!M87/M1075</f>
        <v>0</v>
      </c>
      <c r="N1029" s="317">
        <f>N$1120*1000000*hypo!N87/N1075</f>
        <v>0</v>
      </c>
      <c r="O1029" s="317">
        <f>O$1120*1000000*hypo!O87/O1075</f>
        <v>0</v>
      </c>
      <c r="P1029" s="317">
        <f>P$1120*1000000*hypo!P87/P1075</f>
        <v>38436.64192018532</v>
      </c>
      <c r="Q1029" s="317">
        <f>Q$1120*1000000*hypo!Q87/Q1075</f>
        <v>0</v>
      </c>
      <c r="R1029" s="317">
        <f>R$1120*1000000*hypo!R87/R1075</f>
        <v>12963.778867898678</v>
      </c>
      <c r="S1029" s="317">
        <f>S$1120*1000000*hypo!S87/S1075</f>
        <v>27305.916170061268</v>
      </c>
      <c r="T1029" s="317">
        <f>T$1120*1000000*hypo!T87/T1075</f>
        <v>56214.59662196687</v>
      </c>
      <c r="U1029" s="317">
        <f>U$1120*1000000*hypo!U87/U1075</f>
        <v>0</v>
      </c>
      <c r="V1029" s="317">
        <f>V$1120*1000000*hypo!V87/V1075</f>
        <v>133181.24060515431</v>
      </c>
      <c r="W1029" s="317">
        <f>W$1120*1000000*hypo!W87/W1075</f>
        <v>5308.711311464388</v>
      </c>
      <c r="X1029" s="317">
        <f>X$1120*1000000*hypo!X87/X1075</f>
        <v>2139.3430800249575</v>
      </c>
      <c r="Y1029" s="317">
        <f>Y$1120*1000000*hypo!Y87/Y1075</f>
        <v>7415.4751479664619</v>
      </c>
      <c r="Z1029" s="317">
        <f>Z$1120*1000000*hypo!Z87/Z1075</f>
        <v>4381.6668826498289</v>
      </c>
      <c r="AA1029" s="317">
        <f>AA$1120*1000000*hypo!AA87/AA1075</f>
        <v>12175.3278972177</v>
      </c>
      <c r="AB1029" s="317">
        <f>AB$1120*1000000*hypo!AB87/AB1075</f>
        <v>22141.24153522835</v>
      </c>
      <c r="AC1029" s="317">
        <f>AC$1120*1000000*hypo!AC87/AC1075</f>
        <v>65523.466481832613</v>
      </c>
      <c r="AD1029" s="317">
        <f>AD$1120*1000000*hypo!AD87/AD1075</f>
        <v>0</v>
      </c>
      <c r="AE1029" s="317">
        <f>AE$1120*1000000*hypo!AE87/AE1075</f>
        <v>16490.375907876667</v>
      </c>
      <c r="AF1029" s="317">
        <f>AF$1120*1000000*hypo!AF87/AF1075</f>
        <v>0</v>
      </c>
      <c r="AG1029" s="317">
        <f>AG$1120*1000000*hypo!AG87/AG1075</f>
        <v>20158.60980176834</v>
      </c>
      <c r="AH1029" s="317">
        <f>AH$1120*1000000*hypo!AH87/AH1075</f>
        <v>23646.354283925757</v>
      </c>
      <c r="AI1029" s="317">
        <f>AI$1120*1000000*hypo!AI87/AI1075</f>
        <v>0</v>
      </c>
      <c r="AJ1029" s="317">
        <f>AJ$1120*1000000*hypo!AJ87/AJ1075</f>
        <v>0</v>
      </c>
      <c r="AK1029" s="317">
        <f>AK$1120*1000000*hypo!AK87/AK1075</f>
        <v>0</v>
      </c>
      <c r="AL1029" s="317">
        <f>AL$1120*1000000*hypo!AL87/AL1075</f>
        <v>0</v>
      </c>
      <c r="AM1029" s="317">
        <f>AM$1120*1000000*hypo!AM87/AM1075</f>
        <v>0</v>
      </c>
    </row>
    <row r="1030" spans="1:39" x14ac:dyDescent="0.2">
      <c r="A1030" s="232"/>
      <c r="B1030" s="181" t="s">
        <v>478</v>
      </c>
      <c r="C1030" s="75" t="s">
        <v>471</v>
      </c>
      <c r="D1030" s="76" t="s">
        <v>723</v>
      </c>
      <c r="E1030" s="24"/>
      <c r="F1030" s="317">
        <f>F$1120*1000000*hypo!F88/F1076</f>
        <v>0</v>
      </c>
      <c r="G1030" s="317">
        <f>G$1120*1000000*hypo!G88/G1076</f>
        <v>0</v>
      </c>
      <c r="H1030" s="317">
        <f>H$1120*1000000*hypo!H88/H1076</f>
        <v>0</v>
      </c>
      <c r="I1030" s="317">
        <f>I$1120*1000000*hypo!I88/I1076</f>
        <v>0</v>
      </c>
      <c r="J1030" s="317">
        <f>J$1120*1000000*hypo!J88/J1076</f>
        <v>147152.79804557795</v>
      </c>
      <c r="K1030" s="317">
        <f>K$1120*1000000*hypo!K88/K1076</f>
        <v>76962.89726434178</v>
      </c>
      <c r="L1030" s="317">
        <f>L$1120*1000000*hypo!L88/L1076</f>
        <v>103995.38506571877</v>
      </c>
      <c r="M1030" s="317">
        <f>M$1120*1000000*hypo!M88/M1076</f>
        <v>0</v>
      </c>
      <c r="N1030" s="317">
        <f>N$1120*1000000*hypo!N88/N1076</f>
        <v>0</v>
      </c>
      <c r="O1030" s="317">
        <f>O$1120*1000000*hypo!O88/O1076</f>
        <v>0</v>
      </c>
      <c r="P1030" s="317">
        <f>P$1120*1000000*hypo!P88/P1076</f>
        <v>244236.39490162293</v>
      </c>
      <c r="Q1030" s="317">
        <f>Q$1120*1000000*hypo!Q88/Q1076</f>
        <v>0</v>
      </c>
      <c r="R1030" s="317">
        <f>R$1120*1000000*hypo!R88/R1076</f>
        <v>240309.93914235194</v>
      </c>
      <c r="S1030" s="317">
        <f>S$1120*1000000*hypo!S88/S1076</f>
        <v>110907.42032086055</v>
      </c>
      <c r="T1030" s="317">
        <f>T$1120*1000000*hypo!T88/T1076</f>
        <v>305892.56001651677</v>
      </c>
      <c r="U1030" s="317">
        <f>U$1120*1000000*hypo!U88/U1076</f>
        <v>0</v>
      </c>
      <c r="V1030" s="317">
        <f>V$1120*1000000*hypo!V88/V1076</f>
        <v>141175.02403060466</v>
      </c>
      <c r="W1030" s="317">
        <f>W$1120*1000000*hypo!W88/W1076</f>
        <v>153137.32395928507</v>
      </c>
      <c r="X1030" s="317">
        <f>X$1120*1000000*hypo!X88/X1076</f>
        <v>53902.961713163582</v>
      </c>
      <c r="Y1030" s="317">
        <f>Y$1120*1000000*hypo!Y88/Y1076</f>
        <v>55005.574464308876</v>
      </c>
      <c r="Z1030" s="317">
        <f>Z$1120*1000000*hypo!Z88/Z1076</f>
        <v>22748.082283165782</v>
      </c>
      <c r="AA1030" s="317">
        <f>AA$1120*1000000*hypo!AA88/AA1076</f>
        <v>56064.63489262449</v>
      </c>
      <c r="AB1030" s="317">
        <f>AB$1120*1000000*hypo!AB88/AB1076</f>
        <v>40238.59789908534</v>
      </c>
      <c r="AC1030" s="317">
        <f>AC$1120*1000000*hypo!AC88/AC1076</f>
        <v>109587.96851026481</v>
      </c>
      <c r="AD1030" s="317">
        <f>AD$1120*1000000*hypo!AD88/AD1076</f>
        <v>0</v>
      </c>
      <c r="AE1030" s="317">
        <f>AE$1120*1000000*hypo!AE88/AE1076</f>
        <v>32628.726132062318</v>
      </c>
      <c r="AF1030" s="317">
        <f>AF$1120*1000000*hypo!AF88/AF1076</f>
        <v>0</v>
      </c>
      <c r="AG1030" s="317">
        <f>AG$1120*1000000*hypo!AG88/AG1076</f>
        <v>30935.788957060435</v>
      </c>
      <c r="AH1030" s="317">
        <f>AH$1120*1000000*hypo!AH88/AH1076</f>
        <v>34450.863677240879</v>
      </c>
      <c r="AI1030" s="317">
        <f>AI$1120*1000000*hypo!AI88/AI1076</f>
        <v>0</v>
      </c>
      <c r="AJ1030" s="317">
        <f>AJ$1120*1000000*hypo!AJ88/AJ1076</f>
        <v>0</v>
      </c>
      <c r="AK1030" s="317">
        <f>AK$1120*1000000*hypo!AK88/AK1076</f>
        <v>0</v>
      </c>
      <c r="AL1030" s="317">
        <f>AL$1120*1000000*hypo!AL88/AL1076</f>
        <v>0</v>
      </c>
      <c r="AM1030" s="317">
        <f>AM$1120*1000000*hypo!AM88/AM1076</f>
        <v>0</v>
      </c>
    </row>
    <row r="1031" spans="1:39" x14ac:dyDescent="0.2">
      <c r="A1031" s="232"/>
      <c r="B1031" s="181" t="s">
        <v>479</v>
      </c>
      <c r="C1031" s="75" t="s">
        <v>471</v>
      </c>
      <c r="D1031" s="76" t="s">
        <v>723</v>
      </c>
      <c r="E1031" s="24"/>
      <c r="F1031" s="317">
        <f>F$1120*1000000*hypo!F89/F1077</f>
        <v>0</v>
      </c>
      <c r="G1031" s="317">
        <f>G$1120*1000000*hypo!G89/G1077</f>
        <v>0</v>
      </c>
      <c r="H1031" s="317">
        <f>H$1120*1000000*hypo!H89/H1077</f>
        <v>0</v>
      </c>
      <c r="I1031" s="317">
        <f>I$1120*1000000*hypo!I89/I1077</f>
        <v>0</v>
      </c>
      <c r="J1031" s="317">
        <f>J$1120*1000000*hypo!J89/J1077</f>
        <v>68660.28131548519</v>
      </c>
      <c r="K1031" s="317">
        <f>K$1120*1000000*hypo!K89/K1077</f>
        <v>40659.361295360286</v>
      </c>
      <c r="L1031" s="317">
        <f>L$1120*1000000*hypo!L89/L1077</f>
        <v>22533.75835108367</v>
      </c>
      <c r="M1031" s="317">
        <f>M$1120*1000000*hypo!M89/M1077</f>
        <v>0</v>
      </c>
      <c r="N1031" s="317">
        <f>N$1120*1000000*hypo!N89/N1077</f>
        <v>0</v>
      </c>
      <c r="O1031" s="317">
        <f>O$1120*1000000*hypo!O89/O1077</f>
        <v>0</v>
      </c>
      <c r="P1031" s="317">
        <f>P$1120*1000000*hypo!P89/P1077</f>
        <v>161421.51143923172</v>
      </c>
      <c r="Q1031" s="317">
        <f>Q$1120*1000000*hypo!Q89/Q1077</f>
        <v>0</v>
      </c>
      <c r="R1031" s="317">
        <f>R$1120*1000000*hypo!R89/R1077</f>
        <v>36664.673814164424</v>
      </c>
      <c r="S1031" s="317">
        <f>S$1120*1000000*hypo!S89/S1077</f>
        <v>181435.78851507179</v>
      </c>
      <c r="T1031" s="317">
        <f>T$1120*1000000*hypo!T89/T1077</f>
        <v>245914.09583567898</v>
      </c>
      <c r="U1031" s="317">
        <f>U$1120*1000000*hypo!U89/U1077</f>
        <v>0</v>
      </c>
      <c r="V1031" s="317">
        <f>V$1120*1000000*hypo!V89/V1077</f>
        <v>542809.58179122244</v>
      </c>
      <c r="W1031" s="317">
        <f>W$1120*1000000*hypo!W89/W1077</f>
        <v>12317.072160603549</v>
      </c>
      <c r="X1031" s="317">
        <f>X$1120*1000000*hypo!X89/X1077</f>
        <v>5075.9106970256908</v>
      </c>
      <c r="Y1031" s="317">
        <f>Y$1120*1000000*hypo!Y89/Y1077</f>
        <v>29460.497794227686</v>
      </c>
      <c r="Z1031" s="317">
        <f>Z$1120*1000000*hypo!Z89/Z1077</f>
        <v>17472.648661774263</v>
      </c>
      <c r="AA1031" s="317">
        <f>AA$1120*1000000*hypo!AA89/AA1077</f>
        <v>43376.168175919331</v>
      </c>
      <c r="AB1031" s="317">
        <f>AB$1120*1000000*hypo!AB89/AB1077</f>
        <v>84313.065379152875</v>
      </c>
      <c r="AC1031" s="317">
        <f>AC$1120*1000000*hypo!AC89/AC1077</f>
        <v>218648.8904877202</v>
      </c>
      <c r="AD1031" s="317">
        <f>AD$1120*1000000*hypo!AD89/AD1077</f>
        <v>0</v>
      </c>
      <c r="AE1031" s="317">
        <f>AE$1120*1000000*hypo!AE89/AE1077</f>
        <v>78664.838840094773</v>
      </c>
      <c r="AF1031" s="317">
        <f>AF$1120*1000000*hypo!AF89/AF1077</f>
        <v>0</v>
      </c>
      <c r="AG1031" s="317">
        <f>AG$1120*1000000*hypo!AG89/AG1077</f>
        <v>57107.253136056766</v>
      </c>
      <c r="AH1031" s="317">
        <f>AH$1120*1000000*hypo!AH89/AH1077</f>
        <v>93795.290945310451</v>
      </c>
      <c r="AI1031" s="317">
        <f>AI$1120*1000000*hypo!AI89/AI1077</f>
        <v>0</v>
      </c>
      <c r="AJ1031" s="317">
        <f>AJ$1120*1000000*hypo!AJ89/AJ1077</f>
        <v>0</v>
      </c>
      <c r="AK1031" s="317">
        <f>AK$1120*1000000*hypo!AK89/AK1077</f>
        <v>0</v>
      </c>
      <c r="AL1031" s="317">
        <f>AL$1120*1000000*hypo!AL89/AL1077</f>
        <v>0</v>
      </c>
      <c r="AM1031" s="317">
        <f>AM$1120*1000000*hypo!AM89/AM1077</f>
        <v>0</v>
      </c>
    </row>
    <row r="1032" spans="1:39" x14ac:dyDescent="0.2">
      <c r="A1032" s="232"/>
      <c r="B1032" s="181" t="s">
        <v>480</v>
      </c>
      <c r="C1032" s="75" t="s">
        <v>471</v>
      </c>
      <c r="D1032" s="76" t="s">
        <v>723</v>
      </c>
      <c r="E1032" s="24"/>
      <c r="F1032" s="317">
        <f>F$1120*1000000*hypo!F90/F1078</f>
        <v>0</v>
      </c>
      <c r="G1032" s="317">
        <f>G$1120*1000000*hypo!G90/G1078</f>
        <v>0</v>
      </c>
      <c r="H1032" s="317">
        <f>H$1120*1000000*hypo!H90/H1078</f>
        <v>0</v>
      </c>
      <c r="I1032" s="317">
        <f>I$1120*1000000*hypo!I90/I1078</f>
        <v>0</v>
      </c>
      <c r="J1032" s="317">
        <f>J$1120*1000000*hypo!J90/J1078</f>
        <v>33321.36723373166</v>
      </c>
      <c r="K1032" s="317">
        <f>K$1120*1000000*hypo!K90/K1078</f>
        <v>11312.14338492404</v>
      </c>
      <c r="L1032" s="317">
        <f>L$1120*1000000*hypo!L90/L1078</f>
        <v>12818.157977521587</v>
      </c>
      <c r="M1032" s="317">
        <f>M$1120*1000000*hypo!M90/M1078</f>
        <v>0</v>
      </c>
      <c r="N1032" s="317">
        <f>N$1120*1000000*hypo!N90/N1078</f>
        <v>0</v>
      </c>
      <c r="O1032" s="317">
        <f>O$1120*1000000*hypo!O90/O1078</f>
        <v>0</v>
      </c>
      <c r="P1032" s="317">
        <f>P$1120*1000000*hypo!P90/P1078</f>
        <v>54486.814564621716</v>
      </c>
      <c r="Q1032" s="317">
        <f>Q$1120*1000000*hypo!Q90/Q1078</f>
        <v>0</v>
      </c>
      <c r="R1032" s="317">
        <f>R$1120*1000000*hypo!R90/R1078</f>
        <v>27853.391416588343</v>
      </c>
      <c r="S1032" s="317">
        <f>S$1120*1000000*hypo!S90/S1078</f>
        <v>46863.017685043415</v>
      </c>
      <c r="T1032" s="317">
        <f>T$1120*1000000*hypo!T90/T1078</f>
        <v>63662.894290805583</v>
      </c>
      <c r="U1032" s="317">
        <f>U$1120*1000000*hypo!U90/U1078</f>
        <v>0</v>
      </c>
      <c r="V1032" s="317">
        <f>V$1120*1000000*hypo!V90/V1078</f>
        <v>214772.82034458316</v>
      </c>
      <c r="W1032" s="317">
        <f>W$1120*1000000*hypo!W90/W1078</f>
        <v>14694.38274292433</v>
      </c>
      <c r="X1032" s="317">
        <f>X$1120*1000000*hypo!X90/X1078</f>
        <v>4786.4084241359687</v>
      </c>
      <c r="Y1032" s="317">
        <f>Y$1120*1000000*hypo!Y90/Y1078</f>
        <v>19216.171708956794</v>
      </c>
      <c r="Z1032" s="317">
        <f>Z$1120*1000000*hypo!Z90/Z1078</f>
        <v>8593.9109494392833</v>
      </c>
      <c r="AA1032" s="317">
        <f>AA$1120*1000000*hypo!AA90/AA1078</f>
        <v>26111.953228437433</v>
      </c>
      <c r="AB1032" s="317">
        <f>AB$1120*1000000*hypo!AB90/AB1078</f>
        <v>14896.400040107359</v>
      </c>
      <c r="AC1032" s="317">
        <f>AC$1120*1000000*hypo!AC90/AC1078</f>
        <v>19559.980778967663</v>
      </c>
      <c r="AD1032" s="317">
        <f>AD$1120*1000000*hypo!AD90/AD1078</f>
        <v>0</v>
      </c>
      <c r="AE1032" s="317">
        <f>AE$1120*1000000*hypo!AE90/AE1078</f>
        <v>6851.5993671274991</v>
      </c>
      <c r="AF1032" s="317">
        <f>AF$1120*1000000*hypo!AF90/AF1078</f>
        <v>0</v>
      </c>
      <c r="AG1032" s="317">
        <f>AG$1120*1000000*hypo!AG90/AG1078</f>
        <v>11962.00826470271</v>
      </c>
      <c r="AH1032" s="317">
        <f>AH$1120*1000000*hypo!AH90/AH1078</f>
        <v>11076.864618178801</v>
      </c>
      <c r="AI1032" s="317">
        <f>AI$1120*1000000*hypo!AI90/AI1078</f>
        <v>0</v>
      </c>
      <c r="AJ1032" s="317">
        <f>AJ$1120*1000000*hypo!AJ90/AJ1078</f>
        <v>0</v>
      </c>
      <c r="AK1032" s="317">
        <f>AK$1120*1000000*hypo!AK90/AK1078</f>
        <v>0</v>
      </c>
      <c r="AL1032" s="317">
        <f>AL$1120*1000000*hypo!AL90/AL1078</f>
        <v>0</v>
      </c>
      <c r="AM1032" s="317">
        <f>AM$1120*1000000*hypo!AM90/AM1078</f>
        <v>0</v>
      </c>
    </row>
    <row r="1033" spans="1:39" x14ac:dyDescent="0.2">
      <c r="A1033" s="232"/>
      <c r="B1033" s="181" t="s">
        <v>481</v>
      </c>
      <c r="C1033" s="75" t="s">
        <v>471</v>
      </c>
      <c r="D1033" s="76" t="s">
        <v>723</v>
      </c>
      <c r="E1033" s="24"/>
      <c r="F1033" s="317">
        <f>F$1120*1000000*hypo!F91/F1079</f>
        <v>0</v>
      </c>
      <c r="G1033" s="317">
        <f>G$1120*1000000*hypo!G91/G1079</f>
        <v>0</v>
      </c>
      <c r="H1033" s="317">
        <f>H$1120*1000000*hypo!H91/H1079</f>
        <v>0</v>
      </c>
      <c r="I1033" s="317">
        <f>I$1120*1000000*hypo!I91/I1079</f>
        <v>0</v>
      </c>
      <c r="J1033" s="317">
        <f>J$1120*1000000*hypo!J91/J1079</f>
        <v>71302.049783829134</v>
      </c>
      <c r="K1033" s="317">
        <f>K$1120*1000000*hypo!K91/K1079</f>
        <v>53229.748705890146</v>
      </c>
      <c r="L1033" s="317">
        <f>L$1120*1000000*hypo!L91/L1079</f>
        <v>52056.455769949498</v>
      </c>
      <c r="M1033" s="317">
        <f>M$1120*1000000*hypo!M91/M1079</f>
        <v>0</v>
      </c>
      <c r="N1033" s="317">
        <f>N$1120*1000000*hypo!N91/N1079</f>
        <v>0</v>
      </c>
      <c r="O1033" s="317">
        <f>O$1120*1000000*hypo!O91/O1079</f>
        <v>0</v>
      </c>
      <c r="P1033" s="317">
        <f>P$1120*1000000*hypo!P91/P1079</f>
        <v>168266.28253404549</v>
      </c>
      <c r="Q1033" s="317">
        <f>Q$1120*1000000*hypo!Q91/Q1079</f>
        <v>0</v>
      </c>
      <c r="R1033" s="317">
        <f>R$1120*1000000*hypo!R91/R1079</f>
        <v>43572.316643427832</v>
      </c>
      <c r="S1033" s="317">
        <f>S$1120*1000000*hypo!S91/S1079</f>
        <v>26482.927400535766</v>
      </c>
      <c r="T1033" s="317">
        <f>T$1120*1000000*hypo!T91/T1079</f>
        <v>95665.339318184531</v>
      </c>
      <c r="U1033" s="317">
        <f>U$1120*1000000*hypo!U91/U1079</f>
        <v>0</v>
      </c>
      <c r="V1033" s="317">
        <f>V$1120*1000000*hypo!V91/V1079</f>
        <v>14877.401607262211</v>
      </c>
      <c r="W1033" s="317">
        <f>W$1120*1000000*hypo!W91/W1079</f>
        <v>21356.657127341612</v>
      </c>
      <c r="X1033" s="317">
        <f>X$1120*1000000*hypo!X91/X1079</f>
        <v>2581.0308377570109</v>
      </c>
      <c r="Y1033" s="317">
        <f>Y$1120*1000000*hypo!Y91/Y1079</f>
        <v>8137.3429715177981</v>
      </c>
      <c r="Z1033" s="317">
        <f>Z$1120*1000000*hypo!Z91/Z1079</f>
        <v>1534.6269552570147</v>
      </c>
      <c r="AA1033" s="317">
        <f>AA$1120*1000000*hypo!AA91/AA1079</f>
        <v>5546.3993716586192</v>
      </c>
      <c r="AB1033" s="317">
        <f>AB$1120*1000000*hypo!AB91/AB1079</f>
        <v>1449.5116233274539</v>
      </c>
      <c r="AC1033" s="317">
        <f>AC$1120*1000000*hypo!AC91/AC1079</f>
        <v>3706.3851574743408</v>
      </c>
      <c r="AD1033" s="317">
        <f>AD$1120*1000000*hypo!AD91/AD1079</f>
        <v>0</v>
      </c>
      <c r="AE1033" s="317">
        <f>AE$1120*1000000*hypo!AE91/AE1079</f>
        <v>376.90708018226593</v>
      </c>
      <c r="AF1033" s="317">
        <f>AF$1120*1000000*hypo!AF91/AF1079</f>
        <v>0</v>
      </c>
      <c r="AG1033" s="317">
        <f>AG$1120*1000000*hypo!AG91/AG1079</f>
        <v>636.533042052935</v>
      </c>
      <c r="AH1033" s="317">
        <f>AH$1120*1000000*hypo!AH91/AH1079</f>
        <v>1011.2667914503779</v>
      </c>
      <c r="AI1033" s="317">
        <f>AI$1120*1000000*hypo!AI91/AI1079</f>
        <v>0</v>
      </c>
      <c r="AJ1033" s="317">
        <f>AJ$1120*1000000*hypo!AJ91/AJ1079</f>
        <v>0</v>
      </c>
      <c r="AK1033" s="317">
        <f>AK$1120*1000000*hypo!AK91/AK1079</f>
        <v>0</v>
      </c>
      <c r="AL1033" s="317">
        <f>AL$1120*1000000*hypo!AL91/AL1079</f>
        <v>0</v>
      </c>
      <c r="AM1033" s="317">
        <f>AM$1120*1000000*hypo!AM91/AM1079</f>
        <v>0</v>
      </c>
    </row>
    <row r="1034" spans="1:39" x14ac:dyDescent="0.2">
      <c r="A1034" s="232"/>
      <c r="B1034" s="181" t="s">
        <v>482</v>
      </c>
      <c r="C1034" s="75" t="s">
        <v>471</v>
      </c>
      <c r="D1034" s="76" t="s">
        <v>723</v>
      </c>
      <c r="E1034" s="24"/>
      <c r="F1034" s="317">
        <f>F$1120*1000000*hypo!F92/F1080</f>
        <v>0</v>
      </c>
      <c r="G1034" s="317">
        <f>G$1120*1000000*hypo!G92/G1080</f>
        <v>0</v>
      </c>
      <c r="H1034" s="317">
        <f>H$1120*1000000*hypo!H92/H1080</f>
        <v>0</v>
      </c>
      <c r="I1034" s="317">
        <f>I$1120*1000000*hypo!I92/I1080</f>
        <v>0</v>
      </c>
      <c r="J1034" s="317">
        <f>J$1120*1000000*hypo!J92/J1080</f>
        <v>90099.835821582805</v>
      </c>
      <c r="K1034" s="317">
        <f>K$1120*1000000*hypo!K92/K1080</f>
        <v>38119.863266321903</v>
      </c>
      <c r="L1034" s="317">
        <f>L$1120*1000000*hypo!L92/L1080</f>
        <v>32257.131016525414</v>
      </c>
      <c r="M1034" s="317">
        <f>M$1120*1000000*hypo!M92/M1080</f>
        <v>0</v>
      </c>
      <c r="N1034" s="317">
        <f>N$1120*1000000*hypo!N92/N1080</f>
        <v>0</v>
      </c>
      <c r="O1034" s="317">
        <f>O$1120*1000000*hypo!O92/O1080</f>
        <v>0</v>
      </c>
      <c r="P1034" s="317">
        <f>P$1120*1000000*hypo!P92/P1080</f>
        <v>161677.25899117094</v>
      </c>
      <c r="Q1034" s="317">
        <f>Q$1120*1000000*hypo!Q92/Q1080</f>
        <v>0</v>
      </c>
      <c r="R1034" s="317">
        <f>R$1120*1000000*hypo!R92/R1080</f>
        <v>42618.409294236408</v>
      </c>
      <c r="S1034" s="317">
        <f>S$1120*1000000*hypo!S92/S1080</f>
        <v>99623.244844687884</v>
      </c>
      <c r="T1034" s="317">
        <f>T$1120*1000000*hypo!T92/T1080</f>
        <v>170627.17388128463</v>
      </c>
      <c r="U1034" s="317">
        <f>U$1120*1000000*hypo!U92/U1080</f>
        <v>0</v>
      </c>
      <c r="V1034" s="317">
        <f>V$1120*1000000*hypo!V92/V1080</f>
        <v>170562.49315716047</v>
      </c>
      <c r="W1034" s="317">
        <f>W$1120*1000000*hypo!W92/W1080</f>
        <v>13755.50777191899</v>
      </c>
      <c r="X1034" s="317">
        <f>X$1120*1000000*hypo!X92/X1080</f>
        <v>2284.0942164698185</v>
      </c>
      <c r="Y1034" s="317">
        <f>Y$1120*1000000*hypo!Y92/Y1080</f>
        <v>16178.799787819091</v>
      </c>
      <c r="Z1034" s="317">
        <f>Z$1120*1000000*hypo!Z92/Z1080</f>
        <v>4870.2921052036609</v>
      </c>
      <c r="AA1034" s="317">
        <f>AA$1120*1000000*hypo!AA92/AA1080</f>
        <v>21923.090416981937</v>
      </c>
      <c r="AB1034" s="317">
        <f>AB$1120*1000000*hypo!AB92/AB1080</f>
        <v>15616.692830708631</v>
      </c>
      <c r="AC1034" s="317">
        <f>AC$1120*1000000*hypo!AC92/AC1080</f>
        <v>29994.963409822019</v>
      </c>
      <c r="AD1034" s="317">
        <f>AD$1120*1000000*hypo!AD92/AD1080</f>
        <v>0</v>
      </c>
      <c r="AE1034" s="317">
        <f>AE$1120*1000000*hypo!AE92/AE1080</f>
        <v>7983.7029074793663</v>
      </c>
      <c r="AF1034" s="317">
        <f>AF$1120*1000000*hypo!AF92/AF1080</f>
        <v>0</v>
      </c>
      <c r="AG1034" s="317">
        <f>AG$1120*1000000*hypo!AG92/AG1080</f>
        <v>13272.350931701229</v>
      </c>
      <c r="AH1034" s="317">
        <f>AH$1120*1000000*hypo!AH92/AH1080</f>
        <v>12662.445688146083</v>
      </c>
      <c r="AI1034" s="317">
        <f>AI$1120*1000000*hypo!AI92/AI1080</f>
        <v>0</v>
      </c>
      <c r="AJ1034" s="317">
        <f>AJ$1120*1000000*hypo!AJ92/AJ1080</f>
        <v>0</v>
      </c>
      <c r="AK1034" s="317">
        <f>AK$1120*1000000*hypo!AK92/AK1080</f>
        <v>0</v>
      </c>
      <c r="AL1034" s="317">
        <f>AL$1120*1000000*hypo!AL92/AL1080</f>
        <v>0</v>
      </c>
      <c r="AM1034" s="317">
        <f>AM$1120*1000000*hypo!AM92/AM1080</f>
        <v>0</v>
      </c>
    </row>
    <row r="1035" spans="1:39" x14ac:dyDescent="0.2">
      <c r="A1035" s="232"/>
      <c r="B1035" s="181" t="s">
        <v>483</v>
      </c>
      <c r="C1035" s="75" t="s">
        <v>471</v>
      </c>
      <c r="D1035" s="76" t="s">
        <v>723</v>
      </c>
      <c r="E1035" s="24"/>
      <c r="F1035" s="317">
        <f>F$1120*1000000*hypo!F93/F1081</f>
        <v>0</v>
      </c>
      <c r="G1035" s="317">
        <f>G$1120*1000000*hypo!G93/G1081</f>
        <v>0</v>
      </c>
      <c r="H1035" s="317">
        <f>H$1120*1000000*hypo!H93/H1081</f>
        <v>0</v>
      </c>
      <c r="I1035" s="317">
        <f>I$1120*1000000*hypo!I93/I1081</f>
        <v>0</v>
      </c>
      <c r="J1035" s="317">
        <f>J$1120*1000000*hypo!J93/J1081</f>
        <v>35409.306615310132</v>
      </c>
      <c r="K1035" s="317">
        <f>K$1120*1000000*hypo!K93/K1081</f>
        <v>12525.463168106195</v>
      </c>
      <c r="L1035" s="317">
        <f>L$1120*1000000*hypo!L93/L1081</f>
        <v>43622.812508537383</v>
      </c>
      <c r="M1035" s="317">
        <f>M$1120*1000000*hypo!M93/M1081</f>
        <v>0</v>
      </c>
      <c r="N1035" s="317">
        <f>N$1120*1000000*hypo!N93/N1081</f>
        <v>0</v>
      </c>
      <c r="O1035" s="317">
        <f>O$1120*1000000*hypo!O93/O1081</f>
        <v>0</v>
      </c>
      <c r="P1035" s="317">
        <f>P$1120*1000000*hypo!P93/P1081</f>
        <v>34525.919511792184</v>
      </c>
      <c r="Q1035" s="317">
        <f>Q$1120*1000000*hypo!Q93/Q1081</f>
        <v>0</v>
      </c>
      <c r="R1035" s="317">
        <f>R$1120*1000000*hypo!R93/R1081</f>
        <v>194535.5710024377</v>
      </c>
      <c r="S1035" s="317">
        <f>S$1120*1000000*hypo!S93/S1081</f>
        <v>92906.872231099507</v>
      </c>
      <c r="T1035" s="317">
        <f>T$1120*1000000*hypo!T93/T1081</f>
        <v>188387.0266643652</v>
      </c>
      <c r="U1035" s="317">
        <f>U$1120*1000000*hypo!U93/U1081</f>
        <v>0</v>
      </c>
      <c r="V1035" s="317">
        <f>V$1120*1000000*hypo!V93/V1081</f>
        <v>103473.56004635921</v>
      </c>
      <c r="W1035" s="317">
        <f>W$1120*1000000*hypo!W93/W1081</f>
        <v>23390.519769449198</v>
      </c>
      <c r="X1035" s="317">
        <f>X$1120*1000000*hypo!X93/X1081</f>
        <v>16920.576952642201</v>
      </c>
      <c r="Y1035" s="317">
        <f>Y$1120*1000000*hypo!Y93/Y1081</f>
        <v>33258.259487737327</v>
      </c>
      <c r="Z1035" s="317">
        <f>Z$1120*1000000*hypo!Z93/Z1081</f>
        <v>6202.3483023667495</v>
      </c>
      <c r="AA1035" s="317">
        <f>AA$1120*1000000*hypo!AA93/AA1081</f>
        <v>67884.328212146254</v>
      </c>
      <c r="AB1035" s="317">
        <f>AB$1120*1000000*hypo!AB93/AB1081</f>
        <v>49428.928488648235</v>
      </c>
      <c r="AC1035" s="317">
        <f>AC$1120*1000000*hypo!AC93/AC1081</f>
        <v>213545.42797922113</v>
      </c>
      <c r="AD1035" s="317">
        <f>AD$1120*1000000*hypo!AD93/AD1081</f>
        <v>0</v>
      </c>
      <c r="AE1035" s="317">
        <f>AE$1120*1000000*hypo!AE93/AE1081</f>
        <v>115329.88040295984</v>
      </c>
      <c r="AF1035" s="317">
        <f>AF$1120*1000000*hypo!AF93/AF1081</f>
        <v>0</v>
      </c>
      <c r="AG1035" s="317">
        <f>AG$1120*1000000*hypo!AG93/AG1081</f>
        <v>165703.8480674125</v>
      </c>
      <c r="AH1035" s="317">
        <f>AH$1120*1000000*hypo!AH93/AH1081</f>
        <v>58207.344204263682</v>
      </c>
      <c r="AI1035" s="317">
        <f>AI$1120*1000000*hypo!AI93/AI1081</f>
        <v>0</v>
      </c>
      <c r="AJ1035" s="317">
        <f>AJ$1120*1000000*hypo!AJ93/AJ1081</f>
        <v>0</v>
      </c>
      <c r="AK1035" s="317">
        <f>AK$1120*1000000*hypo!AK93/AK1081</f>
        <v>0</v>
      </c>
      <c r="AL1035" s="317">
        <f>AL$1120*1000000*hypo!AL93/AL1081</f>
        <v>0</v>
      </c>
      <c r="AM1035" s="317">
        <f>AM$1120*1000000*hypo!AM93/AM1081</f>
        <v>0</v>
      </c>
    </row>
    <row r="1036" spans="1:39" x14ac:dyDescent="0.2">
      <c r="A1036" s="232"/>
      <c r="B1036" s="181" t="s">
        <v>484</v>
      </c>
      <c r="C1036" s="75" t="s">
        <v>471</v>
      </c>
      <c r="D1036" s="76" t="s">
        <v>723</v>
      </c>
      <c r="E1036" s="24"/>
      <c r="F1036" s="317">
        <f>F$1120*1000000*hypo!F94/F1082</f>
        <v>0</v>
      </c>
      <c r="G1036" s="317">
        <f>G$1120*1000000*hypo!G94/G1082</f>
        <v>0</v>
      </c>
      <c r="H1036" s="317">
        <f>H$1120*1000000*hypo!H94/H1082</f>
        <v>0</v>
      </c>
      <c r="I1036" s="317">
        <f>I$1120*1000000*hypo!I94/I1082</f>
        <v>0</v>
      </c>
      <c r="J1036" s="317">
        <f>J$1120*1000000*hypo!J94/J1082</f>
        <v>267882.32469870412</v>
      </c>
      <c r="K1036" s="317">
        <f>K$1120*1000000*hypo!K94/K1082</f>
        <v>135129.56454617207</v>
      </c>
      <c r="L1036" s="317">
        <f>L$1120*1000000*hypo!L94/L1082</f>
        <v>146083.75873801566</v>
      </c>
      <c r="M1036" s="317">
        <f>M$1120*1000000*hypo!M94/M1082</f>
        <v>0</v>
      </c>
      <c r="N1036" s="317">
        <f>N$1120*1000000*hypo!N94/N1082</f>
        <v>0</v>
      </c>
      <c r="O1036" s="317">
        <f>O$1120*1000000*hypo!O94/O1082</f>
        <v>0</v>
      </c>
      <c r="P1036" s="317">
        <f>P$1120*1000000*hypo!P94/P1082</f>
        <v>496707.05547158758</v>
      </c>
      <c r="Q1036" s="317">
        <f>Q$1120*1000000*hypo!Q94/Q1082</f>
        <v>0</v>
      </c>
      <c r="R1036" s="317">
        <f>R$1120*1000000*hypo!R94/R1082</f>
        <v>317024.87777021824</v>
      </c>
      <c r="S1036" s="317">
        <f>S$1120*1000000*hypo!S94/S1082</f>
        <v>375927.97585312708</v>
      </c>
      <c r="T1036" s="317">
        <f>T$1120*1000000*hypo!T94/T1082</f>
        <v>665458.03731600009</v>
      </c>
      <c r="U1036" s="317">
        <f>U$1120*1000000*hypo!U94/U1082</f>
        <v>0</v>
      </c>
      <c r="V1036" s="317">
        <f>V$1120*1000000*hypo!V94/V1082</f>
        <v>1169408.0690480857</v>
      </c>
      <c r="W1036" s="317">
        <f>W$1120*1000000*hypo!W94/W1082</f>
        <v>187915.27575411284</v>
      </c>
      <c r="X1036" s="317">
        <f>X$1120*1000000*hypo!X94/X1082</f>
        <v>68907.663352316536</v>
      </c>
      <c r="Y1036" s="317">
        <f>Y$1120*1000000*hypo!Y94/Y1082</f>
        <v>106661.41424856514</v>
      </c>
      <c r="Z1036" s="317">
        <f>Z$1120*1000000*hypo!Z94/Z1082</f>
        <v>53353.454577247474</v>
      </c>
      <c r="AA1036" s="317">
        <f>AA$1120*1000000*hypo!AA94/AA1082</f>
        <v>127469.68292227729</v>
      </c>
      <c r="AB1036" s="317">
        <f>AB$1120*1000000*hypo!AB94/AB1082</f>
        <v>240191.25562793779</v>
      </c>
      <c r="AC1036" s="317">
        <f>AC$1120*1000000*hypo!AC94/AC1082</f>
        <v>504707.66102700506</v>
      </c>
      <c r="AD1036" s="317">
        <f>AD$1120*1000000*hypo!AD94/AD1082</f>
        <v>0</v>
      </c>
      <c r="AE1036" s="317">
        <f>AE$1120*1000000*hypo!AE94/AE1082</f>
        <v>148914.23646692681</v>
      </c>
      <c r="AF1036" s="317">
        <f>AF$1120*1000000*hypo!AF94/AF1082</f>
        <v>0</v>
      </c>
      <c r="AG1036" s="317">
        <f>AG$1120*1000000*hypo!AG94/AG1082</f>
        <v>135377.22453458508</v>
      </c>
      <c r="AH1036" s="317">
        <f>AH$1120*1000000*hypo!AH94/AH1082</f>
        <v>214553.74915212573</v>
      </c>
      <c r="AI1036" s="317">
        <f>AI$1120*1000000*hypo!AI94/AI1082</f>
        <v>0</v>
      </c>
      <c r="AJ1036" s="317">
        <f>AJ$1120*1000000*hypo!AJ94/AJ1082</f>
        <v>0</v>
      </c>
      <c r="AK1036" s="317">
        <f>AK$1120*1000000*hypo!AK94/AK1082</f>
        <v>0</v>
      </c>
      <c r="AL1036" s="317">
        <f>AL$1120*1000000*hypo!AL94/AL1082</f>
        <v>0</v>
      </c>
      <c r="AM1036" s="317">
        <f>AM$1120*1000000*hypo!AM94/AM1082</f>
        <v>0</v>
      </c>
    </row>
    <row r="1037" spans="1:39" x14ac:dyDescent="0.2">
      <c r="A1037" s="232"/>
      <c r="B1037" s="181" t="s">
        <v>485</v>
      </c>
      <c r="C1037" s="75" t="s">
        <v>471</v>
      </c>
      <c r="D1037" s="76" t="s">
        <v>723</v>
      </c>
      <c r="E1037" s="24"/>
      <c r="F1037" s="317">
        <f>F$1120*1000000*hypo!F95/F1083</f>
        <v>0</v>
      </c>
      <c r="G1037" s="317">
        <f>G$1120*1000000*hypo!G95/G1083</f>
        <v>0</v>
      </c>
      <c r="H1037" s="317">
        <f>H$1120*1000000*hypo!H95/H1083</f>
        <v>0</v>
      </c>
      <c r="I1037" s="317">
        <f>I$1120*1000000*hypo!I95/I1083</f>
        <v>0</v>
      </c>
      <c r="J1037" s="317">
        <f>J$1120*1000000*hypo!J95/J1083</f>
        <v>213511.35524794241</v>
      </c>
      <c r="K1037" s="317">
        <f>K$1120*1000000*hypo!K95/K1083</f>
        <v>115124.76287114109</v>
      </c>
      <c r="L1037" s="317">
        <f>L$1120*1000000*hypo!L95/L1083</f>
        <v>99821.428802348979</v>
      </c>
      <c r="M1037" s="317">
        <f>M$1120*1000000*hypo!M95/M1083</f>
        <v>0</v>
      </c>
      <c r="N1037" s="317">
        <f>N$1120*1000000*hypo!N95/N1083</f>
        <v>0</v>
      </c>
      <c r="O1037" s="317">
        <f>O$1120*1000000*hypo!O95/O1083</f>
        <v>0</v>
      </c>
      <c r="P1037" s="317">
        <f>P$1120*1000000*hypo!P95/P1083</f>
        <v>451998.05380807444</v>
      </c>
      <c r="Q1037" s="317">
        <f>Q$1120*1000000*hypo!Q95/Q1083</f>
        <v>0</v>
      </c>
      <c r="R1037" s="317">
        <f>R$1120*1000000*hypo!R95/R1083</f>
        <v>116490.74357537612</v>
      </c>
      <c r="S1037" s="317">
        <f>S$1120*1000000*hypo!S95/S1083</f>
        <v>286435.9570811686</v>
      </c>
      <c r="T1037" s="317">
        <f>T$1120*1000000*hypo!T95/T1083</f>
        <v>471928.31315638166</v>
      </c>
      <c r="U1037" s="317">
        <f>U$1120*1000000*hypo!U95/U1083</f>
        <v>0</v>
      </c>
      <c r="V1037" s="317">
        <f>V$1120*1000000*hypo!V95/V1083</f>
        <v>940153.75161327329</v>
      </c>
      <c r="W1037" s="317">
        <f>W$1120*1000000*hypo!W95/W1083</f>
        <v>57524.671584159041</v>
      </c>
      <c r="X1037" s="317">
        <f>X$1120*1000000*hypo!X95/X1083</f>
        <v>13464.916891653402</v>
      </c>
      <c r="Y1037" s="317">
        <f>Y$1120*1000000*hypo!Y95/Y1083</f>
        <v>60834.112807600417</v>
      </c>
      <c r="Z1037" s="317">
        <f>Z$1120*1000000*hypo!Z95/Z1083</f>
        <v>30018.530946391413</v>
      </c>
      <c r="AA1037" s="317">
        <f>AA$1120*1000000*hypo!AA95/AA1083</f>
        <v>64253.60543211866</v>
      </c>
      <c r="AB1037" s="317">
        <f>AB$1120*1000000*hypo!AB95/AB1083</f>
        <v>196776.53908753741</v>
      </c>
      <c r="AC1037" s="317">
        <f>AC$1120*1000000*hypo!AC95/AC1083</f>
        <v>297935.72375223791</v>
      </c>
      <c r="AD1037" s="317">
        <f>AD$1120*1000000*hypo!AD95/AD1083</f>
        <v>0</v>
      </c>
      <c r="AE1037" s="317">
        <f>AE$1120*1000000*hypo!AE95/AE1083</f>
        <v>72204.430317801933</v>
      </c>
      <c r="AF1037" s="317">
        <f>AF$1120*1000000*hypo!AF95/AF1083</f>
        <v>0</v>
      </c>
      <c r="AG1037" s="317">
        <f>AG$1120*1000000*hypo!AG95/AG1083</f>
        <v>90151.7642316899</v>
      </c>
      <c r="AH1037" s="317">
        <f>AH$1120*1000000*hypo!AH95/AH1083</f>
        <v>154973.08333031568</v>
      </c>
      <c r="AI1037" s="317">
        <f>AI$1120*1000000*hypo!AI95/AI1083</f>
        <v>0</v>
      </c>
      <c r="AJ1037" s="317">
        <f>AJ$1120*1000000*hypo!AJ95/AJ1083</f>
        <v>0</v>
      </c>
      <c r="AK1037" s="317">
        <f>AK$1120*1000000*hypo!AK95/AK1083</f>
        <v>0</v>
      </c>
      <c r="AL1037" s="317">
        <f>AL$1120*1000000*hypo!AL95/AL1083</f>
        <v>0</v>
      </c>
      <c r="AM1037" s="317">
        <f>AM$1120*1000000*hypo!AM95/AM1083</f>
        <v>0</v>
      </c>
    </row>
    <row r="1038" spans="1:39" x14ac:dyDescent="0.2">
      <c r="A1038" s="8"/>
      <c r="B1038" s="181"/>
      <c r="C1038" s="75"/>
      <c r="D1038" s="76"/>
      <c r="E1038" s="24"/>
      <c r="F1038" s="317"/>
      <c r="G1038" s="317"/>
      <c r="H1038" s="317"/>
      <c r="I1038" s="317"/>
      <c r="J1038" s="317"/>
      <c r="K1038" s="317"/>
      <c r="L1038" s="317"/>
      <c r="M1038" s="317"/>
      <c r="N1038" s="317"/>
      <c r="O1038" s="317"/>
      <c r="P1038" s="317"/>
      <c r="Q1038" s="317"/>
      <c r="R1038" s="317"/>
      <c r="S1038" s="317"/>
      <c r="T1038" s="317"/>
      <c r="U1038" s="317"/>
      <c r="V1038" s="317"/>
      <c r="W1038" s="317"/>
      <c r="X1038" s="317"/>
      <c r="Y1038" s="317"/>
      <c r="Z1038" s="317"/>
      <c r="AA1038" s="317"/>
      <c r="AB1038" s="317"/>
      <c r="AC1038" s="317"/>
      <c r="AD1038" s="317"/>
      <c r="AE1038" s="317"/>
      <c r="AF1038" s="317"/>
      <c r="AG1038" s="317"/>
      <c r="AH1038" s="317"/>
      <c r="AI1038" s="317"/>
      <c r="AJ1038" s="317"/>
      <c r="AK1038" s="317"/>
      <c r="AL1038" s="317"/>
      <c r="AM1038" s="317"/>
    </row>
    <row r="1039" spans="1:39" x14ac:dyDescent="0.2">
      <c r="A1039" s="8"/>
      <c r="B1039" s="76" t="s">
        <v>486</v>
      </c>
      <c r="C1039" s="75" t="s">
        <v>471</v>
      </c>
      <c r="D1039" s="76" t="s">
        <v>723</v>
      </c>
      <c r="E1039" s="24"/>
      <c r="F1039" s="317">
        <f>F$1120*1000000*hypo!F97/F1085</f>
        <v>0</v>
      </c>
      <c r="G1039" s="317">
        <f>G$1120*1000000*hypo!G97/G1085</f>
        <v>0</v>
      </c>
      <c r="H1039" s="317">
        <f>H$1120*1000000*hypo!H97/H1085</f>
        <v>0</v>
      </c>
      <c r="I1039" s="317">
        <f>I$1120*1000000*hypo!I97/I1085</f>
        <v>0</v>
      </c>
      <c r="J1039" s="317">
        <f>J$1120*1000000*hypo!J97/J1085</f>
        <v>1420.5138782269526</v>
      </c>
      <c r="K1039" s="317">
        <f>K$1120*1000000*hypo!K97/K1085</f>
        <v>537.99519585409757</v>
      </c>
      <c r="L1039" s="317">
        <f>L$1120*1000000*hypo!L97/L1085</f>
        <v>446.0824490927879</v>
      </c>
      <c r="M1039" s="317">
        <f>M$1120*1000000*hypo!M97/M1085</f>
        <v>0</v>
      </c>
      <c r="N1039" s="317">
        <f>N$1120*1000000*hypo!N97/N1085</f>
        <v>0</v>
      </c>
      <c r="O1039" s="317">
        <f>O$1120*1000000*hypo!O97/O1085</f>
        <v>0</v>
      </c>
      <c r="P1039" s="317">
        <f>P$1120*1000000*hypo!P97/P1085</f>
        <v>4024.4998626023144</v>
      </c>
      <c r="Q1039" s="317">
        <f>Q$1120*1000000*hypo!Q97/Q1085</f>
        <v>0</v>
      </c>
      <c r="R1039" s="317">
        <f>R$1120*1000000*hypo!R97/R1085</f>
        <v>6982.5754268386891</v>
      </c>
      <c r="S1039" s="317">
        <f>S$1120*1000000*hypo!S97/S1085</f>
        <v>103182.03765282777</v>
      </c>
      <c r="T1039" s="317">
        <f>T$1120*1000000*hypo!T97/T1085</f>
        <v>151046.64029141684</v>
      </c>
      <c r="U1039" s="317">
        <f>U$1120*1000000*hypo!U97/U1085</f>
        <v>0</v>
      </c>
      <c r="V1039" s="317">
        <f>V$1120*1000000*hypo!V97/V1085</f>
        <v>46573.138775487452</v>
      </c>
      <c r="W1039" s="317">
        <f>W$1120*1000000*hypo!W97/W1085</f>
        <v>1813.9855997175778</v>
      </c>
      <c r="X1039" s="317">
        <f>X$1120*1000000*hypo!X97/X1085</f>
        <v>8123.9935399884771</v>
      </c>
      <c r="Y1039" s="317">
        <f>Y$1120*1000000*hypo!Y97/Y1085</f>
        <v>16880.150486455106</v>
      </c>
      <c r="Z1039" s="317">
        <f>Z$1120*1000000*hypo!Z97/Z1085</f>
        <v>22065.480213467457</v>
      </c>
      <c r="AA1039" s="317">
        <f>AA$1120*1000000*hypo!AA97/AA1085</f>
        <v>62769.815471749309</v>
      </c>
      <c r="AB1039" s="317">
        <f>AB$1120*1000000*hypo!AB97/AB1085</f>
        <v>36872.70384041893</v>
      </c>
      <c r="AC1039" s="317">
        <f>AC$1120*1000000*hypo!AC97/AC1085</f>
        <v>60000.701195101821</v>
      </c>
      <c r="AD1039" s="317">
        <f>AD$1120*1000000*hypo!AD97/AD1085</f>
        <v>0</v>
      </c>
      <c r="AE1039" s="317">
        <f>AE$1120*1000000*hypo!AE97/AE1085</f>
        <v>5950.3398942222275</v>
      </c>
      <c r="AF1039" s="317">
        <f>AF$1120*1000000*hypo!AF97/AF1085</f>
        <v>0</v>
      </c>
      <c r="AG1039" s="317">
        <f>AG$1120*1000000*hypo!AG97/AG1085</f>
        <v>33302.144187524093</v>
      </c>
      <c r="AH1039" s="317">
        <f>AH$1120*1000000*hypo!AH97/AH1085</f>
        <v>3592.1285853216878</v>
      </c>
      <c r="AI1039" s="317">
        <f>AI$1120*1000000*hypo!AI97/AI1085</f>
        <v>0</v>
      </c>
      <c r="AJ1039" s="317">
        <f>AJ$1120*1000000*hypo!AJ97/AJ1085</f>
        <v>0</v>
      </c>
      <c r="AK1039" s="317">
        <f>AK$1120*1000000*hypo!AK97/AK1085</f>
        <v>0</v>
      </c>
      <c r="AL1039" s="317">
        <f>AL$1120*1000000*hypo!AL97/AL1085</f>
        <v>0</v>
      </c>
      <c r="AM1039" s="317">
        <f>AM$1120*1000000*hypo!AM97/AM1085</f>
        <v>0</v>
      </c>
    </row>
    <row r="1040" spans="1:39" x14ac:dyDescent="0.2">
      <c r="A1040" s="8"/>
      <c r="B1040" s="76" t="s">
        <v>487</v>
      </c>
      <c r="C1040" s="75" t="s">
        <v>471</v>
      </c>
      <c r="D1040" s="76" t="s">
        <v>723</v>
      </c>
      <c r="E1040" s="24"/>
      <c r="F1040" s="317">
        <f>F$1120*1000000*hypo!F98/F1086</f>
        <v>0</v>
      </c>
      <c r="G1040" s="317">
        <f>G$1120*1000000*hypo!G98/G1086</f>
        <v>0</v>
      </c>
      <c r="H1040" s="317">
        <f>H$1120*1000000*hypo!H98/H1086</f>
        <v>0</v>
      </c>
      <c r="I1040" s="317">
        <f>I$1120*1000000*hypo!I98/I1086</f>
        <v>0</v>
      </c>
      <c r="J1040" s="317">
        <f>J$1120*1000000*hypo!J98/J1086</f>
        <v>5880.9423537502826</v>
      </c>
      <c r="K1040" s="317">
        <f>K$1120*1000000*hypo!K98/K1086</f>
        <v>3048.2742054299379</v>
      </c>
      <c r="L1040" s="317">
        <f>L$1120*1000000*hypo!L98/L1086</f>
        <v>2051.1784842392235</v>
      </c>
      <c r="M1040" s="317">
        <f>M$1120*1000000*hypo!M98/M1086</f>
        <v>0</v>
      </c>
      <c r="N1040" s="317">
        <f>N$1120*1000000*hypo!N98/N1086</f>
        <v>0</v>
      </c>
      <c r="O1040" s="317">
        <f>O$1120*1000000*hypo!O98/O1086</f>
        <v>0</v>
      </c>
      <c r="P1040" s="317">
        <f>P$1120*1000000*hypo!P98/P1086</f>
        <v>14773.952085054732</v>
      </c>
      <c r="Q1040" s="317">
        <f>Q$1120*1000000*hypo!Q98/Q1086</f>
        <v>0</v>
      </c>
      <c r="R1040" s="317">
        <f>R$1120*1000000*hypo!R98/R1086</f>
        <v>22787.640179336566</v>
      </c>
      <c r="S1040" s="317">
        <f>S$1120*1000000*hypo!S98/S1086</f>
        <v>298004.66382861824</v>
      </c>
      <c r="T1040" s="317">
        <f>T$1120*1000000*hypo!T98/T1086</f>
        <v>405417.15563743567</v>
      </c>
      <c r="U1040" s="317">
        <f>U$1120*1000000*hypo!U98/U1086</f>
        <v>0</v>
      </c>
      <c r="V1040" s="317">
        <f>V$1120*1000000*hypo!V98/V1086</f>
        <v>158195.94990675038</v>
      </c>
      <c r="W1040" s="317">
        <f>W$1120*1000000*hypo!W98/W1086</f>
        <v>7407.6575581194165</v>
      </c>
      <c r="X1040" s="317">
        <f>X$1120*1000000*hypo!X98/X1086</f>
        <v>32873.813984390043</v>
      </c>
      <c r="Y1040" s="317">
        <f>Y$1120*1000000*hypo!Y98/Y1086</f>
        <v>55103.554203700405</v>
      </c>
      <c r="Z1040" s="317">
        <f>Z$1120*1000000*hypo!Z98/Z1086</f>
        <v>76378.997413923717</v>
      </c>
      <c r="AA1040" s="317">
        <f>AA$1120*1000000*hypo!AA98/AA1086</f>
        <v>239785.83274044559</v>
      </c>
      <c r="AB1040" s="317">
        <f>AB$1120*1000000*hypo!AB98/AB1086</f>
        <v>112560.10781660634</v>
      </c>
      <c r="AC1040" s="317">
        <f>AC$1120*1000000*hypo!AC98/AC1086</f>
        <v>203476.77411393105</v>
      </c>
      <c r="AD1040" s="317">
        <f>AD$1120*1000000*hypo!AD98/AD1086</f>
        <v>0</v>
      </c>
      <c r="AE1040" s="317">
        <f>AE$1120*1000000*hypo!AE98/AE1086</f>
        <v>23012.527154795949</v>
      </c>
      <c r="AF1040" s="317">
        <f>AF$1120*1000000*hypo!AF98/AF1086</f>
        <v>0</v>
      </c>
      <c r="AG1040" s="317">
        <f>AG$1120*1000000*hypo!AG98/AG1086</f>
        <v>107696.29467617633</v>
      </c>
      <c r="AH1040" s="317">
        <f>AH$1120*1000000*hypo!AH98/AH1086</f>
        <v>11589.898971101375</v>
      </c>
      <c r="AI1040" s="317">
        <f>AI$1120*1000000*hypo!AI98/AI1086</f>
        <v>0</v>
      </c>
      <c r="AJ1040" s="317">
        <f>AJ$1120*1000000*hypo!AJ98/AJ1086</f>
        <v>0</v>
      </c>
      <c r="AK1040" s="317">
        <f>AK$1120*1000000*hypo!AK98/AK1086</f>
        <v>0</v>
      </c>
      <c r="AL1040" s="317">
        <f>AL$1120*1000000*hypo!AL98/AL1086</f>
        <v>0</v>
      </c>
      <c r="AM1040" s="317">
        <f>AM$1120*1000000*hypo!AM98/AM1086</f>
        <v>0</v>
      </c>
    </row>
    <row r="1041" spans="1:39" x14ac:dyDescent="0.2">
      <c r="A1041" s="8"/>
      <c r="B1041" s="76" t="s">
        <v>488</v>
      </c>
      <c r="C1041" s="75" t="s">
        <v>471</v>
      </c>
      <c r="D1041" s="76" t="s">
        <v>723</v>
      </c>
      <c r="E1041" s="24"/>
      <c r="F1041" s="317">
        <f>F$1120*1000000*hypo!F99/F1087</f>
        <v>0</v>
      </c>
      <c r="G1041" s="317">
        <f>G$1120*1000000*hypo!G99/G1087</f>
        <v>0</v>
      </c>
      <c r="H1041" s="317">
        <f>H$1120*1000000*hypo!H99/H1087</f>
        <v>0</v>
      </c>
      <c r="I1041" s="317">
        <f>I$1120*1000000*hypo!I99/I1087</f>
        <v>0</v>
      </c>
      <c r="J1041" s="317">
        <f>J$1120*1000000*hypo!J99/J1087</f>
        <v>871.52660593892756</v>
      </c>
      <c r="K1041" s="317">
        <f>K$1120*1000000*hypo!K99/K1087</f>
        <v>923.32101501640091</v>
      </c>
      <c r="L1041" s="317">
        <f>L$1120*1000000*hypo!L99/L1087</f>
        <v>425.3563374137143</v>
      </c>
      <c r="M1041" s="317">
        <f>M$1120*1000000*hypo!M99/M1087</f>
        <v>0</v>
      </c>
      <c r="N1041" s="317">
        <f>N$1120*1000000*hypo!N99/N1087</f>
        <v>0</v>
      </c>
      <c r="O1041" s="317">
        <f>O$1120*1000000*hypo!O99/O1087</f>
        <v>0</v>
      </c>
      <c r="P1041" s="317">
        <f>P$1120*1000000*hypo!P99/P1087</f>
        <v>1950.3268035678466</v>
      </c>
      <c r="Q1041" s="317">
        <f>Q$1120*1000000*hypo!Q99/Q1087</f>
        <v>0</v>
      </c>
      <c r="R1041" s="317">
        <f>R$1120*1000000*hypo!R99/R1087</f>
        <v>1672.4692086376276</v>
      </c>
      <c r="S1041" s="317">
        <f>S$1120*1000000*hypo!S99/S1087</f>
        <v>38494.929086596771</v>
      </c>
      <c r="T1041" s="317">
        <f>T$1120*1000000*hypo!T99/T1087</f>
        <v>55631.098252313132</v>
      </c>
      <c r="U1041" s="317">
        <f>U$1120*1000000*hypo!U99/U1087</f>
        <v>0</v>
      </c>
      <c r="V1041" s="317">
        <f>V$1120*1000000*hypo!V99/V1087</f>
        <v>17804.571930478778</v>
      </c>
      <c r="W1041" s="317">
        <f>W$1120*1000000*hypo!W99/W1087</f>
        <v>885.66472674695808</v>
      </c>
      <c r="X1041" s="317">
        <f>X$1120*1000000*hypo!X99/X1087</f>
        <v>3527.8169719054235</v>
      </c>
      <c r="Y1041" s="317">
        <f>Y$1120*1000000*hypo!Y99/Y1087</f>
        <v>5416.9396944800746</v>
      </c>
      <c r="Z1041" s="317">
        <f>Z$1120*1000000*hypo!Z99/Z1087</f>
        <v>20215.333956209601</v>
      </c>
      <c r="AA1041" s="317">
        <f>AA$1120*1000000*hypo!AA99/AA1087</f>
        <v>40949.227815298364</v>
      </c>
      <c r="AB1041" s="317">
        <f>AB$1120*1000000*hypo!AB99/AB1087</f>
        <v>17082.892271921781</v>
      </c>
      <c r="AC1041" s="317">
        <f>AC$1120*1000000*hypo!AC99/AC1087</f>
        <v>44743.287682272006</v>
      </c>
      <c r="AD1041" s="317">
        <f>AD$1120*1000000*hypo!AD99/AD1087</f>
        <v>0</v>
      </c>
      <c r="AE1041" s="317">
        <f>AE$1120*1000000*hypo!AE99/AE1087</f>
        <v>2071.1458745957034</v>
      </c>
      <c r="AF1041" s="317">
        <f>AF$1120*1000000*hypo!AF99/AF1087</f>
        <v>0</v>
      </c>
      <c r="AG1041" s="317">
        <f>AG$1120*1000000*hypo!AG99/AG1087</f>
        <v>11811.958222172814</v>
      </c>
      <c r="AH1041" s="317">
        <f>AH$1120*1000000*hypo!AH99/AH1087</f>
        <v>941.69779379498004</v>
      </c>
      <c r="AI1041" s="317">
        <f>AI$1120*1000000*hypo!AI99/AI1087</f>
        <v>0</v>
      </c>
      <c r="AJ1041" s="317">
        <f>AJ$1120*1000000*hypo!AJ99/AJ1087</f>
        <v>0</v>
      </c>
      <c r="AK1041" s="317">
        <f>AK$1120*1000000*hypo!AK99/AK1087</f>
        <v>0</v>
      </c>
      <c r="AL1041" s="317">
        <f>AL$1120*1000000*hypo!AL99/AL1087</f>
        <v>0</v>
      </c>
      <c r="AM1041" s="317">
        <f>AM$1120*1000000*hypo!AM99/AM1087</f>
        <v>0</v>
      </c>
    </row>
    <row r="1042" spans="1:39" x14ac:dyDescent="0.2">
      <c r="A1042" s="8"/>
      <c r="B1042" s="76"/>
      <c r="C1042" s="75"/>
      <c r="D1042" s="76"/>
      <c r="E1042" s="24"/>
      <c r="F1042" s="317"/>
      <c r="G1042" s="317"/>
      <c r="H1042" s="317"/>
      <c r="I1042" s="317"/>
      <c r="J1042" s="317"/>
      <c r="K1042" s="317"/>
      <c r="L1042" s="317"/>
      <c r="M1042" s="317"/>
      <c r="N1042" s="317"/>
      <c r="O1042" s="317"/>
      <c r="P1042" s="317"/>
      <c r="Q1042" s="317"/>
      <c r="R1042" s="317"/>
      <c r="S1042" s="317"/>
      <c r="T1042" s="317"/>
      <c r="U1042" s="317"/>
      <c r="V1042" s="317"/>
      <c r="W1042" s="317"/>
      <c r="X1042" s="317"/>
      <c r="Y1042" s="317"/>
      <c r="Z1042" s="317"/>
      <c r="AA1042" s="317"/>
      <c r="AB1042" s="317"/>
      <c r="AC1042" s="317"/>
      <c r="AD1042" s="317"/>
      <c r="AE1042" s="317"/>
      <c r="AF1042" s="317"/>
      <c r="AG1042" s="317"/>
      <c r="AH1042" s="317"/>
      <c r="AI1042" s="317"/>
      <c r="AJ1042" s="317"/>
      <c r="AK1042" s="317"/>
      <c r="AL1042" s="317"/>
      <c r="AM1042" s="317"/>
    </row>
    <row r="1043" spans="1:39" x14ac:dyDescent="0.2">
      <c r="A1043" s="8"/>
      <c r="B1043" s="181" t="s">
        <v>489</v>
      </c>
      <c r="C1043" s="75" t="s">
        <v>471</v>
      </c>
      <c r="D1043" s="76" t="s">
        <v>723</v>
      </c>
      <c r="E1043" s="24"/>
      <c r="F1043" s="317">
        <f>F$1120*1000000*hypo!F101/F1089</f>
        <v>0</v>
      </c>
      <c r="G1043" s="317">
        <f>G$1120*1000000*hypo!G101/G1089</f>
        <v>0</v>
      </c>
      <c r="H1043" s="317">
        <f>H$1120*1000000*hypo!H101/H1089</f>
        <v>0</v>
      </c>
      <c r="I1043" s="317">
        <f>I$1120*1000000*hypo!I101/I1089</f>
        <v>0</v>
      </c>
      <c r="J1043" s="317">
        <f>J$1120*1000000*hypo!J101/J1089</f>
        <v>18355.691131236792</v>
      </c>
      <c r="K1043" s="317">
        <f>K$1120*1000000*hypo!K101/K1089</f>
        <v>11844.660014628911</v>
      </c>
      <c r="L1043" s="317">
        <f>L$1120*1000000*hypo!L101/L1089</f>
        <v>7006.6033675086319</v>
      </c>
      <c r="M1043" s="317">
        <f>M$1120*1000000*hypo!M101/M1089</f>
        <v>0</v>
      </c>
      <c r="N1043" s="317">
        <f>N$1120*1000000*hypo!N101/N1089</f>
        <v>0</v>
      </c>
      <c r="O1043" s="317">
        <f>O$1120*1000000*hypo!O101/O1089</f>
        <v>0</v>
      </c>
      <c r="P1043" s="317">
        <f>P$1120*1000000*hypo!P101/P1089</f>
        <v>115845.58598745227</v>
      </c>
      <c r="Q1043" s="317">
        <f>Q$1120*1000000*hypo!Q101/Q1089</f>
        <v>0</v>
      </c>
      <c r="R1043" s="317">
        <f>R$1120*1000000*hypo!R101/R1089</f>
        <v>11075.08187036348</v>
      </c>
      <c r="S1043" s="317">
        <f>S$1120*1000000*hypo!S101/S1089</f>
        <v>54386.598342187324</v>
      </c>
      <c r="T1043" s="317">
        <f>T$1120*1000000*hypo!T101/T1089</f>
        <v>110262.68836240366</v>
      </c>
      <c r="U1043" s="317">
        <f>U$1120*1000000*hypo!U101/U1089</f>
        <v>0</v>
      </c>
      <c r="V1043" s="317">
        <f>V$1120*1000000*hypo!V101/V1089</f>
        <v>380004.51669179916</v>
      </c>
      <c r="W1043" s="317">
        <f>W$1120*1000000*hypo!W101/W1089</f>
        <v>8244.9493355405739</v>
      </c>
      <c r="X1043" s="317">
        <f>X$1120*1000000*hypo!X101/X1089</f>
        <v>20667.05123035557</v>
      </c>
      <c r="Y1043" s="317">
        <f>Y$1120*1000000*hypo!Y101/Y1089</f>
        <v>14397.578371701118</v>
      </c>
      <c r="Z1043" s="317">
        <f>Z$1120*1000000*hypo!Z101/Z1089</f>
        <v>414260.88340677111</v>
      </c>
      <c r="AA1043" s="317">
        <f>AA$1120*1000000*hypo!AA101/AA1089</f>
        <v>103423.41032527231</v>
      </c>
      <c r="AB1043" s="317">
        <f>AB$1120*1000000*hypo!AB101/AB1089</f>
        <v>545835.23771388596</v>
      </c>
      <c r="AC1043" s="317">
        <f>AC$1120*1000000*hypo!AC101/AC1089</f>
        <v>517069.46113555785</v>
      </c>
      <c r="AD1043" s="317">
        <f>AD$1120*1000000*hypo!AD101/AD1089</f>
        <v>0</v>
      </c>
      <c r="AE1043" s="317">
        <f>AE$1120*1000000*hypo!AE101/AE1089</f>
        <v>358336.34306775971</v>
      </c>
      <c r="AF1043" s="317">
        <f>AF$1120*1000000*hypo!AF101/AF1089</f>
        <v>0</v>
      </c>
      <c r="AG1043" s="317">
        <f>AG$1120*1000000*hypo!AG101/AG1089</f>
        <v>146426.66430163739</v>
      </c>
      <c r="AH1043" s="317">
        <f>AH$1120*1000000*hypo!AH101/AH1089</f>
        <v>23363.045642409947</v>
      </c>
      <c r="AI1043" s="317">
        <f>AI$1120*1000000*hypo!AI101/AI1089</f>
        <v>0</v>
      </c>
      <c r="AJ1043" s="317">
        <f>AJ$1120*1000000*hypo!AJ101/AJ1089</f>
        <v>0</v>
      </c>
      <c r="AK1043" s="317">
        <f>AK$1120*1000000*hypo!AK101/AK1089</f>
        <v>0</v>
      </c>
      <c r="AL1043" s="317">
        <f>AL$1120*1000000*hypo!AL101/AL1089</f>
        <v>0</v>
      </c>
      <c r="AM1043" s="317">
        <f>AM$1120*1000000*hypo!AM101/AM1089</f>
        <v>0</v>
      </c>
    </row>
    <row r="1044" spans="1:39" x14ac:dyDescent="0.2">
      <c r="A1044" s="8"/>
      <c r="B1044" s="181" t="s">
        <v>490</v>
      </c>
      <c r="C1044" s="75" t="s">
        <v>471</v>
      </c>
      <c r="D1044" s="76" t="s">
        <v>723</v>
      </c>
      <c r="E1044" s="24"/>
      <c r="F1044" s="317">
        <f>F$1120*1000000*hypo!F102/F1090</f>
        <v>0</v>
      </c>
      <c r="G1044" s="317">
        <f>G$1120*1000000*hypo!G102/G1090</f>
        <v>0</v>
      </c>
      <c r="H1044" s="317">
        <f>H$1120*1000000*hypo!H102/H1090</f>
        <v>0</v>
      </c>
      <c r="I1044" s="317">
        <f>I$1120*1000000*hypo!I102/I1090</f>
        <v>0</v>
      </c>
      <c r="J1044" s="317">
        <f>J$1120*1000000*hypo!J102/J1090</f>
        <v>95965.880284633255</v>
      </c>
      <c r="K1044" s="317">
        <f>K$1120*1000000*hypo!K102/K1090</f>
        <v>76196.263241193257</v>
      </c>
      <c r="L1044" s="317">
        <f>L$1120*1000000*hypo!L102/L1090</f>
        <v>59722.05527925412</v>
      </c>
      <c r="M1044" s="317">
        <f>M$1120*1000000*hypo!M102/M1090</f>
        <v>0</v>
      </c>
      <c r="N1044" s="317">
        <f>N$1120*1000000*hypo!N102/N1090</f>
        <v>0</v>
      </c>
      <c r="O1044" s="317">
        <f>O$1120*1000000*hypo!O102/O1090</f>
        <v>0</v>
      </c>
      <c r="P1044" s="317">
        <f>P$1120*1000000*hypo!P102/P1090</f>
        <v>623190.83342759754</v>
      </c>
      <c r="Q1044" s="317">
        <f>Q$1120*1000000*hypo!Q102/Q1090</f>
        <v>0</v>
      </c>
      <c r="R1044" s="317">
        <f>R$1120*1000000*hypo!R102/R1090</f>
        <v>61795.880424997551</v>
      </c>
      <c r="S1044" s="317">
        <f>S$1120*1000000*hypo!S102/S1090</f>
        <v>291100.35711484181</v>
      </c>
      <c r="T1044" s="317">
        <f>T$1120*1000000*hypo!T102/T1090</f>
        <v>529251.20575220149</v>
      </c>
      <c r="U1044" s="317">
        <f>U$1120*1000000*hypo!U102/U1090</f>
        <v>0</v>
      </c>
      <c r="V1044" s="317">
        <f>V$1120*1000000*hypo!V102/V1090</f>
        <v>1969137.0486770901</v>
      </c>
      <c r="W1044" s="317">
        <f>W$1120*1000000*hypo!W102/W1090</f>
        <v>58849.210887516463</v>
      </c>
      <c r="X1044" s="317">
        <f>X$1120*1000000*hypo!X102/X1090</f>
        <v>117159.64565417951</v>
      </c>
      <c r="Y1044" s="317">
        <f>Y$1120*1000000*hypo!Y102/Y1090</f>
        <v>89653.555127433036</v>
      </c>
      <c r="Z1044" s="317">
        <f>Z$1120*1000000*hypo!Z102/Z1090</f>
        <v>2399347.502691159</v>
      </c>
      <c r="AA1044" s="317">
        <f>AA$1120*1000000*hypo!AA102/AA1090</f>
        <v>661286.55929636792</v>
      </c>
      <c r="AB1044" s="317">
        <f>AB$1120*1000000*hypo!AB102/AB1090</f>
        <v>1858597.1790662329</v>
      </c>
      <c r="AC1044" s="317">
        <f>AC$1120*1000000*hypo!AC102/AC1090</f>
        <v>2356727.6285685208</v>
      </c>
      <c r="AD1044" s="317">
        <f>AD$1120*1000000*hypo!AD102/AD1090</f>
        <v>0</v>
      </c>
      <c r="AE1044" s="317">
        <f>AE$1120*1000000*hypo!AE102/AE1090</f>
        <v>1557986.8849275482</v>
      </c>
      <c r="AF1044" s="317">
        <f>AF$1120*1000000*hypo!AF102/AF1090</f>
        <v>0</v>
      </c>
      <c r="AG1044" s="317">
        <f>AG$1120*1000000*hypo!AG102/AG1090</f>
        <v>788799.38977076742</v>
      </c>
      <c r="AH1044" s="317">
        <f>AH$1120*1000000*hypo!AH102/AH1090</f>
        <v>149677.25439815648</v>
      </c>
      <c r="AI1044" s="317">
        <f>AI$1120*1000000*hypo!AI102/AI1090</f>
        <v>0</v>
      </c>
      <c r="AJ1044" s="317">
        <f>AJ$1120*1000000*hypo!AJ102/AJ1090</f>
        <v>0</v>
      </c>
      <c r="AK1044" s="317">
        <f>AK$1120*1000000*hypo!AK102/AK1090</f>
        <v>0</v>
      </c>
      <c r="AL1044" s="317">
        <f>AL$1120*1000000*hypo!AL102/AL1090</f>
        <v>0</v>
      </c>
      <c r="AM1044" s="317">
        <f>AM$1120*1000000*hypo!AM102/AM1090</f>
        <v>0</v>
      </c>
    </row>
    <row r="1045" spans="1:39" x14ac:dyDescent="0.2">
      <c r="A1045" s="8"/>
      <c r="B1045" s="181" t="s">
        <v>491</v>
      </c>
      <c r="C1045" s="75" t="s">
        <v>471</v>
      </c>
      <c r="D1045" s="76" t="s">
        <v>723</v>
      </c>
      <c r="E1045" s="24"/>
      <c r="F1045" s="317">
        <f>F$1120*1000000*hypo!F103/F1091</f>
        <v>0</v>
      </c>
      <c r="G1045" s="317">
        <f>G$1120*1000000*hypo!G103/G1091</f>
        <v>0</v>
      </c>
      <c r="H1045" s="317">
        <f>H$1120*1000000*hypo!H103/H1091</f>
        <v>0</v>
      </c>
      <c r="I1045" s="317">
        <f>I$1120*1000000*hypo!I103/I1091</f>
        <v>0</v>
      </c>
      <c r="J1045" s="317">
        <f>J$1120*1000000*hypo!J103/J1091</f>
        <v>33179.464824815965</v>
      </c>
      <c r="K1045" s="317">
        <f>K$1120*1000000*hypo!K103/K1091</f>
        <v>22742.62379867139</v>
      </c>
      <c r="L1045" s="317">
        <f>L$1120*1000000*hypo!L103/L1091</f>
        <v>8654.3292459949789</v>
      </c>
      <c r="M1045" s="317">
        <f>M$1120*1000000*hypo!M103/M1091</f>
        <v>0</v>
      </c>
      <c r="N1045" s="317">
        <f>N$1120*1000000*hypo!N103/N1091</f>
        <v>0</v>
      </c>
      <c r="O1045" s="317">
        <f>O$1120*1000000*hypo!O103/O1091</f>
        <v>0</v>
      </c>
      <c r="P1045" s="317">
        <f>P$1120*1000000*hypo!P103/P1091</f>
        <v>187717.69624324807</v>
      </c>
      <c r="Q1045" s="317">
        <f>Q$1120*1000000*hypo!Q103/Q1091</f>
        <v>0</v>
      </c>
      <c r="R1045" s="317">
        <f>R$1120*1000000*hypo!R103/R1091</f>
        <v>17563.014255730177</v>
      </c>
      <c r="S1045" s="317">
        <f>S$1120*1000000*hypo!S103/S1091</f>
        <v>75784.306349850245</v>
      </c>
      <c r="T1045" s="317">
        <f>T$1120*1000000*hypo!T103/T1091</f>
        <v>171513.42782928798</v>
      </c>
      <c r="U1045" s="317">
        <f>U$1120*1000000*hypo!U103/U1091</f>
        <v>0</v>
      </c>
      <c r="V1045" s="317">
        <f>V$1120*1000000*hypo!V103/V1091</f>
        <v>558104.4084984489</v>
      </c>
      <c r="W1045" s="317">
        <f>W$1120*1000000*hypo!W103/W1091</f>
        <v>11008.80375838299</v>
      </c>
      <c r="X1045" s="317">
        <f>X$1120*1000000*hypo!X103/X1091</f>
        <v>27755.483770037612</v>
      </c>
      <c r="Y1045" s="317">
        <f>Y$1120*1000000*hypo!Y103/Y1091</f>
        <v>24245.379614220779</v>
      </c>
      <c r="Z1045" s="317">
        <f>Z$1120*1000000*hypo!Z103/Z1091</f>
        <v>891213.11948813766</v>
      </c>
      <c r="AA1045" s="317">
        <f>AA$1120*1000000*hypo!AA103/AA1091</f>
        <v>167982.02397165395</v>
      </c>
      <c r="AB1045" s="317">
        <f>AB$1120*1000000*hypo!AB103/AB1091</f>
        <v>523400.98914368782</v>
      </c>
      <c r="AC1045" s="317">
        <f>AC$1120*1000000*hypo!AC103/AC1091</f>
        <v>812760.52333409281</v>
      </c>
      <c r="AD1045" s="317">
        <f>AD$1120*1000000*hypo!AD103/AD1091</f>
        <v>0</v>
      </c>
      <c r="AE1045" s="317">
        <f>AE$1120*1000000*hypo!AE103/AE1091</f>
        <v>240598.95717097062</v>
      </c>
      <c r="AF1045" s="317">
        <f>AF$1120*1000000*hypo!AF103/AF1091</f>
        <v>0</v>
      </c>
      <c r="AG1045" s="317">
        <f>AG$1120*1000000*hypo!AG103/AG1091</f>
        <v>265517.79695597262</v>
      </c>
      <c r="AH1045" s="317">
        <f>AH$1120*1000000*hypo!AH103/AH1091</f>
        <v>31799.248732562588</v>
      </c>
      <c r="AI1045" s="317">
        <f>AI$1120*1000000*hypo!AI103/AI1091</f>
        <v>0</v>
      </c>
      <c r="AJ1045" s="317">
        <f>AJ$1120*1000000*hypo!AJ103/AJ1091</f>
        <v>0</v>
      </c>
      <c r="AK1045" s="317">
        <f>AK$1120*1000000*hypo!AK103/AK1091</f>
        <v>0</v>
      </c>
      <c r="AL1045" s="317">
        <f>AL$1120*1000000*hypo!AL103/AL1091</f>
        <v>0</v>
      </c>
      <c r="AM1045" s="317">
        <f>AM$1120*1000000*hypo!AM103/AM1091</f>
        <v>0</v>
      </c>
    </row>
    <row r="1046" spans="1:39" x14ac:dyDescent="0.2">
      <c r="A1046" s="8"/>
      <c r="B1046" s="182"/>
      <c r="C1046" s="75"/>
      <c r="D1046" s="76"/>
      <c r="E1046" s="24"/>
      <c r="F1046" s="317"/>
      <c r="G1046" s="317"/>
      <c r="H1046" s="317"/>
      <c r="I1046" s="317"/>
      <c r="J1046" s="317"/>
      <c r="K1046" s="317"/>
      <c r="L1046" s="317"/>
      <c r="M1046" s="317"/>
      <c r="N1046" s="317"/>
      <c r="O1046" s="317"/>
      <c r="P1046" s="317"/>
      <c r="Q1046" s="317"/>
      <c r="R1046" s="317"/>
      <c r="S1046" s="317"/>
      <c r="T1046" s="317"/>
      <c r="U1046" s="317"/>
      <c r="V1046" s="317"/>
      <c r="W1046" s="317"/>
      <c r="X1046" s="317"/>
      <c r="Y1046" s="317"/>
      <c r="Z1046" s="317"/>
      <c r="AA1046" s="317"/>
      <c r="AB1046" s="317"/>
      <c r="AC1046" s="317"/>
      <c r="AD1046" s="317"/>
      <c r="AE1046" s="317"/>
      <c r="AF1046" s="317"/>
      <c r="AG1046" s="317"/>
      <c r="AH1046" s="317"/>
      <c r="AI1046" s="317"/>
      <c r="AJ1046" s="317"/>
      <c r="AK1046" s="317"/>
      <c r="AL1046" s="317"/>
      <c r="AM1046" s="317"/>
    </row>
    <row r="1047" spans="1:39" x14ac:dyDescent="0.2">
      <c r="A1047" s="8"/>
      <c r="B1047" s="76" t="s">
        <v>492</v>
      </c>
      <c r="C1047" s="75" t="s">
        <v>471</v>
      </c>
      <c r="D1047" s="76" t="s">
        <v>723</v>
      </c>
      <c r="E1047" s="24"/>
      <c r="F1047" s="317">
        <f>F$1120*1000000*hypo!F105/F1093</f>
        <v>0</v>
      </c>
      <c r="G1047" s="317">
        <f>G$1120*1000000*hypo!G105/G1093</f>
        <v>0</v>
      </c>
      <c r="H1047" s="317">
        <f>H$1120*1000000*hypo!H105/H1093</f>
        <v>0</v>
      </c>
      <c r="I1047" s="317">
        <f>I$1120*1000000*hypo!I105/I1093</f>
        <v>0</v>
      </c>
      <c r="J1047" s="317">
        <f>J$1120*1000000*hypo!J105/J1093</f>
        <v>152973.77638926147</v>
      </c>
      <c r="K1047" s="317">
        <f>K$1120*1000000*hypo!K105/K1093</f>
        <v>71625.312884021492</v>
      </c>
      <c r="L1047" s="317">
        <f>L$1120*1000000*hypo!L105/L1093</f>
        <v>222561.93321381533</v>
      </c>
      <c r="M1047" s="317">
        <f>M$1120*1000000*hypo!M105/M1093</f>
        <v>0</v>
      </c>
      <c r="N1047" s="317">
        <f>N$1120*1000000*hypo!N105/N1093</f>
        <v>0</v>
      </c>
      <c r="O1047" s="317">
        <f>O$1120*1000000*hypo!O105/O1093</f>
        <v>0</v>
      </c>
      <c r="P1047" s="317">
        <f>P$1120*1000000*hypo!P105/P1093</f>
        <v>128939.05514263878</v>
      </c>
      <c r="Q1047" s="317">
        <f>Q$1120*1000000*hypo!Q105/Q1093</f>
        <v>0</v>
      </c>
      <c r="R1047" s="317">
        <f>R$1120*1000000*hypo!R105/R1093</f>
        <v>4017248.1858040392</v>
      </c>
      <c r="S1047" s="317">
        <f>S$1120*1000000*hypo!S105/S1093</f>
        <v>440223.43549301219</v>
      </c>
      <c r="T1047" s="317">
        <f>T$1120*1000000*hypo!T105/T1093</f>
        <v>1109385.1282728855</v>
      </c>
      <c r="U1047" s="317">
        <f>U$1120*1000000*hypo!U105/U1093</f>
        <v>0</v>
      </c>
      <c r="V1047" s="317">
        <f>V$1120*1000000*hypo!V105/V1093</f>
        <v>356380.11125648418</v>
      </c>
      <c r="W1047" s="317">
        <f>W$1120*1000000*hypo!W105/W1093</f>
        <v>52009.275852848048</v>
      </c>
      <c r="X1047" s="317">
        <f>X$1120*1000000*hypo!X105/X1093</f>
        <v>7882.1585597648873</v>
      </c>
      <c r="Y1047" s="317">
        <f>Y$1120*1000000*hypo!Y105/Y1093</f>
        <v>149919.46918992951</v>
      </c>
      <c r="Z1047" s="317">
        <f>Z$1120*1000000*hypo!Z105/Z1093</f>
        <v>19590.433860028945</v>
      </c>
      <c r="AA1047" s="317">
        <f>AA$1120*1000000*hypo!AA105/AA1093</f>
        <v>75460.157238951986</v>
      </c>
      <c r="AB1047" s="317">
        <f>AB$1120*1000000*hypo!AB105/AB1093</f>
        <v>171143.2746375298</v>
      </c>
      <c r="AC1047" s="317">
        <f>AC$1120*1000000*hypo!AC105/AC1093</f>
        <v>313656.43540975195</v>
      </c>
      <c r="AD1047" s="317">
        <f>AD$1120*1000000*hypo!AD105/AD1093</f>
        <v>0</v>
      </c>
      <c r="AE1047" s="317">
        <f>AE$1120*1000000*hypo!AE105/AE1093</f>
        <v>212185.32391116669</v>
      </c>
      <c r="AF1047" s="317">
        <f>AF$1120*1000000*hypo!AF105/AF1093</f>
        <v>0</v>
      </c>
      <c r="AG1047" s="317">
        <f>AG$1120*1000000*hypo!AG105/AG1093</f>
        <v>150395.44074100524</v>
      </c>
      <c r="AH1047" s="317">
        <f>AH$1120*1000000*hypo!AH105/AH1093</f>
        <v>76365.444668898301</v>
      </c>
      <c r="AI1047" s="317">
        <f>AI$1120*1000000*hypo!AI105/AI1093</f>
        <v>0</v>
      </c>
      <c r="AJ1047" s="317">
        <f>AJ$1120*1000000*hypo!AJ105/AJ1093</f>
        <v>0</v>
      </c>
      <c r="AK1047" s="317">
        <f>AK$1120*1000000*hypo!AK105/AK1093</f>
        <v>0</v>
      </c>
      <c r="AL1047" s="317">
        <f>AL$1120*1000000*hypo!AL105/AL1093</f>
        <v>0</v>
      </c>
      <c r="AM1047" s="317">
        <f>AM$1120*1000000*hypo!AM105/AM1093</f>
        <v>0</v>
      </c>
    </row>
    <row r="1048" spans="1:39" x14ac:dyDescent="0.2">
      <c r="A1048" s="8"/>
      <c r="B1048" s="76" t="s">
        <v>493</v>
      </c>
      <c r="C1048" s="75" t="s">
        <v>471</v>
      </c>
      <c r="D1048" s="76" t="s">
        <v>723</v>
      </c>
      <c r="E1048" s="24"/>
      <c r="F1048" s="317">
        <f>F$1120*1000000*hypo!F106/F1094</f>
        <v>0</v>
      </c>
      <c r="G1048" s="317">
        <f>G$1120*1000000*hypo!G106/G1094</f>
        <v>0</v>
      </c>
      <c r="H1048" s="317">
        <f>H$1120*1000000*hypo!H106/H1094</f>
        <v>0</v>
      </c>
      <c r="I1048" s="317">
        <f>I$1120*1000000*hypo!I106/I1094</f>
        <v>0</v>
      </c>
      <c r="J1048" s="317">
        <f>J$1120*1000000*hypo!J106/J1094</f>
        <v>56161.32346561148</v>
      </c>
      <c r="K1048" s="317">
        <f>K$1120*1000000*hypo!K106/K1094</f>
        <v>45207.301674705312</v>
      </c>
      <c r="L1048" s="317">
        <f>L$1120*1000000*hypo!L106/L1094</f>
        <v>82158.071171851247</v>
      </c>
      <c r="M1048" s="317">
        <f>M$1120*1000000*hypo!M106/M1094</f>
        <v>0</v>
      </c>
      <c r="N1048" s="317">
        <f>N$1120*1000000*hypo!N106/N1094</f>
        <v>0</v>
      </c>
      <c r="O1048" s="317">
        <f>O$1120*1000000*hypo!O106/O1094</f>
        <v>0</v>
      </c>
      <c r="P1048" s="317">
        <f>P$1120*1000000*hypo!P106/P1094</f>
        <v>101326.37457421099</v>
      </c>
      <c r="Q1048" s="317">
        <f>Q$1120*1000000*hypo!Q106/Q1094</f>
        <v>0</v>
      </c>
      <c r="R1048" s="317">
        <f>R$1120*1000000*hypo!R106/R1094</f>
        <v>1625472.6261055912</v>
      </c>
      <c r="S1048" s="317">
        <f>S$1120*1000000*hypo!S106/S1094</f>
        <v>189324.7168886117</v>
      </c>
      <c r="T1048" s="317">
        <f>T$1120*1000000*hypo!T106/T1094</f>
        <v>450911.84399417293</v>
      </c>
      <c r="U1048" s="317">
        <f>U$1120*1000000*hypo!U106/U1094</f>
        <v>0</v>
      </c>
      <c r="V1048" s="317">
        <f>V$1120*1000000*hypo!V106/V1094</f>
        <v>154571.58690546005</v>
      </c>
      <c r="W1048" s="317">
        <f>W$1120*1000000*hypo!W106/W1094</f>
        <v>46454.742007991634</v>
      </c>
      <c r="X1048" s="317">
        <f>X$1120*1000000*hypo!X106/X1094</f>
        <v>6775.7525923766743</v>
      </c>
      <c r="Y1048" s="317">
        <f>Y$1120*1000000*hypo!Y106/Y1094</f>
        <v>77326.531504839426</v>
      </c>
      <c r="Z1048" s="317">
        <f>Z$1120*1000000*hypo!Z106/Z1094</f>
        <v>37227.594531406758</v>
      </c>
      <c r="AA1048" s="317">
        <f>AA$1120*1000000*hypo!AA106/AA1094</f>
        <v>58501.575522565552</v>
      </c>
      <c r="AB1048" s="317">
        <f>AB$1120*1000000*hypo!AB106/AB1094</f>
        <v>63178.138071310896</v>
      </c>
      <c r="AC1048" s="317">
        <f>AC$1120*1000000*hypo!AC106/AC1094</f>
        <v>157981.07587885787</v>
      </c>
      <c r="AD1048" s="317">
        <f>AD$1120*1000000*hypo!AD106/AD1094</f>
        <v>0</v>
      </c>
      <c r="AE1048" s="317">
        <f>AE$1120*1000000*hypo!AE106/AE1094</f>
        <v>124610.64129419604</v>
      </c>
      <c r="AF1048" s="317">
        <f>AF$1120*1000000*hypo!AF106/AF1094</f>
        <v>0</v>
      </c>
      <c r="AG1048" s="317">
        <f>AG$1120*1000000*hypo!AG106/AG1094</f>
        <v>73553.775879388893</v>
      </c>
      <c r="AH1048" s="317">
        <f>AH$1120*1000000*hypo!AH106/AH1094</f>
        <v>29670.141366019514</v>
      </c>
      <c r="AI1048" s="317">
        <f>AI$1120*1000000*hypo!AI106/AI1094</f>
        <v>0</v>
      </c>
      <c r="AJ1048" s="317">
        <f>AJ$1120*1000000*hypo!AJ106/AJ1094</f>
        <v>0</v>
      </c>
      <c r="AK1048" s="317">
        <f>AK$1120*1000000*hypo!AK106/AK1094</f>
        <v>0</v>
      </c>
      <c r="AL1048" s="317">
        <f>AL$1120*1000000*hypo!AL106/AL1094</f>
        <v>0</v>
      </c>
      <c r="AM1048" s="317">
        <f>AM$1120*1000000*hypo!AM106/AM1094</f>
        <v>0</v>
      </c>
    </row>
    <row r="1049" spans="1:39" x14ac:dyDescent="0.2">
      <c r="A1049" s="8"/>
      <c r="B1049" s="76" t="s">
        <v>494</v>
      </c>
      <c r="C1049" s="75" t="s">
        <v>471</v>
      </c>
      <c r="D1049" s="76" t="s">
        <v>723</v>
      </c>
      <c r="E1049" s="24"/>
      <c r="F1049" s="317">
        <f>F$1120*1000000*hypo!F107/F1095</f>
        <v>0</v>
      </c>
      <c r="G1049" s="317">
        <f>G$1120*1000000*hypo!G107/G1095</f>
        <v>0</v>
      </c>
      <c r="H1049" s="317">
        <f>H$1120*1000000*hypo!H107/H1095</f>
        <v>0</v>
      </c>
      <c r="I1049" s="317">
        <f>I$1120*1000000*hypo!I107/I1095</f>
        <v>0</v>
      </c>
      <c r="J1049" s="317">
        <f>J$1120*1000000*hypo!J107/J1095</f>
        <v>32402.912272088335</v>
      </c>
      <c r="K1049" s="317">
        <f>K$1120*1000000*hypo!K107/K1095</f>
        <v>19908.74414854787</v>
      </c>
      <c r="L1049" s="317">
        <f>L$1120*1000000*hypo!L107/L1095</f>
        <v>48936.233866263523</v>
      </c>
      <c r="M1049" s="317">
        <f>M$1120*1000000*hypo!M107/M1095</f>
        <v>0</v>
      </c>
      <c r="N1049" s="317">
        <f>N$1120*1000000*hypo!N107/N1095</f>
        <v>0</v>
      </c>
      <c r="O1049" s="317">
        <f>O$1120*1000000*hypo!O107/O1095</f>
        <v>0</v>
      </c>
      <c r="P1049" s="317">
        <f>P$1120*1000000*hypo!P107/P1095</f>
        <v>42290.475601473889</v>
      </c>
      <c r="Q1049" s="317">
        <f>Q$1120*1000000*hypo!Q107/Q1095</f>
        <v>0</v>
      </c>
      <c r="R1049" s="317">
        <f>R$1120*1000000*hypo!R107/R1095</f>
        <v>823622.85483893752</v>
      </c>
      <c r="S1049" s="317">
        <f>S$1120*1000000*hypo!S107/S1095</f>
        <v>95997.025298312627</v>
      </c>
      <c r="T1049" s="317">
        <f>T$1120*1000000*hypo!T107/T1095</f>
        <v>259876.90236637084</v>
      </c>
      <c r="U1049" s="317">
        <f>U$1120*1000000*hypo!U107/U1095</f>
        <v>0</v>
      </c>
      <c r="V1049" s="317">
        <f>V$1120*1000000*hypo!V107/V1095</f>
        <v>86577.67617793614</v>
      </c>
      <c r="W1049" s="317">
        <f>W$1120*1000000*hypo!W107/W1095</f>
        <v>10656.120982389417</v>
      </c>
      <c r="X1049" s="317">
        <f>X$1120*1000000*hypo!X107/X1095</f>
        <v>3464.8436678327348</v>
      </c>
      <c r="Y1049" s="317">
        <f>Y$1120*1000000*hypo!Y107/Y1095</f>
        <v>39008.497782882638</v>
      </c>
      <c r="Z1049" s="317">
        <f>Z$1120*1000000*hypo!Z107/Z1095</f>
        <v>7910.0811781767552</v>
      </c>
      <c r="AA1049" s="317">
        <f>AA$1120*1000000*hypo!AA107/AA1095</f>
        <v>8943.9908731614632</v>
      </c>
      <c r="AB1049" s="317">
        <f>AB$1120*1000000*hypo!AB107/AB1095</f>
        <v>39862.151774687038</v>
      </c>
      <c r="AC1049" s="317">
        <f>AC$1120*1000000*hypo!AC107/AC1095</f>
        <v>93688.581793075966</v>
      </c>
      <c r="AD1049" s="317">
        <f>AD$1120*1000000*hypo!AD107/AD1095</f>
        <v>0</v>
      </c>
      <c r="AE1049" s="317">
        <f>AE$1120*1000000*hypo!AE107/AE1095</f>
        <v>55857.352823050795</v>
      </c>
      <c r="AF1049" s="317">
        <f>AF$1120*1000000*hypo!AF107/AF1095</f>
        <v>0</v>
      </c>
      <c r="AG1049" s="317">
        <f>AG$1120*1000000*hypo!AG107/AG1095</f>
        <v>41062.279405909976</v>
      </c>
      <c r="AH1049" s="317">
        <f>AH$1120*1000000*hypo!AH107/AH1095</f>
        <v>15975.410167982491</v>
      </c>
      <c r="AI1049" s="317">
        <f>AI$1120*1000000*hypo!AI107/AI1095</f>
        <v>0</v>
      </c>
      <c r="AJ1049" s="317">
        <f>AJ$1120*1000000*hypo!AJ107/AJ1095</f>
        <v>0</v>
      </c>
      <c r="AK1049" s="317">
        <f>AK$1120*1000000*hypo!AK107/AK1095</f>
        <v>0</v>
      </c>
      <c r="AL1049" s="317">
        <f>AL$1120*1000000*hypo!AL107/AL1095</f>
        <v>0</v>
      </c>
      <c r="AM1049" s="317">
        <f>AM$1120*1000000*hypo!AM107/AM1095</f>
        <v>0</v>
      </c>
    </row>
    <row r="1050" spans="1:39" x14ac:dyDescent="0.2">
      <c r="A1050" s="8"/>
      <c r="B1050" s="76" t="s">
        <v>495</v>
      </c>
      <c r="C1050" s="75" t="s">
        <v>471</v>
      </c>
      <c r="D1050" s="76" t="s">
        <v>723</v>
      </c>
      <c r="E1050" s="24"/>
      <c r="F1050" s="317">
        <f>F$1120*1000000*hypo!F108/F1096</f>
        <v>0</v>
      </c>
      <c r="G1050" s="317">
        <f>G$1120*1000000*hypo!G108/G1096</f>
        <v>0</v>
      </c>
      <c r="H1050" s="317">
        <f>H$1120*1000000*hypo!H108/H1096</f>
        <v>0</v>
      </c>
      <c r="I1050" s="317">
        <f>I$1120*1000000*hypo!I108/I1096</f>
        <v>0</v>
      </c>
      <c r="J1050" s="317">
        <f>J$1120*1000000*hypo!J108/J1096</f>
        <v>707.27736097351419</v>
      </c>
      <c r="K1050" s="317">
        <f>K$1120*1000000*hypo!K108/K1096</f>
        <v>251.2835673778813</v>
      </c>
      <c r="L1050" s="317">
        <f>L$1120*1000000*hypo!L108/L1096</f>
        <v>641.5673660658681</v>
      </c>
      <c r="M1050" s="317">
        <f>M$1120*1000000*hypo!M108/M1096</f>
        <v>0</v>
      </c>
      <c r="N1050" s="317">
        <f>N$1120*1000000*hypo!N108/N1096</f>
        <v>0</v>
      </c>
      <c r="O1050" s="317">
        <f>O$1120*1000000*hypo!O108/O1096</f>
        <v>0</v>
      </c>
      <c r="P1050" s="317">
        <f>P$1120*1000000*hypo!P108/P1096</f>
        <v>1980.0297672773211</v>
      </c>
      <c r="Q1050" s="317">
        <f>Q$1120*1000000*hypo!Q108/Q1096</f>
        <v>0</v>
      </c>
      <c r="R1050" s="317">
        <f>R$1120*1000000*hypo!R108/R1096</f>
        <v>9983.1754851683163</v>
      </c>
      <c r="S1050" s="317">
        <f>S$1120*1000000*hypo!S108/S1096</f>
        <v>1140.037900376982</v>
      </c>
      <c r="T1050" s="317">
        <f>T$1120*1000000*hypo!T108/T1096</f>
        <v>5565.7258376048294</v>
      </c>
      <c r="U1050" s="317">
        <f>U$1120*1000000*hypo!U108/U1096</f>
        <v>0</v>
      </c>
      <c r="V1050" s="317">
        <f>V$1120*1000000*hypo!V108/V1096</f>
        <v>2603.9905347108484</v>
      </c>
      <c r="W1050" s="317">
        <f>W$1120*1000000*hypo!W108/W1096</f>
        <v>489.44629636016089</v>
      </c>
      <c r="X1050" s="317">
        <f>X$1120*1000000*hypo!X108/X1096</f>
        <v>47.229978054516636</v>
      </c>
      <c r="Y1050" s="317">
        <f>Y$1120*1000000*hypo!Y108/Y1096</f>
        <v>639.38060705504165</v>
      </c>
      <c r="Z1050" s="317">
        <f>Z$1120*1000000*hypo!Z108/Z1096</f>
        <v>238.17410345588871</v>
      </c>
      <c r="AA1050" s="317">
        <f>AA$1120*1000000*hypo!AA108/AA1096</f>
        <v>339.3841400507809</v>
      </c>
      <c r="AB1050" s="317">
        <f>AB$1120*1000000*hypo!AB108/AB1096</f>
        <v>840.98840368155106</v>
      </c>
      <c r="AC1050" s="317">
        <f>AC$1120*1000000*hypo!AC108/AC1096</f>
        <v>2314.6949941785006</v>
      </c>
      <c r="AD1050" s="317">
        <f>AD$1120*1000000*hypo!AD108/AD1096</f>
        <v>0</v>
      </c>
      <c r="AE1050" s="317">
        <f>AE$1120*1000000*hypo!AE108/AE1096</f>
        <v>1427.4549320350366</v>
      </c>
      <c r="AF1050" s="317">
        <f>AF$1120*1000000*hypo!AF108/AF1096</f>
        <v>0</v>
      </c>
      <c r="AG1050" s="317">
        <f>AG$1120*1000000*hypo!AG108/AG1096</f>
        <v>1659.515721942307</v>
      </c>
      <c r="AH1050" s="317">
        <f>AH$1120*1000000*hypo!AH108/AH1096</f>
        <v>534.34910965103393</v>
      </c>
      <c r="AI1050" s="317">
        <f>AI$1120*1000000*hypo!AI108/AI1096</f>
        <v>0</v>
      </c>
      <c r="AJ1050" s="317">
        <f>AJ$1120*1000000*hypo!AJ108/AJ1096</f>
        <v>0</v>
      </c>
      <c r="AK1050" s="317">
        <f>AK$1120*1000000*hypo!AK108/AK1096</f>
        <v>0</v>
      </c>
      <c r="AL1050" s="317">
        <f>AL$1120*1000000*hypo!AL108/AL1096</f>
        <v>0</v>
      </c>
      <c r="AM1050" s="317">
        <f>AM$1120*1000000*hypo!AM108/AM1096</f>
        <v>0</v>
      </c>
    </row>
    <row r="1051" spans="1:39" x14ac:dyDescent="0.2">
      <c r="A1051" s="8"/>
      <c r="B1051" s="76" t="s">
        <v>496</v>
      </c>
      <c r="C1051" s="75" t="s">
        <v>471</v>
      </c>
      <c r="D1051" s="76" t="s">
        <v>723</v>
      </c>
      <c r="E1051" s="24"/>
      <c r="F1051" s="317">
        <f>F$1120*1000000*hypo!F109/F1097</f>
        <v>0</v>
      </c>
      <c r="G1051" s="317">
        <f>G$1120*1000000*hypo!G109/G1097</f>
        <v>0</v>
      </c>
      <c r="H1051" s="317">
        <f>H$1120*1000000*hypo!H109/H1097</f>
        <v>0</v>
      </c>
      <c r="I1051" s="317">
        <f>I$1120*1000000*hypo!I109/I1097</f>
        <v>0</v>
      </c>
      <c r="J1051" s="317">
        <f>J$1120*1000000*hypo!J109/J1097</f>
        <v>170139.12605358343</v>
      </c>
      <c r="K1051" s="317">
        <f>K$1120*1000000*hypo!K109/K1097</f>
        <v>75825.912169505522</v>
      </c>
      <c r="L1051" s="317">
        <f>L$1120*1000000*hypo!L109/L1097</f>
        <v>223683.26296045253</v>
      </c>
      <c r="M1051" s="317">
        <f>M$1120*1000000*hypo!M109/M1097</f>
        <v>0</v>
      </c>
      <c r="N1051" s="317">
        <f>N$1120*1000000*hypo!N109/N1097</f>
        <v>0</v>
      </c>
      <c r="O1051" s="317">
        <f>O$1120*1000000*hypo!O109/O1097</f>
        <v>0</v>
      </c>
      <c r="P1051" s="317">
        <f>P$1120*1000000*hypo!P109/P1097</f>
        <v>150307.56861125966</v>
      </c>
      <c r="Q1051" s="317">
        <f>Q$1120*1000000*hypo!Q109/Q1097</f>
        <v>0</v>
      </c>
      <c r="R1051" s="317">
        <f>R$1120*1000000*hypo!R109/R1097</f>
        <v>4312626.9918535827</v>
      </c>
      <c r="S1051" s="317">
        <f>S$1120*1000000*hypo!S109/S1097</f>
        <v>450667.40686223761</v>
      </c>
      <c r="T1051" s="317">
        <f>T$1120*1000000*hypo!T109/T1097</f>
        <v>1182608.271685295</v>
      </c>
      <c r="U1051" s="317">
        <f>U$1120*1000000*hypo!U109/U1097</f>
        <v>0</v>
      </c>
      <c r="V1051" s="317">
        <f>V$1120*1000000*hypo!V109/V1097</f>
        <v>415681.56170235085</v>
      </c>
      <c r="W1051" s="317">
        <f>W$1120*1000000*hypo!W109/W1097</f>
        <v>112205.45350204571</v>
      </c>
      <c r="X1051" s="317">
        <f>X$1120*1000000*hypo!X109/X1097</f>
        <v>41705.819880584648</v>
      </c>
      <c r="Y1051" s="317">
        <f>Y$1120*1000000*hypo!Y109/Y1097</f>
        <v>180170.08565181462</v>
      </c>
      <c r="Z1051" s="317">
        <f>Z$1120*1000000*hypo!Z109/Z1097</f>
        <v>37122.01219688508</v>
      </c>
      <c r="AA1051" s="317">
        <f>AA$1120*1000000*hypo!AA109/AA1097</f>
        <v>174106.56391338061</v>
      </c>
      <c r="AB1051" s="317">
        <f>AB$1120*1000000*hypo!AB109/AB1097</f>
        <v>218684.15117236602</v>
      </c>
      <c r="AC1051" s="317">
        <f>AC$1120*1000000*hypo!AC109/AC1097</f>
        <v>469758.28063584981</v>
      </c>
      <c r="AD1051" s="317">
        <f>AD$1120*1000000*hypo!AD109/AD1097</f>
        <v>0</v>
      </c>
      <c r="AE1051" s="317">
        <f>AE$1120*1000000*hypo!AE109/AE1097</f>
        <v>322175.84093374503</v>
      </c>
      <c r="AF1051" s="317">
        <f>AF$1120*1000000*hypo!AF109/AF1097</f>
        <v>0</v>
      </c>
      <c r="AG1051" s="317">
        <f>AG$1120*1000000*hypo!AG109/AG1097</f>
        <v>163890.97931458271</v>
      </c>
      <c r="AH1051" s="317">
        <f>AH$1120*1000000*hypo!AH109/AH1097</f>
        <v>84386.010002845927</v>
      </c>
      <c r="AI1051" s="317">
        <f>AI$1120*1000000*hypo!AI109/AI1097</f>
        <v>0</v>
      </c>
      <c r="AJ1051" s="317">
        <f>AJ$1120*1000000*hypo!AJ109/AJ1097</f>
        <v>0</v>
      </c>
      <c r="AK1051" s="317">
        <f>AK$1120*1000000*hypo!AK109/AK1097</f>
        <v>0</v>
      </c>
      <c r="AL1051" s="317">
        <f>AL$1120*1000000*hypo!AL109/AL1097</f>
        <v>0</v>
      </c>
      <c r="AM1051" s="317">
        <f>AM$1120*1000000*hypo!AM109/AM1097</f>
        <v>0</v>
      </c>
    </row>
    <row r="1052" spans="1:39" x14ac:dyDescent="0.2">
      <c r="A1052" s="12"/>
      <c r="B1052" s="12"/>
      <c r="C1052" s="75"/>
      <c r="D1052" s="76"/>
      <c r="E1052" s="24"/>
      <c r="F1052" s="317"/>
      <c r="G1052" s="317"/>
      <c r="H1052" s="317"/>
      <c r="I1052" s="317"/>
      <c r="J1052" s="317"/>
      <c r="K1052" s="317"/>
      <c r="L1052" s="317"/>
      <c r="M1052" s="317"/>
      <c r="N1052" s="317"/>
      <c r="O1052" s="317"/>
      <c r="P1052" s="317"/>
      <c r="Q1052" s="317"/>
      <c r="R1052" s="317"/>
      <c r="S1052" s="317"/>
      <c r="T1052" s="317"/>
      <c r="U1052" s="317"/>
      <c r="V1052" s="317"/>
      <c r="W1052" s="317"/>
      <c r="X1052" s="317"/>
      <c r="Y1052" s="317"/>
      <c r="Z1052" s="317"/>
      <c r="AA1052" s="317"/>
      <c r="AB1052" s="317"/>
      <c r="AC1052" s="317"/>
      <c r="AD1052" s="317"/>
      <c r="AE1052" s="317"/>
      <c r="AF1052" s="317"/>
      <c r="AG1052" s="317"/>
      <c r="AH1052" s="317"/>
      <c r="AI1052" s="317"/>
      <c r="AJ1052" s="317"/>
      <c r="AK1052" s="317"/>
      <c r="AL1052" s="317"/>
      <c r="AM1052" s="317"/>
    </row>
    <row r="1053" spans="1:39" x14ac:dyDescent="0.2">
      <c r="A1053" s="12"/>
      <c r="B1053" s="181" t="s">
        <v>497</v>
      </c>
      <c r="C1053" s="75" t="s">
        <v>471</v>
      </c>
      <c r="D1053" s="76" t="s">
        <v>723</v>
      </c>
      <c r="E1053" s="24"/>
      <c r="F1053" s="317">
        <f>F$1120*1000000*hypo!F111/F1099</f>
        <v>0</v>
      </c>
      <c r="G1053" s="317">
        <f>G$1120*1000000*hypo!G111/G1099</f>
        <v>0</v>
      </c>
      <c r="H1053" s="317">
        <f>H$1120*1000000*hypo!H111/H1099</f>
        <v>0</v>
      </c>
      <c r="I1053" s="317">
        <f>I$1120*1000000*hypo!I111/I1099</f>
        <v>0</v>
      </c>
      <c r="J1053" s="317">
        <f>J$1120*1000000*hypo!J111/J1099</f>
        <v>186194.14575000707</v>
      </c>
      <c r="K1053" s="317">
        <f>K$1120*1000000*hypo!K111/K1099</f>
        <v>205431.00318456956</v>
      </c>
      <c r="L1053" s="317">
        <f>L$1120*1000000*hypo!L111/L1099</f>
        <v>69975.707813826753</v>
      </c>
      <c r="M1053" s="317">
        <f>M$1120*1000000*hypo!M111/M1099</f>
        <v>0</v>
      </c>
      <c r="N1053" s="317">
        <f>N$1120*1000000*hypo!N111/N1099</f>
        <v>0</v>
      </c>
      <c r="O1053" s="317">
        <f>O$1120*1000000*hypo!O111/O1099</f>
        <v>0</v>
      </c>
      <c r="P1053" s="317">
        <f>P$1120*1000000*hypo!P111/P1099</f>
        <v>220796.05822492775</v>
      </c>
      <c r="Q1053" s="317">
        <f>Q$1120*1000000*hypo!Q111/Q1099</f>
        <v>0</v>
      </c>
      <c r="R1053" s="317">
        <f>R$1120*1000000*hypo!R111/R1099</f>
        <v>5116323.9387134658</v>
      </c>
      <c r="S1053" s="317">
        <f>S$1120*1000000*hypo!S111/S1099</f>
        <v>2189915.2211530269</v>
      </c>
      <c r="T1053" s="317">
        <f>T$1120*1000000*hypo!T111/T1099</f>
        <v>4173282.4570714887</v>
      </c>
      <c r="U1053" s="317">
        <f>U$1120*1000000*hypo!U111/U1099</f>
        <v>0</v>
      </c>
      <c r="V1053" s="317">
        <f>V$1120*1000000*hypo!V111/V1099</f>
        <v>527668.10196510551</v>
      </c>
      <c r="W1053" s="317">
        <f>W$1120*1000000*hypo!W111/W1099</f>
        <v>87076.765297980091</v>
      </c>
      <c r="X1053" s="317">
        <f>X$1120*1000000*hypo!X111/X1099</f>
        <v>96360.149585333274</v>
      </c>
      <c r="Y1053" s="317">
        <f>Y$1120*1000000*hypo!Y111/Y1099</f>
        <v>119255.73408808047</v>
      </c>
      <c r="Z1053" s="317">
        <f>Z$1120*1000000*hypo!Z111/Z1099</f>
        <v>5804.6471623305606</v>
      </c>
      <c r="AA1053" s="317">
        <f>AA$1120*1000000*hypo!AA111/AA1099</f>
        <v>272774.60297938349</v>
      </c>
      <c r="AB1053" s="317">
        <f>AB$1120*1000000*hypo!AB111/AB1099</f>
        <v>80661.587886297406</v>
      </c>
      <c r="AC1053" s="317">
        <f>AC$1120*1000000*hypo!AC111/AC1099</f>
        <v>497651.25324627868</v>
      </c>
      <c r="AD1053" s="317">
        <f>AD$1120*1000000*hypo!AD111/AD1099</f>
        <v>0</v>
      </c>
      <c r="AE1053" s="317">
        <f>AE$1120*1000000*hypo!AE111/AE1099</f>
        <v>95563.236815881653</v>
      </c>
      <c r="AF1053" s="317">
        <f>AF$1120*1000000*hypo!AF111/AF1099</f>
        <v>0</v>
      </c>
      <c r="AG1053" s="317">
        <f>AG$1120*1000000*hypo!AG111/AG1099</f>
        <v>243649.68450098697</v>
      </c>
      <c r="AH1053" s="317">
        <f>AH$1120*1000000*hypo!AH111/AH1099</f>
        <v>65414.372982892637</v>
      </c>
      <c r="AI1053" s="317">
        <f>AI$1120*1000000*hypo!AI111/AI1099</f>
        <v>0</v>
      </c>
      <c r="AJ1053" s="317">
        <f>AJ$1120*1000000*hypo!AJ111/AJ1099</f>
        <v>0</v>
      </c>
      <c r="AK1053" s="317">
        <f>AK$1120*1000000*hypo!AK111/AK1099</f>
        <v>0</v>
      </c>
      <c r="AL1053" s="317">
        <f>AL$1120*1000000*hypo!AL111/AL1099</f>
        <v>0</v>
      </c>
      <c r="AM1053" s="317">
        <f>AM$1120*1000000*hypo!AM111/AM1099</f>
        <v>0</v>
      </c>
    </row>
    <row r="1054" spans="1:39" x14ac:dyDescent="0.2">
      <c r="A1054" s="12"/>
      <c r="B1054" s="181" t="s">
        <v>498</v>
      </c>
      <c r="C1054" s="75" t="s">
        <v>471</v>
      </c>
      <c r="D1054" s="76" t="s">
        <v>723</v>
      </c>
      <c r="E1054" s="24"/>
      <c r="F1054" s="317">
        <f>F$1120*1000000*hypo!F112/F1100</f>
        <v>0</v>
      </c>
      <c r="G1054" s="317">
        <f>G$1120*1000000*hypo!G112/G1100</f>
        <v>0</v>
      </c>
      <c r="H1054" s="317">
        <f>H$1120*1000000*hypo!H112/H1100</f>
        <v>0</v>
      </c>
      <c r="I1054" s="317">
        <f>I$1120*1000000*hypo!I112/I1100</f>
        <v>0</v>
      </c>
      <c r="J1054" s="317">
        <f>J$1120*1000000*hypo!J112/J1100</f>
        <v>1624390.9452579839</v>
      </c>
      <c r="K1054" s="317">
        <f>K$1120*1000000*hypo!K112/K1100</f>
        <v>566454.31486286921</v>
      </c>
      <c r="L1054" s="317">
        <f>L$1120*1000000*hypo!L112/L1100</f>
        <v>610480.5588969182</v>
      </c>
      <c r="M1054" s="317">
        <f>M$1120*1000000*hypo!M112/M1100</f>
        <v>0</v>
      </c>
      <c r="N1054" s="317">
        <f>N$1120*1000000*hypo!N112/N1100</f>
        <v>0</v>
      </c>
      <c r="O1054" s="317">
        <f>O$1120*1000000*hypo!O112/O1100</f>
        <v>0</v>
      </c>
      <c r="P1054" s="317">
        <f>P$1120*1000000*hypo!P112/P1100</f>
        <v>1598685.9041639788</v>
      </c>
      <c r="Q1054" s="317">
        <f>Q$1120*1000000*hypo!Q112/Q1100</f>
        <v>0</v>
      </c>
      <c r="R1054" s="317">
        <f>R$1120*1000000*hypo!R112/R1100</f>
        <v>24324061.706227303</v>
      </c>
      <c r="S1054" s="317">
        <f>S$1120*1000000*hypo!S112/S1100</f>
        <v>5177225.0283642383</v>
      </c>
      <c r="T1054" s="317">
        <f>T$1120*1000000*hypo!T112/T1100</f>
        <v>7993848.4592565242</v>
      </c>
      <c r="U1054" s="317">
        <f>U$1120*1000000*hypo!U112/U1100</f>
        <v>0</v>
      </c>
      <c r="V1054" s="317">
        <f>V$1120*1000000*hypo!V112/V1100</f>
        <v>3858722.1706889626</v>
      </c>
      <c r="W1054" s="317">
        <f>W$1120*1000000*hypo!W112/W1100</f>
        <v>475329.93334276928</v>
      </c>
      <c r="X1054" s="317">
        <f>X$1120*1000000*hypo!X112/X1100</f>
        <v>2212692.3789874357</v>
      </c>
      <c r="Y1054" s="317">
        <f>Y$1120*1000000*hypo!Y112/Y1100</f>
        <v>2738437.570954245</v>
      </c>
      <c r="Z1054" s="317">
        <f>Z$1120*1000000*hypo!Z112/Z1100</f>
        <v>2067099.3505854947</v>
      </c>
      <c r="AA1054" s="317">
        <f>AA$1120*1000000*hypo!AA112/AA1100</f>
        <v>6263650.3553713094</v>
      </c>
      <c r="AB1054" s="317">
        <f>AB$1120*1000000*hypo!AB112/AB1100</f>
        <v>924425.0339736524</v>
      </c>
      <c r="AC1054" s="317">
        <f>AC$1120*1000000*hypo!AC112/AC1100</f>
        <v>4701836.8704712652</v>
      </c>
      <c r="AD1054" s="317">
        <f>AD$1120*1000000*hypo!AD112/AD1100</f>
        <v>0</v>
      </c>
      <c r="AE1054" s="317">
        <f>AE$1120*1000000*hypo!AE112/AE1100</f>
        <v>847877.42973884707</v>
      </c>
      <c r="AF1054" s="317">
        <f>AF$1120*1000000*hypo!AF112/AF1100</f>
        <v>0</v>
      </c>
      <c r="AG1054" s="317">
        <f>AG$1120*1000000*hypo!AG112/AG1100</f>
        <v>1454998.1439897222</v>
      </c>
      <c r="AH1054" s="317">
        <f>AH$1120*1000000*hypo!AH112/AH1100</f>
        <v>484219.74706460838</v>
      </c>
      <c r="AI1054" s="317">
        <f>AI$1120*1000000*hypo!AI112/AI1100</f>
        <v>0</v>
      </c>
      <c r="AJ1054" s="317">
        <f>AJ$1120*1000000*hypo!AJ112/AJ1100</f>
        <v>0</v>
      </c>
      <c r="AK1054" s="317">
        <f>AK$1120*1000000*hypo!AK112/AK1100</f>
        <v>0</v>
      </c>
      <c r="AL1054" s="317">
        <f>AL$1120*1000000*hypo!AL112/AL1100</f>
        <v>0</v>
      </c>
      <c r="AM1054" s="317">
        <f>AM$1120*1000000*hypo!AM112/AM1100</f>
        <v>0</v>
      </c>
    </row>
    <row r="1055" spans="1:39" x14ac:dyDescent="0.2">
      <c r="A1055" s="12"/>
      <c r="B1055" s="181" t="s">
        <v>499</v>
      </c>
      <c r="C1055" s="75" t="s">
        <v>471</v>
      </c>
      <c r="D1055" s="76" t="s">
        <v>723</v>
      </c>
      <c r="E1055" s="24"/>
      <c r="F1055" s="317">
        <f>F$1120*1000000*hypo!F113/F1101</f>
        <v>0</v>
      </c>
      <c r="G1055" s="317">
        <f>G$1120*1000000*hypo!G113/G1101</f>
        <v>0</v>
      </c>
      <c r="H1055" s="317">
        <f>H$1120*1000000*hypo!H113/H1101</f>
        <v>0</v>
      </c>
      <c r="I1055" s="317">
        <f>I$1120*1000000*hypo!I113/I1101</f>
        <v>0</v>
      </c>
      <c r="J1055" s="317">
        <f>J$1120*1000000*hypo!J113/J1101</f>
        <v>1030186.8580581376</v>
      </c>
      <c r="K1055" s="317">
        <f>K$1120*1000000*hypo!K113/K1101</f>
        <v>234105.32067792927</v>
      </c>
      <c r="L1055" s="317">
        <f>L$1120*1000000*hypo!L113/L1101</f>
        <v>387166.06412485836</v>
      </c>
      <c r="M1055" s="317">
        <f>M$1120*1000000*hypo!M113/M1101</f>
        <v>0</v>
      </c>
      <c r="N1055" s="317">
        <f>N$1120*1000000*hypo!N113/N1101</f>
        <v>0</v>
      </c>
      <c r="O1055" s="317">
        <f>O$1120*1000000*hypo!O113/O1101</f>
        <v>0</v>
      </c>
      <c r="P1055" s="317">
        <f>P$1120*1000000*hypo!P113/P1101</f>
        <v>1599371.6844560709</v>
      </c>
      <c r="Q1055" s="317">
        <f>Q$1120*1000000*hypo!Q113/Q1101</f>
        <v>0</v>
      </c>
      <c r="R1055" s="317">
        <f>R$1120*1000000*hypo!R113/R1101</f>
        <v>14946843.161788391</v>
      </c>
      <c r="S1055" s="317">
        <f>S$1120*1000000*hypo!S113/S1101</f>
        <v>2655062.0187721848</v>
      </c>
      <c r="T1055" s="317">
        <f>T$1120*1000000*hypo!T113/T1101</f>
        <v>4624503.367637489</v>
      </c>
      <c r="U1055" s="317">
        <f>U$1120*1000000*hypo!U113/U1101</f>
        <v>0</v>
      </c>
      <c r="V1055" s="317">
        <f>V$1120*1000000*hypo!V113/V1101</f>
        <v>1364830.0634238638</v>
      </c>
      <c r="W1055" s="317">
        <f>W$1120*1000000*hypo!W113/W1101</f>
        <v>74144.572431943438</v>
      </c>
      <c r="X1055" s="317">
        <f>X$1120*1000000*hypo!X113/X1101</f>
        <v>813375.42413955252</v>
      </c>
      <c r="Y1055" s="317">
        <f>Y$1120*1000000*hypo!Y113/Y1101</f>
        <v>1006636.9107186419</v>
      </c>
      <c r="Z1055" s="317">
        <f>Z$1120*1000000*hypo!Z113/Z1101</f>
        <v>234765.72967648038</v>
      </c>
      <c r="AA1055" s="317">
        <f>AA$1120*1000000*hypo!AA113/AA1101</f>
        <v>2302488.7294967836</v>
      </c>
      <c r="AB1055" s="317">
        <f>AB$1120*1000000*hypo!AB113/AB1101</f>
        <v>268182.24795401422</v>
      </c>
      <c r="AC1055" s="317">
        <f>AC$1120*1000000*hypo!AC113/AC1101</f>
        <v>1086084.8651326429</v>
      </c>
      <c r="AD1055" s="317">
        <f>AD$1120*1000000*hypo!AD113/AD1101</f>
        <v>0</v>
      </c>
      <c r="AE1055" s="317">
        <f>AE$1120*1000000*hypo!AE113/AE1101</f>
        <v>177333.84151400722</v>
      </c>
      <c r="AF1055" s="317">
        <f>AF$1120*1000000*hypo!AF113/AF1101</f>
        <v>0</v>
      </c>
      <c r="AG1055" s="317">
        <f>AG$1120*1000000*hypo!AG113/AG1101</f>
        <v>369029.19479319354</v>
      </c>
      <c r="AH1055" s="317">
        <f>AH$1120*1000000*hypo!AH113/AH1101</f>
        <v>2236931.780088373</v>
      </c>
      <c r="AI1055" s="317">
        <f>AI$1120*1000000*hypo!AI113/AI1101</f>
        <v>0</v>
      </c>
      <c r="AJ1055" s="317">
        <f>AJ$1120*1000000*hypo!AJ113/AJ1101</f>
        <v>0</v>
      </c>
      <c r="AK1055" s="317">
        <f>AK$1120*1000000*hypo!AK113/AK1101</f>
        <v>0</v>
      </c>
      <c r="AL1055" s="317">
        <f>AL$1120*1000000*hypo!AL113/AL1101</f>
        <v>0</v>
      </c>
      <c r="AM1055" s="317">
        <f>AM$1120*1000000*hypo!AM113/AM1101</f>
        <v>0</v>
      </c>
    </row>
    <row r="1056" spans="1:39" x14ac:dyDescent="0.2">
      <c r="A1056" s="12"/>
      <c r="B1056" s="181" t="s">
        <v>500</v>
      </c>
      <c r="C1056" s="75" t="s">
        <v>471</v>
      </c>
      <c r="D1056" s="76" t="s">
        <v>723</v>
      </c>
      <c r="E1056" s="24"/>
      <c r="F1056" s="317">
        <f>F$1120*1000000*hypo!F114/F1102</f>
        <v>0</v>
      </c>
      <c r="G1056" s="317">
        <f>G$1120*1000000*hypo!G114/G1102</f>
        <v>0</v>
      </c>
      <c r="H1056" s="317">
        <f>H$1120*1000000*hypo!H114/H1102</f>
        <v>0</v>
      </c>
      <c r="I1056" s="317">
        <f>I$1120*1000000*hypo!I114/I1102</f>
        <v>0</v>
      </c>
      <c r="J1056" s="317">
        <f>J$1120*1000000*hypo!J114/J1102</f>
        <v>5082969.0563373398</v>
      </c>
      <c r="K1056" s="317">
        <f>K$1120*1000000*hypo!K114/K1102</f>
        <v>2227653.108311506</v>
      </c>
      <c r="L1056" s="317">
        <f>L$1120*1000000*hypo!L114/L1102</f>
        <v>1910287.5446499961</v>
      </c>
      <c r="M1056" s="317">
        <f>M$1120*1000000*hypo!M114/M1102</f>
        <v>0</v>
      </c>
      <c r="N1056" s="317">
        <f>N$1120*1000000*hypo!N114/N1102</f>
        <v>0</v>
      </c>
      <c r="O1056" s="317">
        <f>O$1120*1000000*hypo!O114/O1102</f>
        <v>0</v>
      </c>
      <c r="P1056" s="317">
        <f>P$1120*1000000*hypo!P114/P1102</f>
        <v>1584880.1497396599</v>
      </c>
      <c r="Q1056" s="317">
        <f>Q$1120*1000000*hypo!Q114/Q1102</f>
        <v>0</v>
      </c>
      <c r="R1056" s="317">
        <f>R$1120*1000000*hypo!R114/R1102</f>
        <v>60885045.511408798</v>
      </c>
      <c r="S1056" s="317">
        <f>S$1120*1000000*hypo!S114/S1102</f>
        <v>27121845.372962017</v>
      </c>
      <c r="T1056" s="317">
        <f>T$1120*1000000*hypo!T114/T1102</f>
        <v>48306036.347276919</v>
      </c>
      <c r="U1056" s="317">
        <f>U$1120*1000000*hypo!U114/U1102</f>
        <v>0</v>
      </c>
      <c r="V1056" s="317">
        <f>V$1120*1000000*hypo!V114/V1102</f>
        <v>15970171.966874672</v>
      </c>
      <c r="W1056" s="317">
        <f>W$1120*1000000*hypo!W114/W1102</f>
        <v>534818.02052653767</v>
      </c>
      <c r="X1056" s="317">
        <f>X$1120*1000000*hypo!X114/X1102</f>
        <v>3251364.1599658113</v>
      </c>
      <c r="Y1056" s="317">
        <f>Y$1120*1000000*hypo!Y114/Y1102</f>
        <v>4023902.2184271836</v>
      </c>
      <c r="Z1056" s="317">
        <f>Z$1120*1000000*hypo!Z114/Z1102</f>
        <v>2394094.4740634486</v>
      </c>
      <c r="AA1056" s="317">
        <f>AA$1120*1000000*hypo!AA114/AA1102</f>
        <v>9203904.0172999259</v>
      </c>
      <c r="AB1056" s="317">
        <f>AB$1120*1000000*hypo!AB114/AB1102</f>
        <v>3507068.7036826215</v>
      </c>
      <c r="AC1056" s="317">
        <f>AC$1120*1000000*hypo!AC114/AC1102</f>
        <v>18713313.445515893</v>
      </c>
      <c r="AD1056" s="317">
        <f>AD$1120*1000000*hypo!AD114/AD1102</f>
        <v>0</v>
      </c>
      <c r="AE1056" s="317">
        <f>AE$1120*1000000*hypo!AE114/AE1102</f>
        <v>3432887.6153086564</v>
      </c>
      <c r="AF1056" s="317">
        <f>AF$1120*1000000*hypo!AF114/AF1102</f>
        <v>0</v>
      </c>
      <c r="AG1056" s="317">
        <f>AG$1120*1000000*hypo!AG114/AG1102</f>
        <v>7605831.5743619418</v>
      </c>
      <c r="AH1056" s="317">
        <f>AH$1120*1000000*hypo!AH114/AH1102</f>
        <v>2423909.0931420713</v>
      </c>
      <c r="AI1056" s="317">
        <f>AI$1120*1000000*hypo!AI114/AI1102</f>
        <v>0</v>
      </c>
      <c r="AJ1056" s="317">
        <f>AJ$1120*1000000*hypo!AJ114/AJ1102</f>
        <v>0</v>
      </c>
      <c r="AK1056" s="317">
        <f>AK$1120*1000000*hypo!AK114/AK1102</f>
        <v>0</v>
      </c>
      <c r="AL1056" s="317">
        <f>AL$1120*1000000*hypo!AL114/AL1102</f>
        <v>0</v>
      </c>
      <c r="AM1056" s="317">
        <f>AM$1120*1000000*hypo!AM114/AM1102</f>
        <v>0</v>
      </c>
    </row>
    <row r="1057" spans="1:39" x14ac:dyDescent="0.2">
      <c r="A1057" s="12"/>
      <c r="B1057" s="181" t="s">
        <v>501</v>
      </c>
      <c r="C1057" s="75" t="s">
        <v>471</v>
      </c>
      <c r="D1057" s="76" t="s">
        <v>723</v>
      </c>
      <c r="E1057" s="24"/>
      <c r="F1057" s="317">
        <f>F$1120*1000000*hypo!F115/F1103</f>
        <v>0</v>
      </c>
      <c r="G1057" s="317">
        <f>G$1120*1000000*hypo!G115/G1103</f>
        <v>0</v>
      </c>
      <c r="H1057" s="317">
        <f>H$1120*1000000*hypo!H115/H1103</f>
        <v>0</v>
      </c>
      <c r="I1057" s="317">
        <f>I$1120*1000000*hypo!I115/I1103</f>
        <v>0</v>
      </c>
      <c r="J1057" s="317">
        <f>J$1120*1000000*hypo!J115/J1103</f>
        <v>19231.32021831059</v>
      </c>
      <c r="K1057" s="317">
        <f>K$1120*1000000*hypo!K115/K1103</f>
        <v>26830.968511643692</v>
      </c>
      <c r="L1057" s="317">
        <f>L$1120*1000000*hypo!L115/L1103</f>
        <v>7227.5378962637969</v>
      </c>
      <c r="M1057" s="317">
        <f>M$1120*1000000*hypo!M115/M1103</f>
        <v>0</v>
      </c>
      <c r="N1057" s="317">
        <f>N$1120*1000000*hypo!N115/N1103</f>
        <v>0</v>
      </c>
      <c r="O1057" s="317">
        <f>O$1120*1000000*hypo!O115/O1103</f>
        <v>0</v>
      </c>
      <c r="P1057" s="317">
        <f>P$1120*1000000*hypo!P115/P1103</f>
        <v>34580.906084474336</v>
      </c>
      <c r="Q1057" s="317">
        <f>Q$1120*1000000*hypo!Q115/Q1103</f>
        <v>0</v>
      </c>
      <c r="R1057" s="317">
        <f>R$1120*1000000*hypo!R115/R1103</f>
        <v>882442.8908718538</v>
      </c>
      <c r="S1057" s="317">
        <f>S$1120*1000000*hypo!S115/S1103</f>
        <v>2108192.1193937045</v>
      </c>
      <c r="T1057" s="317">
        <f>T$1120*1000000*hypo!T115/T1103</f>
        <v>3115841.6647572378</v>
      </c>
      <c r="U1057" s="317">
        <f>U$1120*1000000*hypo!U115/U1103</f>
        <v>0</v>
      </c>
      <c r="V1057" s="317">
        <f>V$1120*1000000*hypo!V115/V1103</f>
        <v>352682.16944838397</v>
      </c>
      <c r="W1057" s="317">
        <f>W$1120*1000000*hypo!W115/W1103</f>
        <v>8908.8439743807976</v>
      </c>
      <c r="X1057" s="317">
        <f>X$1120*1000000*hypo!X115/X1103</f>
        <v>13423.729800263824</v>
      </c>
      <c r="Y1057" s="317">
        <f>Y$1120*1000000*hypo!Y115/Y1103</f>
        <v>16613.26552957288</v>
      </c>
      <c r="Z1057" s="317">
        <f>Z$1120*1000000*hypo!Z115/Z1103</f>
        <v>15479.059099548158</v>
      </c>
      <c r="AA1057" s="317">
        <f>AA$1120*1000000*hypo!AA115/AA1103</f>
        <v>37999.656315672779</v>
      </c>
      <c r="AB1057" s="317">
        <f>AB$1120*1000000*hypo!AB115/AB1103</f>
        <v>1581110.353046075</v>
      </c>
      <c r="AC1057" s="317">
        <f>AC$1120*1000000*hypo!AC115/AC1103</f>
        <v>10873870.707918236</v>
      </c>
      <c r="AD1057" s="317">
        <f>AD$1120*1000000*hypo!AD115/AD1103</f>
        <v>0</v>
      </c>
      <c r="AE1057" s="317">
        <f>AE$1120*1000000*hypo!AE115/AE1103</f>
        <v>2149557.085852081</v>
      </c>
      <c r="AF1057" s="317">
        <f>AF$1120*1000000*hypo!AF115/AF1103</f>
        <v>0</v>
      </c>
      <c r="AG1057" s="317">
        <f>AG$1120*1000000*hypo!AG115/AG1103</f>
        <v>4842110.864107958</v>
      </c>
      <c r="AH1057" s="317">
        <f>AH$1120*1000000*hypo!AH115/AH1103</f>
        <v>5943677.9933840455</v>
      </c>
      <c r="AI1057" s="317">
        <f>AI$1120*1000000*hypo!AI115/AI1103</f>
        <v>0</v>
      </c>
      <c r="AJ1057" s="317">
        <f>AJ$1120*1000000*hypo!AJ115/AJ1103</f>
        <v>0</v>
      </c>
      <c r="AK1057" s="317">
        <f>AK$1120*1000000*hypo!AK115/AK1103</f>
        <v>0</v>
      </c>
      <c r="AL1057" s="317">
        <f>AL$1120*1000000*hypo!AL115/AL1103</f>
        <v>0</v>
      </c>
      <c r="AM1057" s="317">
        <f>AM$1120*1000000*hypo!AM115/AM1103</f>
        <v>0</v>
      </c>
    </row>
    <row r="1058" spans="1:39" x14ac:dyDescent="0.2">
      <c r="A1058" s="12"/>
      <c r="B1058" s="181" t="s">
        <v>502</v>
      </c>
      <c r="C1058" s="75" t="s">
        <v>471</v>
      </c>
      <c r="D1058" s="76" t="s">
        <v>723</v>
      </c>
      <c r="E1058" s="24"/>
      <c r="F1058" s="317">
        <f>F$1120*1000000*hypo!F116/F1104</f>
        <v>0</v>
      </c>
      <c r="G1058" s="317">
        <f>G$1120*1000000*hypo!G116/G1104</f>
        <v>0</v>
      </c>
      <c r="H1058" s="317">
        <f>H$1120*1000000*hypo!H116/H1104</f>
        <v>0</v>
      </c>
      <c r="I1058" s="317">
        <f>I$1120*1000000*hypo!I116/I1104</f>
        <v>0</v>
      </c>
      <c r="J1058" s="317">
        <f>J$1120*1000000*hypo!J116/J1104</f>
        <v>148387.11850264645</v>
      </c>
      <c r="K1058" s="317">
        <f>K$1120*1000000*hypo!K116/K1104</f>
        <v>55163.925082463371</v>
      </c>
      <c r="L1058" s="317">
        <f>L$1120*1000000*hypo!L116/L1104</f>
        <v>55767.025358671803</v>
      </c>
      <c r="M1058" s="317">
        <f>M$1120*1000000*hypo!M116/M1104</f>
        <v>0</v>
      </c>
      <c r="N1058" s="317">
        <f>N$1120*1000000*hypo!N116/N1104</f>
        <v>0</v>
      </c>
      <c r="O1058" s="317">
        <f>O$1120*1000000*hypo!O116/O1104</f>
        <v>0</v>
      </c>
      <c r="P1058" s="317">
        <f>P$1120*1000000*hypo!P116/P1104</f>
        <v>35469.528414118126</v>
      </c>
      <c r="Q1058" s="317">
        <f>Q$1120*1000000*hypo!Q116/Q1104</f>
        <v>0</v>
      </c>
      <c r="R1058" s="317">
        <f>R$1120*1000000*hypo!R116/R1104</f>
        <v>3462786.7248323839</v>
      </c>
      <c r="S1058" s="317">
        <f>S$1120*1000000*hypo!S116/S1104</f>
        <v>7172183.131209393</v>
      </c>
      <c r="T1058" s="317">
        <f>T$1120*1000000*hypo!T116/T1104</f>
        <v>13600807.983670192</v>
      </c>
      <c r="U1058" s="317">
        <f>U$1120*1000000*hypo!U116/U1104</f>
        <v>0</v>
      </c>
      <c r="V1058" s="317">
        <f>V$1120*1000000*hypo!V116/V1104</f>
        <v>745553.09250933968</v>
      </c>
      <c r="W1058" s="317">
        <f>W$1120*1000000*hypo!W116/W1104</f>
        <v>11207.900483898427</v>
      </c>
      <c r="X1058" s="317">
        <f>X$1120*1000000*hypo!X116/X1104</f>
        <v>281727.32287814835</v>
      </c>
      <c r="Y1058" s="317">
        <f>Y$1120*1000000*hypo!Y116/Y1104</f>
        <v>348666.94216523971</v>
      </c>
      <c r="Z1058" s="317">
        <f>Z$1120*1000000*hypo!Z116/Z1104</f>
        <v>24508.510240951251</v>
      </c>
      <c r="AA1058" s="317">
        <f>AA$1120*1000000*hypo!AA116/AA1104</f>
        <v>797508.71057415137</v>
      </c>
      <c r="AB1058" s="317">
        <f>AB$1120*1000000*hypo!AB116/AB1104</f>
        <v>99654.23361685616</v>
      </c>
      <c r="AC1058" s="317">
        <f>AC$1120*1000000*hypo!AC116/AC1104</f>
        <v>621452.14078333904</v>
      </c>
      <c r="AD1058" s="317">
        <f>AD$1120*1000000*hypo!AD116/AD1104</f>
        <v>0</v>
      </c>
      <c r="AE1058" s="317">
        <f>AE$1120*1000000*hypo!AE116/AE1104</f>
        <v>119700.34302195488</v>
      </c>
      <c r="AF1058" s="317">
        <f>AF$1120*1000000*hypo!AF116/AF1104</f>
        <v>0</v>
      </c>
      <c r="AG1058" s="317">
        <f>AG$1120*1000000*hypo!AG116/AG1104</f>
        <v>263403.81450731569</v>
      </c>
      <c r="AH1058" s="317">
        <f>AH$1120*1000000*hypo!AH116/AH1104</f>
        <v>31832.992479170676</v>
      </c>
      <c r="AI1058" s="317">
        <f>AI$1120*1000000*hypo!AI116/AI1104</f>
        <v>0</v>
      </c>
      <c r="AJ1058" s="317">
        <f>AJ$1120*1000000*hypo!AJ116/AJ1104</f>
        <v>0</v>
      </c>
      <c r="AK1058" s="317">
        <f>AK$1120*1000000*hypo!AK116/AK1104</f>
        <v>0</v>
      </c>
      <c r="AL1058" s="317">
        <f>AL$1120*1000000*hypo!AL116/AL1104</f>
        <v>0</v>
      </c>
      <c r="AM1058" s="317">
        <f>AM$1120*1000000*hypo!AM116/AM1104</f>
        <v>0</v>
      </c>
    </row>
    <row r="1059" spans="1:39" x14ac:dyDescent="0.2">
      <c r="A1059" s="12"/>
      <c r="B1059" s="181" t="s">
        <v>503</v>
      </c>
      <c r="C1059" s="75" t="s">
        <v>471</v>
      </c>
      <c r="D1059" s="76" t="s">
        <v>723</v>
      </c>
      <c r="E1059" s="24"/>
      <c r="F1059" s="317">
        <f>F$1120*1000000*hypo!F117/F1105</f>
        <v>0</v>
      </c>
      <c r="G1059" s="317">
        <f>G$1120*1000000*hypo!G117/G1105</f>
        <v>0</v>
      </c>
      <c r="H1059" s="317">
        <f>H$1120*1000000*hypo!H117/H1105</f>
        <v>0</v>
      </c>
      <c r="I1059" s="317">
        <f>I$1120*1000000*hypo!I117/I1105</f>
        <v>0</v>
      </c>
      <c r="J1059" s="317">
        <f>J$1120*1000000*hypo!J117/J1105</f>
        <v>1014015.0660563766</v>
      </c>
      <c r="K1059" s="317">
        <f>K$1120*1000000*hypo!K117/K1105</f>
        <v>537233.8198934457</v>
      </c>
      <c r="L1059" s="317">
        <f>L$1120*1000000*hypo!L117/L1105</f>
        <v>381088.36180300021</v>
      </c>
      <c r="M1059" s="317">
        <f>M$1120*1000000*hypo!M117/M1105</f>
        <v>0</v>
      </c>
      <c r="N1059" s="317">
        <f>N$1120*1000000*hypo!N117/N1105</f>
        <v>0</v>
      </c>
      <c r="O1059" s="317">
        <f>O$1120*1000000*hypo!O117/O1105</f>
        <v>0</v>
      </c>
      <c r="P1059" s="317">
        <f>P$1120*1000000*hypo!P117/P1105</f>
        <v>89963.264719376355</v>
      </c>
      <c r="Q1059" s="317">
        <f>Q$1120*1000000*hypo!Q117/Q1105</f>
        <v>0</v>
      </c>
      <c r="R1059" s="317">
        <f>R$1120*1000000*hypo!R117/R1105</f>
        <v>14904675.656798996</v>
      </c>
      <c r="S1059" s="317">
        <f>S$1120*1000000*hypo!S117/S1105</f>
        <v>5878697.5152882058</v>
      </c>
      <c r="T1059" s="317">
        <f>T$1120*1000000*hypo!T117/T1105</f>
        <v>10300720.847484993</v>
      </c>
      <c r="U1059" s="317">
        <f>U$1120*1000000*hypo!U117/U1105</f>
        <v>0</v>
      </c>
      <c r="V1059" s="317">
        <f>V$1120*1000000*hypo!V117/V1105</f>
        <v>1807124.59867023</v>
      </c>
      <c r="W1059" s="317">
        <f>W$1120*1000000*hypo!W117/W1105</f>
        <v>102882.77880091374</v>
      </c>
      <c r="X1059" s="317">
        <f>X$1120*1000000*hypo!X117/X1105</f>
        <v>1067485.7742439096</v>
      </c>
      <c r="Y1059" s="317">
        <f>Y$1120*1000000*hypo!Y117/Y1105</f>
        <v>1321124.9690236773</v>
      </c>
      <c r="Z1059" s="317">
        <f>Z$1120*1000000*hypo!Z117/Z1105</f>
        <v>8384.4903455885851</v>
      </c>
      <c r="AA1059" s="317">
        <f>AA$1120*1000000*hypo!AA117/AA1105</f>
        <v>3021819.8031921946</v>
      </c>
      <c r="AB1059" s="317">
        <f>AB$1120*1000000*hypo!AB117/AB1105</f>
        <v>226145.64930688668</v>
      </c>
      <c r="AC1059" s="317">
        <f>AC$1120*1000000*hypo!AC117/AC1105</f>
        <v>948116.19845201517</v>
      </c>
      <c r="AD1059" s="317">
        <f>AD$1120*1000000*hypo!AD117/AD1105</f>
        <v>0</v>
      </c>
      <c r="AE1059" s="317">
        <f>AE$1120*1000000*hypo!AE117/AE1105</f>
        <v>157506.93284473283</v>
      </c>
      <c r="AF1059" s="317">
        <f>AF$1120*1000000*hypo!AF117/AF1105</f>
        <v>0</v>
      </c>
      <c r="AG1059" s="317">
        <f>AG$1120*1000000*hypo!AG117/AG1105</f>
        <v>215931.3973133807</v>
      </c>
      <c r="AH1059" s="317">
        <f>AH$1120*1000000*hypo!AH117/AH1105</f>
        <v>403603.68433126574</v>
      </c>
      <c r="AI1059" s="317">
        <f>AI$1120*1000000*hypo!AI117/AI1105</f>
        <v>0</v>
      </c>
      <c r="AJ1059" s="317">
        <f>AJ$1120*1000000*hypo!AJ117/AJ1105</f>
        <v>0</v>
      </c>
      <c r="AK1059" s="317">
        <f>AK$1120*1000000*hypo!AK117/AK1105</f>
        <v>0</v>
      </c>
      <c r="AL1059" s="317">
        <f>AL$1120*1000000*hypo!AL117/AL1105</f>
        <v>0</v>
      </c>
      <c r="AM1059" s="317">
        <f>AM$1120*1000000*hypo!AM117/AM1105</f>
        <v>0</v>
      </c>
    </row>
    <row r="1060" spans="1:39" x14ac:dyDescent="0.2">
      <c r="A1060" s="12"/>
      <c r="B1060" s="181" t="s">
        <v>504</v>
      </c>
      <c r="C1060" s="75" t="s">
        <v>471</v>
      </c>
      <c r="D1060" s="76" t="s">
        <v>723</v>
      </c>
      <c r="E1060" s="24"/>
      <c r="F1060" s="317">
        <f>F$1120*1000000*hypo!F118/F1106</f>
        <v>0</v>
      </c>
      <c r="G1060" s="317">
        <f>G$1120*1000000*hypo!G118/G1106</f>
        <v>0</v>
      </c>
      <c r="H1060" s="317">
        <f>H$1120*1000000*hypo!H118/H1106</f>
        <v>0</v>
      </c>
      <c r="I1060" s="317">
        <f>I$1120*1000000*hypo!I118/I1106</f>
        <v>0</v>
      </c>
      <c r="J1060" s="317">
        <f>J$1120*1000000*hypo!J118/J1106</f>
        <v>12893.726055458237</v>
      </c>
      <c r="K1060" s="317">
        <f>K$1120*1000000*hypo!K118/K1106</f>
        <v>6007.9522367039308</v>
      </c>
      <c r="L1060" s="317">
        <f>L$1120*1000000*hypo!L118/L1106</f>
        <v>4845.735634995046</v>
      </c>
      <c r="M1060" s="317">
        <f>M$1120*1000000*hypo!M118/M1106</f>
        <v>0</v>
      </c>
      <c r="N1060" s="317">
        <f>N$1120*1000000*hypo!N118/N1106</f>
        <v>0</v>
      </c>
      <c r="O1060" s="317">
        <f>O$1120*1000000*hypo!O118/O1106</f>
        <v>0</v>
      </c>
      <c r="P1060" s="317">
        <f>P$1120*1000000*hypo!P118/P1106</f>
        <v>13624.696805341051</v>
      </c>
      <c r="Q1060" s="317">
        <f>Q$1120*1000000*hypo!Q118/Q1106</f>
        <v>0</v>
      </c>
      <c r="R1060" s="317">
        <f>R$1120*1000000*hypo!R118/R1106</f>
        <v>58639.186625879782</v>
      </c>
      <c r="S1060" s="317">
        <f>S$1120*1000000*hypo!S118/S1106</f>
        <v>125624.94753191948</v>
      </c>
      <c r="T1060" s="317">
        <f>T$1120*1000000*hypo!T118/T1106</f>
        <v>195932.44077250018</v>
      </c>
      <c r="U1060" s="317">
        <f>U$1120*1000000*hypo!U118/U1106</f>
        <v>0</v>
      </c>
      <c r="V1060" s="317">
        <f>V$1120*1000000*hypo!V118/V1106</f>
        <v>42202.097672382777</v>
      </c>
      <c r="W1060" s="317">
        <f>W$1120*1000000*hypo!W118/W1106</f>
        <v>1724.2923821382199</v>
      </c>
      <c r="X1060" s="317">
        <f>X$1120*1000000*hypo!X118/X1106</f>
        <v>9405.16100655427</v>
      </c>
      <c r="Y1060" s="317">
        <f>Y$1120*1000000*hypo!Y118/Y1106</f>
        <v>11639.86756849055</v>
      </c>
      <c r="Z1060" s="317">
        <f>Z$1120*1000000*hypo!Z118/Z1106</f>
        <v>5804.6471623305597</v>
      </c>
      <c r="AA1060" s="317">
        <f>AA$1120*1000000*hypo!AA118/AA1106</f>
        <v>26623.963023719771</v>
      </c>
      <c r="AB1060" s="317">
        <f>AB$1120*1000000*hypo!AB118/AB1106</f>
        <v>83828.726634580264</v>
      </c>
      <c r="AC1060" s="317">
        <f>AC$1120*1000000*hypo!AC118/AC1106</f>
        <v>575301.46306848957</v>
      </c>
      <c r="AD1060" s="317">
        <f>AD$1120*1000000*hypo!AD118/AD1106</f>
        <v>0</v>
      </c>
      <c r="AE1060" s="317">
        <f>AE$1120*1000000*hypo!AE118/AE1106</f>
        <v>113666.06647043655</v>
      </c>
      <c r="AF1060" s="317">
        <f>AF$1120*1000000*hypo!AF118/AF1106</f>
        <v>0</v>
      </c>
      <c r="AG1060" s="317">
        <f>AG$1120*1000000*hypo!AG118/AG1106</f>
        <v>150440.93032716913</v>
      </c>
      <c r="AH1060" s="317">
        <f>AH$1120*1000000*hypo!AH118/AH1106</f>
        <v>992555.21258361428</v>
      </c>
      <c r="AI1060" s="317">
        <f>AI$1120*1000000*hypo!AI118/AI1106</f>
        <v>0</v>
      </c>
      <c r="AJ1060" s="317">
        <f>AJ$1120*1000000*hypo!AJ118/AJ1106</f>
        <v>0</v>
      </c>
      <c r="AK1060" s="317">
        <f>AK$1120*1000000*hypo!AK118/AK1106</f>
        <v>0</v>
      </c>
      <c r="AL1060" s="317">
        <f>AL$1120*1000000*hypo!AL118/AL1106</f>
        <v>0</v>
      </c>
      <c r="AM1060" s="317">
        <f>AM$1120*1000000*hypo!AM118/AM1106</f>
        <v>0</v>
      </c>
    </row>
    <row r="1061" spans="1:39" x14ac:dyDescent="0.2">
      <c r="A1061" s="12"/>
      <c r="B1061" s="181" t="s">
        <v>505</v>
      </c>
      <c r="C1061" s="75" t="s">
        <v>471</v>
      </c>
      <c r="D1061" s="76" t="s">
        <v>723</v>
      </c>
      <c r="E1061" s="24"/>
      <c r="F1061" s="317">
        <f>F$1120*1000000*hypo!F119/F1107</f>
        <v>0</v>
      </c>
      <c r="G1061" s="317">
        <f>G$1120*1000000*hypo!G119/G1107</f>
        <v>0</v>
      </c>
      <c r="H1061" s="317">
        <f>H$1120*1000000*hypo!H119/H1107</f>
        <v>0</v>
      </c>
      <c r="I1061" s="317">
        <f>I$1120*1000000*hypo!I119/I1107</f>
        <v>0</v>
      </c>
      <c r="J1061" s="317">
        <f>J$1120*1000000*hypo!J119/J1107</f>
        <v>449532.11010300997</v>
      </c>
      <c r="K1061" s="317">
        <f>K$1120*1000000*hypo!K119/K1107</f>
        <v>202563.57143523364</v>
      </c>
      <c r="L1061" s="317">
        <f>L$1120*1000000*hypo!L119/L1107</f>
        <v>168943.69832516622</v>
      </c>
      <c r="M1061" s="317">
        <f>M$1120*1000000*hypo!M119/M1107</f>
        <v>0</v>
      </c>
      <c r="N1061" s="317">
        <f>N$1120*1000000*hypo!N119/N1107</f>
        <v>0</v>
      </c>
      <c r="O1061" s="317">
        <f>O$1120*1000000*hypo!O119/O1107</f>
        <v>0</v>
      </c>
      <c r="P1061" s="317">
        <f>P$1120*1000000*hypo!P119/P1107</f>
        <v>62335.556812680239</v>
      </c>
      <c r="Q1061" s="317">
        <f>Q$1120*1000000*hypo!Q119/Q1107</f>
        <v>0</v>
      </c>
      <c r="R1061" s="317">
        <f>R$1120*1000000*hypo!R119/R1107</f>
        <v>1960569.3595851266</v>
      </c>
      <c r="S1061" s="317">
        <f>S$1120*1000000*hypo!S119/S1107</f>
        <v>3922437.8967973436</v>
      </c>
      <c r="T1061" s="317">
        <f>T$1120*1000000*hypo!T119/T1107</f>
        <v>6314695.984134146</v>
      </c>
      <c r="U1061" s="317">
        <f>U$1120*1000000*hypo!U119/U1107</f>
        <v>0</v>
      </c>
      <c r="V1061" s="317">
        <f>V$1120*1000000*hypo!V119/V1107</f>
        <v>1135837.0381390424</v>
      </c>
      <c r="W1061" s="317">
        <f>W$1120*1000000*hypo!W119/W1107</f>
        <v>35635.375897523198</v>
      </c>
      <c r="X1061" s="317">
        <f>X$1120*1000000*hypo!X119/X1107</f>
        <v>241627.1364047488</v>
      </c>
      <c r="Y1061" s="317">
        <f>Y$1120*1000000*hypo!Y119/Y1107</f>
        <v>299038.77953231178</v>
      </c>
      <c r="Z1061" s="317">
        <f>Z$1120*1000000*hypo!Z119/Z1107</f>
        <v>107708.45290102261</v>
      </c>
      <c r="AA1061" s="317">
        <f>AA$1120*1000000*hypo!AA119/AA1107</f>
        <v>683993.8136821097</v>
      </c>
      <c r="AB1061" s="317">
        <f>AB$1120*1000000*hypo!AB119/AB1107</f>
        <v>335568.83119799185</v>
      </c>
      <c r="AC1061" s="317">
        <f>AC$1120*1000000*hypo!AC119/AC1107</f>
        <v>2041249.4841496027</v>
      </c>
      <c r="AD1061" s="317">
        <f>AD$1120*1000000*hypo!AD119/AD1107</f>
        <v>0</v>
      </c>
      <c r="AE1061" s="317">
        <f>AE$1120*1000000*hypo!AE119/AE1107</f>
        <v>390380.74833291868</v>
      </c>
      <c r="AF1061" s="317">
        <f>AF$1120*1000000*hypo!AF119/AF1107</f>
        <v>0</v>
      </c>
      <c r="AG1061" s="317">
        <f>AG$1120*1000000*hypo!AG119/AG1107</f>
        <v>706915.08661461575</v>
      </c>
      <c r="AH1061" s="317">
        <f>AH$1120*1000000*hypo!AH119/AH1107</f>
        <v>160912.41788315412</v>
      </c>
      <c r="AI1061" s="317">
        <f>AI$1120*1000000*hypo!AI119/AI1107</f>
        <v>0</v>
      </c>
      <c r="AJ1061" s="317">
        <f>AJ$1120*1000000*hypo!AJ119/AJ1107</f>
        <v>0</v>
      </c>
      <c r="AK1061" s="317">
        <f>AK$1120*1000000*hypo!AK119/AK1107</f>
        <v>0</v>
      </c>
      <c r="AL1061" s="317">
        <f>AL$1120*1000000*hypo!AL119/AL1107</f>
        <v>0</v>
      </c>
      <c r="AM1061" s="317">
        <f>AM$1120*1000000*hypo!AM119/AM1107</f>
        <v>0</v>
      </c>
    </row>
    <row r="1062" spans="1:39" x14ac:dyDescent="0.2">
      <c r="A1062" s="12"/>
      <c r="B1062" s="181" t="s">
        <v>506</v>
      </c>
      <c r="C1062" s="75" t="s">
        <v>471</v>
      </c>
      <c r="D1062" s="76" t="s">
        <v>723</v>
      </c>
      <c r="E1062" s="24"/>
      <c r="F1062" s="317">
        <f>F$1120*1000000*hypo!F120/F1108</f>
        <v>0</v>
      </c>
      <c r="G1062" s="317">
        <f>G$1120*1000000*hypo!G120/G1108</f>
        <v>0</v>
      </c>
      <c r="H1062" s="317">
        <f>H$1120*1000000*hypo!H120/H1108</f>
        <v>0</v>
      </c>
      <c r="I1062" s="317">
        <f>I$1120*1000000*hypo!I120/I1108</f>
        <v>0</v>
      </c>
      <c r="J1062" s="317">
        <f>J$1120*1000000*hypo!J120/J1108</f>
        <v>12675.188325704707</v>
      </c>
      <c r="K1062" s="317">
        <f>K$1120*1000000*hypo!K120/K1108</f>
        <v>119066.68978195058</v>
      </c>
      <c r="L1062" s="317">
        <f>L$1120*1000000*hypo!L120/L1108</f>
        <v>4763.6045225375019</v>
      </c>
      <c r="M1062" s="317">
        <f>M$1120*1000000*hypo!M120/M1108</f>
        <v>0</v>
      </c>
      <c r="N1062" s="317">
        <f>N$1120*1000000*hypo!N120/N1108</f>
        <v>0</v>
      </c>
      <c r="O1062" s="317">
        <f>O$1120*1000000*hypo!O120/O1108</f>
        <v>0</v>
      </c>
      <c r="P1062" s="317">
        <f>P$1120*1000000*hypo!P120/P1108</f>
        <v>1085217.5339611396</v>
      </c>
      <c r="Q1062" s="317">
        <f>Q$1120*1000000*hypo!Q120/Q1108</f>
        <v>0</v>
      </c>
      <c r="R1062" s="317">
        <f>R$1120*1000000*hypo!R120/R1108</f>
        <v>330092.49999512103</v>
      </c>
      <c r="S1062" s="317">
        <f>S$1120*1000000*hypo!S120/S1108</f>
        <v>3382178.381890337</v>
      </c>
      <c r="T1062" s="317">
        <f>T$1120*1000000*hypo!T120/T1108</f>
        <v>5459112.6188390478</v>
      </c>
      <c r="U1062" s="317">
        <f>U$1120*1000000*hypo!U120/U1108</f>
        <v>0</v>
      </c>
      <c r="V1062" s="317">
        <f>V$1120*1000000*hypo!V120/V1108</f>
        <v>369495.00832038454</v>
      </c>
      <c r="W1062" s="317">
        <f>W$1120*1000000*hypo!W120/W1108</f>
        <v>3735.9668279661428</v>
      </c>
      <c r="X1062" s="317">
        <f>X$1120*1000000*hypo!X120/X1108</f>
        <v>280102.79506792536</v>
      </c>
      <c r="Y1062" s="317">
        <f>Y$1120*1000000*hypo!Y120/Y1108</f>
        <v>346656.41958522768</v>
      </c>
      <c r="Z1062" s="317">
        <f>Z$1120*1000000*hypo!Z120/Z1108</f>
        <v>166399.8853201427</v>
      </c>
      <c r="AA1062" s="317">
        <f>AA$1120*1000000*hypo!AA120/AA1108</f>
        <v>792910.02605187264</v>
      </c>
      <c r="AB1062" s="317">
        <f>AB$1120*1000000*hypo!AB120/AB1108</f>
        <v>494641.04448851733</v>
      </c>
      <c r="AC1062" s="317">
        <f>AC$1120*1000000*hypo!AC120/AC1108</f>
        <v>3429405.7549219239</v>
      </c>
      <c r="AD1062" s="317">
        <f>AD$1120*1000000*hypo!AD120/AD1108</f>
        <v>0</v>
      </c>
      <c r="AE1062" s="317">
        <f>AE$1120*1000000*hypo!AE120/AE1108</f>
        <v>679287.13179948879</v>
      </c>
      <c r="AF1062" s="317">
        <f>AF$1120*1000000*hypo!AF120/AF1108</f>
        <v>0</v>
      </c>
      <c r="AG1062" s="317">
        <f>AG$1120*1000000*hypo!AG120/AG1108</f>
        <v>1625977.1946032033</v>
      </c>
      <c r="AH1062" s="317">
        <f>AH$1120*1000000*hypo!AH120/AH1108</f>
        <v>227409.87849732957</v>
      </c>
      <c r="AI1062" s="317">
        <f>AI$1120*1000000*hypo!AI120/AI1108</f>
        <v>0</v>
      </c>
      <c r="AJ1062" s="317">
        <f>AJ$1120*1000000*hypo!AJ120/AJ1108</f>
        <v>0</v>
      </c>
      <c r="AK1062" s="317">
        <f>AK$1120*1000000*hypo!AK120/AK1108</f>
        <v>0</v>
      </c>
      <c r="AL1062" s="317">
        <f>AL$1120*1000000*hypo!AL120/AL1108</f>
        <v>0</v>
      </c>
      <c r="AM1062" s="317">
        <f>AM$1120*1000000*hypo!AM120/AM1108</f>
        <v>0</v>
      </c>
    </row>
    <row r="1063" spans="1:39" x14ac:dyDescent="0.2">
      <c r="A1063" s="12"/>
      <c r="B1063" s="181" t="s">
        <v>507</v>
      </c>
      <c r="C1063" s="75" t="s">
        <v>471</v>
      </c>
      <c r="D1063" s="76" t="s">
        <v>723</v>
      </c>
      <c r="E1063" s="24"/>
      <c r="F1063" s="317">
        <f>F$1120*1000000*hypo!F121/F1109</f>
        <v>0</v>
      </c>
      <c r="G1063" s="317">
        <f>G$1120*1000000*hypo!G121/G1109</f>
        <v>0</v>
      </c>
      <c r="H1063" s="317">
        <f>H$1120*1000000*hypo!H121/H1109</f>
        <v>0</v>
      </c>
      <c r="I1063" s="317">
        <f>I$1120*1000000*hypo!I121/I1109</f>
        <v>0</v>
      </c>
      <c r="J1063" s="317">
        <f>J$1120*1000000*hypo!J121/J1109</f>
        <v>48296.83827552999</v>
      </c>
      <c r="K1063" s="317">
        <f>K$1120*1000000*hypo!K121/K1109</f>
        <v>7783.029033911911</v>
      </c>
      <c r="L1063" s="317">
        <f>L$1120*1000000*hypo!L121/L1109</f>
        <v>18150.975853117034</v>
      </c>
      <c r="M1063" s="317">
        <f>M$1120*1000000*hypo!M121/M1109</f>
        <v>0</v>
      </c>
      <c r="N1063" s="317">
        <f>N$1120*1000000*hypo!N121/N1109</f>
        <v>0</v>
      </c>
      <c r="O1063" s="317">
        <f>O$1120*1000000*hypo!O121/O1109</f>
        <v>0</v>
      </c>
      <c r="P1063" s="317">
        <f>P$1120*1000000*hypo!P121/P1109</f>
        <v>54257.540158147232</v>
      </c>
      <c r="Q1063" s="317">
        <f>Q$1120*1000000*hypo!Q121/Q1109</f>
        <v>0</v>
      </c>
      <c r="R1063" s="317">
        <f>R$1120*1000000*hypo!R121/R1109</f>
        <v>189753.77245228513</v>
      </c>
      <c r="S1063" s="317">
        <f>S$1120*1000000*hypo!S121/S1109</f>
        <v>346044.2052914318</v>
      </c>
      <c r="T1063" s="317">
        <f>T$1120*1000000*hypo!T121/T1109</f>
        <v>540432.37365124898</v>
      </c>
      <c r="U1063" s="317">
        <f>U$1120*1000000*hypo!U121/U1109</f>
        <v>0</v>
      </c>
      <c r="V1063" s="317">
        <f>V$1120*1000000*hypo!V121/V1109</f>
        <v>122601.15613435218</v>
      </c>
      <c r="W1063" s="317">
        <f>W$1120*1000000*hypo!W121/W1109</f>
        <v>18967.216203520409</v>
      </c>
      <c r="X1063" s="317">
        <f>X$1120*1000000*hypo!X121/X1109</f>
        <v>27274.966919007391</v>
      </c>
      <c r="Y1063" s="317">
        <f>Y$1120*1000000*hypo!Y121/Y1109</f>
        <v>33755.615948622602</v>
      </c>
      <c r="Z1063" s="317">
        <f>Z$1120*1000000*hypo!Z121/Z1109</f>
        <v>11609.294324661121</v>
      </c>
      <c r="AA1063" s="317">
        <f>AA$1120*1000000*hypo!AA121/AA1109</f>
        <v>77209.492768787328</v>
      </c>
      <c r="AB1063" s="317">
        <f>AB$1120*1000000*hypo!AB121/AB1109</f>
        <v>37914.827913352667</v>
      </c>
      <c r="AC1063" s="317">
        <f>AC$1120*1000000*hypo!AC121/AC1109</f>
        <v>231049.03324029056</v>
      </c>
      <c r="AD1063" s="317">
        <f>AD$1120*1000000*hypo!AD121/AD1109</f>
        <v>0</v>
      </c>
      <c r="AE1063" s="317">
        <f>AE$1120*1000000*hypo!AE121/AE1109</f>
        <v>44210.311877450411</v>
      </c>
      <c r="AF1063" s="317">
        <f>AF$1120*1000000*hypo!AF121/AF1109</f>
        <v>0</v>
      </c>
      <c r="AG1063" s="317">
        <f>AG$1120*1000000*hypo!AG121/AG1109</f>
        <v>28199.717738359337</v>
      </c>
      <c r="AH1063" s="317">
        <f>AH$1120*1000000*hypo!AH121/AH1109</f>
        <v>276025.19723215071</v>
      </c>
      <c r="AI1063" s="317">
        <f>AI$1120*1000000*hypo!AI121/AI1109</f>
        <v>0</v>
      </c>
      <c r="AJ1063" s="317">
        <f>AJ$1120*1000000*hypo!AJ121/AJ1109</f>
        <v>0</v>
      </c>
      <c r="AK1063" s="317">
        <f>AK$1120*1000000*hypo!AK121/AK1109</f>
        <v>0</v>
      </c>
      <c r="AL1063" s="317">
        <f>AL$1120*1000000*hypo!AL121/AL1109</f>
        <v>0</v>
      </c>
      <c r="AM1063" s="317">
        <f>AM$1120*1000000*hypo!AM121/AM1109</f>
        <v>0</v>
      </c>
    </row>
    <row r="1064" spans="1:39" x14ac:dyDescent="0.2">
      <c r="A1064" s="12"/>
      <c r="B1064" s="181"/>
      <c r="C1064" s="75"/>
      <c r="D1064" s="76"/>
      <c r="E1064" s="24"/>
      <c r="F1064" s="317"/>
      <c r="G1064" s="317"/>
      <c r="H1064" s="317"/>
      <c r="I1064" s="317"/>
      <c r="J1064" s="317"/>
      <c r="K1064" s="317"/>
      <c r="L1064" s="317"/>
      <c r="M1064" s="317"/>
      <c r="N1064" s="317"/>
      <c r="O1064" s="317"/>
      <c r="P1064" s="317"/>
      <c r="Q1064" s="317"/>
      <c r="R1064" s="317"/>
      <c r="S1064" s="317"/>
      <c r="T1064" s="317"/>
      <c r="U1064" s="317"/>
      <c r="V1064" s="317"/>
      <c r="W1064" s="317"/>
      <c r="X1064" s="317"/>
      <c r="Y1064" s="317"/>
      <c r="Z1064" s="317"/>
      <c r="AA1064" s="317"/>
      <c r="AB1064" s="317"/>
      <c r="AC1064" s="317"/>
      <c r="AD1064" s="317"/>
      <c r="AE1064" s="317"/>
      <c r="AF1064" s="317"/>
      <c r="AG1064" s="317"/>
      <c r="AH1064" s="317"/>
      <c r="AI1064" s="317"/>
      <c r="AJ1064" s="317"/>
      <c r="AK1064" s="317"/>
      <c r="AL1064" s="317"/>
      <c r="AM1064" s="317"/>
    </row>
    <row r="1065" spans="1:39" x14ac:dyDescent="0.2">
      <c r="A1065" s="12"/>
      <c r="B1065" s="230" t="s">
        <v>508</v>
      </c>
      <c r="C1065" s="231" t="s">
        <v>471</v>
      </c>
      <c r="D1065" s="76" t="s">
        <v>723</v>
      </c>
      <c r="E1065" s="24"/>
      <c r="F1065" s="317">
        <f>F$1120*1000000*hypo!F123/F1111</f>
        <v>0</v>
      </c>
      <c r="G1065" s="317">
        <f>G$1120*1000000*hypo!G123/G1111</f>
        <v>0</v>
      </c>
      <c r="H1065" s="317">
        <f>H$1120*1000000*hypo!H123/H1111</f>
        <v>0</v>
      </c>
      <c r="I1065" s="317">
        <f>I$1120*1000000*hypo!I123/I1111</f>
        <v>0</v>
      </c>
      <c r="J1065" s="317">
        <f>J$1120*1000000*hypo!J123/J1111</f>
        <v>89515.058550815011</v>
      </c>
      <c r="K1065" s="317">
        <f>K$1120*1000000*hypo!K123/K1111</f>
        <v>19175.442814663111</v>
      </c>
      <c r="L1065" s="317">
        <f>L$1120*1000000*hypo!L123/L1111</f>
        <v>20569.020991930618</v>
      </c>
      <c r="M1065" s="317">
        <f>M$1120*1000000*hypo!M123/M1111</f>
        <v>0</v>
      </c>
      <c r="N1065" s="317">
        <f>N$1120*1000000*hypo!N123/N1111</f>
        <v>0</v>
      </c>
      <c r="O1065" s="317">
        <f>O$1120*1000000*hypo!O123/O1111</f>
        <v>0</v>
      </c>
      <c r="P1065" s="317">
        <f>P$1120*1000000*hypo!P123/P1111</f>
        <v>91485.8094666447</v>
      </c>
      <c r="Q1065" s="317">
        <f>Q$1120*1000000*hypo!Q123/Q1111</f>
        <v>0</v>
      </c>
      <c r="R1065" s="317">
        <f>R$1120*1000000*hypo!R123/R1111</f>
        <v>38977.915616730228</v>
      </c>
      <c r="S1065" s="317">
        <f>S$1120*1000000*hypo!S123/S1111</f>
        <v>81288.102430183382</v>
      </c>
      <c r="T1065" s="317">
        <f>T$1120*1000000*hypo!T123/T1111</f>
        <v>71059.449047330578</v>
      </c>
      <c r="U1065" s="317">
        <f>U$1120*1000000*hypo!U123/U1111</f>
        <v>0</v>
      </c>
      <c r="V1065" s="317">
        <f>V$1120*1000000*hypo!V123/V1111</f>
        <v>125718.56686307723</v>
      </c>
      <c r="W1065" s="317">
        <f>W$1120*1000000*hypo!W123/W1111</f>
        <v>34197.76084776497</v>
      </c>
      <c r="X1065" s="317">
        <f>X$1120*1000000*hypo!X123/X1111</f>
        <v>4936.753965734928</v>
      </c>
      <c r="Y1065" s="317">
        <f>Y$1120*1000000*hypo!Y123/Y1111</f>
        <v>66694.323262267659</v>
      </c>
      <c r="Z1065" s="317">
        <f>Z$1120*1000000*hypo!Z123/Z1111</f>
        <v>8626.6628159683241</v>
      </c>
      <c r="AA1065" s="317">
        <f>AA$1120*1000000*hypo!AA123/AA1111</f>
        <v>104680.50076209086</v>
      </c>
      <c r="AB1065" s="317">
        <f>AB$1120*1000000*hypo!AB123/AB1111</f>
        <v>21894.084456832603</v>
      </c>
      <c r="AC1065" s="317">
        <f>AC$1120*1000000*hypo!AC123/AC1111</f>
        <v>214850.69010438627</v>
      </c>
      <c r="AD1065" s="317">
        <f>AD$1120*1000000*hypo!AD123/AD1111</f>
        <v>0</v>
      </c>
      <c r="AE1065" s="317">
        <f>AE$1120*1000000*hypo!AE123/AE1111</f>
        <v>16933.797920661567</v>
      </c>
      <c r="AF1065" s="317">
        <f>AF$1120*1000000*hypo!AF123/AF1111</f>
        <v>0</v>
      </c>
      <c r="AG1065" s="317">
        <f>AG$1120*1000000*hypo!AG123/AG1111</f>
        <v>33724.064473782433</v>
      </c>
      <c r="AH1065" s="317">
        <f>AH$1120*1000000*hypo!AH123/AH1111</f>
        <v>15914.446032709484</v>
      </c>
      <c r="AI1065" s="317">
        <f>AI$1120*1000000*hypo!AI123/AI1111</f>
        <v>0</v>
      </c>
      <c r="AJ1065" s="317">
        <f>AJ$1120*1000000*hypo!AJ123/AJ1111</f>
        <v>0</v>
      </c>
      <c r="AK1065" s="317">
        <f>AK$1120*1000000*hypo!AK123/AK1111</f>
        <v>0</v>
      </c>
      <c r="AL1065" s="317">
        <f>AL$1120*1000000*hypo!AL123/AL1111</f>
        <v>0</v>
      </c>
      <c r="AM1065" s="317">
        <f>AM$1120*1000000*hypo!AM123/AM1111</f>
        <v>0</v>
      </c>
    </row>
    <row r="1066" spans="1:39" x14ac:dyDescent="0.2">
      <c r="A1066" s="1"/>
      <c r="B1066" s="230" t="s">
        <v>509</v>
      </c>
      <c r="C1066" s="231" t="s">
        <v>471</v>
      </c>
      <c r="D1066" s="76" t="s">
        <v>723</v>
      </c>
      <c r="E1066" s="24"/>
      <c r="F1066" s="317">
        <f>F$1120*1000000*hypo!F124/F1112</f>
        <v>0</v>
      </c>
      <c r="G1066" s="317">
        <f>G$1120*1000000*hypo!G124/G1112</f>
        <v>0</v>
      </c>
      <c r="H1066" s="317">
        <f>H$1120*1000000*hypo!H124/H1112</f>
        <v>0</v>
      </c>
      <c r="I1066" s="317">
        <f>I$1120*1000000*hypo!I124/I1112</f>
        <v>0</v>
      </c>
      <c r="J1066" s="317">
        <f>J$1120*1000000*hypo!J124/J1112</f>
        <v>0</v>
      </c>
      <c r="K1066" s="317">
        <f>K$1120*1000000*hypo!K124/K1112</f>
        <v>0</v>
      </c>
      <c r="L1066" s="317">
        <f>L$1120*1000000*hypo!L124/L1112</f>
        <v>0</v>
      </c>
      <c r="M1066" s="317">
        <f>M$1120*1000000*hypo!M124/M1112</f>
        <v>0</v>
      </c>
      <c r="N1066" s="317">
        <f>N$1120*1000000*hypo!N124/N1112</f>
        <v>0</v>
      </c>
      <c r="O1066" s="317">
        <f>O$1120*1000000*hypo!O124/O1112</f>
        <v>0</v>
      </c>
      <c r="P1066" s="317">
        <f>P$1120*1000000*hypo!P124/P1112</f>
        <v>0</v>
      </c>
      <c r="Q1066" s="317">
        <f>Q$1120*1000000*hypo!Q124/Q1112</f>
        <v>0</v>
      </c>
      <c r="R1066" s="317">
        <f>R$1120*1000000*hypo!R124/R1112</f>
        <v>0</v>
      </c>
      <c r="S1066" s="317">
        <f>S$1120*1000000*hypo!S124/S1112</f>
        <v>0</v>
      </c>
      <c r="T1066" s="317">
        <f>T$1120*1000000*hypo!T124/T1112</f>
        <v>0</v>
      </c>
      <c r="U1066" s="317">
        <f>U$1120*1000000*hypo!U124/U1112</f>
        <v>0</v>
      </c>
      <c r="V1066" s="317">
        <f>V$1120*1000000*hypo!V124/V1112</f>
        <v>0</v>
      </c>
      <c r="W1066" s="317">
        <f>W$1120*1000000*hypo!W124/W1112</f>
        <v>0</v>
      </c>
      <c r="X1066" s="317">
        <f>X$1120*1000000*hypo!X124/X1112</f>
        <v>0</v>
      </c>
      <c r="Y1066" s="317">
        <f>Y$1120*1000000*hypo!Y124/Y1112</f>
        <v>0</v>
      </c>
      <c r="Z1066" s="317">
        <f>Z$1120*1000000*hypo!Z124/Z1112</f>
        <v>0</v>
      </c>
      <c r="AA1066" s="317">
        <f>AA$1120*1000000*hypo!AA124/AA1112</f>
        <v>0</v>
      </c>
      <c r="AB1066" s="317">
        <f>AB$1120*1000000*hypo!AB124/AB1112</f>
        <v>0</v>
      </c>
      <c r="AC1066" s="317">
        <f>AC$1120*1000000*hypo!AC124/AC1112</f>
        <v>0</v>
      </c>
      <c r="AD1066" s="317">
        <f>AD$1120*1000000*hypo!AD124/AD1112</f>
        <v>0</v>
      </c>
      <c r="AE1066" s="317">
        <f>AE$1120*1000000*hypo!AE124/AE1112</f>
        <v>0</v>
      </c>
      <c r="AF1066" s="317">
        <f>AF$1120*1000000*hypo!AF124/AF1112</f>
        <v>0</v>
      </c>
      <c r="AG1066" s="317">
        <f>AG$1120*1000000*hypo!AG124/AG1112</f>
        <v>0</v>
      </c>
      <c r="AH1066" s="317">
        <f>AH$1120*1000000*hypo!AH124/AH1112</f>
        <v>0</v>
      </c>
      <c r="AI1066" s="317">
        <f>AI$1120*1000000*hypo!AI124/AI1112</f>
        <v>0</v>
      </c>
      <c r="AJ1066" s="317">
        <f>AJ$1120*1000000*hypo!AJ124/AJ1112</f>
        <v>0</v>
      </c>
      <c r="AK1066" s="317">
        <f>AK$1120*1000000*hypo!AK124/AK1112</f>
        <v>0</v>
      </c>
      <c r="AL1066" s="317">
        <f>AL$1120*1000000*hypo!AL124/AL1112</f>
        <v>0</v>
      </c>
      <c r="AM1066" s="317">
        <f>AM$1120*1000000*hypo!AM124/AM1112</f>
        <v>0</v>
      </c>
    </row>
    <row r="1067" spans="1:39" x14ac:dyDescent="0.2">
      <c r="A1067" s="1"/>
      <c r="B1067" s="181"/>
      <c r="C1067" s="77"/>
      <c r="D1067" s="78"/>
      <c r="E1067" s="1"/>
      <c r="F1067" s="78"/>
      <c r="G1067" s="78"/>
      <c r="H1067" s="78"/>
      <c r="I1067" s="78"/>
      <c r="J1067" s="78"/>
      <c r="K1067" s="78"/>
      <c r="L1067" s="78"/>
      <c r="M1067" s="78"/>
      <c r="N1067" s="78"/>
      <c r="O1067" s="78"/>
      <c r="P1067" s="78"/>
      <c r="Q1067" s="78"/>
      <c r="R1067" s="78"/>
      <c r="S1067" s="78"/>
      <c r="T1067" s="78"/>
      <c r="U1067" s="78"/>
      <c r="V1067" s="78"/>
      <c r="W1067" s="78"/>
      <c r="X1067" s="78"/>
      <c r="Y1067" s="78"/>
      <c r="Z1067" s="78"/>
      <c r="AA1067" s="78"/>
      <c r="AB1067" s="78"/>
      <c r="AC1067" s="78"/>
      <c r="AD1067" s="78"/>
      <c r="AE1067" s="78"/>
      <c r="AF1067" s="78"/>
      <c r="AG1067" s="78"/>
      <c r="AH1067" s="78"/>
      <c r="AI1067" s="78"/>
      <c r="AJ1067" s="78"/>
      <c r="AK1067" s="78"/>
      <c r="AL1067" s="78"/>
      <c r="AM1067" s="107"/>
    </row>
    <row r="1068" spans="1:39" x14ac:dyDescent="0.2">
      <c r="A1068" s="1"/>
      <c r="B1068" s="67" t="s">
        <v>510</v>
      </c>
      <c r="C1068" s="68"/>
      <c r="D1068" s="67"/>
      <c r="E1068" s="67"/>
      <c r="F1068" s="67"/>
      <c r="G1068" s="67"/>
      <c r="H1068" s="67"/>
      <c r="I1068" s="67"/>
      <c r="J1068" s="67"/>
      <c r="K1068" s="67"/>
      <c r="L1068" s="67"/>
      <c r="M1068" s="67"/>
      <c r="N1068" s="67"/>
      <c r="O1068" s="67"/>
      <c r="P1068" s="67"/>
      <c r="Q1068" s="67"/>
      <c r="R1068" s="67"/>
      <c r="S1068" s="67"/>
      <c r="T1068" s="67"/>
      <c r="U1068" s="67"/>
      <c r="V1068" s="67"/>
      <c r="W1068" s="67"/>
      <c r="X1068" s="67"/>
      <c r="Y1068" s="67"/>
      <c r="Z1068" s="67"/>
      <c r="AA1068" s="67"/>
      <c r="AB1068" s="67"/>
      <c r="AC1068" s="67"/>
      <c r="AD1068" s="67"/>
      <c r="AE1068" s="67"/>
      <c r="AF1068" s="67"/>
      <c r="AG1068" s="67"/>
      <c r="AH1068" s="67"/>
      <c r="AI1068" s="67"/>
      <c r="AJ1068" s="67"/>
      <c r="AK1068" s="67"/>
      <c r="AL1068" s="67"/>
      <c r="AM1068" s="107"/>
    </row>
    <row r="1069" spans="1:39" x14ac:dyDescent="0.2">
      <c r="A1069" s="79"/>
      <c r="B1069" s="198" t="s">
        <v>470</v>
      </c>
      <c r="C1069" s="80" t="s">
        <v>511</v>
      </c>
      <c r="D1069" s="268" t="s">
        <v>512</v>
      </c>
      <c r="E1069" s="270"/>
      <c r="F1069" s="273">
        <v>110</v>
      </c>
      <c r="G1069" s="273">
        <v>110</v>
      </c>
      <c r="H1069" s="273">
        <v>110</v>
      </c>
      <c r="I1069" s="273">
        <v>110</v>
      </c>
      <c r="J1069" s="273">
        <v>110</v>
      </c>
      <c r="K1069" s="273">
        <v>110</v>
      </c>
      <c r="L1069" s="273">
        <v>110</v>
      </c>
      <c r="M1069" s="273">
        <v>110</v>
      </c>
      <c r="N1069" s="273">
        <v>110</v>
      </c>
      <c r="O1069" s="273">
        <v>110</v>
      </c>
      <c r="P1069" s="273">
        <v>110</v>
      </c>
      <c r="Q1069" s="273">
        <v>110</v>
      </c>
      <c r="R1069" s="273">
        <v>110</v>
      </c>
      <c r="S1069" s="273">
        <v>110</v>
      </c>
      <c r="T1069" s="273">
        <v>110</v>
      </c>
      <c r="U1069" s="273">
        <v>110</v>
      </c>
      <c r="V1069" s="273">
        <v>110</v>
      </c>
      <c r="W1069" s="273">
        <v>110</v>
      </c>
      <c r="X1069" s="273">
        <v>110</v>
      </c>
      <c r="Y1069" s="273">
        <v>110</v>
      </c>
      <c r="Z1069" s="273">
        <v>110</v>
      </c>
      <c r="AA1069" s="273">
        <v>110</v>
      </c>
      <c r="AB1069" s="273">
        <v>110</v>
      </c>
      <c r="AC1069" s="273">
        <v>110</v>
      </c>
      <c r="AD1069" s="273">
        <v>110</v>
      </c>
      <c r="AE1069" s="273">
        <v>110</v>
      </c>
      <c r="AF1069" s="273">
        <v>110</v>
      </c>
      <c r="AG1069" s="273">
        <v>110</v>
      </c>
      <c r="AH1069" s="273">
        <v>110</v>
      </c>
      <c r="AI1069" s="273">
        <v>110</v>
      </c>
      <c r="AJ1069" s="273">
        <v>110</v>
      </c>
      <c r="AK1069" s="273">
        <v>110</v>
      </c>
      <c r="AL1069" s="273">
        <v>110</v>
      </c>
      <c r="AM1069" s="386">
        <f>AVERAGE((F1069:AL1069))</f>
        <v>110</v>
      </c>
    </row>
    <row r="1070" spans="1:39" x14ac:dyDescent="0.2">
      <c r="A1070" s="79"/>
      <c r="B1070" s="198" t="s">
        <v>472</v>
      </c>
      <c r="C1070" s="80" t="s">
        <v>511</v>
      </c>
      <c r="D1070" s="268" t="s">
        <v>513</v>
      </c>
      <c r="E1070" s="270"/>
      <c r="F1070" s="273">
        <v>98</v>
      </c>
      <c r="G1070" s="273">
        <v>98</v>
      </c>
      <c r="H1070" s="273">
        <v>98</v>
      </c>
      <c r="I1070" s="273">
        <v>98</v>
      </c>
      <c r="J1070" s="273">
        <v>98</v>
      </c>
      <c r="K1070" s="273">
        <v>98</v>
      </c>
      <c r="L1070" s="273">
        <v>98</v>
      </c>
      <c r="M1070" s="273">
        <v>98</v>
      </c>
      <c r="N1070" s="273">
        <v>98</v>
      </c>
      <c r="O1070" s="273">
        <v>98</v>
      </c>
      <c r="P1070" s="273">
        <v>98</v>
      </c>
      <c r="Q1070" s="273">
        <v>98</v>
      </c>
      <c r="R1070" s="273">
        <v>98</v>
      </c>
      <c r="S1070" s="273">
        <v>98</v>
      </c>
      <c r="T1070" s="273">
        <v>98</v>
      </c>
      <c r="U1070" s="273">
        <v>98</v>
      </c>
      <c r="V1070" s="273">
        <v>98</v>
      </c>
      <c r="W1070" s="273">
        <v>98</v>
      </c>
      <c r="X1070" s="273">
        <v>98</v>
      </c>
      <c r="Y1070" s="273">
        <v>98</v>
      </c>
      <c r="Z1070" s="273">
        <v>98</v>
      </c>
      <c r="AA1070" s="273">
        <v>98</v>
      </c>
      <c r="AB1070" s="273">
        <v>98</v>
      </c>
      <c r="AC1070" s="273">
        <v>98</v>
      </c>
      <c r="AD1070" s="273">
        <v>98</v>
      </c>
      <c r="AE1070" s="273">
        <v>98</v>
      </c>
      <c r="AF1070" s="273">
        <v>98</v>
      </c>
      <c r="AG1070" s="273">
        <v>98</v>
      </c>
      <c r="AH1070" s="273">
        <v>98</v>
      </c>
      <c r="AI1070" s="273">
        <v>98</v>
      </c>
      <c r="AJ1070" s="273">
        <v>98</v>
      </c>
      <c r="AK1070" s="273">
        <v>98</v>
      </c>
      <c r="AL1070" s="273">
        <v>98</v>
      </c>
      <c r="AM1070" s="386">
        <f t="shared" ref="AM1070:AM1112" si="230">AVERAGE((F1070:AL1070))</f>
        <v>98</v>
      </c>
    </row>
    <row r="1071" spans="1:39" x14ac:dyDescent="0.2">
      <c r="A1071" s="79"/>
      <c r="B1071" s="198" t="s">
        <v>473</v>
      </c>
      <c r="C1071" s="80" t="s">
        <v>511</v>
      </c>
      <c r="D1071" s="268" t="s">
        <v>514</v>
      </c>
      <c r="E1071" s="270"/>
      <c r="F1071" s="273">
        <v>59</v>
      </c>
      <c r="G1071" s="273">
        <v>59</v>
      </c>
      <c r="H1071" s="273">
        <v>59</v>
      </c>
      <c r="I1071" s="273">
        <v>59</v>
      </c>
      <c r="J1071" s="273">
        <v>59</v>
      </c>
      <c r="K1071" s="273">
        <v>59</v>
      </c>
      <c r="L1071" s="273">
        <v>59</v>
      </c>
      <c r="M1071" s="273">
        <v>59</v>
      </c>
      <c r="N1071" s="273">
        <v>59</v>
      </c>
      <c r="O1071" s="273">
        <v>59</v>
      </c>
      <c r="P1071" s="273">
        <v>59</v>
      </c>
      <c r="Q1071" s="273">
        <v>59</v>
      </c>
      <c r="R1071" s="273">
        <v>59</v>
      </c>
      <c r="S1071" s="273">
        <v>59</v>
      </c>
      <c r="T1071" s="273">
        <v>59</v>
      </c>
      <c r="U1071" s="273">
        <v>59</v>
      </c>
      <c r="V1071" s="273">
        <v>59</v>
      </c>
      <c r="W1071" s="273">
        <v>59</v>
      </c>
      <c r="X1071" s="273">
        <v>59</v>
      </c>
      <c r="Y1071" s="273">
        <v>59</v>
      </c>
      <c r="Z1071" s="273">
        <v>59</v>
      </c>
      <c r="AA1071" s="273">
        <v>59</v>
      </c>
      <c r="AB1071" s="273">
        <v>59</v>
      </c>
      <c r="AC1071" s="273">
        <v>59</v>
      </c>
      <c r="AD1071" s="273">
        <v>59</v>
      </c>
      <c r="AE1071" s="273">
        <v>59</v>
      </c>
      <c r="AF1071" s="273">
        <v>59</v>
      </c>
      <c r="AG1071" s="273">
        <v>59</v>
      </c>
      <c r="AH1071" s="273">
        <v>59</v>
      </c>
      <c r="AI1071" s="273">
        <v>59</v>
      </c>
      <c r="AJ1071" s="273">
        <v>59</v>
      </c>
      <c r="AK1071" s="273">
        <v>59</v>
      </c>
      <c r="AL1071" s="273">
        <v>59</v>
      </c>
      <c r="AM1071" s="386">
        <f t="shared" si="230"/>
        <v>59</v>
      </c>
    </row>
    <row r="1072" spans="1:39" x14ac:dyDescent="0.2">
      <c r="A1072" s="79"/>
      <c r="B1072" s="198" t="s">
        <v>474</v>
      </c>
      <c r="C1072" s="80" t="s">
        <v>511</v>
      </c>
      <c r="D1072" s="268" t="s">
        <v>515</v>
      </c>
      <c r="E1072" s="270"/>
      <c r="F1072" s="273">
        <v>59</v>
      </c>
      <c r="G1072" s="273">
        <v>59</v>
      </c>
      <c r="H1072" s="273">
        <v>59</v>
      </c>
      <c r="I1072" s="273">
        <v>59</v>
      </c>
      <c r="J1072" s="273">
        <v>59</v>
      </c>
      <c r="K1072" s="273">
        <v>59</v>
      </c>
      <c r="L1072" s="273">
        <v>59</v>
      </c>
      <c r="M1072" s="273">
        <v>59</v>
      </c>
      <c r="N1072" s="273">
        <v>59</v>
      </c>
      <c r="O1072" s="273">
        <v>59</v>
      </c>
      <c r="P1072" s="273">
        <v>59</v>
      </c>
      <c r="Q1072" s="273">
        <v>59</v>
      </c>
      <c r="R1072" s="273">
        <v>59</v>
      </c>
      <c r="S1072" s="273">
        <v>59</v>
      </c>
      <c r="T1072" s="273">
        <v>59</v>
      </c>
      <c r="U1072" s="273">
        <v>59</v>
      </c>
      <c r="V1072" s="273">
        <v>59</v>
      </c>
      <c r="W1072" s="273">
        <v>59</v>
      </c>
      <c r="X1072" s="273">
        <v>59</v>
      </c>
      <c r="Y1072" s="273">
        <v>59</v>
      </c>
      <c r="Z1072" s="273">
        <v>59</v>
      </c>
      <c r="AA1072" s="273">
        <v>59</v>
      </c>
      <c r="AB1072" s="273">
        <v>59</v>
      </c>
      <c r="AC1072" s="273">
        <v>59</v>
      </c>
      <c r="AD1072" s="273">
        <v>59</v>
      </c>
      <c r="AE1072" s="273">
        <v>59</v>
      </c>
      <c r="AF1072" s="273">
        <v>59</v>
      </c>
      <c r="AG1072" s="273">
        <v>59</v>
      </c>
      <c r="AH1072" s="273">
        <v>59</v>
      </c>
      <c r="AI1072" s="273">
        <v>59</v>
      </c>
      <c r="AJ1072" s="273">
        <v>59</v>
      </c>
      <c r="AK1072" s="273">
        <v>59</v>
      </c>
      <c r="AL1072" s="273">
        <v>59</v>
      </c>
      <c r="AM1072" s="386">
        <f t="shared" si="230"/>
        <v>59</v>
      </c>
    </row>
    <row r="1073" spans="1:39" x14ac:dyDescent="0.2">
      <c r="A1073" s="79"/>
      <c r="B1073" s="198" t="s">
        <v>475</v>
      </c>
      <c r="C1073" s="80" t="s">
        <v>511</v>
      </c>
      <c r="D1073" s="268" t="s">
        <v>516</v>
      </c>
      <c r="E1073" s="270"/>
      <c r="F1073" s="273">
        <v>59</v>
      </c>
      <c r="G1073" s="273">
        <v>59</v>
      </c>
      <c r="H1073" s="273">
        <v>59</v>
      </c>
      <c r="I1073" s="273">
        <v>59</v>
      </c>
      <c r="J1073" s="273">
        <v>59</v>
      </c>
      <c r="K1073" s="273">
        <v>59</v>
      </c>
      <c r="L1073" s="273">
        <v>59</v>
      </c>
      <c r="M1073" s="273">
        <v>59</v>
      </c>
      <c r="N1073" s="273">
        <v>59</v>
      </c>
      <c r="O1073" s="273">
        <v>59</v>
      </c>
      <c r="P1073" s="273">
        <v>59</v>
      </c>
      <c r="Q1073" s="273">
        <v>59</v>
      </c>
      <c r="R1073" s="273">
        <v>59</v>
      </c>
      <c r="S1073" s="273">
        <v>59</v>
      </c>
      <c r="T1073" s="273">
        <v>59</v>
      </c>
      <c r="U1073" s="273">
        <v>59</v>
      </c>
      <c r="V1073" s="273">
        <v>59</v>
      </c>
      <c r="W1073" s="273">
        <v>59</v>
      </c>
      <c r="X1073" s="273">
        <v>59</v>
      </c>
      <c r="Y1073" s="273">
        <v>59</v>
      </c>
      <c r="Z1073" s="273">
        <v>59</v>
      </c>
      <c r="AA1073" s="273">
        <v>59</v>
      </c>
      <c r="AB1073" s="273">
        <v>59</v>
      </c>
      <c r="AC1073" s="273">
        <v>59</v>
      </c>
      <c r="AD1073" s="273">
        <v>59</v>
      </c>
      <c r="AE1073" s="273">
        <v>59</v>
      </c>
      <c r="AF1073" s="273">
        <v>59</v>
      </c>
      <c r="AG1073" s="273">
        <v>59</v>
      </c>
      <c r="AH1073" s="273">
        <v>59</v>
      </c>
      <c r="AI1073" s="273">
        <v>59</v>
      </c>
      <c r="AJ1073" s="273">
        <v>59</v>
      </c>
      <c r="AK1073" s="273">
        <v>59</v>
      </c>
      <c r="AL1073" s="273">
        <v>59</v>
      </c>
      <c r="AM1073" s="386">
        <f t="shared" si="230"/>
        <v>59</v>
      </c>
    </row>
    <row r="1074" spans="1:39" x14ac:dyDescent="0.2">
      <c r="A1074" s="79"/>
      <c r="B1074" s="198" t="s">
        <v>476</v>
      </c>
      <c r="C1074" s="80" t="s">
        <v>511</v>
      </c>
      <c r="D1074" s="268" t="s">
        <v>517</v>
      </c>
      <c r="E1074" s="270"/>
      <c r="F1074" s="273">
        <v>89</v>
      </c>
      <c r="G1074" s="273">
        <v>89</v>
      </c>
      <c r="H1074" s="273">
        <v>89</v>
      </c>
      <c r="I1074" s="273">
        <v>89</v>
      </c>
      <c r="J1074" s="273">
        <v>89</v>
      </c>
      <c r="K1074" s="273">
        <v>89</v>
      </c>
      <c r="L1074" s="273">
        <v>89</v>
      </c>
      <c r="M1074" s="273">
        <v>89</v>
      </c>
      <c r="N1074" s="273">
        <v>89</v>
      </c>
      <c r="O1074" s="273">
        <v>89</v>
      </c>
      <c r="P1074" s="273">
        <v>89</v>
      </c>
      <c r="Q1074" s="273">
        <v>89</v>
      </c>
      <c r="R1074" s="273">
        <v>89</v>
      </c>
      <c r="S1074" s="273">
        <v>89</v>
      </c>
      <c r="T1074" s="273">
        <v>89</v>
      </c>
      <c r="U1074" s="273">
        <v>89</v>
      </c>
      <c r="V1074" s="273">
        <v>89</v>
      </c>
      <c r="W1074" s="273">
        <v>89</v>
      </c>
      <c r="X1074" s="273">
        <v>89</v>
      </c>
      <c r="Y1074" s="273">
        <v>89</v>
      </c>
      <c r="Z1074" s="273">
        <v>89</v>
      </c>
      <c r="AA1074" s="273">
        <v>89</v>
      </c>
      <c r="AB1074" s="273">
        <v>89</v>
      </c>
      <c r="AC1074" s="273">
        <v>89</v>
      </c>
      <c r="AD1074" s="273">
        <v>89</v>
      </c>
      <c r="AE1074" s="273">
        <v>89</v>
      </c>
      <c r="AF1074" s="273">
        <v>89</v>
      </c>
      <c r="AG1074" s="273">
        <v>89</v>
      </c>
      <c r="AH1074" s="273">
        <v>89</v>
      </c>
      <c r="AI1074" s="273">
        <v>89</v>
      </c>
      <c r="AJ1074" s="273">
        <v>89</v>
      </c>
      <c r="AK1074" s="273">
        <v>89</v>
      </c>
      <c r="AL1074" s="273">
        <v>89</v>
      </c>
      <c r="AM1074" s="386">
        <f t="shared" si="230"/>
        <v>89</v>
      </c>
    </row>
    <row r="1075" spans="1:39" x14ac:dyDescent="0.2">
      <c r="A1075" s="79"/>
      <c r="B1075" s="198" t="s">
        <v>477</v>
      </c>
      <c r="C1075" s="80" t="s">
        <v>511</v>
      </c>
      <c r="D1075" s="268" t="s">
        <v>518</v>
      </c>
      <c r="E1075" s="270"/>
      <c r="F1075" s="273">
        <v>89</v>
      </c>
      <c r="G1075" s="273">
        <v>89</v>
      </c>
      <c r="H1075" s="273">
        <v>89</v>
      </c>
      <c r="I1075" s="273">
        <v>89</v>
      </c>
      <c r="J1075" s="273">
        <v>89</v>
      </c>
      <c r="K1075" s="273">
        <v>89</v>
      </c>
      <c r="L1075" s="273">
        <v>89</v>
      </c>
      <c r="M1075" s="273">
        <v>89</v>
      </c>
      <c r="N1075" s="273">
        <v>89</v>
      </c>
      <c r="O1075" s="273">
        <v>89</v>
      </c>
      <c r="P1075" s="273">
        <v>89</v>
      </c>
      <c r="Q1075" s="273">
        <v>89</v>
      </c>
      <c r="R1075" s="273">
        <v>89</v>
      </c>
      <c r="S1075" s="273">
        <v>89</v>
      </c>
      <c r="T1075" s="273">
        <v>89</v>
      </c>
      <c r="U1075" s="273">
        <v>89</v>
      </c>
      <c r="V1075" s="273">
        <v>89</v>
      </c>
      <c r="W1075" s="273">
        <v>89</v>
      </c>
      <c r="X1075" s="273">
        <v>89</v>
      </c>
      <c r="Y1075" s="273">
        <v>89</v>
      </c>
      <c r="Z1075" s="273">
        <v>89</v>
      </c>
      <c r="AA1075" s="273">
        <v>89</v>
      </c>
      <c r="AB1075" s="273">
        <v>89</v>
      </c>
      <c r="AC1075" s="273">
        <v>89</v>
      </c>
      <c r="AD1075" s="273">
        <v>89</v>
      </c>
      <c r="AE1075" s="273">
        <v>89</v>
      </c>
      <c r="AF1075" s="273">
        <v>89</v>
      </c>
      <c r="AG1075" s="273">
        <v>89</v>
      </c>
      <c r="AH1075" s="273">
        <v>89</v>
      </c>
      <c r="AI1075" s="273">
        <v>89</v>
      </c>
      <c r="AJ1075" s="273">
        <v>89</v>
      </c>
      <c r="AK1075" s="273">
        <v>89</v>
      </c>
      <c r="AL1075" s="273">
        <v>89</v>
      </c>
      <c r="AM1075" s="386">
        <f t="shared" si="230"/>
        <v>89</v>
      </c>
    </row>
    <row r="1076" spans="1:39" x14ac:dyDescent="0.2">
      <c r="A1076" s="79"/>
      <c r="B1076" s="198" t="s">
        <v>478</v>
      </c>
      <c r="C1076" s="80" t="s">
        <v>511</v>
      </c>
      <c r="D1076" s="268" t="s">
        <v>519</v>
      </c>
      <c r="E1076" s="270"/>
      <c r="F1076" s="273">
        <v>51</v>
      </c>
      <c r="G1076" s="273">
        <v>51</v>
      </c>
      <c r="H1076" s="273">
        <v>51</v>
      </c>
      <c r="I1076" s="273">
        <v>51</v>
      </c>
      <c r="J1076" s="273">
        <v>51</v>
      </c>
      <c r="K1076" s="273">
        <v>51</v>
      </c>
      <c r="L1076" s="273">
        <v>51</v>
      </c>
      <c r="M1076" s="273">
        <v>51</v>
      </c>
      <c r="N1076" s="273">
        <v>51</v>
      </c>
      <c r="O1076" s="273">
        <v>51</v>
      </c>
      <c r="P1076" s="273">
        <v>51</v>
      </c>
      <c r="Q1076" s="273">
        <v>51</v>
      </c>
      <c r="R1076" s="273">
        <v>51</v>
      </c>
      <c r="S1076" s="273">
        <v>51</v>
      </c>
      <c r="T1076" s="273">
        <v>51</v>
      </c>
      <c r="U1076" s="273">
        <v>51</v>
      </c>
      <c r="V1076" s="273">
        <v>51</v>
      </c>
      <c r="W1076" s="273">
        <v>51</v>
      </c>
      <c r="X1076" s="273">
        <v>51</v>
      </c>
      <c r="Y1076" s="273">
        <v>51</v>
      </c>
      <c r="Z1076" s="273">
        <v>51</v>
      </c>
      <c r="AA1076" s="273">
        <v>51</v>
      </c>
      <c r="AB1076" s="273">
        <v>51</v>
      </c>
      <c r="AC1076" s="273">
        <v>51</v>
      </c>
      <c r="AD1076" s="273">
        <v>51</v>
      </c>
      <c r="AE1076" s="273">
        <v>51</v>
      </c>
      <c r="AF1076" s="273">
        <v>51</v>
      </c>
      <c r="AG1076" s="273">
        <v>51</v>
      </c>
      <c r="AH1076" s="273">
        <v>51</v>
      </c>
      <c r="AI1076" s="273">
        <v>51</v>
      </c>
      <c r="AJ1076" s="273">
        <v>51</v>
      </c>
      <c r="AK1076" s="273">
        <v>51</v>
      </c>
      <c r="AL1076" s="273">
        <v>51</v>
      </c>
      <c r="AM1076" s="386">
        <f t="shared" si="230"/>
        <v>51</v>
      </c>
    </row>
    <row r="1077" spans="1:39" x14ac:dyDescent="0.2">
      <c r="A1077" s="79"/>
      <c r="B1077" s="198" t="s">
        <v>479</v>
      </c>
      <c r="C1077" s="80" t="s">
        <v>511</v>
      </c>
      <c r="D1077" s="268" t="s">
        <v>520</v>
      </c>
      <c r="E1077" s="270"/>
      <c r="F1077" s="273">
        <v>51</v>
      </c>
      <c r="G1077" s="273">
        <v>51</v>
      </c>
      <c r="H1077" s="273">
        <v>51</v>
      </c>
      <c r="I1077" s="273">
        <v>51</v>
      </c>
      <c r="J1077" s="273">
        <v>51</v>
      </c>
      <c r="K1077" s="273">
        <v>51</v>
      </c>
      <c r="L1077" s="273">
        <v>51</v>
      </c>
      <c r="M1077" s="273">
        <v>51</v>
      </c>
      <c r="N1077" s="273">
        <v>51</v>
      </c>
      <c r="O1077" s="273">
        <v>51</v>
      </c>
      <c r="P1077" s="273">
        <v>51</v>
      </c>
      <c r="Q1077" s="273">
        <v>51</v>
      </c>
      <c r="R1077" s="273">
        <v>51</v>
      </c>
      <c r="S1077" s="273">
        <v>51</v>
      </c>
      <c r="T1077" s="273">
        <v>51</v>
      </c>
      <c r="U1077" s="273">
        <v>51</v>
      </c>
      <c r="V1077" s="273">
        <v>51</v>
      </c>
      <c r="W1077" s="273">
        <v>51</v>
      </c>
      <c r="X1077" s="273">
        <v>51</v>
      </c>
      <c r="Y1077" s="273">
        <v>51</v>
      </c>
      <c r="Z1077" s="273">
        <v>51</v>
      </c>
      <c r="AA1077" s="273">
        <v>51</v>
      </c>
      <c r="AB1077" s="273">
        <v>51</v>
      </c>
      <c r="AC1077" s="273">
        <v>51</v>
      </c>
      <c r="AD1077" s="273">
        <v>51</v>
      </c>
      <c r="AE1077" s="273">
        <v>51</v>
      </c>
      <c r="AF1077" s="273">
        <v>51</v>
      </c>
      <c r="AG1077" s="273">
        <v>51</v>
      </c>
      <c r="AH1077" s="273">
        <v>51</v>
      </c>
      <c r="AI1077" s="273">
        <v>51</v>
      </c>
      <c r="AJ1077" s="273">
        <v>51</v>
      </c>
      <c r="AK1077" s="273">
        <v>51</v>
      </c>
      <c r="AL1077" s="273">
        <v>51</v>
      </c>
      <c r="AM1077" s="386">
        <f t="shared" si="230"/>
        <v>51</v>
      </c>
    </row>
    <row r="1078" spans="1:39" x14ac:dyDescent="0.2">
      <c r="A1078" s="79"/>
      <c r="B1078" s="198" t="s">
        <v>480</v>
      </c>
      <c r="C1078" s="80" t="s">
        <v>511</v>
      </c>
      <c r="D1078" s="268" t="s">
        <v>521</v>
      </c>
      <c r="E1078" s="270"/>
      <c r="F1078" s="273">
        <v>51</v>
      </c>
      <c r="G1078" s="273">
        <v>51</v>
      </c>
      <c r="H1078" s="273">
        <v>51</v>
      </c>
      <c r="I1078" s="273">
        <v>51</v>
      </c>
      <c r="J1078" s="273">
        <v>51</v>
      </c>
      <c r="K1078" s="273">
        <v>51</v>
      </c>
      <c r="L1078" s="273">
        <v>51</v>
      </c>
      <c r="M1078" s="273">
        <v>51</v>
      </c>
      <c r="N1078" s="273">
        <v>51</v>
      </c>
      <c r="O1078" s="273">
        <v>51</v>
      </c>
      <c r="P1078" s="273">
        <v>51</v>
      </c>
      <c r="Q1078" s="273">
        <v>51</v>
      </c>
      <c r="R1078" s="273">
        <v>51</v>
      </c>
      <c r="S1078" s="273">
        <v>51</v>
      </c>
      <c r="T1078" s="273">
        <v>51</v>
      </c>
      <c r="U1078" s="273">
        <v>51</v>
      </c>
      <c r="V1078" s="273">
        <v>51</v>
      </c>
      <c r="W1078" s="273">
        <v>51</v>
      </c>
      <c r="X1078" s="273">
        <v>51</v>
      </c>
      <c r="Y1078" s="273">
        <v>51</v>
      </c>
      <c r="Z1078" s="273">
        <v>51</v>
      </c>
      <c r="AA1078" s="273">
        <v>51</v>
      </c>
      <c r="AB1078" s="273">
        <v>51</v>
      </c>
      <c r="AC1078" s="273">
        <v>51</v>
      </c>
      <c r="AD1078" s="273">
        <v>51</v>
      </c>
      <c r="AE1078" s="273">
        <v>51</v>
      </c>
      <c r="AF1078" s="273">
        <v>51</v>
      </c>
      <c r="AG1078" s="273">
        <v>51</v>
      </c>
      <c r="AH1078" s="273">
        <v>51</v>
      </c>
      <c r="AI1078" s="273">
        <v>51</v>
      </c>
      <c r="AJ1078" s="273">
        <v>51</v>
      </c>
      <c r="AK1078" s="273">
        <v>51</v>
      </c>
      <c r="AL1078" s="273">
        <v>51</v>
      </c>
      <c r="AM1078" s="386">
        <f t="shared" si="230"/>
        <v>51</v>
      </c>
    </row>
    <row r="1079" spans="1:39" x14ac:dyDescent="0.2">
      <c r="A1079" s="79"/>
      <c r="B1079" s="198" t="s">
        <v>481</v>
      </c>
      <c r="C1079" s="80" t="s">
        <v>511</v>
      </c>
      <c r="D1079" s="268" t="s">
        <v>522</v>
      </c>
      <c r="E1079" s="270"/>
      <c r="F1079" s="273">
        <v>72</v>
      </c>
      <c r="G1079" s="273">
        <v>72</v>
      </c>
      <c r="H1079" s="273">
        <v>72</v>
      </c>
      <c r="I1079" s="273">
        <v>72</v>
      </c>
      <c r="J1079" s="273">
        <v>72</v>
      </c>
      <c r="K1079" s="273">
        <v>72</v>
      </c>
      <c r="L1079" s="273">
        <v>72</v>
      </c>
      <c r="M1079" s="273">
        <v>72</v>
      </c>
      <c r="N1079" s="273">
        <v>72</v>
      </c>
      <c r="O1079" s="273">
        <v>72</v>
      </c>
      <c r="P1079" s="273">
        <v>72</v>
      </c>
      <c r="Q1079" s="273">
        <v>72</v>
      </c>
      <c r="R1079" s="273">
        <v>72</v>
      </c>
      <c r="S1079" s="273">
        <v>72</v>
      </c>
      <c r="T1079" s="273">
        <v>72</v>
      </c>
      <c r="U1079" s="273">
        <v>72</v>
      </c>
      <c r="V1079" s="273">
        <v>72</v>
      </c>
      <c r="W1079" s="273">
        <v>72</v>
      </c>
      <c r="X1079" s="273">
        <v>72</v>
      </c>
      <c r="Y1079" s="273">
        <v>72</v>
      </c>
      <c r="Z1079" s="273">
        <v>72</v>
      </c>
      <c r="AA1079" s="273">
        <v>72</v>
      </c>
      <c r="AB1079" s="273">
        <v>72</v>
      </c>
      <c r="AC1079" s="273">
        <v>72</v>
      </c>
      <c r="AD1079" s="273">
        <v>72</v>
      </c>
      <c r="AE1079" s="273">
        <v>72</v>
      </c>
      <c r="AF1079" s="273">
        <v>72</v>
      </c>
      <c r="AG1079" s="273">
        <v>72</v>
      </c>
      <c r="AH1079" s="273">
        <v>72</v>
      </c>
      <c r="AI1079" s="273">
        <v>72</v>
      </c>
      <c r="AJ1079" s="273">
        <v>72</v>
      </c>
      <c r="AK1079" s="273">
        <v>72</v>
      </c>
      <c r="AL1079" s="273">
        <v>72</v>
      </c>
      <c r="AM1079" s="386">
        <f t="shared" si="230"/>
        <v>72</v>
      </c>
    </row>
    <row r="1080" spans="1:39" x14ac:dyDescent="0.2">
      <c r="A1080" s="79"/>
      <c r="B1080" s="198" t="s">
        <v>482</v>
      </c>
      <c r="C1080" s="80" t="s">
        <v>511</v>
      </c>
      <c r="D1080" s="268" t="s">
        <v>523</v>
      </c>
      <c r="E1080" s="270"/>
      <c r="F1080" s="273">
        <v>72</v>
      </c>
      <c r="G1080" s="273">
        <v>72</v>
      </c>
      <c r="H1080" s="273">
        <v>72</v>
      </c>
      <c r="I1080" s="273">
        <v>72</v>
      </c>
      <c r="J1080" s="273">
        <v>72</v>
      </c>
      <c r="K1080" s="273">
        <v>72</v>
      </c>
      <c r="L1080" s="273">
        <v>72</v>
      </c>
      <c r="M1080" s="273">
        <v>72</v>
      </c>
      <c r="N1080" s="273">
        <v>72</v>
      </c>
      <c r="O1080" s="273">
        <v>72</v>
      </c>
      <c r="P1080" s="273">
        <v>72</v>
      </c>
      <c r="Q1080" s="273">
        <v>72</v>
      </c>
      <c r="R1080" s="273">
        <v>72</v>
      </c>
      <c r="S1080" s="273">
        <v>72</v>
      </c>
      <c r="T1080" s="273">
        <v>72</v>
      </c>
      <c r="U1080" s="273">
        <v>72</v>
      </c>
      <c r="V1080" s="273">
        <v>72</v>
      </c>
      <c r="W1080" s="273">
        <v>72</v>
      </c>
      <c r="X1080" s="273">
        <v>72</v>
      </c>
      <c r="Y1080" s="273">
        <v>72</v>
      </c>
      <c r="Z1080" s="273">
        <v>72</v>
      </c>
      <c r="AA1080" s="273">
        <v>72</v>
      </c>
      <c r="AB1080" s="273">
        <v>72</v>
      </c>
      <c r="AC1080" s="273">
        <v>72</v>
      </c>
      <c r="AD1080" s="273">
        <v>72</v>
      </c>
      <c r="AE1080" s="273">
        <v>72</v>
      </c>
      <c r="AF1080" s="273">
        <v>72</v>
      </c>
      <c r="AG1080" s="273">
        <v>72</v>
      </c>
      <c r="AH1080" s="273">
        <v>72</v>
      </c>
      <c r="AI1080" s="273">
        <v>72</v>
      </c>
      <c r="AJ1080" s="273">
        <v>72</v>
      </c>
      <c r="AK1080" s="273">
        <v>72</v>
      </c>
      <c r="AL1080" s="273">
        <v>72</v>
      </c>
      <c r="AM1080" s="386">
        <f t="shared" si="230"/>
        <v>72</v>
      </c>
    </row>
    <row r="1081" spans="1:39" x14ac:dyDescent="0.2">
      <c r="A1081" s="79"/>
      <c r="B1081" s="198" t="s">
        <v>483</v>
      </c>
      <c r="C1081" s="80" t="s">
        <v>511</v>
      </c>
      <c r="D1081" s="268" t="s">
        <v>524</v>
      </c>
      <c r="E1081" s="270"/>
      <c r="F1081" s="273">
        <v>6</v>
      </c>
      <c r="G1081" s="273">
        <v>6</v>
      </c>
      <c r="H1081" s="273">
        <v>6</v>
      </c>
      <c r="I1081" s="273">
        <v>6</v>
      </c>
      <c r="J1081" s="273">
        <v>6</v>
      </c>
      <c r="K1081" s="273">
        <v>6</v>
      </c>
      <c r="L1081" s="273">
        <v>6</v>
      </c>
      <c r="M1081" s="273">
        <v>6</v>
      </c>
      <c r="N1081" s="273">
        <v>6</v>
      </c>
      <c r="O1081" s="273">
        <v>6</v>
      </c>
      <c r="P1081" s="273">
        <v>6</v>
      </c>
      <c r="Q1081" s="273">
        <v>6</v>
      </c>
      <c r="R1081" s="273">
        <v>6</v>
      </c>
      <c r="S1081" s="273">
        <v>6</v>
      </c>
      <c r="T1081" s="273">
        <v>6</v>
      </c>
      <c r="U1081" s="273">
        <v>6</v>
      </c>
      <c r="V1081" s="273">
        <v>6</v>
      </c>
      <c r="W1081" s="273">
        <v>6</v>
      </c>
      <c r="X1081" s="273">
        <v>6</v>
      </c>
      <c r="Y1081" s="273">
        <v>6</v>
      </c>
      <c r="Z1081" s="273">
        <v>6</v>
      </c>
      <c r="AA1081" s="273">
        <v>6</v>
      </c>
      <c r="AB1081" s="273">
        <v>6</v>
      </c>
      <c r="AC1081" s="273">
        <v>6</v>
      </c>
      <c r="AD1081" s="273">
        <v>6</v>
      </c>
      <c r="AE1081" s="273">
        <v>6</v>
      </c>
      <c r="AF1081" s="273">
        <v>6</v>
      </c>
      <c r="AG1081" s="273">
        <v>6</v>
      </c>
      <c r="AH1081" s="273">
        <v>6</v>
      </c>
      <c r="AI1081" s="273">
        <v>6</v>
      </c>
      <c r="AJ1081" s="273">
        <v>6</v>
      </c>
      <c r="AK1081" s="273">
        <v>6</v>
      </c>
      <c r="AL1081" s="273">
        <v>6</v>
      </c>
      <c r="AM1081" s="386">
        <f t="shared" si="230"/>
        <v>6</v>
      </c>
    </row>
    <row r="1082" spans="1:39" x14ac:dyDescent="0.2">
      <c r="A1082" s="79"/>
      <c r="B1082" s="198" t="s">
        <v>484</v>
      </c>
      <c r="C1082" s="80" t="s">
        <v>511</v>
      </c>
      <c r="D1082" s="268" t="s">
        <v>525</v>
      </c>
      <c r="E1082" s="270"/>
      <c r="F1082" s="273">
        <v>20</v>
      </c>
      <c r="G1082" s="273">
        <v>20</v>
      </c>
      <c r="H1082" s="273">
        <v>20</v>
      </c>
      <c r="I1082" s="273">
        <v>20</v>
      </c>
      <c r="J1082" s="273">
        <v>20</v>
      </c>
      <c r="K1082" s="273">
        <v>20</v>
      </c>
      <c r="L1082" s="273">
        <v>20</v>
      </c>
      <c r="M1082" s="273">
        <v>20</v>
      </c>
      <c r="N1082" s="273">
        <v>20</v>
      </c>
      <c r="O1082" s="273">
        <v>20</v>
      </c>
      <c r="P1082" s="273">
        <v>20</v>
      </c>
      <c r="Q1082" s="273">
        <v>20</v>
      </c>
      <c r="R1082" s="273">
        <v>20</v>
      </c>
      <c r="S1082" s="273">
        <v>20</v>
      </c>
      <c r="T1082" s="273">
        <v>20</v>
      </c>
      <c r="U1082" s="273">
        <v>20</v>
      </c>
      <c r="V1082" s="273">
        <v>20</v>
      </c>
      <c r="W1082" s="273">
        <v>20</v>
      </c>
      <c r="X1082" s="273">
        <v>20</v>
      </c>
      <c r="Y1082" s="273">
        <v>20</v>
      </c>
      <c r="Z1082" s="273">
        <v>20</v>
      </c>
      <c r="AA1082" s="273">
        <v>20</v>
      </c>
      <c r="AB1082" s="273">
        <v>20</v>
      </c>
      <c r="AC1082" s="273">
        <v>20</v>
      </c>
      <c r="AD1082" s="273">
        <v>20</v>
      </c>
      <c r="AE1082" s="273">
        <v>20</v>
      </c>
      <c r="AF1082" s="273">
        <v>20</v>
      </c>
      <c r="AG1082" s="273">
        <v>20</v>
      </c>
      <c r="AH1082" s="273">
        <v>20</v>
      </c>
      <c r="AI1082" s="273">
        <v>20</v>
      </c>
      <c r="AJ1082" s="273">
        <v>20</v>
      </c>
      <c r="AK1082" s="273">
        <v>20</v>
      </c>
      <c r="AL1082" s="273">
        <v>20</v>
      </c>
      <c r="AM1082" s="386">
        <f t="shared" si="230"/>
        <v>20</v>
      </c>
    </row>
    <row r="1083" spans="1:39" x14ac:dyDescent="0.2">
      <c r="A1083" s="79"/>
      <c r="B1083" s="198" t="s">
        <v>485</v>
      </c>
      <c r="C1083" s="80" t="s">
        <v>511</v>
      </c>
      <c r="D1083" s="268" t="s">
        <v>526</v>
      </c>
      <c r="E1083" s="270"/>
      <c r="F1083" s="273">
        <v>12</v>
      </c>
      <c r="G1083" s="273">
        <v>12</v>
      </c>
      <c r="H1083" s="273">
        <v>12</v>
      </c>
      <c r="I1083" s="273">
        <v>12</v>
      </c>
      <c r="J1083" s="273">
        <v>12</v>
      </c>
      <c r="K1083" s="273">
        <v>12</v>
      </c>
      <c r="L1083" s="273">
        <v>12</v>
      </c>
      <c r="M1083" s="273">
        <v>12</v>
      </c>
      <c r="N1083" s="273">
        <v>12</v>
      </c>
      <c r="O1083" s="273">
        <v>12</v>
      </c>
      <c r="P1083" s="273">
        <v>12</v>
      </c>
      <c r="Q1083" s="273">
        <v>12</v>
      </c>
      <c r="R1083" s="273">
        <v>12</v>
      </c>
      <c r="S1083" s="273">
        <v>12</v>
      </c>
      <c r="T1083" s="273">
        <v>12</v>
      </c>
      <c r="U1083" s="273">
        <v>12</v>
      </c>
      <c r="V1083" s="273">
        <v>12</v>
      </c>
      <c r="W1083" s="273">
        <v>12</v>
      </c>
      <c r="X1083" s="273">
        <v>12</v>
      </c>
      <c r="Y1083" s="273">
        <v>12</v>
      </c>
      <c r="Z1083" s="273">
        <v>12</v>
      </c>
      <c r="AA1083" s="273">
        <v>12</v>
      </c>
      <c r="AB1083" s="273">
        <v>12</v>
      </c>
      <c r="AC1083" s="273">
        <v>12</v>
      </c>
      <c r="AD1083" s="273">
        <v>12</v>
      </c>
      <c r="AE1083" s="273">
        <v>12</v>
      </c>
      <c r="AF1083" s="273">
        <v>12</v>
      </c>
      <c r="AG1083" s="273">
        <v>12</v>
      </c>
      <c r="AH1083" s="273">
        <v>12</v>
      </c>
      <c r="AI1083" s="273">
        <v>12</v>
      </c>
      <c r="AJ1083" s="273">
        <v>12</v>
      </c>
      <c r="AK1083" s="273">
        <v>12</v>
      </c>
      <c r="AL1083" s="273">
        <v>12</v>
      </c>
      <c r="AM1083" s="386">
        <f t="shared" si="230"/>
        <v>12</v>
      </c>
    </row>
    <row r="1084" spans="1:39" x14ac:dyDescent="0.2">
      <c r="A1084" s="79"/>
      <c r="B1084" s="198"/>
      <c r="C1084" s="80"/>
      <c r="D1084" s="268"/>
      <c r="E1084" s="270"/>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73"/>
      <c r="AE1084" s="273"/>
      <c r="AF1084" s="273"/>
      <c r="AG1084" s="273"/>
      <c r="AH1084" s="273"/>
      <c r="AI1084" s="273"/>
      <c r="AJ1084" s="273"/>
      <c r="AK1084" s="273"/>
      <c r="AL1084" s="273"/>
      <c r="AM1084" s="386"/>
    </row>
    <row r="1085" spans="1:39" x14ac:dyDescent="0.2">
      <c r="A1085" s="79"/>
      <c r="B1085" s="79" t="s">
        <v>486</v>
      </c>
      <c r="C1085" s="80" t="s">
        <v>511</v>
      </c>
      <c r="D1085" s="268" t="s">
        <v>527</v>
      </c>
      <c r="E1085" s="270"/>
      <c r="F1085" s="273">
        <v>7.6</v>
      </c>
      <c r="G1085" s="273">
        <v>7.6</v>
      </c>
      <c r="H1085" s="273">
        <v>7.6</v>
      </c>
      <c r="I1085" s="273">
        <v>7.6</v>
      </c>
      <c r="J1085" s="273">
        <v>7.6</v>
      </c>
      <c r="K1085" s="273">
        <v>7.6</v>
      </c>
      <c r="L1085" s="273">
        <v>7.6</v>
      </c>
      <c r="M1085" s="273">
        <v>7.6</v>
      </c>
      <c r="N1085" s="273">
        <v>7.6</v>
      </c>
      <c r="O1085" s="273">
        <v>7.6</v>
      </c>
      <c r="P1085" s="273">
        <v>7.6</v>
      </c>
      <c r="Q1085" s="273">
        <v>7.6</v>
      </c>
      <c r="R1085" s="273">
        <v>7.6</v>
      </c>
      <c r="S1085" s="273">
        <v>7.6</v>
      </c>
      <c r="T1085" s="273">
        <v>7.6</v>
      </c>
      <c r="U1085" s="273">
        <v>7.6</v>
      </c>
      <c r="V1085" s="273">
        <v>7.6</v>
      </c>
      <c r="W1085" s="273">
        <v>7.6</v>
      </c>
      <c r="X1085" s="273">
        <v>7.6</v>
      </c>
      <c r="Y1085" s="273">
        <v>7.6</v>
      </c>
      <c r="Z1085" s="273">
        <v>7.6</v>
      </c>
      <c r="AA1085" s="273">
        <v>7.6</v>
      </c>
      <c r="AB1085" s="273">
        <v>7.6</v>
      </c>
      <c r="AC1085" s="273">
        <v>7.6</v>
      </c>
      <c r="AD1085" s="273">
        <v>7.6</v>
      </c>
      <c r="AE1085" s="273">
        <v>7.6</v>
      </c>
      <c r="AF1085" s="273">
        <v>7.6</v>
      </c>
      <c r="AG1085" s="273">
        <v>7.6</v>
      </c>
      <c r="AH1085" s="273">
        <v>7.6</v>
      </c>
      <c r="AI1085" s="273">
        <v>7.6</v>
      </c>
      <c r="AJ1085" s="273">
        <v>7.6</v>
      </c>
      <c r="AK1085" s="273">
        <v>7.6</v>
      </c>
      <c r="AL1085" s="273">
        <v>7.6</v>
      </c>
      <c r="AM1085" s="386">
        <f t="shared" si="230"/>
        <v>7.5999999999999961</v>
      </c>
    </row>
    <row r="1086" spans="1:39" x14ac:dyDescent="0.2">
      <c r="A1086" s="79"/>
      <c r="B1086" s="79" t="s">
        <v>487</v>
      </c>
      <c r="C1086" s="80" t="s">
        <v>511</v>
      </c>
      <c r="D1086" s="268" t="s">
        <v>528</v>
      </c>
      <c r="E1086" s="270"/>
      <c r="F1086" s="273">
        <v>15.3</v>
      </c>
      <c r="G1086" s="273">
        <v>15.3</v>
      </c>
      <c r="H1086" s="273">
        <v>15.3</v>
      </c>
      <c r="I1086" s="273">
        <v>15.3</v>
      </c>
      <c r="J1086" s="273">
        <v>15.3</v>
      </c>
      <c r="K1086" s="273">
        <v>15.3</v>
      </c>
      <c r="L1086" s="273">
        <v>15.3</v>
      </c>
      <c r="M1086" s="273">
        <v>15.3</v>
      </c>
      <c r="N1086" s="273">
        <v>15.3</v>
      </c>
      <c r="O1086" s="273">
        <v>15.3</v>
      </c>
      <c r="P1086" s="273">
        <v>15.3</v>
      </c>
      <c r="Q1086" s="273">
        <v>15.3</v>
      </c>
      <c r="R1086" s="273">
        <v>15.3</v>
      </c>
      <c r="S1086" s="273">
        <v>15.3</v>
      </c>
      <c r="T1086" s="273">
        <v>15.3</v>
      </c>
      <c r="U1086" s="273">
        <v>15.3</v>
      </c>
      <c r="V1086" s="273">
        <v>15.3</v>
      </c>
      <c r="W1086" s="273">
        <v>15.3</v>
      </c>
      <c r="X1086" s="273">
        <v>15.3</v>
      </c>
      <c r="Y1086" s="273">
        <v>15.3</v>
      </c>
      <c r="Z1086" s="273">
        <v>15.3</v>
      </c>
      <c r="AA1086" s="273">
        <v>15.3</v>
      </c>
      <c r="AB1086" s="273">
        <v>15.3</v>
      </c>
      <c r="AC1086" s="273">
        <v>15.3</v>
      </c>
      <c r="AD1086" s="273">
        <v>15.3</v>
      </c>
      <c r="AE1086" s="273">
        <v>15.3</v>
      </c>
      <c r="AF1086" s="273">
        <v>15.3</v>
      </c>
      <c r="AG1086" s="273">
        <v>15.3</v>
      </c>
      <c r="AH1086" s="273">
        <v>15.3</v>
      </c>
      <c r="AI1086" s="273">
        <v>15.3</v>
      </c>
      <c r="AJ1086" s="273">
        <v>15.3</v>
      </c>
      <c r="AK1086" s="273">
        <v>15.3</v>
      </c>
      <c r="AL1086" s="273">
        <v>15.3</v>
      </c>
      <c r="AM1086" s="386">
        <f t="shared" si="230"/>
        <v>15.300000000000008</v>
      </c>
    </row>
    <row r="1087" spans="1:39" x14ac:dyDescent="0.2">
      <c r="A1087" s="79"/>
      <c r="B1087" s="79" t="s">
        <v>488</v>
      </c>
      <c r="C1087" s="80" t="s">
        <v>511</v>
      </c>
      <c r="D1087" s="268" t="s">
        <v>529</v>
      </c>
      <c r="E1087" s="270"/>
      <c r="F1087" s="273">
        <v>6.3</v>
      </c>
      <c r="G1087" s="273">
        <v>6.3</v>
      </c>
      <c r="H1087" s="273">
        <v>6.3</v>
      </c>
      <c r="I1087" s="273">
        <v>6.3</v>
      </c>
      <c r="J1087" s="273">
        <v>6.3</v>
      </c>
      <c r="K1087" s="273">
        <v>6.3</v>
      </c>
      <c r="L1087" s="273">
        <v>6.3</v>
      </c>
      <c r="M1087" s="273">
        <v>6.3</v>
      </c>
      <c r="N1087" s="273">
        <v>6.3</v>
      </c>
      <c r="O1087" s="273">
        <v>6.3</v>
      </c>
      <c r="P1087" s="273">
        <v>6.3</v>
      </c>
      <c r="Q1087" s="273">
        <v>6.3</v>
      </c>
      <c r="R1087" s="273">
        <v>6.3</v>
      </c>
      <c r="S1087" s="273">
        <v>6.3</v>
      </c>
      <c r="T1087" s="273">
        <v>6.3</v>
      </c>
      <c r="U1087" s="273">
        <v>6.3</v>
      </c>
      <c r="V1087" s="273">
        <v>6.3</v>
      </c>
      <c r="W1087" s="273">
        <v>6.3</v>
      </c>
      <c r="X1087" s="273">
        <v>6.3</v>
      </c>
      <c r="Y1087" s="273">
        <v>6.3</v>
      </c>
      <c r="Z1087" s="273">
        <v>6.3</v>
      </c>
      <c r="AA1087" s="273">
        <v>6.3</v>
      </c>
      <c r="AB1087" s="273">
        <v>6.3</v>
      </c>
      <c r="AC1087" s="273">
        <v>6.3</v>
      </c>
      <c r="AD1087" s="273">
        <v>6.3</v>
      </c>
      <c r="AE1087" s="273">
        <v>6.3</v>
      </c>
      <c r="AF1087" s="273">
        <v>6.3</v>
      </c>
      <c r="AG1087" s="273">
        <v>6.3</v>
      </c>
      <c r="AH1087" s="273">
        <v>6.3</v>
      </c>
      <c r="AI1087" s="273">
        <v>6.3</v>
      </c>
      <c r="AJ1087" s="273">
        <v>6.3</v>
      </c>
      <c r="AK1087" s="273">
        <v>6.3</v>
      </c>
      <c r="AL1087" s="273">
        <v>6.3</v>
      </c>
      <c r="AM1087" s="386">
        <f t="shared" si="230"/>
        <v>6.3000000000000025</v>
      </c>
    </row>
    <row r="1088" spans="1:39" x14ac:dyDescent="0.2">
      <c r="A1088" s="79"/>
      <c r="B1088" s="79"/>
      <c r="C1088" s="80"/>
      <c r="D1088" s="268"/>
      <c r="E1088" s="270"/>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73"/>
      <c r="AE1088" s="273"/>
      <c r="AF1088" s="273"/>
      <c r="AG1088" s="273"/>
      <c r="AH1088" s="273"/>
      <c r="AI1088" s="273"/>
      <c r="AJ1088" s="273"/>
      <c r="AK1088" s="273"/>
      <c r="AL1088" s="273"/>
      <c r="AM1088" s="386"/>
    </row>
    <row r="1089" spans="1:39" x14ac:dyDescent="0.2">
      <c r="A1089" s="79"/>
      <c r="B1089" s="198" t="s">
        <v>489</v>
      </c>
      <c r="C1089" s="80" t="s">
        <v>511</v>
      </c>
      <c r="D1089" s="268" t="s">
        <v>530</v>
      </c>
      <c r="E1089" s="270"/>
      <c r="F1089" s="273">
        <v>7.1</v>
      </c>
      <c r="G1089" s="273">
        <v>7.1</v>
      </c>
      <c r="H1089" s="273">
        <v>7.1</v>
      </c>
      <c r="I1089" s="273">
        <v>7.1</v>
      </c>
      <c r="J1089" s="273">
        <v>7.1</v>
      </c>
      <c r="K1089" s="273">
        <v>7.1</v>
      </c>
      <c r="L1089" s="273">
        <v>7.1</v>
      </c>
      <c r="M1089" s="273">
        <v>7.1</v>
      </c>
      <c r="N1089" s="273">
        <v>7.1</v>
      </c>
      <c r="O1089" s="273">
        <v>7.1</v>
      </c>
      <c r="P1089" s="273">
        <v>7.1</v>
      </c>
      <c r="Q1089" s="273">
        <v>7.1</v>
      </c>
      <c r="R1089" s="273">
        <v>7.1</v>
      </c>
      <c r="S1089" s="273">
        <v>7.1</v>
      </c>
      <c r="T1089" s="273">
        <v>7.1</v>
      </c>
      <c r="U1089" s="273">
        <v>7.1</v>
      </c>
      <c r="V1089" s="273">
        <v>7.1</v>
      </c>
      <c r="W1089" s="273">
        <v>7.1</v>
      </c>
      <c r="X1089" s="273">
        <v>7.1</v>
      </c>
      <c r="Y1089" s="273">
        <v>7.1</v>
      </c>
      <c r="Z1089" s="273">
        <v>7.1</v>
      </c>
      <c r="AA1089" s="273">
        <v>7.1</v>
      </c>
      <c r="AB1089" s="273">
        <v>7.1</v>
      </c>
      <c r="AC1089" s="273">
        <v>7.1</v>
      </c>
      <c r="AD1089" s="273">
        <v>7.1</v>
      </c>
      <c r="AE1089" s="273">
        <v>7.1</v>
      </c>
      <c r="AF1089" s="273">
        <v>7.1</v>
      </c>
      <c r="AG1089" s="273">
        <v>7.1</v>
      </c>
      <c r="AH1089" s="273">
        <v>7.1</v>
      </c>
      <c r="AI1089" s="273">
        <v>7.1</v>
      </c>
      <c r="AJ1089" s="273">
        <v>7.1</v>
      </c>
      <c r="AK1089" s="273">
        <v>7.1</v>
      </c>
      <c r="AL1089" s="273">
        <v>7.1</v>
      </c>
      <c r="AM1089" s="386">
        <f t="shared" si="230"/>
        <v>7.0999999999999961</v>
      </c>
    </row>
    <row r="1090" spans="1:39" x14ac:dyDescent="0.2">
      <c r="A1090" s="79"/>
      <c r="B1090" s="198" t="s">
        <v>490</v>
      </c>
      <c r="C1090" s="80" t="s">
        <v>511</v>
      </c>
      <c r="D1090" s="268" t="s">
        <v>531</v>
      </c>
      <c r="E1090" s="270"/>
      <c r="F1090" s="273">
        <v>15.3</v>
      </c>
      <c r="G1090" s="273">
        <v>15.3</v>
      </c>
      <c r="H1090" s="273">
        <v>15.3</v>
      </c>
      <c r="I1090" s="273">
        <v>15.3</v>
      </c>
      <c r="J1090" s="273">
        <v>15.3</v>
      </c>
      <c r="K1090" s="273">
        <v>15.3</v>
      </c>
      <c r="L1090" s="273">
        <v>15.3</v>
      </c>
      <c r="M1090" s="273">
        <v>15.3</v>
      </c>
      <c r="N1090" s="273">
        <v>15.3</v>
      </c>
      <c r="O1090" s="273">
        <v>15.3</v>
      </c>
      <c r="P1090" s="273">
        <v>15.3</v>
      </c>
      <c r="Q1090" s="273">
        <v>15.3</v>
      </c>
      <c r="R1090" s="273">
        <v>15.3</v>
      </c>
      <c r="S1090" s="273">
        <v>15.3</v>
      </c>
      <c r="T1090" s="273">
        <v>15.3</v>
      </c>
      <c r="U1090" s="273">
        <v>15.3</v>
      </c>
      <c r="V1090" s="273">
        <v>15.3</v>
      </c>
      <c r="W1090" s="273">
        <v>15.3</v>
      </c>
      <c r="X1090" s="273">
        <v>15.3</v>
      </c>
      <c r="Y1090" s="273">
        <v>15.3</v>
      </c>
      <c r="Z1090" s="273">
        <v>15.3</v>
      </c>
      <c r="AA1090" s="273">
        <v>15.3</v>
      </c>
      <c r="AB1090" s="273">
        <v>15.3</v>
      </c>
      <c r="AC1090" s="273">
        <v>15.3</v>
      </c>
      <c r="AD1090" s="273">
        <v>15.3</v>
      </c>
      <c r="AE1090" s="273">
        <v>15.3</v>
      </c>
      <c r="AF1090" s="273">
        <v>15.3</v>
      </c>
      <c r="AG1090" s="273">
        <v>15.3</v>
      </c>
      <c r="AH1090" s="273">
        <v>15.3</v>
      </c>
      <c r="AI1090" s="273">
        <v>15.3</v>
      </c>
      <c r="AJ1090" s="273">
        <v>15.3</v>
      </c>
      <c r="AK1090" s="273">
        <v>15.3</v>
      </c>
      <c r="AL1090" s="273">
        <v>15.3</v>
      </c>
      <c r="AM1090" s="386">
        <f t="shared" si="230"/>
        <v>15.300000000000008</v>
      </c>
    </row>
    <row r="1091" spans="1:39" x14ac:dyDescent="0.2">
      <c r="A1091" s="79"/>
      <c r="B1091" s="198" t="s">
        <v>491</v>
      </c>
      <c r="C1091" s="80" t="s">
        <v>511</v>
      </c>
      <c r="D1091" s="268" t="s">
        <v>532</v>
      </c>
      <c r="E1091" s="270"/>
      <c r="F1091" s="273">
        <v>6.3</v>
      </c>
      <c r="G1091" s="273">
        <v>6.3</v>
      </c>
      <c r="H1091" s="273">
        <v>6.3</v>
      </c>
      <c r="I1091" s="273">
        <v>6.3</v>
      </c>
      <c r="J1091" s="273">
        <v>6.3</v>
      </c>
      <c r="K1091" s="273">
        <v>6.3</v>
      </c>
      <c r="L1091" s="273">
        <v>6.3</v>
      </c>
      <c r="M1091" s="273">
        <v>6.3</v>
      </c>
      <c r="N1091" s="273">
        <v>6.3</v>
      </c>
      <c r="O1091" s="273">
        <v>6.3</v>
      </c>
      <c r="P1091" s="273">
        <v>6.3</v>
      </c>
      <c r="Q1091" s="273">
        <v>6.3</v>
      </c>
      <c r="R1091" s="273">
        <v>6.3</v>
      </c>
      <c r="S1091" s="273">
        <v>6.3</v>
      </c>
      <c r="T1091" s="273">
        <v>6.3</v>
      </c>
      <c r="U1091" s="273">
        <v>6.3</v>
      </c>
      <c r="V1091" s="273">
        <v>6.3</v>
      </c>
      <c r="W1091" s="273">
        <v>6.3</v>
      </c>
      <c r="X1091" s="273">
        <v>6.3</v>
      </c>
      <c r="Y1091" s="273">
        <v>6.3</v>
      </c>
      <c r="Z1091" s="273">
        <v>6.3</v>
      </c>
      <c r="AA1091" s="273">
        <v>6.3</v>
      </c>
      <c r="AB1091" s="273">
        <v>6.3</v>
      </c>
      <c r="AC1091" s="273">
        <v>6.3</v>
      </c>
      <c r="AD1091" s="273">
        <v>6.3</v>
      </c>
      <c r="AE1091" s="273">
        <v>6.3</v>
      </c>
      <c r="AF1091" s="273">
        <v>6.3</v>
      </c>
      <c r="AG1091" s="273">
        <v>6.3</v>
      </c>
      <c r="AH1091" s="273">
        <v>6.3</v>
      </c>
      <c r="AI1091" s="273">
        <v>6.3</v>
      </c>
      <c r="AJ1091" s="273">
        <v>6.3</v>
      </c>
      <c r="AK1091" s="273">
        <v>6.3</v>
      </c>
      <c r="AL1091" s="273">
        <v>6.3</v>
      </c>
      <c r="AM1091" s="386">
        <f t="shared" si="230"/>
        <v>6.3000000000000025</v>
      </c>
    </row>
    <row r="1092" spans="1:39" x14ac:dyDescent="0.2">
      <c r="A1092" s="79"/>
      <c r="B1092" s="199"/>
      <c r="C1092" s="80"/>
      <c r="D1092" s="268"/>
      <c r="E1092" s="270"/>
      <c r="F1092" s="273"/>
      <c r="G1092" s="273"/>
      <c r="H1092" s="273"/>
      <c r="I1092" s="273"/>
      <c r="J1092" s="273"/>
      <c r="K1092" s="273"/>
      <c r="L1092" s="273"/>
      <c r="M1092" s="273"/>
      <c r="N1092" s="273"/>
      <c r="O1092" s="273"/>
      <c r="P1092" s="273"/>
      <c r="Q1092" s="273"/>
      <c r="R1092" s="273"/>
      <c r="S1092" s="273"/>
      <c r="T1092" s="273"/>
      <c r="U1092" s="273"/>
      <c r="V1092" s="273"/>
      <c r="W1092" s="273"/>
      <c r="X1092" s="273"/>
      <c r="Y1092" s="273"/>
      <c r="Z1092" s="273"/>
      <c r="AA1092" s="273"/>
      <c r="AB1092" s="273"/>
      <c r="AC1092" s="273"/>
      <c r="AD1092" s="273"/>
      <c r="AE1092" s="273"/>
      <c r="AF1092" s="273"/>
      <c r="AG1092" s="273"/>
      <c r="AH1092" s="273"/>
      <c r="AI1092" s="273"/>
      <c r="AJ1092" s="273"/>
      <c r="AK1092" s="273"/>
      <c r="AL1092" s="273"/>
      <c r="AM1092" s="386"/>
    </row>
    <row r="1093" spans="1:39" x14ac:dyDescent="0.2">
      <c r="A1093" s="79"/>
      <c r="B1093" s="79" t="s">
        <v>492</v>
      </c>
      <c r="C1093" s="80" t="s">
        <v>511</v>
      </c>
      <c r="D1093" s="268" t="s">
        <v>533</v>
      </c>
      <c r="E1093" s="270"/>
      <c r="F1093" s="273">
        <v>3.8</v>
      </c>
      <c r="G1093" s="273">
        <v>3.8</v>
      </c>
      <c r="H1093" s="273">
        <v>3.8</v>
      </c>
      <c r="I1093" s="273">
        <v>3.8</v>
      </c>
      <c r="J1093" s="273">
        <v>3.8</v>
      </c>
      <c r="K1093" s="273">
        <v>3.8</v>
      </c>
      <c r="L1093" s="273">
        <v>3.8</v>
      </c>
      <c r="M1093" s="273">
        <v>3.8</v>
      </c>
      <c r="N1093" s="273">
        <v>3.8</v>
      </c>
      <c r="O1093" s="273">
        <v>3.8</v>
      </c>
      <c r="P1093" s="273">
        <v>3.8</v>
      </c>
      <c r="Q1093" s="273">
        <v>3.8</v>
      </c>
      <c r="R1093" s="273">
        <v>3.8</v>
      </c>
      <c r="S1093" s="273">
        <v>3.8</v>
      </c>
      <c r="T1093" s="273">
        <v>3.8</v>
      </c>
      <c r="U1093" s="273">
        <v>3.8</v>
      </c>
      <c r="V1093" s="273">
        <v>3.8</v>
      </c>
      <c r="W1093" s="273">
        <v>3.8</v>
      </c>
      <c r="X1093" s="273">
        <v>3.8</v>
      </c>
      <c r="Y1093" s="273">
        <v>3.8</v>
      </c>
      <c r="Z1093" s="273">
        <v>3.8</v>
      </c>
      <c r="AA1093" s="273">
        <v>3.8</v>
      </c>
      <c r="AB1093" s="273">
        <v>3.8</v>
      </c>
      <c r="AC1093" s="273">
        <v>3.8</v>
      </c>
      <c r="AD1093" s="273">
        <v>3.8</v>
      </c>
      <c r="AE1093" s="273">
        <v>3.8</v>
      </c>
      <c r="AF1093" s="273">
        <v>3.8</v>
      </c>
      <c r="AG1093" s="273">
        <v>3.8</v>
      </c>
      <c r="AH1093" s="273">
        <v>3.8</v>
      </c>
      <c r="AI1093" s="273">
        <v>3.8</v>
      </c>
      <c r="AJ1093" s="273">
        <v>3.8</v>
      </c>
      <c r="AK1093" s="273">
        <v>3.8</v>
      </c>
      <c r="AL1093" s="273">
        <v>3.8</v>
      </c>
      <c r="AM1093" s="386">
        <f t="shared" si="230"/>
        <v>3.799999999999998</v>
      </c>
    </row>
    <row r="1094" spans="1:39" x14ac:dyDescent="0.2">
      <c r="A1094" s="79"/>
      <c r="B1094" s="79" t="s">
        <v>493</v>
      </c>
      <c r="C1094" s="80" t="s">
        <v>511</v>
      </c>
      <c r="D1094" s="268" t="s">
        <v>534</v>
      </c>
      <c r="E1094" s="270"/>
      <c r="F1094" s="273">
        <v>3.8</v>
      </c>
      <c r="G1094" s="273">
        <v>3.8</v>
      </c>
      <c r="H1094" s="273">
        <v>3.8</v>
      </c>
      <c r="I1094" s="273">
        <v>3.8</v>
      </c>
      <c r="J1094" s="273">
        <v>3.8</v>
      </c>
      <c r="K1094" s="273">
        <v>3.8</v>
      </c>
      <c r="L1094" s="273">
        <v>3.8</v>
      </c>
      <c r="M1094" s="273">
        <v>3.8</v>
      </c>
      <c r="N1094" s="273">
        <v>3.8</v>
      </c>
      <c r="O1094" s="273">
        <v>3.8</v>
      </c>
      <c r="P1094" s="273">
        <v>3.8</v>
      </c>
      <c r="Q1094" s="273">
        <v>3.8</v>
      </c>
      <c r="R1094" s="273">
        <v>3.8</v>
      </c>
      <c r="S1094" s="273">
        <v>3.8</v>
      </c>
      <c r="T1094" s="273">
        <v>3.8</v>
      </c>
      <c r="U1094" s="273">
        <v>3.8</v>
      </c>
      <c r="V1094" s="273">
        <v>3.8</v>
      </c>
      <c r="W1094" s="273">
        <v>3.8</v>
      </c>
      <c r="X1094" s="273">
        <v>3.8</v>
      </c>
      <c r="Y1094" s="273">
        <v>3.8</v>
      </c>
      <c r="Z1094" s="273">
        <v>3.8</v>
      </c>
      <c r="AA1094" s="273">
        <v>3.8</v>
      </c>
      <c r="AB1094" s="273">
        <v>3.8</v>
      </c>
      <c r="AC1094" s="273">
        <v>3.8</v>
      </c>
      <c r="AD1094" s="273">
        <v>3.8</v>
      </c>
      <c r="AE1094" s="273">
        <v>3.8</v>
      </c>
      <c r="AF1094" s="273">
        <v>3.8</v>
      </c>
      <c r="AG1094" s="273">
        <v>3.8</v>
      </c>
      <c r="AH1094" s="273">
        <v>3.8</v>
      </c>
      <c r="AI1094" s="273">
        <v>3.8</v>
      </c>
      <c r="AJ1094" s="273">
        <v>3.8</v>
      </c>
      <c r="AK1094" s="273">
        <v>3.8</v>
      </c>
      <c r="AL1094" s="273">
        <v>3.8</v>
      </c>
      <c r="AM1094" s="386">
        <f t="shared" si="230"/>
        <v>3.799999999999998</v>
      </c>
    </row>
    <row r="1095" spans="1:39" x14ac:dyDescent="0.2">
      <c r="A1095" s="79"/>
      <c r="B1095" s="79" t="s">
        <v>494</v>
      </c>
      <c r="C1095" s="80" t="s">
        <v>511</v>
      </c>
      <c r="D1095" s="268" t="s">
        <v>535</v>
      </c>
      <c r="E1095" s="270"/>
      <c r="F1095" s="273">
        <v>22.2</v>
      </c>
      <c r="G1095" s="273">
        <v>22.2</v>
      </c>
      <c r="H1095" s="273">
        <v>22.2</v>
      </c>
      <c r="I1095" s="273">
        <v>22.2</v>
      </c>
      <c r="J1095" s="273">
        <v>22.2</v>
      </c>
      <c r="K1095" s="273">
        <v>22.2</v>
      </c>
      <c r="L1095" s="273">
        <v>22.2</v>
      </c>
      <c r="M1095" s="273">
        <v>22.2</v>
      </c>
      <c r="N1095" s="273">
        <v>22.2</v>
      </c>
      <c r="O1095" s="273">
        <v>22.2</v>
      </c>
      <c r="P1095" s="273">
        <v>22.2</v>
      </c>
      <c r="Q1095" s="273">
        <v>22.2</v>
      </c>
      <c r="R1095" s="273">
        <v>22.2</v>
      </c>
      <c r="S1095" s="273">
        <v>22.2</v>
      </c>
      <c r="T1095" s="273">
        <v>22.2</v>
      </c>
      <c r="U1095" s="273">
        <v>22.2</v>
      </c>
      <c r="V1095" s="273">
        <v>22.2</v>
      </c>
      <c r="W1095" s="273">
        <v>22.2</v>
      </c>
      <c r="X1095" s="273">
        <v>22.2</v>
      </c>
      <c r="Y1095" s="273">
        <v>22.2</v>
      </c>
      <c r="Z1095" s="273">
        <v>22.2</v>
      </c>
      <c r="AA1095" s="273">
        <v>22.2</v>
      </c>
      <c r="AB1095" s="273">
        <v>22.2</v>
      </c>
      <c r="AC1095" s="273">
        <v>22.2</v>
      </c>
      <c r="AD1095" s="273">
        <v>22.2</v>
      </c>
      <c r="AE1095" s="273">
        <v>22.2</v>
      </c>
      <c r="AF1095" s="273">
        <v>22.2</v>
      </c>
      <c r="AG1095" s="273">
        <v>22.2</v>
      </c>
      <c r="AH1095" s="273">
        <v>22.2</v>
      </c>
      <c r="AI1095" s="273">
        <v>22.2</v>
      </c>
      <c r="AJ1095" s="273">
        <v>22.2</v>
      </c>
      <c r="AK1095" s="273">
        <v>22.2</v>
      </c>
      <c r="AL1095" s="273">
        <v>22.2</v>
      </c>
      <c r="AM1095" s="386">
        <f t="shared" si="230"/>
        <v>22.200000000000006</v>
      </c>
    </row>
    <row r="1096" spans="1:39" x14ac:dyDescent="0.2">
      <c r="A1096" s="79"/>
      <c r="B1096" s="79" t="s">
        <v>495</v>
      </c>
      <c r="C1096" s="80" t="s">
        <v>511</v>
      </c>
      <c r="D1096" s="268" t="s">
        <v>536</v>
      </c>
      <c r="E1096" s="270"/>
      <c r="F1096" s="273">
        <v>22.2</v>
      </c>
      <c r="G1096" s="273">
        <v>22.2</v>
      </c>
      <c r="H1096" s="273">
        <v>22.2</v>
      </c>
      <c r="I1096" s="273">
        <v>22.2</v>
      </c>
      <c r="J1096" s="273">
        <v>22.2</v>
      </c>
      <c r="K1096" s="273">
        <v>22.2</v>
      </c>
      <c r="L1096" s="273">
        <v>22.2</v>
      </c>
      <c r="M1096" s="273">
        <v>22.2</v>
      </c>
      <c r="N1096" s="273">
        <v>22.2</v>
      </c>
      <c r="O1096" s="273">
        <v>22.2</v>
      </c>
      <c r="P1096" s="273">
        <v>22.2</v>
      </c>
      <c r="Q1096" s="273">
        <v>22.2</v>
      </c>
      <c r="R1096" s="273">
        <v>22.2</v>
      </c>
      <c r="S1096" s="273">
        <v>22.2</v>
      </c>
      <c r="T1096" s="273">
        <v>22.2</v>
      </c>
      <c r="U1096" s="273">
        <v>22.2</v>
      </c>
      <c r="V1096" s="273">
        <v>22.2</v>
      </c>
      <c r="W1096" s="273">
        <v>22.2</v>
      </c>
      <c r="X1096" s="273">
        <v>22.2</v>
      </c>
      <c r="Y1096" s="273">
        <v>22.2</v>
      </c>
      <c r="Z1096" s="273">
        <v>22.2</v>
      </c>
      <c r="AA1096" s="273">
        <v>22.2</v>
      </c>
      <c r="AB1096" s="273">
        <v>22.2</v>
      </c>
      <c r="AC1096" s="273">
        <v>22.2</v>
      </c>
      <c r="AD1096" s="273">
        <v>22.2</v>
      </c>
      <c r="AE1096" s="273">
        <v>22.2</v>
      </c>
      <c r="AF1096" s="273">
        <v>22.2</v>
      </c>
      <c r="AG1096" s="273">
        <v>22.2</v>
      </c>
      <c r="AH1096" s="273">
        <v>22.2</v>
      </c>
      <c r="AI1096" s="273">
        <v>22.2</v>
      </c>
      <c r="AJ1096" s="273">
        <v>22.2</v>
      </c>
      <c r="AK1096" s="273">
        <v>22.2</v>
      </c>
      <c r="AL1096" s="273">
        <v>22.2</v>
      </c>
      <c r="AM1096" s="386">
        <f t="shared" si="230"/>
        <v>22.200000000000006</v>
      </c>
    </row>
    <row r="1097" spans="1:39" x14ac:dyDescent="0.2">
      <c r="A1097" s="79"/>
      <c r="B1097" s="79" t="s">
        <v>496</v>
      </c>
      <c r="C1097" s="80" t="s">
        <v>511</v>
      </c>
      <c r="D1097" s="268" t="s">
        <v>537</v>
      </c>
      <c r="E1097" s="270"/>
      <c r="F1097" s="273">
        <v>12.2</v>
      </c>
      <c r="G1097" s="273">
        <v>12.2</v>
      </c>
      <c r="H1097" s="273">
        <v>12.2</v>
      </c>
      <c r="I1097" s="273">
        <v>12.2</v>
      </c>
      <c r="J1097" s="273">
        <v>12.2</v>
      </c>
      <c r="K1097" s="273">
        <v>12.2</v>
      </c>
      <c r="L1097" s="273">
        <v>12.2</v>
      </c>
      <c r="M1097" s="273">
        <v>12.2</v>
      </c>
      <c r="N1097" s="273">
        <v>12.2</v>
      </c>
      <c r="O1097" s="273">
        <v>12.2</v>
      </c>
      <c r="P1097" s="273">
        <v>12.2</v>
      </c>
      <c r="Q1097" s="273">
        <v>12.2</v>
      </c>
      <c r="R1097" s="273">
        <v>12.2</v>
      </c>
      <c r="S1097" s="273">
        <v>12.2</v>
      </c>
      <c r="T1097" s="273">
        <v>12.2</v>
      </c>
      <c r="U1097" s="273">
        <v>12.2</v>
      </c>
      <c r="V1097" s="273">
        <v>12.2</v>
      </c>
      <c r="W1097" s="273">
        <v>12.2</v>
      </c>
      <c r="X1097" s="273">
        <v>12.2</v>
      </c>
      <c r="Y1097" s="273">
        <v>12.2</v>
      </c>
      <c r="Z1097" s="273">
        <v>12.2</v>
      </c>
      <c r="AA1097" s="273">
        <v>12.2</v>
      </c>
      <c r="AB1097" s="273">
        <v>12.2</v>
      </c>
      <c r="AC1097" s="273">
        <v>12.2</v>
      </c>
      <c r="AD1097" s="273">
        <v>12.2</v>
      </c>
      <c r="AE1097" s="273">
        <v>12.2</v>
      </c>
      <c r="AF1097" s="273">
        <v>12.2</v>
      </c>
      <c r="AG1097" s="273">
        <v>12.2</v>
      </c>
      <c r="AH1097" s="273">
        <v>12.2</v>
      </c>
      <c r="AI1097" s="273">
        <v>12.2</v>
      </c>
      <c r="AJ1097" s="273">
        <v>12.2</v>
      </c>
      <c r="AK1097" s="273">
        <v>12.2</v>
      </c>
      <c r="AL1097" s="273">
        <v>12.2</v>
      </c>
      <c r="AM1097" s="386">
        <f t="shared" si="230"/>
        <v>12.199999999999994</v>
      </c>
    </row>
    <row r="1098" spans="1:39" x14ac:dyDescent="0.2">
      <c r="A1098" s="79"/>
      <c r="B1098" s="19"/>
      <c r="C1098" s="80"/>
      <c r="D1098" s="268"/>
      <c r="E1098" s="270"/>
      <c r="F1098" s="273"/>
      <c r="G1098" s="273"/>
      <c r="H1098" s="273"/>
      <c r="I1098" s="273"/>
      <c r="J1098" s="273"/>
      <c r="K1098" s="273"/>
      <c r="L1098" s="273"/>
      <c r="M1098" s="273"/>
      <c r="N1098" s="273"/>
      <c r="O1098" s="273"/>
      <c r="P1098" s="273"/>
      <c r="Q1098" s="273"/>
      <c r="R1098" s="273"/>
      <c r="S1098" s="273"/>
      <c r="T1098" s="273"/>
      <c r="U1098" s="273"/>
      <c r="V1098" s="273"/>
      <c r="W1098" s="273"/>
      <c r="X1098" s="273"/>
      <c r="Y1098" s="273"/>
      <c r="Z1098" s="273"/>
      <c r="AA1098" s="273"/>
      <c r="AB1098" s="273"/>
      <c r="AC1098" s="273"/>
      <c r="AD1098" s="273"/>
      <c r="AE1098" s="273"/>
      <c r="AF1098" s="273"/>
      <c r="AG1098" s="273"/>
      <c r="AH1098" s="273"/>
      <c r="AI1098" s="273"/>
      <c r="AJ1098" s="273"/>
      <c r="AK1098" s="273"/>
      <c r="AL1098" s="273"/>
      <c r="AM1098" s="386"/>
    </row>
    <row r="1099" spans="1:39" x14ac:dyDescent="0.2">
      <c r="A1099" s="79"/>
      <c r="B1099" s="198" t="s">
        <v>497</v>
      </c>
      <c r="C1099" s="80" t="s">
        <v>511</v>
      </c>
      <c r="D1099" s="268" t="s">
        <v>538</v>
      </c>
      <c r="E1099" s="270"/>
      <c r="F1099" s="273">
        <v>0.71299999999999997</v>
      </c>
      <c r="G1099" s="273">
        <v>0.71299999999999997</v>
      </c>
      <c r="H1099" s="273">
        <v>0.71299999999999997</v>
      </c>
      <c r="I1099" s="273">
        <v>0.71299999999999997</v>
      </c>
      <c r="J1099" s="273">
        <v>0.71299999999999997</v>
      </c>
      <c r="K1099" s="273">
        <v>0.71299999999999997</v>
      </c>
      <c r="L1099" s="273">
        <v>0.71299999999999997</v>
      </c>
      <c r="M1099" s="273">
        <v>0.71299999999999997</v>
      </c>
      <c r="N1099" s="273">
        <v>0.71299999999999997</v>
      </c>
      <c r="O1099" s="273">
        <v>0.71299999999999997</v>
      </c>
      <c r="P1099" s="273">
        <v>0.71299999999999997</v>
      </c>
      <c r="Q1099" s="273">
        <v>0.71299999999999997</v>
      </c>
      <c r="R1099" s="273">
        <v>0.71299999999999997</v>
      </c>
      <c r="S1099" s="273">
        <v>0.71299999999999997</v>
      </c>
      <c r="T1099" s="273">
        <v>0.71299999999999997</v>
      </c>
      <c r="U1099" s="273">
        <v>0.71299999999999997</v>
      </c>
      <c r="V1099" s="273">
        <v>0.71299999999999997</v>
      </c>
      <c r="W1099" s="273">
        <v>0.71299999999999997</v>
      </c>
      <c r="X1099" s="273">
        <v>0.71299999999999997</v>
      </c>
      <c r="Y1099" s="273">
        <v>0.71299999999999997</v>
      </c>
      <c r="Z1099" s="273">
        <v>0.71299999999999997</v>
      </c>
      <c r="AA1099" s="273">
        <v>0.71299999999999997</v>
      </c>
      <c r="AB1099" s="273">
        <v>0.71299999999999997</v>
      </c>
      <c r="AC1099" s="273">
        <v>0.71299999999999997</v>
      </c>
      <c r="AD1099" s="273">
        <v>0.71299999999999997</v>
      </c>
      <c r="AE1099" s="273">
        <v>0.71299999999999997</v>
      </c>
      <c r="AF1099" s="273">
        <v>0.71299999999999997</v>
      </c>
      <c r="AG1099" s="273">
        <v>0.71299999999999997</v>
      </c>
      <c r="AH1099" s="273">
        <v>0.71299999999999997</v>
      </c>
      <c r="AI1099" s="273">
        <v>0.71299999999999997</v>
      </c>
      <c r="AJ1099" s="273">
        <v>0.71299999999999997</v>
      </c>
      <c r="AK1099" s="273">
        <v>0.71299999999999997</v>
      </c>
      <c r="AL1099" s="273">
        <v>0.71299999999999997</v>
      </c>
      <c r="AM1099" s="386">
        <f t="shared" si="230"/>
        <v>0.71299999999999997</v>
      </c>
    </row>
    <row r="1100" spans="1:39" x14ac:dyDescent="0.2">
      <c r="A1100" s="79"/>
      <c r="B1100" s="198" t="s">
        <v>498</v>
      </c>
      <c r="C1100" s="80" t="s">
        <v>511</v>
      </c>
      <c r="D1100" s="268" t="s">
        <v>539</v>
      </c>
      <c r="E1100" s="270"/>
      <c r="F1100" s="273">
        <v>0.71299999999999997</v>
      </c>
      <c r="G1100" s="273">
        <v>0.71299999999999997</v>
      </c>
      <c r="H1100" s="273">
        <v>0.71299999999999997</v>
      </c>
      <c r="I1100" s="273">
        <v>0.71299999999999997</v>
      </c>
      <c r="J1100" s="273">
        <v>0.71299999999999997</v>
      </c>
      <c r="K1100" s="273">
        <v>0.71299999999999997</v>
      </c>
      <c r="L1100" s="273">
        <v>0.71299999999999997</v>
      </c>
      <c r="M1100" s="273">
        <v>0.71299999999999997</v>
      </c>
      <c r="N1100" s="273">
        <v>0.71299999999999997</v>
      </c>
      <c r="O1100" s="273">
        <v>0.71299999999999997</v>
      </c>
      <c r="P1100" s="273">
        <v>0.71299999999999997</v>
      </c>
      <c r="Q1100" s="273">
        <v>0.71299999999999997</v>
      </c>
      <c r="R1100" s="273">
        <v>0.71299999999999997</v>
      </c>
      <c r="S1100" s="273">
        <v>0.71299999999999997</v>
      </c>
      <c r="T1100" s="273">
        <v>0.71299999999999997</v>
      </c>
      <c r="U1100" s="273">
        <v>0.71299999999999997</v>
      </c>
      <c r="V1100" s="273">
        <v>0.71299999999999997</v>
      </c>
      <c r="W1100" s="273">
        <v>0.71299999999999997</v>
      </c>
      <c r="X1100" s="273">
        <v>0.71299999999999997</v>
      </c>
      <c r="Y1100" s="273">
        <v>0.71299999999999997</v>
      </c>
      <c r="Z1100" s="273">
        <v>0.71299999999999997</v>
      </c>
      <c r="AA1100" s="273">
        <v>0.71299999999999997</v>
      </c>
      <c r="AB1100" s="273">
        <v>0.71299999999999997</v>
      </c>
      <c r="AC1100" s="273">
        <v>0.71299999999999997</v>
      </c>
      <c r="AD1100" s="273">
        <v>0.71299999999999997</v>
      </c>
      <c r="AE1100" s="273">
        <v>0.71299999999999997</v>
      </c>
      <c r="AF1100" s="273">
        <v>0.71299999999999997</v>
      </c>
      <c r="AG1100" s="273">
        <v>0.71299999999999997</v>
      </c>
      <c r="AH1100" s="273">
        <v>0.71299999999999997</v>
      </c>
      <c r="AI1100" s="273">
        <v>0.71299999999999997</v>
      </c>
      <c r="AJ1100" s="273">
        <v>0.71299999999999997</v>
      </c>
      <c r="AK1100" s="273">
        <v>0.71299999999999997</v>
      </c>
      <c r="AL1100" s="273">
        <v>0.71299999999999997</v>
      </c>
      <c r="AM1100" s="386">
        <f t="shared" si="230"/>
        <v>0.71299999999999997</v>
      </c>
    </row>
    <row r="1101" spans="1:39" x14ac:dyDescent="0.2">
      <c r="A1101" s="79"/>
      <c r="B1101" s="198" t="s">
        <v>499</v>
      </c>
      <c r="C1101" s="80" t="s">
        <v>511</v>
      </c>
      <c r="D1101" s="268" t="s">
        <v>540</v>
      </c>
      <c r="E1101" s="270"/>
      <c r="F1101" s="273">
        <v>0.313</v>
      </c>
      <c r="G1101" s="273">
        <v>0.313</v>
      </c>
      <c r="H1101" s="273">
        <v>0.313</v>
      </c>
      <c r="I1101" s="273">
        <v>0.313</v>
      </c>
      <c r="J1101" s="273">
        <v>0.313</v>
      </c>
      <c r="K1101" s="273">
        <v>0.313</v>
      </c>
      <c r="L1101" s="273">
        <v>0.313</v>
      </c>
      <c r="M1101" s="273">
        <v>0.313</v>
      </c>
      <c r="N1101" s="273">
        <v>0.313</v>
      </c>
      <c r="O1101" s="273">
        <v>0.313</v>
      </c>
      <c r="P1101" s="273">
        <v>0.313</v>
      </c>
      <c r="Q1101" s="273">
        <v>0.313</v>
      </c>
      <c r="R1101" s="273">
        <v>0.313</v>
      </c>
      <c r="S1101" s="273">
        <v>0.313</v>
      </c>
      <c r="T1101" s="273">
        <v>0.313</v>
      </c>
      <c r="U1101" s="273">
        <v>0.313</v>
      </c>
      <c r="V1101" s="273">
        <v>0.313</v>
      </c>
      <c r="W1101" s="273">
        <v>0.313</v>
      </c>
      <c r="X1101" s="273">
        <v>0.313</v>
      </c>
      <c r="Y1101" s="273">
        <v>0.313</v>
      </c>
      <c r="Z1101" s="273">
        <v>0.313</v>
      </c>
      <c r="AA1101" s="273">
        <v>0.313</v>
      </c>
      <c r="AB1101" s="273">
        <v>0.313</v>
      </c>
      <c r="AC1101" s="273">
        <v>0.313</v>
      </c>
      <c r="AD1101" s="273">
        <v>0.313</v>
      </c>
      <c r="AE1101" s="273">
        <v>0.313</v>
      </c>
      <c r="AF1101" s="273">
        <v>0.313</v>
      </c>
      <c r="AG1101" s="273">
        <v>0.313</v>
      </c>
      <c r="AH1101" s="273">
        <v>0.313</v>
      </c>
      <c r="AI1101" s="273">
        <v>0.313</v>
      </c>
      <c r="AJ1101" s="273">
        <v>0.313</v>
      </c>
      <c r="AK1101" s="273">
        <v>0.313</v>
      </c>
      <c r="AL1101" s="273">
        <v>0.313</v>
      </c>
      <c r="AM1101" s="386">
        <f t="shared" si="230"/>
        <v>0.31300000000000006</v>
      </c>
    </row>
    <row r="1102" spans="1:39" x14ac:dyDescent="0.2">
      <c r="A1102" s="79"/>
      <c r="B1102" s="198" t="s">
        <v>500</v>
      </c>
      <c r="C1102" s="80" t="s">
        <v>511</v>
      </c>
      <c r="D1102" s="268" t="s">
        <v>541</v>
      </c>
      <c r="E1102" s="270"/>
      <c r="F1102" s="273">
        <v>0.314</v>
      </c>
      <c r="G1102" s="273">
        <v>0.314</v>
      </c>
      <c r="H1102" s="273">
        <v>0.314</v>
      </c>
      <c r="I1102" s="273">
        <v>0.314</v>
      </c>
      <c r="J1102" s="273">
        <v>0.314</v>
      </c>
      <c r="K1102" s="273">
        <v>0.314</v>
      </c>
      <c r="L1102" s="273">
        <v>0.314</v>
      </c>
      <c r="M1102" s="273">
        <v>0.314</v>
      </c>
      <c r="N1102" s="273">
        <v>0.314</v>
      </c>
      <c r="O1102" s="273">
        <v>0.314</v>
      </c>
      <c r="P1102" s="273">
        <v>0.314</v>
      </c>
      <c r="Q1102" s="273">
        <v>0.314</v>
      </c>
      <c r="R1102" s="273">
        <v>0.314</v>
      </c>
      <c r="S1102" s="273">
        <v>0.314</v>
      </c>
      <c r="T1102" s="273">
        <v>0.314</v>
      </c>
      <c r="U1102" s="273">
        <v>0.314</v>
      </c>
      <c r="V1102" s="273">
        <v>0.314</v>
      </c>
      <c r="W1102" s="273">
        <v>0.314</v>
      </c>
      <c r="X1102" s="273">
        <v>0.314</v>
      </c>
      <c r="Y1102" s="273">
        <v>0.314</v>
      </c>
      <c r="Z1102" s="273">
        <v>0.314</v>
      </c>
      <c r="AA1102" s="273">
        <v>0.314</v>
      </c>
      <c r="AB1102" s="273">
        <v>0.314</v>
      </c>
      <c r="AC1102" s="273">
        <v>0.314</v>
      </c>
      <c r="AD1102" s="273">
        <v>0.314</v>
      </c>
      <c r="AE1102" s="273">
        <v>0.314</v>
      </c>
      <c r="AF1102" s="273">
        <v>0.314</v>
      </c>
      <c r="AG1102" s="273">
        <v>0.314</v>
      </c>
      <c r="AH1102" s="273">
        <v>0.314</v>
      </c>
      <c r="AI1102" s="273">
        <v>0.314</v>
      </c>
      <c r="AJ1102" s="273">
        <v>0.314</v>
      </c>
      <c r="AK1102" s="273">
        <v>0.314</v>
      </c>
      <c r="AL1102" s="273">
        <v>0.314</v>
      </c>
      <c r="AM1102" s="386">
        <f t="shared" si="230"/>
        <v>0.314</v>
      </c>
    </row>
    <row r="1103" spans="1:39" x14ac:dyDescent="0.2">
      <c r="A1103" s="79"/>
      <c r="B1103" s="198" t="s">
        <v>501</v>
      </c>
      <c r="C1103" s="80" t="s">
        <v>511</v>
      </c>
      <c r="D1103" s="268" t="s">
        <v>542</v>
      </c>
      <c r="E1103" s="270"/>
      <c r="F1103" s="273">
        <v>0.60899999999999999</v>
      </c>
      <c r="G1103" s="273">
        <v>0.60899999999999999</v>
      </c>
      <c r="H1103" s="273">
        <v>0.60899999999999999</v>
      </c>
      <c r="I1103" s="273">
        <v>0.60899999999999999</v>
      </c>
      <c r="J1103" s="273">
        <v>0.60899999999999999</v>
      </c>
      <c r="K1103" s="273">
        <v>0.60899999999999999</v>
      </c>
      <c r="L1103" s="273">
        <v>0.60899999999999999</v>
      </c>
      <c r="M1103" s="273">
        <v>0.60899999999999999</v>
      </c>
      <c r="N1103" s="273">
        <v>0.60899999999999999</v>
      </c>
      <c r="O1103" s="273">
        <v>0.60899999999999999</v>
      </c>
      <c r="P1103" s="273">
        <v>0.60899999999999999</v>
      </c>
      <c r="Q1103" s="273">
        <v>0.60899999999999999</v>
      </c>
      <c r="R1103" s="273">
        <v>0.60899999999999999</v>
      </c>
      <c r="S1103" s="273">
        <v>0.60899999999999999</v>
      </c>
      <c r="T1103" s="273">
        <v>0.60899999999999999</v>
      </c>
      <c r="U1103" s="273">
        <v>0.60899999999999999</v>
      </c>
      <c r="V1103" s="273">
        <v>0.60899999999999999</v>
      </c>
      <c r="W1103" s="273">
        <v>0.60899999999999999</v>
      </c>
      <c r="X1103" s="273">
        <v>0.60899999999999999</v>
      </c>
      <c r="Y1103" s="273">
        <v>0.60899999999999999</v>
      </c>
      <c r="Z1103" s="273">
        <v>0.60899999999999999</v>
      </c>
      <c r="AA1103" s="273">
        <v>0.60899999999999999</v>
      </c>
      <c r="AB1103" s="273">
        <v>0.60899999999999999</v>
      </c>
      <c r="AC1103" s="273">
        <v>0.60899999999999999</v>
      </c>
      <c r="AD1103" s="273">
        <v>0.60899999999999999</v>
      </c>
      <c r="AE1103" s="273">
        <v>0.60899999999999999</v>
      </c>
      <c r="AF1103" s="273">
        <v>0.60899999999999999</v>
      </c>
      <c r="AG1103" s="273">
        <v>0.60899999999999999</v>
      </c>
      <c r="AH1103" s="273">
        <v>0.60899999999999999</v>
      </c>
      <c r="AI1103" s="273">
        <v>0.60899999999999999</v>
      </c>
      <c r="AJ1103" s="273">
        <v>0.60899999999999999</v>
      </c>
      <c r="AK1103" s="273">
        <v>0.60899999999999999</v>
      </c>
      <c r="AL1103" s="273">
        <v>0.60899999999999999</v>
      </c>
      <c r="AM1103" s="386">
        <f t="shared" si="230"/>
        <v>0.60900000000000021</v>
      </c>
    </row>
    <row r="1104" spans="1:39" x14ac:dyDescent="0.2">
      <c r="A1104" s="79"/>
      <c r="B1104" s="198" t="s">
        <v>502</v>
      </c>
      <c r="C1104" s="80" t="s">
        <v>511</v>
      </c>
      <c r="D1104" s="268" t="s">
        <v>543</v>
      </c>
      <c r="E1104" s="270"/>
      <c r="F1104" s="273">
        <v>0.60899999999999999</v>
      </c>
      <c r="G1104" s="273">
        <v>0.60899999999999999</v>
      </c>
      <c r="H1104" s="273">
        <v>0.60899999999999999</v>
      </c>
      <c r="I1104" s="273">
        <v>0.60899999999999999</v>
      </c>
      <c r="J1104" s="273">
        <v>0.60899999999999999</v>
      </c>
      <c r="K1104" s="273">
        <v>0.60899999999999999</v>
      </c>
      <c r="L1104" s="273">
        <v>0.60899999999999999</v>
      </c>
      <c r="M1104" s="273">
        <v>0.60899999999999999</v>
      </c>
      <c r="N1104" s="273">
        <v>0.60899999999999999</v>
      </c>
      <c r="O1104" s="273">
        <v>0.60899999999999999</v>
      </c>
      <c r="P1104" s="273">
        <v>0.60899999999999999</v>
      </c>
      <c r="Q1104" s="273">
        <v>0.60899999999999999</v>
      </c>
      <c r="R1104" s="273">
        <v>0.60899999999999999</v>
      </c>
      <c r="S1104" s="273">
        <v>0.60899999999999999</v>
      </c>
      <c r="T1104" s="273">
        <v>0.60899999999999999</v>
      </c>
      <c r="U1104" s="273">
        <v>0.60899999999999999</v>
      </c>
      <c r="V1104" s="273">
        <v>0.60899999999999999</v>
      </c>
      <c r="W1104" s="273">
        <v>0.60899999999999999</v>
      </c>
      <c r="X1104" s="273">
        <v>0.60899999999999999</v>
      </c>
      <c r="Y1104" s="273">
        <v>0.60899999999999999</v>
      </c>
      <c r="Z1104" s="273">
        <v>0.60899999999999999</v>
      </c>
      <c r="AA1104" s="273">
        <v>0.60899999999999999</v>
      </c>
      <c r="AB1104" s="273">
        <v>0.60899999999999999</v>
      </c>
      <c r="AC1104" s="273">
        <v>0.60899999999999999</v>
      </c>
      <c r="AD1104" s="273">
        <v>0.60899999999999999</v>
      </c>
      <c r="AE1104" s="273">
        <v>0.60899999999999999</v>
      </c>
      <c r="AF1104" s="273">
        <v>0.60899999999999999</v>
      </c>
      <c r="AG1104" s="273">
        <v>0.60899999999999999</v>
      </c>
      <c r="AH1104" s="273">
        <v>0.60899999999999999</v>
      </c>
      <c r="AI1104" s="273">
        <v>0.60899999999999999</v>
      </c>
      <c r="AJ1104" s="273">
        <v>0.60899999999999999</v>
      </c>
      <c r="AK1104" s="273">
        <v>0.60899999999999999</v>
      </c>
      <c r="AL1104" s="273">
        <v>0.60899999999999999</v>
      </c>
      <c r="AM1104" s="386">
        <f t="shared" si="230"/>
        <v>0.60900000000000021</v>
      </c>
    </row>
    <row r="1105" spans="1:39" x14ac:dyDescent="0.2">
      <c r="A1105" s="79"/>
      <c r="B1105" s="198" t="s">
        <v>503</v>
      </c>
      <c r="C1105" s="80" t="s">
        <v>511</v>
      </c>
      <c r="D1105" s="268" t="s">
        <v>544</v>
      </c>
      <c r="E1105" s="270"/>
      <c r="F1105" s="273">
        <v>0.99099999999999999</v>
      </c>
      <c r="G1105" s="273">
        <v>0.99099999999999999</v>
      </c>
      <c r="H1105" s="273">
        <v>0.99099999999999999</v>
      </c>
      <c r="I1105" s="273">
        <v>0.99099999999999999</v>
      </c>
      <c r="J1105" s="273">
        <v>0.99099999999999999</v>
      </c>
      <c r="K1105" s="273">
        <v>0.99099999999999999</v>
      </c>
      <c r="L1105" s="273">
        <v>0.99099999999999999</v>
      </c>
      <c r="M1105" s="273">
        <v>0.99099999999999999</v>
      </c>
      <c r="N1105" s="273">
        <v>0.99099999999999999</v>
      </c>
      <c r="O1105" s="273">
        <v>0.99099999999999999</v>
      </c>
      <c r="P1105" s="273">
        <v>0.99099999999999999</v>
      </c>
      <c r="Q1105" s="273">
        <v>0.99099999999999999</v>
      </c>
      <c r="R1105" s="273">
        <v>0.99099999999999999</v>
      </c>
      <c r="S1105" s="273">
        <v>0.99099999999999999</v>
      </c>
      <c r="T1105" s="273">
        <v>0.99099999999999999</v>
      </c>
      <c r="U1105" s="273">
        <v>0.99099999999999999</v>
      </c>
      <c r="V1105" s="273">
        <v>0.99099999999999999</v>
      </c>
      <c r="W1105" s="273">
        <v>0.99099999999999999</v>
      </c>
      <c r="X1105" s="273">
        <v>0.99099999999999999</v>
      </c>
      <c r="Y1105" s="273">
        <v>0.99099999999999999</v>
      </c>
      <c r="Z1105" s="273">
        <v>0.99099999999999999</v>
      </c>
      <c r="AA1105" s="273">
        <v>0.99099999999999999</v>
      </c>
      <c r="AB1105" s="273">
        <v>0.99099999999999999</v>
      </c>
      <c r="AC1105" s="273">
        <v>0.99099999999999999</v>
      </c>
      <c r="AD1105" s="273">
        <v>0.99099999999999999</v>
      </c>
      <c r="AE1105" s="273">
        <v>0.99099999999999999</v>
      </c>
      <c r="AF1105" s="273">
        <v>0.99099999999999999</v>
      </c>
      <c r="AG1105" s="273">
        <v>0.99099999999999999</v>
      </c>
      <c r="AH1105" s="273">
        <v>0.99099999999999999</v>
      </c>
      <c r="AI1105" s="273">
        <v>0.99099999999999999</v>
      </c>
      <c r="AJ1105" s="273">
        <v>0.99099999999999999</v>
      </c>
      <c r="AK1105" s="273">
        <v>0.99099999999999999</v>
      </c>
      <c r="AL1105" s="273">
        <v>0.99099999999999999</v>
      </c>
      <c r="AM1105" s="386">
        <f t="shared" si="230"/>
        <v>0.99099999999999988</v>
      </c>
    </row>
    <row r="1106" spans="1:39" x14ac:dyDescent="0.2">
      <c r="A1106" s="79"/>
      <c r="B1106" s="198" t="s">
        <v>504</v>
      </c>
      <c r="C1106" s="80" t="s">
        <v>511</v>
      </c>
      <c r="D1106" s="268" t="s">
        <v>545</v>
      </c>
      <c r="E1106" s="270"/>
      <c r="F1106" s="273">
        <v>1.4279999999999999</v>
      </c>
      <c r="G1106" s="273">
        <v>1.4279999999999999</v>
      </c>
      <c r="H1106" s="273">
        <v>1.4279999999999999</v>
      </c>
      <c r="I1106" s="273">
        <v>1.4279999999999999</v>
      </c>
      <c r="J1106" s="273">
        <v>1.4279999999999999</v>
      </c>
      <c r="K1106" s="273">
        <v>1.4279999999999999</v>
      </c>
      <c r="L1106" s="273">
        <v>1.4279999999999999</v>
      </c>
      <c r="M1106" s="273">
        <v>1.4279999999999999</v>
      </c>
      <c r="N1106" s="273">
        <v>1.4279999999999999</v>
      </c>
      <c r="O1106" s="273">
        <v>1.4279999999999999</v>
      </c>
      <c r="P1106" s="273">
        <v>1.4279999999999999</v>
      </c>
      <c r="Q1106" s="273">
        <v>1.4279999999999999</v>
      </c>
      <c r="R1106" s="273">
        <v>1.4279999999999999</v>
      </c>
      <c r="S1106" s="273">
        <v>1.4279999999999999</v>
      </c>
      <c r="T1106" s="273">
        <v>1.4279999999999999</v>
      </c>
      <c r="U1106" s="273">
        <v>1.4279999999999999</v>
      </c>
      <c r="V1106" s="273">
        <v>1.4279999999999999</v>
      </c>
      <c r="W1106" s="273">
        <v>1.4279999999999999</v>
      </c>
      <c r="X1106" s="273">
        <v>1.4279999999999999</v>
      </c>
      <c r="Y1106" s="273">
        <v>1.4279999999999999</v>
      </c>
      <c r="Z1106" s="273">
        <v>1.4279999999999999</v>
      </c>
      <c r="AA1106" s="273">
        <v>1.4279999999999999</v>
      </c>
      <c r="AB1106" s="273">
        <v>1.4279999999999999</v>
      </c>
      <c r="AC1106" s="273">
        <v>1.4279999999999999</v>
      </c>
      <c r="AD1106" s="273">
        <v>1.4279999999999999</v>
      </c>
      <c r="AE1106" s="273">
        <v>1.4279999999999999</v>
      </c>
      <c r="AF1106" s="273">
        <v>1.4279999999999999</v>
      </c>
      <c r="AG1106" s="273">
        <v>1.4279999999999999</v>
      </c>
      <c r="AH1106" s="273">
        <v>1.4279999999999999</v>
      </c>
      <c r="AI1106" s="273">
        <v>1.4279999999999999</v>
      </c>
      <c r="AJ1106" s="273">
        <v>1.4279999999999999</v>
      </c>
      <c r="AK1106" s="273">
        <v>1.4279999999999999</v>
      </c>
      <c r="AL1106" s="273">
        <v>1.4279999999999999</v>
      </c>
      <c r="AM1106" s="386">
        <f t="shared" si="230"/>
        <v>1.4279999999999995</v>
      </c>
    </row>
    <row r="1107" spans="1:39" x14ac:dyDescent="0.2">
      <c r="A1107" s="79"/>
      <c r="B1107" s="198" t="s">
        <v>505</v>
      </c>
      <c r="C1107" s="80" t="s">
        <v>511</v>
      </c>
      <c r="D1107" s="268" t="s">
        <v>546</v>
      </c>
      <c r="E1107" s="270"/>
      <c r="F1107" s="273">
        <v>0.316</v>
      </c>
      <c r="G1107" s="273">
        <v>0.316</v>
      </c>
      <c r="H1107" s="273">
        <v>0.316</v>
      </c>
      <c r="I1107" s="273">
        <v>0.316</v>
      </c>
      <c r="J1107" s="273">
        <v>0.316</v>
      </c>
      <c r="K1107" s="273">
        <v>0.316</v>
      </c>
      <c r="L1107" s="273">
        <v>0.316</v>
      </c>
      <c r="M1107" s="273">
        <v>0.316</v>
      </c>
      <c r="N1107" s="273">
        <v>0.316</v>
      </c>
      <c r="O1107" s="273">
        <v>0.316</v>
      </c>
      <c r="P1107" s="273">
        <v>0.316</v>
      </c>
      <c r="Q1107" s="273">
        <v>0.316</v>
      </c>
      <c r="R1107" s="273">
        <v>0.316</v>
      </c>
      <c r="S1107" s="273">
        <v>0.316</v>
      </c>
      <c r="T1107" s="273">
        <v>0.316</v>
      </c>
      <c r="U1107" s="273">
        <v>0.316</v>
      </c>
      <c r="V1107" s="273">
        <v>0.316</v>
      </c>
      <c r="W1107" s="273">
        <v>0.316</v>
      </c>
      <c r="X1107" s="273">
        <v>0.316</v>
      </c>
      <c r="Y1107" s="273">
        <v>0.316</v>
      </c>
      <c r="Z1107" s="273">
        <v>0.316</v>
      </c>
      <c r="AA1107" s="273">
        <v>0.316</v>
      </c>
      <c r="AB1107" s="273">
        <v>0.316</v>
      </c>
      <c r="AC1107" s="273">
        <v>0.316</v>
      </c>
      <c r="AD1107" s="273">
        <v>0.316</v>
      </c>
      <c r="AE1107" s="273">
        <v>0.316</v>
      </c>
      <c r="AF1107" s="273">
        <v>0.316</v>
      </c>
      <c r="AG1107" s="273">
        <v>0.316</v>
      </c>
      <c r="AH1107" s="273">
        <v>0.316</v>
      </c>
      <c r="AI1107" s="273">
        <v>0.316</v>
      </c>
      <c r="AJ1107" s="273">
        <v>0.316</v>
      </c>
      <c r="AK1107" s="273">
        <v>0.316</v>
      </c>
      <c r="AL1107" s="273">
        <v>0.316</v>
      </c>
      <c r="AM1107" s="386">
        <f t="shared" si="230"/>
        <v>0.31600000000000006</v>
      </c>
    </row>
    <row r="1108" spans="1:39" x14ac:dyDescent="0.2">
      <c r="A1108" s="79"/>
      <c r="B1108" s="198" t="s">
        <v>506</v>
      </c>
      <c r="C1108" s="80" t="s">
        <v>511</v>
      </c>
      <c r="D1108" s="268" t="s">
        <v>547</v>
      </c>
      <c r="E1108" s="270"/>
      <c r="F1108" s="273">
        <v>0.14799999999999999</v>
      </c>
      <c r="G1108" s="273">
        <v>0.14799999999999999</v>
      </c>
      <c r="H1108" s="273">
        <v>0.14799999999999999</v>
      </c>
      <c r="I1108" s="273">
        <v>0.14799999999999999</v>
      </c>
      <c r="J1108" s="273">
        <v>0.14799999999999999</v>
      </c>
      <c r="K1108" s="273">
        <v>0.14799999999999999</v>
      </c>
      <c r="L1108" s="273">
        <v>0.14799999999999999</v>
      </c>
      <c r="M1108" s="273">
        <v>0.14799999999999999</v>
      </c>
      <c r="N1108" s="273">
        <v>0.14799999999999999</v>
      </c>
      <c r="O1108" s="273">
        <v>0.14799999999999999</v>
      </c>
      <c r="P1108" s="273">
        <v>0.14799999999999999</v>
      </c>
      <c r="Q1108" s="273">
        <v>0.14799999999999999</v>
      </c>
      <c r="R1108" s="273">
        <v>0.14799999999999999</v>
      </c>
      <c r="S1108" s="273">
        <v>0.14799999999999999</v>
      </c>
      <c r="T1108" s="273">
        <v>0.14799999999999999</v>
      </c>
      <c r="U1108" s="273">
        <v>0.14799999999999999</v>
      </c>
      <c r="V1108" s="273">
        <v>0.14799999999999999</v>
      </c>
      <c r="W1108" s="273">
        <v>0.14799999999999999</v>
      </c>
      <c r="X1108" s="273">
        <v>0.14799999999999999</v>
      </c>
      <c r="Y1108" s="273">
        <v>0.14799999999999999</v>
      </c>
      <c r="Z1108" s="273">
        <v>0.14799999999999999</v>
      </c>
      <c r="AA1108" s="273">
        <v>0.14799999999999999</v>
      </c>
      <c r="AB1108" s="273">
        <v>0.14799999999999999</v>
      </c>
      <c r="AC1108" s="273">
        <v>0.14799999999999999</v>
      </c>
      <c r="AD1108" s="273">
        <v>0.14799999999999999</v>
      </c>
      <c r="AE1108" s="273">
        <v>0.14799999999999999</v>
      </c>
      <c r="AF1108" s="273">
        <v>0.14799999999999999</v>
      </c>
      <c r="AG1108" s="273">
        <v>0.14799999999999999</v>
      </c>
      <c r="AH1108" s="273">
        <v>0.14799999999999999</v>
      </c>
      <c r="AI1108" s="273">
        <v>0.14799999999999999</v>
      </c>
      <c r="AJ1108" s="273">
        <v>0.14799999999999999</v>
      </c>
      <c r="AK1108" s="273">
        <v>0.14799999999999999</v>
      </c>
      <c r="AL1108" s="273">
        <v>0.14799999999999999</v>
      </c>
      <c r="AM1108" s="386">
        <f t="shared" si="230"/>
        <v>0.14799999999999999</v>
      </c>
    </row>
    <row r="1109" spans="1:39" x14ac:dyDescent="0.2">
      <c r="A1109" s="79"/>
      <c r="B1109" s="198" t="s">
        <v>507</v>
      </c>
      <c r="C1109" s="80" t="s">
        <v>511</v>
      </c>
      <c r="D1109" s="268" t="s">
        <v>548</v>
      </c>
      <c r="E1109" s="270"/>
      <c r="F1109" s="273">
        <v>0.97399999999999998</v>
      </c>
      <c r="G1109" s="273">
        <v>0.97399999999999998</v>
      </c>
      <c r="H1109" s="273">
        <v>0.97399999999999998</v>
      </c>
      <c r="I1109" s="273">
        <v>0.97399999999999998</v>
      </c>
      <c r="J1109" s="273">
        <v>0.97399999999999998</v>
      </c>
      <c r="K1109" s="273">
        <v>0.97399999999999998</v>
      </c>
      <c r="L1109" s="273">
        <v>0.97399999999999998</v>
      </c>
      <c r="M1109" s="273">
        <v>0.97399999999999998</v>
      </c>
      <c r="N1109" s="273">
        <v>0.97399999999999998</v>
      </c>
      <c r="O1109" s="273">
        <v>0.97399999999999998</v>
      </c>
      <c r="P1109" s="273">
        <v>0.97399999999999998</v>
      </c>
      <c r="Q1109" s="273">
        <v>0.97399999999999998</v>
      </c>
      <c r="R1109" s="273">
        <v>0.97399999999999998</v>
      </c>
      <c r="S1109" s="273">
        <v>0.97399999999999998</v>
      </c>
      <c r="T1109" s="273">
        <v>0.97399999999999998</v>
      </c>
      <c r="U1109" s="273">
        <v>0.97399999999999998</v>
      </c>
      <c r="V1109" s="273">
        <v>0.97399999999999998</v>
      </c>
      <c r="W1109" s="273">
        <v>0.97399999999999998</v>
      </c>
      <c r="X1109" s="273">
        <v>0.97399999999999998</v>
      </c>
      <c r="Y1109" s="273">
        <v>0.97399999999999998</v>
      </c>
      <c r="Z1109" s="273">
        <v>0.97399999999999998</v>
      </c>
      <c r="AA1109" s="273">
        <v>0.97399999999999998</v>
      </c>
      <c r="AB1109" s="273">
        <v>0.97399999999999998</v>
      </c>
      <c r="AC1109" s="273">
        <v>0.97399999999999998</v>
      </c>
      <c r="AD1109" s="273">
        <v>0.97399999999999998</v>
      </c>
      <c r="AE1109" s="273">
        <v>0.97399999999999998</v>
      </c>
      <c r="AF1109" s="273">
        <v>0.97399999999999998</v>
      </c>
      <c r="AG1109" s="273">
        <v>0.97399999999999998</v>
      </c>
      <c r="AH1109" s="273">
        <v>0.97399999999999998</v>
      </c>
      <c r="AI1109" s="273">
        <v>0.97399999999999998</v>
      </c>
      <c r="AJ1109" s="273">
        <v>0.97399999999999998</v>
      </c>
      <c r="AK1109" s="273">
        <v>0.97399999999999998</v>
      </c>
      <c r="AL1109" s="273">
        <v>0.97399999999999998</v>
      </c>
      <c r="AM1109" s="386">
        <f t="shared" si="230"/>
        <v>0.97400000000000009</v>
      </c>
    </row>
    <row r="1110" spans="1:39" x14ac:dyDescent="0.2">
      <c r="A1110" s="79"/>
      <c r="B1110" s="198"/>
      <c r="C1110" s="80"/>
      <c r="D1110" s="19"/>
      <c r="E1110" s="270"/>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71"/>
      <c r="AE1110" s="271"/>
      <c r="AF1110" s="271"/>
      <c r="AG1110" s="271"/>
      <c r="AH1110" s="271"/>
      <c r="AI1110" s="271"/>
      <c r="AJ1110" s="271"/>
      <c r="AK1110" s="271"/>
      <c r="AL1110" s="271"/>
      <c r="AM1110" s="386"/>
    </row>
    <row r="1111" spans="1:39" x14ac:dyDescent="0.2">
      <c r="A1111" s="79"/>
      <c r="B1111" s="372" t="s">
        <v>508</v>
      </c>
      <c r="C1111" s="80" t="s">
        <v>511</v>
      </c>
      <c r="D1111" s="19" t="s">
        <v>605</v>
      </c>
      <c r="E1111" s="270"/>
      <c r="F1111" s="272">
        <v>120</v>
      </c>
      <c r="G1111" s="272">
        <v>120</v>
      </c>
      <c r="H1111" s="272">
        <v>120</v>
      </c>
      <c r="I1111" s="272">
        <v>120</v>
      </c>
      <c r="J1111" s="272">
        <v>120</v>
      </c>
      <c r="K1111" s="272">
        <v>120</v>
      </c>
      <c r="L1111" s="272">
        <v>120</v>
      </c>
      <c r="M1111" s="272">
        <v>120</v>
      </c>
      <c r="N1111" s="272">
        <v>120</v>
      </c>
      <c r="O1111" s="272">
        <v>120</v>
      </c>
      <c r="P1111" s="272">
        <v>120</v>
      </c>
      <c r="Q1111" s="272">
        <v>120</v>
      </c>
      <c r="R1111" s="272">
        <v>120</v>
      </c>
      <c r="S1111" s="272">
        <v>120</v>
      </c>
      <c r="T1111" s="272">
        <v>120</v>
      </c>
      <c r="U1111" s="272">
        <v>120</v>
      </c>
      <c r="V1111" s="272">
        <v>120</v>
      </c>
      <c r="W1111" s="272">
        <v>120</v>
      </c>
      <c r="X1111" s="272">
        <v>120</v>
      </c>
      <c r="Y1111" s="272">
        <v>120</v>
      </c>
      <c r="Z1111" s="272">
        <v>120</v>
      </c>
      <c r="AA1111" s="272">
        <v>120</v>
      </c>
      <c r="AB1111" s="272">
        <v>120</v>
      </c>
      <c r="AC1111" s="272">
        <v>120</v>
      </c>
      <c r="AD1111" s="272">
        <v>120</v>
      </c>
      <c r="AE1111" s="272">
        <v>120</v>
      </c>
      <c r="AF1111" s="272">
        <v>120</v>
      </c>
      <c r="AG1111" s="272">
        <v>120</v>
      </c>
      <c r="AH1111" s="272">
        <v>120</v>
      </c>
      <c r="AI1111" s="272">
        <v>120</v>
      </c>
      <c r="AJ1111" s="272">
        <v>120</v>
      </c>
      <c r="AK1111" s="272">
        <v>120</v>
      </c>
      <c r="AL1111" s="272">
        <v>120</v>
      </c>
      <c r="AM1111" s="386">
        <f t="shared" si="230"/>
        <v>120</v>
      </c>
    </row>
    <row r="1112" spans="1:39" x14ac:dyDescent="0.2">
      <c r="A1112" s="8"/>
      <c r="B1112" s="372" t="s">
        <v>509</v>
      </c>
      <c r="C1112" s="80" t="s">
        <v>511</v>
      </c>
      <c r="D1112" s="19" t="s">
        <v>605</v>
      </c>
      <c r="E1112" s="270"/>
      <c r="F1112" s="272">
        <v>40.793332999999997</v>
      </c>
      <c r="G1112" s="272">
        <v>40.793332999999997</v>
      </c>
      <c r="H1112" s="272">
        <v>40.793332999999997</v>
      </c>
      <c r="I1112" s="272">
        <v>40.793332999999997</v>
      </c>
      <c r="J1112" s="272">
        <v>40.793332999999997</v>
      </c>
      <c r="K1112" s="272">
        <v>40.793332999999997</v>
      </c>
      <c r="L1112" s="272">
        <v>40.793332999999997</v>
      </c>
      <c r="M1112" s="272">
        <v>40.793332999999997</v>
      </c>
      <c r="N1112" s="272">
        <v>40.793332999999997</v>
      </c>
      <c r="O1112" s="272">
        <v>40.793332999999997</v>
      </c>
      <c r="P1112" s="272">
        <v>40.793332999999997</v>
      </c>
      <c r="Q1112" s="272">
        <v>40.793332999999997</v>
      </c>
      <c r="R1112" s="272">
        <v>40.793332999999997</v>
      </c>
      <c r="S1112" s="272">
        <v>40.793332999999997</v>
      </c>
      <c r="T1112" s="272">
        <v>40.793332999999997</v>
      </c>
      <c r="U1112" s="272">
        <v>40.793332999999997</v>
      </c>
      <c r="V1112" s="272">
        <v>40.793332999999997</v>
      </c>
      <c r="W1112" s="272">
        <v>40.793332999999997</v>
      </c>
      <c r="X1112" s="272">
        <v>40.793332999999997</v>
      </c>
      <c r="Y1112" s="272">
        <v>40.793332999999997</v>
      </c>
      <c r="Z1112" s="272">
        <v>40.793332999999997</v>
      </c>
      <c r="AA1112" s="272">
        <v>40.793332999999997</v>
      </c>
      <c r="AB1112" s="272">
        <v>40.793332999999997</v>
      </c>
      <c r="AC1112" s="272">
        <v>40.793332999999997</v>
      </c>
      <c r="AD1112" s="272">
        <v>40.793332999999997</v>
      </c>
      <c r="AE1112" s="272">
        <v>40.793332999999997</v>
      </c>
      <c r="AF1112" s="272">
        <v>40.793332999999997</v>
      </c>
      <c r="AG1112" s="272">
        <v>40.793332999999997</v>
      </c>
      <c r="AH1112" s="272">
        <v>40.793332999999997</v>
      </c>
      <c r="AI1112" s="272">
        <v>40.793332999999997</v>
      </c>
      <c r="AJ1112" s="272">
        <v>40.793332999999997</v>
      </c>
      <c r="AK1112" s="272">
        <v>40.793332999999997</v>
      </c>
      <c r="AL1112" s="272">
        <v>40.793332999999997</v>
      </c>
      <c r="AM1112" s="386">
        <f t="shared" si="230"/>
        <v>40.793333000000004</v>
      </c>
    </row>
    <row r="1113" spans="1:39" x14ac:dyDescent="0.2">
      <c r="A1113" s="1"/>
      <c r="B1113" s="230"/>
      <c r="C1113" s="231"/>
      <c r="D1113" s="79"/>
      <c r="E1113" s="1"/>
      <c r="F1113" s="81"/>
      <c r="G1113" s="81"/>
      <c r="H1113" s="81"/>
      <c r="I1113" s="81"/>
      <c r="J1113" s="81"/>
      <c r="K1113" s="81"/>
      <c r="L1113" s="81"/>
      <c r="M1113" s="81"/>
      <c r="N1113" s="81"/>
      <c r="O1113" s="81"/>
      <c r="P1113" s="81"/>
      <c r="Q1113" s="81"/>
      <c r="R1113" s="81"/>
      <c r="S1113" s="81"/>
      <c r="T1113" s="81"/>
      <c r="U1113" s="81"/>
      <c r="V1113" s="81"/>
      <c r="W1113" s="81"/>
      <c r="X1113" s="81"/>
      <c r="Y1113" s="81"/>
      <c r="Z1113" s="81"/>
      <c r="AA1113" s="81"/>
      <c r="AB1113" s="81"/>
      <c r="AC1113" s="81"/>
      <c r="AD1113" s="81"/>
      <c r="AE1113" s="81"/>
      <c r="AF1113" s="81"/>
      <c r="AG1113" s="81"/>
      <c r="AH1113" s="81"/>
      <c r="AI1113" s="81"/>
      <c r="AJ1113" s="81"/>
      <c r="AK1113" s="81"/>
      <c r="AL1113" s="81"/>
      <c r="AM1113" s="107"/>
    </row>
    <row r="1114" spans="1:39" x14ac:dyDescent="0.2">
      <c r="A1114" s="82"/>
      <c r="B1114" s="82" t="s">
        <v>549</v>
      </c>
      <c r="C1114" s="83" t="s">
        <v>66</v>
      </c>
      <c r="D1114" s="8"/>
      <c r="E1114" s="84"/>
      <c r="F1114" s="84">
        <f>(F1023*F1069+F1024*F1070+F1025*F1071+F1026*F1072+F1027*F1073+F1028*F1074+F1029*F1075+F1030*F1076+F1031*F1077+F1032*F1078+F1033*F1079+F1034*F1080+F1035*F1081+F1036*F1082+F1037*F1083)/1000000</f>
        <v>0</v>
      </c>
      <c r="G1114" s="84">
        <f t="shared" ref="G1114:AL1114" si="231">(G1023*G1069+G1024*G1070+G1025*G1071+G1026*G1072+G1027*G1073+G1028*G1074+G1029*G1075+G1030*G1076+G1031*G1077+G1032*G1078+G1033*G1079+G1034*G1080+G1035*G1081+G1036*G1082+G1037*G1083)/1000000</f>
        <v>0</v>
      </c>
      <c r="H1114" s="84">
        <f t="shared" si="231"/>
        <v>0</v>
      </c>
      <c r="I1114" s="84">
        <f t="shared" si="231"/>
        <v>0</v>
      </c>
      <c r="J1114" s="84">
        <f t="shared" si="231"/>
        <v>129.77705329229525</v>
      </c>
      <c r="K1114" s="84">
        <f t="shared" si="231"/>
        <v>65.533999060498331</v>
      </c>
      <c r="L1114" s="84">
        <f t="shared" si="231"/>
        <v>71.924205896890058</v>
      </c>
      <c r="M1114" s="84">
        <f t="shared" si="231"/>
        <v>0</v>
      </c>
      <c r="N1114" s="84">
        <f t="shared" si="231"/>
        <v>0</v>
      </c>
      <c r="O1114" s="84">
        <f t="shared" si="231"/>
        <v>0</v>
      </c>
      <c r="P1114" s="84">
        <f t="shared" si="231"/>
        <v>225.34194649933733</v>
      </c>
      <c r="Q1114" s="84">
        <f t="shared" si="231"/>
        <v>0</v>
      </c>
      <c r="R1114" s="84">
        <f t="shared" si="231"/>
        <v>139.3152609206731</v>
      </c>
      <c r="S1114" s="84">
        <f t="shared" si="231"/>
        <v>157.10729173152464</v>
      </c>
      <c r="T1114" s="84">
        <f t="shared" si="231"/>
        <v>283.6570858748596</v>
      </c>
      <c r="U1114" s="84">
        <f t="shared" si="231"/>
        <v>0</v>
      </c>
      <c r="V1114" s="84">
        <f t="shared" si="231"/>
        <v>453.77789424729224</v>
      </c>
      <c r="W1114" s="84">
        <f t="shared" si="231"/>
        <v>74.454933839181706</v>
      </c>
      <c r="X1114" s="84">
        <f t="shared" si="231"/>
        <v>35.683369257536889</v>
      </c>
      <c r="Y1114" s="84">
        <f t="shared" si="231"/>
        <v>48.791539023549674</v>
      </c>
      <c r="Z1114" s="84">
        <f t="shared" si="231"/>
        <v>20.967498824237371</v>
      </c>
      <c r="AA1114" s="84">
        <f t="shared" si="231"/>
        <v>58.2646353914635</v>
      </c>
      <c r="AB1114" s="84">
        <f t="shared" si="231"/>
        <v>92.632104428197763</v>
      </c>
      <c r="AC1114" s="84">
        <f t="shared" si="231"/>
        <v>237.70013758069814</v>
      </c>
      <c r="AD1114" s="84">
        <f t="shared" si="231"/>
        <v>0</v>
      </c>
      <c r="AE1114" s="84">
        <f t="shared" si="231"/>
        <v>77.096902161170334</v>
      </c>
      <c r="AF1114" s="84">
        <f t="shared" si="231"/>
        <v>0</v>
      </c>
      <c r="AG1114" s="84">
        <f t="shared" si="231"/>
        <v>68.695506090892167</v>
      </c>
      <c r="AH1114" s="84">
        <f t="shared" si="231"/>
        <v>91.411403851017724</v>
      </c>
      <c r="AI1114" s="84">
        <f t="shared" si="231"/>
        <v>0</v>
      </c>
      <c r="AJ1114" s="84">
        <f t="shared" si="231"/>
        <v>0</v>
      </c>
      <c r="AK1114" s="84">
        <f t="shared" si="231"/>
        <v>0</v>
      </c>
      <c r="AL1114" s="84">
        <f t="shared" si="231"/>
        <v>0</v>
      </c>
      <c r="AM1114" s="379">
        <f>SUM(F1114:AL1114)</f>
        <v>2332.1327679713163</v>
      </c>
    </row>
    <row r="1115" spans="1:39" x14ac:dyDescent="0.2">
      <c r="A1115" s="82"/>
      <c r="B1115" s="82" t="s">
        <v>550</v>
      </c>
      <c r="C1115" s="83" t="s">
        <v>66</v>
      </c>
      <c r="D1115" s="8"/>
      <c r="E1115" s="84"/>
      <c r="F1115" s="84">
        <f>(F1085*F1039+F1086*F1040+F1087*F1041)/1000000</f>
        <v>0</v>
      </c>
      <c r="G1115" s="84">
        <f t="shared" ref="G1115:AL1115" si="232">(G1085*G1039+G1086*G1040+G1087*G1041)/1000000</f>
        <v>0</v>
      </c>
      <c r="H1115" s="84">
        <f t="shared" si="232"/>
        <v>0</v>
      </c>
      <c r="I1115" s="84">
        <f t="shared" si="232"/>
        <v>0</v>
      </c>
      <c r="J1115" s="84">
        <f t="shared" si="232"/>
        <v>0.10626494110431943</v>
      </c>
      <c r="K1115" s="84">
        <f t="shared" si="232"/>
        <v>5.6544281226172513E-2</v>
      </c>
      <c r="L1115" s="84">
        <f t="shared" si="232"/>
        <v>3.745300234767171E-2</v>
      </c>
      <c r="M1115" s="84">
        <f t="shared" si="232"/>
        <v>0</v>
      </c>
      <c r="N1115" s="84">
        <f t="shared" si="232"/>
        <v>0</v>
      </c>
      <c r="O1115" s="84">
        <f t="shared" si="232"/>
        <v>0</v>
      </c>
      <c r="P1115" s="84">
        <f t="shared" si="232"/>
        <v>0.26891472471959244</v>
      </c>
      <c r="Q1115" s="84">
        <f t="shared" si="232"/>
        <v>0</v>
      </c>
      <c r="R1115" s="84">
        <f t="shared" si="232"/>
        <v>0.41225502400224051</v>
      </c>
      <c r="S1115" s="84">
        <f t="shared" si="232"/>
        <v>5.5861728959849097</v>
      </c>
      <c r="T1115" s="84">
        <f t="shared" si="232"/>
        <v>7.7013128664571067</v>
      </c>
      <c r="U1115" s="84">
        <f t="shared" si="232"/>
        <v>0</v>
      </c>
      <c r="V1115" s="84">
        <f t="shared" si="232"/>
        <v>2.8865226914290023</v>
      </c>
      <c r="W1115" s="84">
        <f t="shared" si="232"/>
        <v>0.1327031389755865</v>
      </c>
      <c r="X1115" s="84">
        <f t="shared" si="232"/>
        <v>0.58693695178808425</v>
      </c>
      <c r="Y1115" s="84">
        <f t="shared" si="232"/>
        <v>1.0055002430888995</v>
      </c>
      <c r="Z1115" s="84">
        <f t="shared" si="232"/>
        <v>1.4636529139795063</v>
      </c>
      <c r="AA1115" s="84">
        <f t="shared" si="232"/>
        <v>4.4037539737504927</v>
      </c>
      <c r="AB1115" s="84">
        <f t="shared" si="232"/>
        <v>2.1100244200943679</v>
      </c>
      <c r="AC1115" s="84">
        <f t="shared" si="232"/>
        <v>3.8510826854242328</v>
      </c>
      <c r="AD1115" s="84">
        <f t="shared" si="232"/>
        <v>0</v>
      </c>
      <c r="AE1115" s="84">
        <f t="shared" si="232"/>
        <v>0.41036246767441986</v>
      </c>
      <c r="AF1115" s="84">
        <f t="shared" si="232"/>
        <v>0</v>
      </c>
      <c r="AG1115" s="84">
        <f t="shared" si="232"/>
        <v>1.9752649411703698</v>
      </c>
      <c r="AH1115" s="84">
        <f t="shared" si="232"/>
        <v>0.21055832760720419</v>
      </c>
      <c r="AI1115" s="84">
        <f t="shared" si="232"/>
        <v>0</v>
      </c>
      <c r="AJ1115" s="84">
        <f t="shared" si="232"/>
        <v>0</v>
      </c>
      <c r="AK1115" s="84">
        <f t="shared" si="232"/>
        <v>0</v>
      </c>
      <c r="AL1115" s="84">
        <f t="shared" si="232"/>
        <v>0</v>
      </c>
      <c r="AM1115" s="379">
        <f t="shared" ref="AM1115:AM1120" si="233">SUM(F1115:AL1115)</f>
        <v>33.20528049082418</v>
      </c>
    </row>
    <row r="1116" spans="1:39" x14ac:dyDescent="0.2">
      <c r="A1116" s="82"/>
      <c r="B1116" s="82" t="s">
        <v>551</v>
      </c>
      <c r="C1116" s="83" t="s">
        <v>66</v>
      </c>
      <c r="D1116" s="8"/>
      <c r="E1116" s="84"/>
      <c r="F1116" s="84">
        <f>(F1089*F1043+F1090*F1044+F1091*F1045)/1000000</f>
        <v>0</v>
      </c>
      <c r="G1116" s="84">
        <f t="shared" ref="G1116:AL1116" si="234">(G1089*G1043+G1090*G1044+G1091*G1045)/1000000</f>
        <v>0</v>
      </c>
      <c r="H1116" s="84">
        <f t="shared" si="234"/>
        <v>0</v>
      </c>
      <c r="I1116" s="84">
        <f t="shared" si="234"/>
        <v>0</v>
      </c>
      <c r="J1116" s="84">
        <f t="shared" si="234"/>
        <v>1.807634003783011</v>
      </c>
      <c r="K1116" s="84">
        <f t="shared" si="234"/>
        <v>1.3931784436257519</v>
      </c>
      <c r="L1116" s="84">
        <f t="shared" si="234"/>
        <v>1.0180166039316678</v>
      </c>
      <c r="M1116" s="84">
        <f t="shared" si="234"/>
        <v>0</v>
      </c>
      <c r="N1116" s="84">
        <f t="shared" si="234"/>
        <v>0</v>
      </c>
      <c r="O1116" s="84">
        <f t="shared" si="234"/>
        <v>0</v>
      </c>
      <c r="P1116" s="84">
        <f t="shared" si="234"/>
        <v>11.539944898285617</v>
      </c>
      <c r="Q1116" s="84">
        <f t="shared" si="234"/>
        <v>0</v>
      </c>
      <c r="R1116" s="84">
        <f t="shared" si="234"/>
        <v>1.1347570415931434</v>
      </c>
      <c r="S1116" s="84">
        <f t="shared" si="234"/>
        <v>5.3174214420906667</v>
      </c>
      <c r="T1116" s="84">
        <f t="shared" si="234"/>
        <v>9.9609431307062639</v>
      </c>
      <c r="U1116" s="84">
        <f t="shared" si="234"/>
        <v>0</v>
      </c>
      <c r="V1116" s="84">
        <f t="shared" si="234"/>
        <v>36.341886686811478</v>
      </c>
      <c r="W1116" s="84">
        <f t="shared" si="234"/>
        <v>1.0282875305391528</v>
      </c>
      <c r="X1116" s="84">
        <f t="shared" si="234"/>
        <v>2.1141381899957081</v>
      </c>
      <c r="Y1116" s="84">
        <f t="shared" si="234"/>
        <v>1.6266680914583944</v>
      </c>
      <c r="Z1116" s="84">
        <f t="shared" si="234"/>
        <v>45.265911716138071</v>
      </c>
      <c r="AA1116" s="84">
        <f t="shared" si="234"/>
        <v>11.910277321565284</v>
      </c>
      <c r="AB1116" s="84">
        <f t="shared" si="234"/>
        <v>35.609393259087192</v>
      </c>
      <c r="AC1116" s="84">
        <f t="shared" si="234"/>
        <v>44.849517188165613</v>
      </c>
      <c r="AD1116" s="84">
        <f t="shared" si="234"/>
        <v>0</v>
      </c>
      <c r="AE1116" s="84">
        <f t="shared" si="234"/>
        <v>27.897160805349696</v>
      </c>
      <c r="AF1116" s="84">
        <f t="shared" si="234"/>
        <v>0</v>
      </c>
      <c r="AG1116" s="84">
        <f t="shared" si="234"/>
        <v>14.781022100856996</v>
      </c>
      <c r="AH1116" s="84">
        <f t="shared" si="234"/>
        <v>2.6562748833680487</v>
      </c>
      <c r="AI1116" s="84">
        <f t="shared" si="234"/>
        <v>0</v>
      </c>
      <c r="AJ1116" s="84">
        <f t="shared" si="234"/>
        <v>0</v>
      </c>
      <c r="AK1116" s="84">
        <f t="shared" si="234"/>
        <v>0</v>
      </c>
      <c r="AL1116" s="84">
        <f t="shared" si="234"/>
        <v>0</v>
      </c>
      <c r="AM1116" s="379">
        <f t="shared" si="233"/>
        <v>256.25243333735176</v>
      </c>
    </row>
    <row r="1117" spans="1:39" x14ac:dyDescent="0.2">
      <c r="A1117" s="82"/>
      <c r="B1117" s="82" t="s">
        <v>552</v>
      </c>
      <c r="C1117" s="83" t="s">
        <v>66</v>
      </c>
      <c r="D1117" s="8"/>
      <c r="E1117" s="84"/>
      <c r="F1117" s="84">
        <f>(F1093*F1047+F1094*F1048+F1095*F1049+F1096*F1050+F1097*F1051)/1000000</f>
        <v>0</v>
      </c>
      <c r="G1117" s="84">
        <f t="shared" ref="G1117:AL1117" si="235">(G1093*G1047+G1094*G1048+G1095*G1049+G1096*G1050+G1097*G1051)/1000000</f>
        <v>0</v>
      </c>
      <c r="H1117" s="84">
        <f t="shared" si="235"/>
        <v>0</v>
      </c>
      <c r="I1117" s="84">
        <f t="shared" si="235"/>
        <v>0</v>
      </c>
      <c r="J1117" s="84">
        <f t="shared" si="235"/>
        <v>3.605456927156208</v>
      </c>
      <c r="K1117" s="84">
        <f t="shared" si="235"/>
        <v>1.8165926790846807</v>
      </c>
      <c r="L1117" s="84">
        <f t="shared" si="235"/>
        <v>4.9874990121407654</v>
      </c>
      <c r="M1117" s="84">
        <f t="shared" si="235"/>
        <v>0</v>
      </c>
      <c r="N1117" s="84">
        <f t="shared" si="235"/>
        <v>0</v>
      </c>
      <c r="O1117" s="84">
        <f t="shared" si="235"/>
        <v>0</v>
      </c>
      <c r="P1117" s="84">
        <f t="shared" si="235"/>
        <v>3.6915661891676739</v>
      </c>
      <c r="Q1117" s="84">
        <f t="shared" si="235"/>
        <v>0</v>
      </c>
      <c r="R1117" s="84">
        <f t="shared" si="235"/>
        <v>92.562442259065449</v>
      </c>
      <c r="S1117" s="84">
        <f t="shared" si="235"/>
        <v>10.046868145780378</v>
      </c>
      <c r="T1117" s="84">
        <f t="shared" si="235"/>
        <v>26.249775755303681</v>
      </c>
      <c r="U1117" s="84">
        <f t="shared" si="235"/>
        <v>0</v>
      </c>
      <c r="V1117" s="84">
        <f t="shared" si="235"/>
        <v>8.9927645068048321</v>
      </c>
      <c r="W1117" s="84">
        <f t="shared" si="235"/>
        <v>1.9905013941843892</v>
      </c>
      <c r="X1117" s="84">
        <f t="shared" si="235"/>
        <v>0.64247909985996754</v>
      </c>
      <c r="Y1117" s="84">
        <f t="shared" si="235"/>
        <v>3.9417927478488766</v>
      </c>
      <c r="Z1117" s="84">
        <f t="shared" si="235"/>
        <v>0.84968832394169824</v>
      </c>
      <c r="AA1117" s="84">
        <f t="shared" si="235"/>
        <v>2.8392455895303219</v>
      </c>
      <c r="AB1117" s="84">
        <f t="shared" si="235"/>
        <v>4.4619777245562426</v>
      </c>
      <c r="AC1117" s="84">
        <f t="shared" si="235"/>
        <v>9.6545463113311349</v>
      </c>
      <c r="AD1117" s="84">
        <f t="shared" si="235"/>
        <v>0</v>
      </c>
      <c r="AE1117" s="84">
        <f t="shared" si="235"/>
        <v>6.482092659334973</v>
      </c>
      <c r="AF1117" s="84">
        <f t="shared" si="235"/>
        <v>0</v>
      </c>
      <c r="AG1117" s="84">
        <f t="shared" si="235"/>
        <v>3.7989008226337275</v>
      </c>
      <c r="AH1117" s="84">
        <f t="shared" si="235"/>
        <v>1.7989612049308721</v>
      </c>
      <c r="AI1117" s="84">
        <f t="shared" si="235"/>
        <v>0</v>
      </c>
      <c r="AJ1117" s="84">
        <f t="shared" si="235"/>
        <v>0</v>
      </c>
      <c r="AK1117" s="84">
        <f t="shared" si="235"/>
        <v>0</v>
      </c>
      <c r="AL1117" s="84">
        <f t="shared" si="235"/>
        <v>0</v>
      </c>
      <c r="AM1117" s="379">
        <f t="shared" si="233"/>
        <v>188.41315135265583</v>
      </c>
    </row>
    <row r="1118" spans="1:39" x14ac:dyDescent="0.2">
      <c r="A1118" s="82"/>
      <c r="B1118" s="82" t="s">
        <v>553</v>
      </c>
      <c r="C1118" s="83" t="s">
        <v>66</v>
      </c>
      <c r="D1118" s="8"/>
      <c r="E1118" s="84"/>
      <c r="F1118" s="84">
        <f>(F1099*F1053+F1100*F1054+F1101*F1055+F1102*F1056+F1103*F1057+F1104*F1058+F1105*F1059+F1106*F1060+F1107*F1061+F1108*F1062+F1109*F1063)/1000000</f>
        <v>0</v>
      </c>
      <c r="G1118" s="84">
        <f t="shared" ref="G1118:AL1118" si="236">(G1099*G1053+G1100*G1054+G1101*G1055+G1102*G1056+G1103*G1057+G1104*G1058+G1105*G1059+G1106*G1060+G1107*G1061+G1108*G1062+G1109*G1063)/1000000</f>
        <v>0</v>
      </c>
      <c r="H1118" s="84">
        <f t="shared" si="236"/>
        <v>0</v>
      </c>
      <c r="I1118" s="84">
        <f t="shared" si="236"/>
        <v>0</v>
      </c>
      <c r="J1118" s="84">
        <f t="shared" si="236"/>
        <v>4.5257979357460671</v>
      </c>
      <c r="K1118" s="84">
        <f t="shared" si="236"/>
        <v>2.00323786359735</v>
      </c>
      <c r="L1118" s="84">
        <f t="shared" si="236"/>
        <v>1.7008908239327667</v>
      </c>
      <c r="M1118" s="84">
        <f t="shared" si="236"/>
        <v>0</v>
      </c>
      <c r="N1118" s="84">
        <f t="shared" si="236"/>
        <v>0</v>
      </c>
      <c r="O1118" s="84">
        <f t="shared" si="236"/>
        <v>0</v>
      </c>
      <c r="P1118" s="84">
        <f t="shared" si="236"/>
        <v>2.6799737955139564</v>
      </c>
      <c r="Q1118" s="84">
        <f t="shared" si="236"/>
        <v>0</v>
      </c>
      <c r="R1118" s="84">
        <f t="shared" si="236"/>
        <v>63.140990117415036</v>
      </c>
      <c r="S1118" s="84">
        <f t="shared" si="236"/>
        <v>28.334094879096636</v>
      </c>
      <c r="T1118" s="84">
        <f t="shared" si="236"/>
        <v>49.288748562141308</v>
      </c>
      <c r="U1118" s="84">
        <f t="shared" si="236"/>
        <v>0</v>
      </c>
      <c r="V1118" s="84">
        <f t="shared" si="236"/>
        <v>11.622295710501492</v>
      </c>
      <c r="W1118" s="84">
        <f t="shared" si="236"/>
        <v>0.73909407689226148</v>
      </c>
      <c r="X1118" s="84">
        <f t="shared" si="236"/>
        <v>4.3173004766846228</v>
      </c>
      <c r="Y1118" s="84">
        <f t="shared" si="236"/>
        <v>5.3431095721774406</v>
      </c>
      <c r="Z1118" s="84">
        <f t="shared" si="236"/>
        <v>2.4141288912638355</v>
      </c>
      <c r="AA1118" s="84">
        <f t="shared" si="236"/>
        <v>12.221337643601979</v>
      </c>
      <c r="AB1118" s="84">
        <f t="shared" si="236"/>
        <v>3.4853664389575951</v>
      </c>
      <c r="AC1118" s="84">
        <f t="shared" si="236"/>
        <v>20.062553920771887</v>
      </c>
      <c r="AD1118" s="84">
        <f t="shared" si="236"/>
        <v>0</v>
      </c>
      <c r="AE1118" s="84">
        <f t="shared" si="236"/>
        <v>3.773443342155689</v>
      </c>
      <c r="AF1118" s="84">
        <f t="shared" si="236"/>
        <v>0</v>
      </c>
      <c r="AG1118" s="84">
        <f t="shared" si="236"/>
        <v>7.7444455738039091</v>
      </c>
      <c r="AH1118" s="84">
        <f t="shared" si="236"/>
        <v>7.6629360433133202</v>
      </c>
      <c r="AI1118" s="84">
        <f t="shared" si="236"/>
        <v>0</v>
      </c>
      <c r="AJ1118" s="84">
        <f t="shared" si="236"/>
        <v>0</v>
      </c>
      <c r="AK1118" s="84">
        <f t="shared" si="236"/>
        <v>0</v>
      </c>
      <c r="AL1118" s="84">
        <f t="shared" si="236"/>
        <v>0</v>
      </c>
      <c r="AM1118" s="379">
        <f t="shared" si="233"/>
        <v>231.05974566756717</v>
      </c>
    </row>
    <row r="1119" spans="1:39" x14ac:dyDescent="0.2">
      <c r="A1119" s="82"/>
      <c r="B1119" s="82" t="s">
        <v>554</v>
      </c>
      <c r="C1119" s="83" t="s">
        <v>66</v>
      </c>
      <c r="D1119" s="8"/>
      <c r="E1119" s="84"/>
      <c r="F1119" s="84">
        <f>(F1111*F1065+F1112*F1066)/1000000</f>
        <v>0</v>
      </c>
      <c r="G1119" s="84">
        <f t="shared" ref="G1119:AL1119" si="237">(G1111*G1065+G1112*G1066)/1000000</f>
        <v>0</v>
      </c>
      <c r="H1119" s="84">
        <f t="shared" si="237"/>
        <v>0</v>
      </c>
      <c r="I1119" s="84">
        <f t="shared" si="237"/>
        <v>0</v>
      </c>
      <c r="J1119" s="84">
        <f t="shared" si="237"/>
        <v>10.741807026097801</v>
      </c>
      <c r="K1119" s="84">
        <f t="shared" si="237"/>
        <v>2.3010531377595731</v>
      </c>
      <c r="L1119" s="84">
        <f t="shared" si="237"/>
        <v>2.4682825190316739</v>
      </c>
      <c r="M1119" s="84">
        <f t="shared" si="237"/>
        <v>0</v>
      </c>
      <c r="N1119" s="84">
        <f t="shared" si="237"/>
        <v>0</v>
      </c>
      <c r="O1119" s="84">
        <f t="shared" si="237"/>
        <v>0</v>
      </c>
      <c r="P1119" s="84">
        <f t="shared" si="237"/>
        <v>10.978297135997364</v>
      </c>
      <c r="Q1119" s="84">
        <f t="shared" si="237"/>
        <v>0</v>
      </c>
      <c r="R1119" s="84">
        <f t="shared" si="237"/>
        <v>4.6773498740076276</v>
      </c>
      <c r="S1119" s="84">
        <f t="shared" si="237"/>
        <v>9.7545722916220061</v>
      </c>
      <c r="T1119" s="84">
        <f t="shared" si="237"/>
        <v>8.5271338856796692</v>
      </c>
      <c r="U1119" s="84">
        <f t="shared" si="237"/>
        <v>0</v>
      </c>
      <c r="V1119" s="84">
        <f t="shared" si="237"/>
        <v>15.086228023569268</v>
      </c>
      <c r="W1119" s="84">
        <f t="shared" si="237"/>
        <v>4.1037313017317967</v>
      </c>
      <c r="X1119" s="84">
        <f t="shared" si="237"/>
        <v>0.5924104758881914</v>
      </c>
      <c r="Y1119" s="84">
        <f t="shared" si="237"/>
        <v>8.00331879147212</v>
      </c>
      <c r="Z1119" s="84">
        <f t="shared" si="237"/>
        <v>1.0351995379161989</v>
      </c>
      <c r="AA1119" s="84">
        <f t="shared" si="237"/>
        <v>12.561660091450904</v>
      </c>
      <c r="AB1119" s="84">
        <f t="shared" si="237"/>
        <v>2.6272901348199125</v>
      </c>
      <c r="AC1119" s="84">
        <f t="shared" si="237"/>
        <v>25.782082812526351</v>
      </c>
      <c r="AD1119" s="84">
        <f t="shared" si="237"/>
        <v>0</v>
      </c>
      <c r="AE1119" s="84">
        <f t="shared" si="237"/>
        <v>2.0320557504793881</v>
      </c>
      <c r="AF1119" s="84">
        <f t="shared" si="237"/>
        <v>0</v>
      </c>
      <c r="AG1119" s="84">
        <f t="shared" si="237"/>
        <v>4.0468877368538916</v>
      </c>
      <c r="AH1119" s="84">
        <f>(AH1111*AH1065+AH1112*AH1066)/1000000</f>
        <v>1.9097335239251381</v>
      </c>
      <c r="AI1119" s="84">
        <f t="shared" si="237"/>
        <v>0</v>
      </c>
      <c r="AJ1119" s="84">
        <f t="shared" si="237"/>
        <v>0</v>
      </c>
      <c r="AK1119" s="84">
        <f t="shared" si="237"/>
        <v>0</v>
      </c>
      <c r="AL1119" s="84">
        <f t="shared" si="237"/>
        <v>0</v>
      </c>
      <c r="AM1119" s="379">
        <f t="shared" si="233"/>
        <v>127.22909405082888</v>
      </c>
    </row>
    <row r="1120" spans="1:39" s="387" customFormat="1" x14ac:dyDescent="0.2">
      <c r="A1120" s="82"/>
      <c r="B1120" s="82" t="s">
        <v>555</v>
      </c>
      <c r="C1120" s="83" t="s">
        <v>66</v>
      </c>
      <c r="D1120" s="8"/>
      <c r="E1120" s="84"/>
      <c r="F1120" s="373">
        <f t="shared" ref="F1120:AL1120" si="238">IF(F1="GC",0,180*F19/1000000)</f>
        <v>0</v>
      </c>
      <c r="G1120" s="373">
        <f t="shared" si="238"/>
        <v>0</v>
      </c>
      <c r="H1120" s="373">
        <f t="shared" si="238"/>
        <v>0</v>
      </c>
      <c r="I1120" s="373">
        <f t="shared" si="238"/>
        <v>0</v>
      </c>
      <c r="J1120" s="373">
        <f t="shared" si="238"/>
        <v>150.56401412618266</v>
      </c>
      <c r="K1120" s="373">
        <f t="shared" si="238"/>
        <v>73.104605465791863</v>
      </c>
      <c r="L1120" s="373">
        <f t="shared" si="238"/>
        <v>82.136347858274604</v>
      </c>
      <c r="M1120" s="373">
        <f t="shared" si="238"/>
        <v>0</v>
      </c>
      <c r="N1120" s="373">
        <f t="shared" si="238"/>
        <v>0</v>
      </c>
      <c r="O1120" s="373">
        <f t="shared" si="238"/>
        <v>0</v>
      </c>
      <c r="P1120" s="373">
        <f t="shared" si="238"/>
        <v>254.50064324302153</v>
      </c>
      <c r="Q1120" s="373">
        <f t="shared" si="238"/>
        <v>0</v>
      </c>
      <c r="R1120" s="373">
        <f t="shared" si="238"/>
        <v>301.24305523675656</v>
      </c>
      <c r="S1120" s="373">
        <f t="shared" si="238"/>
        <v>216.14642138609926</v>
      </c>
      <c r="T1120" s="373">
        <f t="shared" si="238"/>
        <v>385.38500007514762</v>
      </c>
      <c r="U1120" s="373">
        <f t="shared" si="238"/>
        <v>0</v>
      </c>
      <c r="V1120" s="373">
        <f t="shared" si="238"/>
        <v>528.70759186640817</v>
      </c>
      <c r="W1120" s="373">
        <f t="shared" si="238"/>
        <v>82.449251281504885</v>
      </c>
      <c r="X1120" s="373">
        <f t="shared" si="238"/>
        <v>43.936634451753463</v>
      </c>
      <c r="Y1120" s="373">
        <f t="shared" si="238"/>
        <v>68.711928469595392</v>
      </c>
      <c r="Z1120" s="373">
        <f t="shared" si="238"/>
        <v>71.996080207476709</v>
      </c>
      <c r="AA1120" s="373">
        <f t="shared" si="238"/>
        <v>102.2009100113625</v>
      </c>
      <c r="AB1120" s="373">
        <f t="shared" si="238"/>
        <v>140.92615640571304</v>
      </c>
      <c r="AC1120" s="373">
        <f t="shared" si="238"/>
        <v>341.89992049891742</v>
      </c>
      <c r="AD1120" s="373">
        <f t="shared" si="238"/>
        <v>0</v>
      </c>
      <c r="AE1120" s="373">
        <f t="shared" si="238"/>
        <v>117.69201718616445</v>
      </c>
      <c r="AF1120" s="373">
        <f t="shared" si="238"/>
        <v>0</v>
      </c>
      <c r="AG1120" s="373">
        <f t="shared" si="238"/>
        <v>101.04202726621106</v>
      </c>
      <c r="AH1120" s="373">
        <f t="shared" si="238"/>
        <v>105.64986783416232</v>
      </c>
      <c r="AI1120" s="373">
        <f t="shared" si="238"/>
        <v>0</v>
      </c>
      <c r="AJ1120" s="373">
        <f t="shared" si="238"/>
        <v>0</v>
      </c>
      <c r="AK1120" s="373">
        <f t="shared" si="238"/>
        <v>0</v>
      </c>
      <c r="AL1120" s="373">
        <f t="shared" si="238"/>
        <v>0</v>
      </c>
      <c r="AM1120" s="101">
        <f t="shared" si="233"/>
        <v>3168.2924728705425</v>
      </c>
    </row>
    <row r="1121" spans="1:39" x14ac:dyDescent="0.2">
      <c r="A1121" s="1"/>
      <c r="B1121" s="1"/>
      <c r="C1121" s="3"/>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07"/>
    </row>
    <row r="1122" spans="1:39" x14ac:dyDescent="0.2">
      <c r="A1122" s="1"/>
      <c r="B1122" s="85" t="s">
        <v>556</v>
      </c>
      <c r="C1122" s="86"/>
      <c r="D1122" s="85"/>
      <c r="E1122" s="85"/>
      <c r="F1122" s="85"/>
      <c r="G1122" s="85"/>
      <c r="H1122" s="85"/>
      <c r="I1122" s="85"/>
      <c r="J1122" s="85"/>
      <c r="K1122" s="85"/>
      <c r="L1122" s="85"/>
      <c r="M1122" s="85"/>
      <c r="N1122" s="85"/>
      <c r="O1122" s="85"/>
      <c r="P1122" s="85"/>
      <c r="Q1122" s="85"/>
      <c r="R1122" s="85"/>
      <c r="S1122" s="85"/>
      <c r="T1122" s="85"/>
      <c r="U1122" s="85"/>
      <c r="V1122" s="85"/>
      <c r="W1122" s="85"/>
      <c r="X1122" s="85"/>
      <c r="Y1122" s="85"/>
      <c r="Z1122" s="85"/>
      <c r="AA1122" s="85"/>
      <c r="AB1122" s="85"/>
      <c r="AC1122" s="85"/>
      <c r="AD1122" s="85"/>
      <c r="AE1122" s="85"/>
      <c r="AF1122" s="85"/>
      <c r="AG1122" s="85"/>
      <c r="AH1122" s="85"/>
      <c r="AI1122" s="85"/>
      <c r="AJ1122" s="85"/>
      <c r="AK1122" s="85"/>
      <c r="AL1122" s="85"/>
      <c r="AM1122" s="107"/>
    </row>
    <row r="1123" spans="1:39" x14ac:dyDescent="0.2">
      <c r="A1123" s="19" t="s">
        <v>342</v>
      </c>
      <c r="B1123" s="79" t="s">
        <v>557</v>
      </c>
      <c r="C1123" s="80" t="s">
        <v>63</v>
      </c>
      <c r="D1123" s="19" t="s">
        <v>564</v>
      </c>
      <c r="E1123" s="27"/>
      <c r="F1123" s="274">
        <v>49.086674686787582</v>
      </c>
      <c r="G1123" s="274">
        <v>50.362230130185218</v>
      </c>
      <c r="H1123" s="274">
        <v>50.521962803189275</v>
      </c>
      <c r="I1123" s="274">
        <v>46.635989121254873</v>
      </c>
      <c r="J1123" s="274">
        <v>59.464449574023639</v>
      </c>
      <c r="K1123" s="274">
        <v>50.243768457105652</v>
      </c>
      <c r="L1123" s="274">
        <v>58.356626464401451</v>
      </c>
      <c r="M1123" s="274">
        <v>43.433268353255215</v>
      </c>
      <c r="N1123" s="274">
        <v>48.448482872185316</v>
      </c>
      <c r="O1123" s="274">
        <v>52.661089154278521</v>
      </c>
      <c r="P1123" s="274">
        <v>47.410349366624864</v>
      </c>
      <c r="Q1123" s="274">
        <v>24.124545924072152</v>
      </c>
      <c r="R1123" s="274">
        <v>56.751173942921945</v>
      </c>
      <c r="S1123" s="274">
        <v>51.832741232399783</v>
      </c>
      <c r="T1123" s="274">
        <v>53.225920724312708</v>
      </c>
      <c r="U1123" s="274">
        <v>53.539179083701953</v>
      </c>
      <c r="V1123" s="274">
        <v>56.80747656420079</v>
      </c>
      <c r="W1123" s="274">
        <v>41.728347363552871</v>
      </c>
      <c r="X1123" s="274">
        <v>47.367581241360362</v>
      </c>
      <c r="Y1123" s="274">
        <v>50.946265695316718</v>
      </c>
      <c r="Z1123" s="274">
        <v>42.350560210830224</v>
      </c>
      <c r="AA1123" s="274">
        <v>52.21079536990279</v>
      </c>
      <c r="AB1123" s="274">
        <v>49.420833747446444</v>
      </c>
      <c r="AC1123" s="274">
        <v>47.625260940970847</v>
      </c>
      <c r="AD1123" s="274">
        <v>46.281337570184689</v>
      </c>
      <c r="AE1123" s="274">
        <v>47.533377874324806</v>
      </c>
      <c r="AF1123" s="274">
        <v>45.855288720846801</v>
      </c>
      <c r="AG1123" s="274">
        <v>47.604095022897603</v>
      </c>
      <c r="AH1123" s="274">
        <v>54.601237968512997</v>
      </c>
      <c r="AI1123" s="274">
        <v>50.346056174630888</v>
      </c>
      <c r="AJ1123" s="274">
        <v>41.353001576839254</v>
      </c>
      <c r="AK1123" s="274">
        <v>59.87641318153868</v>
      </c>
      <c r="AL1123" s="274">
        <v>58.262483121615354</v>
      </c>
      <c r="AM1123" s="386">
        <f>AVERAGE(F1123:AL1123)</f>
        <v>49.583904976838546</v>
      </c>
    </row>
    <row r="1124" spans="1:39" x14ac:dyDescent="0.2">
      <c r="A1124" s="19"/>
      <c r="B1124" s="79" t="s">
        <v>559</v>
      </c>
      <c r="C1124" s="80" t="s">
        <v>63</v>
      </c>
      <c r="D1124" s="19" t="s">
        <v>564</v>
      </c>
      <c r="E1124" s="27"/>
      <c r="F1124" s="274">
        <v>50.913325313212418</v>
      </c>
      <c r="G1124" s="274">
        <v>49.637769869814782</v>
      </c>
      <c r="H1124" s="274">
        <v>49.478037196810725</v>
      </c>
      <c r="I1124" s="274">
        <v>53.364010878745127</v>
      </c>
      <c r="J1124" s="274">
        <v>40.535550425976361</v>
      </c>
      <c r="K1124" s="274">
        <v>49.756231542894348</v>
      </c>
      <c r="L1124" s="274">
        <v>41.643373535598549</v>
      </c>
      <c r="M1124" s="274">
        <v>56.566731646744785</v>
      </c>
      <c r="N1124" s="274">
        <v>51.551517127814684</v>
      </c>
      <c r="O1124" s="274">
        <v>47.338910845721479</v>
      </c>
      <c r="P1124" s="274">
        <v>52.589650633375136</v>
      </c>
      <c r="Q1124" s="274">
        <v>75.875454075927848</v>
      </c>
      <c r="R1124" s="274">
        <v>43.248826057078055</v>
      </c>
      <c r="S1124" s="274">
        <v>48.167258767600217</v>
      </c>
      <c r="T1124" s="274">
        <v>46.774079275687292</v>
      </c>
      <c r="U1124" s="274">
        <v>46.460820916298047</v>
      </c>
      <c r="V1124" s="274">
        <v>43.19252343579921</v>
      </c>
      <c r="W1124" s="274">
        <v>58.271652636447129</v>
      </c>
      <c r="X1124" s="274">
        <v>52.632418758639638</v>
      </c>
      <c r="Y1124" s="274">
        <v>49.053734304683282</v>
      </c>
      <c r="Z1124" s="274">
        <v>57.649439789169776</v>
      </c>
      <c r="AA1124" s="274">
        <v>47.78920463009721</v>
      </c>
      <c r="AB1124" s="274">
        <v>50.579166252553556</v>
      </c>
      <c r="AC1124" s="274">
        <v>52.374739059029153</v>
      </c>
      <c r="AD1124" s="274">
        <v>53.718662429815311</v>
      </c>
      <c r="AE1124" s="274">
        <v>52.466622125675194</v>
      </c>
      <c r="AF1124" s="274">
        <v>54.144711279153199</v>
      </c>
      <c r="AG1124" s="274">
        <v>52.395904977102397</v>
      </c>
      <c r="AH1124" s="274">
        <v>45.398762031487003</v>
      </c>
      <c r="AI1124" s="274">
        <v>49.653943825369112</v>
      </c>
      <c r="AJ1124" s="274">
        <v>58.646998423160746</v>
      </c>
      <c r="AK1124" s="274">
        <v>40.12358681846132</v>
      </c>
      <c r="AL1124" s="274">
        <v>41.737516878384646</v>
      </c>
      <c r="AM1124" s="386">
        <f t="shared" ref="AM1124:AM1135" si="239">AVERAGE(F1124:AL1124)</f>
        <v>50.416095023161454</v>
      </c>
    </row>
    <row r="1125" spans="1:39" x14ac:dyDescent="0.2">
      <c r="A1125" s="19"/>
      <c r="B1125" s="79" t="s">
        <v>560</v>
      </c>
      <c r="C1125" s="80" t="s">
        <v>63</v>
      </c>
      <c r="D1125" s="19" t="s">
        <v>564</v>
      </c>
      <c r="E1125" s="27"/>
      <c r="F1125" s="274">
        <v>62.525791865473352</v>
      </c>
      <c r="G1125" s="274">
        <v>72.382825349906156</v>
      </c>
      <c r="H1125" s="274">
        <v>64.417910781665256</v>
      </c>
      <c r="I1125" s="274">
        <v>72.294135817592306</v>
      </c>
      <c r="J1125" s="274">
        <v>62.337187937798141</v>
      </c>
      <c r="K1125" s="274">
        <v>70.276097538912538</v>
      </c>
      <c r="L1125" s="274">
        <v>57.293701949705415</v>
      </c>
      <c r="M1125" s="274">
        <v>70.906907257573806</v>
      </c>
      <c r="N1125" s="274">
        <v>65.296578294298158</v>
      </c>
      <c r="O1125" s="274">
        <v>66.335110183678935</v>
      </c>
      <c r="P1125" s="274">
        <v>37.770061978260109</v>
      </c>
      <c r="Q1125" s="274">
        <v>25.921094049635755</v>
      </c>
      <c r="R1125" s="274">
        <v>44.439459977536295</v>
      </c>
      <c r="S1125" s="274">
        <v>44.789233213186513</v>
      </c>
      <c r="T1125" s="274">
        <v>40.985925349648774</v>
      </c>
      <c r="U1125" s="274">
        <v>68.035028039810257</v>
      </c>
      <c r="V1125" s="274">
        <v>59.88877422187813</v>
      </c>
      <c r="W1125" s="274">
        <v>35.686682045801795</v>
      </c>
      <c r="X1125" s="274">
        <v>33.694109002417143</v>
      </c>
      <c r="Y1125" s="274">
        <v>40.714330642074977</v>
      </c>
      <c r="Z1125" s="274">
        <v>36.888873729769074</v>
      </c>
      <c r="AA1125" s="274">
        <v>43.490525803380649</v>
      </c>
      <c r="AB1125" s="274">
        <v>58.612765082110478</v>
      </c>
      <c r="AC1125" s="274">
        <v>54.128537771526773</v>
      </c>
      <c r="AD1125" s="274">
        <v>54.567303337299386</v>
      </c>
      <c r="AE1125" s="274">
        <v>55.90371305963955</v>
      </c>
      <c r="AF1125" s="274">
        <v>53.946451138567134</v>
      </c>
      <c r="AG1125" s="274">
        <v>55.551456233186322</v>
      </c>
      <c r="AH1125" s="274">
        <v>56.324624993957954</v>
      </c>
      <c r="AI1125" s="274">
        <v>52.137875669029782</v>
      </c>
      <c r="AJ1125" s="274">
        <v>35.353387003480627</v>
      </c>
      <c r="AK1125" s="274">
        <v>88.45565480597304</v>
      </c>
      <c r="AL1125" s="274">
        <v>84.384296168262409</v>
      </c>
      <c r="AM1125" s="386">
        <f t="shared" si="239"/>
        <v>55.325345766455669</v>
      </c>
    </row>
    <row r="1126" spans="1:39" x14ac:dyDescent="0.2">
      <c r="A1126" s="19"/>
      <c r="B1126" s="79" t="s">
        <v>561</v>
      </c>
      <c r="C1126" s="80" t="s">
        <v>63</v>
      </c>
      <c r="D1126" s="19" t="s">
        <v>564</v>
      </c>
      <c r="E1126" s="27"/>
      <c r="F1126" s="274">
        <v>31.175495104017351</v>
      </c>
      <c r="G1126" s="274">
        <v>13.808587325046927</v>
      </c>
      <c r="H1126" s="274">
        <v>29.842197442076291</v>
      </c>
      <c r="I1126" s="274">
        <v>20.465629321866796</v>
      </c>
      <c r="J1126" s="274">
        <v>30.446645687929944</v>
      </c>
      <c r="K1126" s="274">
        <v>14.861951230543735</v>
      </c>
      <c r="L1126" s="274">
        <v>34.219612875030364</v>
      </c>
      <c r="M1126" s="274">
        <v>21.541744912287868</v>
      </c>
      <c r="N1126" s="274">
        <v>23.791658658675487</v>
      </c>
      <c r="O1126" s="274">
        <v>22.218455974283508</v>
      </c>
      <c r="P1126" s="274">
        <v>40.282659847176205</v>
      </c>
      <c r="Q1126" s="274">
        <v>51.113010373061563</v>
      </c>
      <c r="R1126" s="274">
        <v>35.560540022463712</v>
      </c>
      <c r="S1126" s="274">
        <v>45.327188947596156</v>
      </c>
      <c r="T1126" s="274">
        <v>47.246022697416358</v>
      </c>
      <c r="U1126" s="274">
        <v>26.826773330598499</v>
      </c>
      <c r="V1126" s="274">
        <v>24.207454822280948</v>
      </c>
      <c r="W1126" s="274">
        <v>28.045738037728743</v>
      </c>
      <c r="X1126" s="274">
        <v>38.572816476810857</v>
      </c>
      <c r="Y1126" s="274">
        <v>35.268400965437678</v>
      </c>
      <c r="Z1126" s="274">
        <v>45.23681893981928</v>
      </c>
      <c r="AA1126" s="274">
        <v>33.827752754320358</v>
      </c>
      <c r="AB1126" s="274">
        <v>34.126723939936376</v>
      </c>
      <c r="AC1126" s="274">
        <v>35.975859507318702</v>
      </c>
      <c r="AD1126" s="274">
        <v>30.401496512918428</v>
      </c>
      <c r="AE1126" s="274">
        <v>32.089715277323201</v>
      </c>
      <c r="AF1126" s="274">
        <v>30.382995560106352</v>
      </c>
      <c r="AG1126" s="274">
        <v>32.906207393748232</v>
      </c>
      <c r="AH1126" s="274">
        <v>26.384054985342928</v>
      </c>
      <c r="AI1126" s="274">
        <v>41.552509476434061</v>
      </c>
      <c r="AJ1126" s="274">
        <v>45.651770886046982</v>
      </c>
      <c r="AK1126" s="274">
        <v>10.609531921872891</v>
      </c>
      <c r="AL1126" s="274">
        <v>14.627882902208917</v>
      </c>
      <c r="AM1126" s="386">
        <f t="shared" si="239"/>
        <v>31.169572851809864</v>
      </c>
    </row>
    <row r="1127" spans="1:39" x14ac:dyDescent="0.2">
      <c r="A1127" s="19"/>
      <c r="B1127" s="79" t="s">
        <v>562</v>
      </c>
      <c r="C1127" s="80" t="s">
        <v>63</v>
      </c>
      <c r="D1127" s="19" t="s">
        <v>564</v>
      </c>
      <c r="E1127" s="27"/>
      <c r="F1127" s="274">
        <v>6.2987130305093046</v>
      </c>
      <c r="G1127" s="274">
        <v>13.808587325046915</v>
      </c>
      <c r="H1127" s="274">
        <v>5.739891776258446</v>
      </c>
      <c r="I1127" s="274">
        <v>7.2402348605408946</v>
      </c>
      <c r="J1127" s="274">
        <v>7.2161663742719213</v>
      </c>
      <c r="K1127" s="274">
        <v>14.861951230543724</v>
      </c>
      <c r="L1127" s="274">
        <v>8.4866851752642276</v>
      </c>
      <c r="M1127" s="274">
        <v>7.5513478301383259</v>
      </c>
      <c r="N1127" s="274">
        <v>10.911763047026355</v>
      </c>
      <c r="O1127" s="274">
        <v>11.44643384203755</v>
      </c>
      <c r="P1127" s="274">
        <v>21.947278174563678</v>
      </c>
      <c r="Q1127" s="274">
        <v>22.965895577302689</v>
      </c>
      <c r="R1127" s="274">
        <v>20</v>
      </c>
      <c r="S1127" s="274">
        <v>9.8835778392173381</v>
      </c>
      <c r="T1127" s="274">
        <v>11.768051952934869</v>
      </c>
      <c r="U1127" s="274">
        <v>5.1381986295912441</v>
      </c>
      <c r="V1127" s="274">
        <v>15.903770955840926</v>
      </c>
      <c r="W1127" s="274">
        <v>36.267579916469458</v>
      </c>
      <c r="X1127" s="274">
        <v>27.733074520771993</v>
      </c>
      <c r="Y1127" s="274">
        <v>24.017268392487352</v>
      </c>
      <c r="Z1127" s="274">
        <v>17.874307330411654</v>
      </c>
      <c r="AA1127" s="274">
        <v>22.681721442298993</v>
      </c>
      <c r="AB1127" s="274">
        <v>7.260510977953146</v>
      </c>
      <c r="AC1127" s="274">
        <v>9.8956027211545177</v>
      </c>
      <c r="AD1127" s="274">
        <v>15.031200149782194</v>
      </c>
      <c r="AE1127" s="274">
        <v>12.006571663037249</v>
      </c>
      <c r="AF1127" s="274">
        <v>15.670553301326521</v>
      </c>
      <c r="AG1127" s="274">
        <v>11.542336373065439</v>
      </c>
      <c r="AH1127" s="274">
        <v>17.291320020699118</v>
      </c>
      <c r="AI1127" s="274">
        <v>6.3096148545361643</v>
      </c>
      <c r="AJ1127" s="274">
        <v>18.994842110472391</v>
      </c>
      <c r="AK1127" s="274">
        <v>0.93481327215407362</v>
      </c>
      <c r="AL1127" s="274">
        <v>0.98782092952868084</v>
      </c>
      <c r="AM1127" s="386">
        <f t="shared" si="239"/>
        <v>13.505081381734465</v>
      </c>
    </row>
    <row r="1128" spans="1:39" x14ac:dyDescent="0.2">
      <c r="A1128" s="19"/>
      <c r="B1128" s="19" t="s">
        <v>563</v>
      </c>
      <c r="C1128" s="80" t="s">
        <v>63</v>
      </c>
      <c r="D1128" s="19" t="s">
        <v>564</v>
      </c>
      <c r="E1128" s="27"/>
      <c r="F1128" s="55">
        <v>26</v>
      </c>
      <c r="G1128" s="55">
        <v>26</v>
      </c>
      <c r="H1128" s="55">
        <v>26</v>
      </c>
      <c r="I1128" s="55">
        <v>26</v>
      </c>
      <c r="J1128" s="55">
        <v>26</v>
      </c>
      <c r="K1128" s="55">
        <v>26</v>
      </c>
      <c r="L1128" s="55">
        <v>26</v>
      </c>
      <c r="M1128" s="55">
        <v>26</v>
      </c>
      <c r="N1128" s="55">
        <v>26</v>
      </c>
      <c r="O1128" s="55">
        <v>26</v>
      </c>
      <c r="P1128" s="55">
        <v>26</v>
      </c>
      <c r="Q1128" s="55">
        <v>26</v>
      </c>
      <c r="R1128" s="55">
        <v>26</v>
      </c>
      <c r="S1128" s="55">
        <v>26</v>
      </c>
      <c r="T1128" s="55">
        <v>26</v>
      </c>
      <c r="U1128" s="55">
        <v>26</v>
      </c>
      <c r="V1128" s="55">
        <v>26</v>
      </c>
      <c r="W1128" s="55">
        <v>26</v>
      </c>
      <c r="X1128" s="55">
        <v>26</v>
      </c>
      <c r="Y1128" s="55">
        <v>26</v>
      </c>
      <c r="Z1128" s="55">
        <v>26</v>
      </c>
      <c r="AA1128" s="55">
        <v>26</v>
      </c>
      <c r="AB1128" s="55">
        <v>26</v>
      </c>
      <c r="AC1128" s="55">
        <v>26</v>
      </c>
      <c r="AD1128" s="55">
        <v>26</v>
      </c>
      <c r="AE1128" s="55">
        <v>26</v>
      </c>
      <c r="AF1128" s="55">
        <v>26</v>
      </c>
      <c r="AG1128" s="55">
        <v>26</v>
      </c>
      <c r="AH1128" s="55">
        <v>26</v>
      </c>
      <c r="AI1128" s="55">
        <v>26</v>
      </c>
      <c r="AJ1128" s="55">
        <v>26</v>
      </c>
      <c r="AK1128" s="55">
        <v>26</v>
      </c>
      <c r="AL1128" s="55">
        <v>26</v>
      </c>
      <c r="AM1128" s="386">
        <f t="shared" si="239"/>
        <v>26</v>
      </c>
    </row>
    <row r="1129" spans="1:39" x14ac:dyDescent="0.2">
      <c r="A1129" s="19"/>
      <c r="B1129" s="19" t="s">
        <v>565</v>
      </c>
      <c r="C1129" s="80" t="s">
        <v>63</v>
      </c>
      <c r="D1129" s="19" t="s">
        <v>564</v>
      </c>
      <c r="E1129" s="27"/>
      <c r="F1129" s="55">
        <v>26</v>
      </c>
      <c r="G1129" s="55">
        <v>26</v>
      </c>
      <c r="H1129" s="55">
        <v>26</v>
      </c>
      <c r="I1129" s="55">
        <v>26</v>
      </c>
      <c r="J1129" s="55">
        <v>26</v>
      </c>
      <c r="K1129" s="55">
        <v>26</v>
      </c>
      <c r="L1129" s="55">
        <v>26</v>
      </c>
      <c r="M1129" s="55">
        <v>26</v>
      </c>
      <c r="N1129" s="55">
        <v>26</v>
      </c>
      <c r="O1129" s="55">
        <v>26</v>
      </c>
      <c r="P1129" s="55">
        <v>26</v>
      </c>
      <c r="Q1129" s="55">
        <v>26</v>
      </c>
      <c r="R1129" s="55">
        <v>26</v>
      </c>
      <c r="S1129" s="55">
        <v>26</v>
      </c>
      <c r="T1129" s="55">
        <v>26</v>
      </c>
      <c r="U1129" s="55">
        <v>26</v>
      </c>
      <c r="V1129" s="55">
        <v>26</v>
      </c>
      <c r="W1129" s="55">
        <v>26</v>
      </c>
      <c r="X1129" s="55">
        <v>26</v>
      </c>
      <c r="Y1129" s="55">
        <v>26</v>
      </c>
      <c r="Z1129" s="55">
        <v>26</v>
      </c>
      <c r="AA1129" s="55">
        <v>26</v>
      </c>
      <c r="AB1129" s="55">
        <v>26</v>
      </c>
      <c r="AC1129" s="55">
        <v>26</v>
      </c>
      <c r="AD1129" s="55">
        <v>26</v>
      </c>
      <c r="AE1129" s="55">
        <v>26</v>
      </c>
      <c r="AF1129" s="55">
        <v>26</v>
      </c>
      <c r="AG1129" s="55">
        <v>26</v>
      </c>
      <c r="AH1129" s="55">
        <v>26</v>
      </c>
      <c r="AI1129" s="55">
        <v>26</v>
      </c>
      <c r="AJ1129" s="55">
        <v>26</v>
      </c>
      <c r="AK1129" s="55">
        <v>26</v>
      </c>
      <c r="AL1129" s="55">
        <v>26</v>
      </c>
      <c r="AM1129" s="386">
        <f t="shared" si="239"/>
        <v>26</v>
      </c>
    </row>
    <row r="1130" spans="1:39" x14ac:dyDescent="0.2">
      <c r="A1130" s="19"/>
      <c r="B1130" s="19" t="s">
        <v>566</v>
      </c>
      <c r="C1130" s="80" t="s">
        <v>63</v>
      </c>
      <c r="D1130" s="19" t="s">
        <v>564</v>
      </c>
      <c r="E1130" s="27"/>
      <c r="F1130" s="55">
        <v>27</v>
      </c>
      <c r="G1130" s="55">
        <v>27</v>
      </c>
      <c r="H1130" s="55">
        <v>27</v>
      </c>
      <c r="I1130" s="55">
        <v>27</v>
      </c>
      <c r="J1130" s="55">
        <v>27</v>
      </c>
      <c r="K1130" s="55">
        <v>27</v>
      </c>
      <c r="L1130" s="55">
        <v>27</v>
      </c>
      <c r="M1130" s="55">
        <v>27</v>
      </c>
      <c r="N1130" s="55">
        <v>27</v>
      </c>
      <c r="O1130" s="55">
        <v>27</v>
      </c>
      <c r="P1130" s="55">
        <v>27</v>
      </c>
      <c r="Q1130" s="55">
        <v>27</v>
      </c>
      <c r="R1130" s="55">
        <v>27</v>
      </c>
      <c r="S1130" s="55">
        <v>27</v>
      </c>
      <c r="T1130" s="55">
        <v>27</v>
      </c>
      <c r="U1130" s="55">
        <v>27</v>
      </c>
      <c r="V1130" s="55">
        <v>27</v>
      </c>
      <c r="W1130" s="55">
        <v>27</v>
      </c>
      <c r="X1130" s="55">
        <v>27</v>
      </c>
      <c r="Y1130" s="55">
        <v>27</v>
      </c>
      <c r="Z1130" s="55">
        <v>27</v>
      </c>
      <c r="AA1130" s="55">
        <v>27</v>
      </c>
      <c r="AB1130" s="55">
        <v>27</v>
      </c>
      <c r="AC1130" s="55">
        <v>27</v>
      </c>
      <c r="AD1130" s="55">
        <v>27</v>
      </c>
      <c r="AE1130" s="55">
        <v>27</v>
      </c>
      <c r="AF1130" s="55">
        <v>27</v>
      </c>
      <c r="AG1130" s="55">
        <v>27</v>
      </c>
      <c r="AH1130" s="55">
        <v>27</v>
      </c>
      <c r="AI1130" s="55">
        <v>27</v>
      </c>
      <c r="AJ1130" s="55">
        <v>27</v>
      </c>
      <c r="AK1130" s="55">
        <v>27</v>
      </c>
      <c r="AL1130" s="55">
        <v>27</v>
      </c>
      <c r="AM1130" s="386">
        <f t="shared" si="239"/>
        <v>27</v>
      </c>
    </row>
    <row r="1131" spans="1:39" x14ac:dyDescent="0.2">
      <c r="A1131" s="19"/>
      <c r="B1131" s="19" t="s">
        <v>567</v>
      </c>
      <c r="C1131" s="80" t="s">
        <v>63</v>
      </c>
      <c r="D1131" s="19" t="s">
        <v>564</v>
      </c>
      <c r="E1131" s="27"/>
      <c r="F1131" s="55">
        <v>10</v>
      </c>
      <c r="G1131" s="55">
        <v>10</v>
      </c>
      <c r="H1131" s="55">
        <v>10</v>
      </c>
      <c r="I1131" s="55">
        <v>10</v>
      </c>
      <c r="J1131" s="55">
        <v>10</v>
      </c>
      <c r="K1131" s="55">
        <v>10</v>
      </c>
      <c r="L1131" s="55">
        <v>10</v>
      </c>
      <c r="M1131" s="55">
        <v>10</v>
      </c>
      <c r="N1131" s="55">
        <v>10</v>
      </c>
      <c r="O1131" s="55">
        <v>10</v>
      </c>
      <c r="P1131" s="55">
        <v>10</v>
      </c>
      <c r="Q1131" s="55">
        <v>10</v>
      </c>
      <c r="R1131" s="55">
        <v>10</v>
      </c>
      <c r="S1131" s="55">
        <v>10</v>
      </c>
      <c r="T1131" s="55">
        <v>10</v>
      </c>
      <c r="U1131" s="55">
        <v>10</v>
      </c>
      <c r="V1131" s="55">
        <v>10</v>
      </c>
      <c r="W1131" s="55">
        <v>10</v>
      </c>
      <c r="X1131" s="55">
        <v>10</v>
      </c>
      <c r="Y1131" s="55">
        <v>10</v>
      </c>
      <c r="Z1131" s="55">
        <v>10</v>
      </c>
      <c r="AA1131" s="55">
        <v>10</v>
      </c>
      <c r="AB1131" s="55">
        <v>10</v>
      </c>
      <c r="AC1131" s="55">
        <v>10</v>
      </c>
      <c r="AD1131" s="55">
        <v>10</v>
      </c>
      <c r="AE1131" s="55">
        <v>10</v>
      </c>
      <c r="AF1131" s="55">
        <v>10</v>
      </c>
      <c r="AG1131" s="55">
        <v>10</v>
      </c>
      <c r="AH1131" s="55">
        <v>10</v>
      </c>
      <c r="AI1131" s="55">
        <v>10</v>
      </c>
      <c r="AJ1131" s="55">
        <v>10</v>
      </c>
      <c r="AK1131" s="55">
        <v>10</v>
      </c>
      <c r="AL1131" s="55">
        <v>10</v>
      </c>
      <c r="AM1131" s="386">
        <f t="shared" si="239"/>
        <v>10</v>
      </c>
    </row>
    <row r="1132" spans="1:39" x14ac:dyDescent="0.2">
      <c r="A1132" s="19"/>
      <c r="B1132" s="19" t="s">
        <v>568</v>
      </c>
      <c r="C1132" s="80" t="s">
        <v>63</v>
      </c>
      <c r="D1132" s="19" t="s">
        <v>564</v>
      </c>
      <c r="E1132" s="27"/>
      <c r="F1132" s="55">
        <v>4</v>
      </c>
      <c r="G1132" s="55">
        <v>4</v>
      </c>
      <c r="H1132" s="55">
        <v>4</v>
      </c>
      <c r="I1132" s="55">
        <v>4</v>
      </c>
      <c r="J1132" s="55">
        <v>4</v>
      </c>
      <c r="K1132" s="55">
        <v>4</v>
      </c>
      <c r="L1132" s="55">
        <v>4</v>
      </c>
      <c r="M1132" s="55">
        <v>4</v>
      </c>
      <c r="N1132" s="55">
        <v>4</v>
      </c>
      <c r="O1132" s="55">
        <v>4</v>
      </c>
      <c r="P1132" s="55">
        <v>4</v>
      </c>
      <c r="Q1132" s="55">
        <v>4</v>
      </c>
      <c r="R1132" s="55">
        <v>4</v>
      </c>
      <c r="S1132" s="55">
        <v>4</v>
      </c>
      <c r="T1132" s="55">
        <v>4</v>
      </c>
      <c r="U1132" s="55">
        <v>4</v>
      </c>
      <c r="V1132" s="55">
        <v>4</v>
      </c>
      <c r="W1132" s="55">
        <v>4</v>
      </c>
      <c r="X1132" s="55">
        <v>4</v>
      </c>
      <c r="Y1132" s="55">
        <v>4</v>
      </c>
      <c r="Z1132" s="55">
        <v>4</v>
      </c>
      <c r="AA1132" s="55">
        <v>4</v>
      </c>
      <c r="AB1132" s="55">
        <v>4</v>
      </c>
      <c r="AC1132" s="55">
        <v>4</v>
      </c>
      <c r="AD1132" s="55">
        <v>4</v>
      </c>
      <c r="AE1132" s="55">
        <v>4</v>
      </c>
      <c r="AF1132" s="55">
        <v>4</v>
      </c>
      <c r="AG1132" s="55">
        <v>4</v>
      </c>
      <c r="AH1132" s="55">
        <v>4</v>
      </c>
      <c r="AI1132" s="55">
        <v>4</v>
      </c>
      <c r="AJ1132" s="55">
        <v>4</v>
      </c>
      <c r="AK1132" s="55">
        <v>4</v>
      </c>
      <c r="AL1132" s="55">
        <v>4</v>
      </c>
      <c r="AM1132" s="386">
        <f t="shared" si="239"/>
        <v>4</v>
      </c>
    </row>
    <row r="1133" spans="1:39" x14ac:dyDescent="0.2">
      <c r="A1133" s="19"/>
      <c r="B1133" s="19" t="s">
        <v>569</v>
      </c>
      <c r="C1133" s="80" t="s">
        <v>63</v>
      </c>
      <c r="D1133" s="19" t="s">
        <v>564</v>
      </c>
      <c r="E1133" s="27"/>
      <c r="F1133" s="55">
        <v>4</v>
      </c>
      <c r="G1133" s="55">
        <v>4</v>
      </c>
      <c r="H1133" s="55">
        <v>4</v>
      </c>
      <c r="I1133" s="55">
        <v>4</v>
      </c>
      <c r="J1133" s="55">
        <v>4</v>
      </c>
      <c r="K1133" s="55">
        <v>4</v>
      </c>
      <c r="L1133" s="55">
        <v>4</v>
      </c>
      <c r="M1133" s="55">
        <v>4</v>
      </c>
      <c r="N1133" s="55">
        <v>4</v>
      </c>
      <c r="O1133" s="55">
        <v>4</v>
      </c>
      <c r="P1133" s="55">
        <v>4</v>
      </c>
      <c r="Q1133" s="55">
        <v>4</v>
      </c>
      <c r="R1133" s="55">
        <v>4</v>
      </c>
      <c r="S1133" s="55">
        <v>4</v>
      </c>
      <c r="T1133" s="55">
        <v>4</v>
      </c>
      <c r="U1133" s="55">
        <v>4</v>
      </c>
      <c r="V1133" s="55">
        <v>4</v>
      </c>
      <c r="W1133" s="55">
        <v>4</v>
      </c>
      <c r="X1133" s="55">
        <v>4</v>
      </c>
      <c r="Y1133" s="55">
        <v>4</v>
      </c>
      <c r="Z1133" s="55">
        <v>4</v>
      </c>
      <c r="AA1133" s="55">
        <v>4</v>
      </c>
      <c r="AB1133" s="55">
        <v>4</v>
      </c>
      <c r="AC1133" s="55">
        <v>4</v>
      </c>
      <c r="AD1133" s="55">
        <v>4</v>
      </c>
      <c r="AE1133" s="55">
        <v>4</v>
      </c>
      <c r="AF1133" s="55">
        <v>4</v>
      </c>
      <c r="AG1133" s="55">
        <v>4</v>
      </c>
      <c r="AH1133" s="55">
        <v>4</v>
      </c>
      <c r="AI1133" s="55">
        <v>4</v>
      </c>
      <c r="AJ1133" s="55">
        <v>4</v>
      </c>
      <c r="AK1133" s="55">
        <v>4</v>
      </c>
      <c r="AL1133" s="55">
        <v>4</v>
      </c>
      <c r="AM1133" s="386">
        <f t="shared" si="239"/>
        <v>4</v>
      </c>
    </row>
    <row r="1134" spans="1:39" x14ac:dyDescent="0.2">
      <c r="A1134" s="19"/>
      <c r="B1134" s="19" t="s">
        <v>570</v>
      </c>
      <c r="C1134" s="80" t="s">
        <v>63</v>
      </c>
      <c r="D1134" s="19" t="s">
        <v>564</v>
      </c>
      <c r="E1134" s="27"/>
      <c r="F1134" s="55">
        <v>3</v>
      </c>
      <c r="G1134" s="55">
        <v>3</v>
      </c>
      <c r="H1134" s="55">
        <v>3</v>
      </c>
      <c r="I1134" s="55">
        <v>3</v>
      </c>
      <c r="J1134" s="55">
        <v>3</v>
      </c>
      <c r="K1134" s="55">
        <v>3</v>
      </c>
      <c r="L1134" s="55">
        <v>3</v>
      </c>
      <c r="M1134" s="55">
        <v>3</v>
      </c>
      <c r="N1134" s="55">
        <v>3</v>
      </c>
      <c r="O1134" s="55">
        <v>3</v>
      </c>
      <c r="P1134" s="55">
        <v>3</v>
      </c>
      <c r="Q1134" s="55">
        <v>3</v>
      </c>
      <c r="R1134" s="55">
        <v>3</v>
      </c>
      <c r="S1134" s="55">
        <v>3</v>
      </c>
      <c r="T1134" s="55">
        <v>3</v>
      </c>
      <c r="U1134" s="55">
        <v>3</v>
      </c>
      <c r="V1134" s="55">
        <v>3</v>
      </c>
      <c r="W1134" s="55">
        <v>3</v>
      </c>
      <c r="X1134" s="55">
        <v>3</v>
      </c>
      <c r="Y1134" s="55">
        <v>3</v>
      </c>
      <c r="Z1134" s="55">
        <v>3</v>
      </c>
      <c r="AA1134" s="55">
        <v>3</v>
      </c>
      <c r="AB1134" s="55">
        <v>3</v>
      </c>
      <c r="AC1134" s="55">
        <v>3</v>
      </c>
      <c r="AD1134" s="55">
        <v>3</v>
      </c>
      <c r="AE1134" s="55">
        <v>3</v>
      </c>
      <c r="AF1134" s="55">
        <v>3</v>
      </c>
      <c r="AG1134" s="55">
        <v>3</v>
      </c>
      <c r="AH1134" s="55">
        <v>3</v>
      </c>
      <c r="AI1134" s="55">
        <v>3</v>
      </c>
      <c r="AJ1134" s="55">
        <v>3</v>
      </c>
      <c r="AK1134" s="55">
        <v>3</v>
      </c>
      <c r="AL1134" s="55">
        <v>3</v>
      </c>
      <c r="AM1134" s="386">
        <f t="shared" si="239"/>
        <v>3</v>
      </c>
    </row>
    <row r="1135" spans="1:39" x14ac:dyDescent="0.2">
      <c r="A1135" s="19"/>
      <c r="B1135" s="19" t="s">
        <v>571</v>
      </c>
      <c r="C1135" s="80" t="s">
        <v>63</v>
      </c>
      <c r="D1135" s="19" t="s">
        <v>564</v>
      </c>
      <c r="E1135" s="27"/>
      <c r="F1135" s="55">
        <v>2</v>
      </c>
      <c r="G1135" s="55">
        <v>2</v>
      </c>
      <c r="H1135" s="55">
        <v>2</v>
      </c>
      <c r="I1135" s="55">
        <v>2</v>
      </c>
      <c r="J1135" s="55">
        <v>2</v>
      </c>
      <c r="K1135" s="55">
        <v>2</v>
      </c>
      <c r="L1135" s="55">
        <v>2</v>
      </c>
      <c r="M1135" s="55">
        <v>2</v>
      </c>
      <c r="N1135" s="55">
        <v>2</v>
      </c>
      <c r="O1135" s="55">
        <v>2</v>
      </c>
      <c r="P1135" s="55">
        <v>2</v>
      </c>
      <c r="Q1135" s="55">
        <v>2</v>
      </c>
      <c r="R1135" s="55">
        <v>2</v>
      </c>
      <c r="S1135" s="55">
        <v>2</v>
      </c>
      <c r="T1135" s="55">
        <v>2</v>
      </c>
      <c r="U1135" s="55">
        <v>2</v>
      </c>
      <c r="V1135" s="55">
        <v>2</v>
      </c>
      <c r="W1135" s="55">
        <v>2</v>
      </c>
      <c r="X1135" s="55">
        <v>2</v>
      </c>
      <c r="Y1135" s="55">
        <v>2</v>
      </c>
      <c r="Z1135" s="55">
        <v>2</v>
      </c>
      <c r="AA1135" s="55">
        <v>2</v>
      </c>
      <c r="AB1135" s="55">
        <v>2</v>
      </c>
      <c r="AC1135" s="55">
        <v>2</v>
      </c>
      <c r="AD1135" s="55">
        <v>2</v>
      </c>
      <c r="AE1135" s="55">
        <v>2</v>
      </c>
      <c r="AF1135" s="55">
        <v>2</v>
      </c>
      <c r="AG1135" s="55">
        <v>2</v>
      </c>
      <c r="AH1135" s="55">
        <v>2</v>
      </c>
      <c r="AI1135" s="55">
        <v>2</v>
      </c>
      <c r="AJ1135" s="55">
        <v>2</v>
      </c>
      <c r="AK1135" s="55">
        <v>2</v>
      </c>
      <c r="AL1135" s="55">
        <v>2</v>
      </c>
      <c r="AM1135" s="386">
        <f t="shared" si="239"/>
        <v>2</v>
      </c>
    </row>
    <row r="1136" spans="1:39" x14ac:dyDescent="0.2">
      <c r="A1136" s="19"/>
      <c r="B1136" s="19"/>
      <c r="C1136" s="18"/>
      <c r="D1136" s="19"/>
      <c r="E1136" s="27"/>
      <c r="F1136" s="55"/>
      <c r="G1136" s="55"/>
      <c r="H1136" s="55"/>
      <c r="I1136" s="55"/>
      <c r="J1136" s="55"/>
      <c r="K1136" s="55"/>
      <c r="L1136" s="55"/>
      <c r="M1136" s="55"/>
      <c r="N1136" s="55"/>
      <c r="O1136" s="55"/>
      <c r="P1136" s="55"/>
      <c r="Q1136" s="55"/>
      <c r="R1136" s="55"/>
      <c r="S1136" s="55"/>
      <c r="T1136" s="55"/>
      <c r="U1136" s="55"/>
      <c r="V1136" s="55"/>
      <c r="W1136" s="55"/>
      <c r="X1136" s="55"/>
      <c r="Y1136" s="55"/>
      <c r="Z1136" s="55"/>
      <c r="AA1136" s="55"/>
      <c r="AB1136" s="55"/>
      <c r="AC1136" s="55"/>
      <c r="AD1136" s="55"/>
      <c r="AE1136" s="55"/>
      <c r="AF1136" s="55"/>
      <c r="AG1136" s="55"/>
      <c r="AH1136" s="55"/>
      <c r="AI1136" s="55"/>
      <c r="AJ1136" s="55"/>
      <c r="AK1136" s="55"/>
      <c r="AL1136" s="55"/>
      <c r="AM1136" s="107"/>
    </row>
    <row r="1137" spans="1:39" x14ac:dyDescent="0.2">
      <c r="A1137" s="19" t="s">
        <v>344</v>
      </c>
      <c r="B1137" s="79" t="s">
        <v>557</v>
      </c>
      <c r="C1137" s="80" t="s">
        <v>63</v>
      </c>
      <c r="D1137" s="19" t="s">
        <v>564</v>
      </c>
      <c r="E1137" s="27"/>
      <c r="F1137" s="274">
        <v>61.643835616438359</v>
      </c>
      <c r="G1137" s="274">
        <v>61.643835616438366</v>
      </c>
      <c r="H1137" s="274">
        <v>61.643835616438359</v>
      </c>
      <c r="I1137" s="274">
        <v>58.904109589041099</v>
      </c>
      <c r="J1137" s="274">
        <v>61.643835616438352</v>
      </c>
      <c r="K1137" s="274">
        <v>61.643835616438359</v>
      </c>
      <c r="L1137" s="274">
        <v>61.643835616438359</v>
      </c>
      <c r="M1137" s="274">
        <v>58.904109589041099</v>
      </c>
      <c r="N1137" s="274">
        <v>52.024646984287145</v>
      </c>
      <c r="O1137" s="274">
        <v>54.905698409547952</v>
      </c>
      <c r="P1137" s="274">
        <v>58.904109589041106</v>
      </c>
      <c r="Q1137" s="274">
        <v>58.904109589041099</v>
      </c>
      <c r="R1137" s="274">
        <v>50.68493150684931</v>
      </c>
      <c r="S1137" s="274">
        <v>64.38356164383562</v>
      </c>
      <c r="T1137" s="274">
        <v>64.38356164383562</v>
      </c>
      <c r="U1137" s="274">
        <v>63.349670695105587</v>
      </c>
      <c r="V1137" s="274">
        <v>49.091684363222846</v>
      </c>
      <c r="W1137" s="274">
        <v>58.904109589041106</v>
      </c>
      <c r="X1137" s="274">
        <v>58.904109589041099</v>
      </c>
      <c r="Y1137" s="274">
        <v>58.904109589041106</v>
      </c>
      <c r="Z1137" s="274">
        <v>64.383561643835606</v>
      </c>
      <c r="AA1137" s="274">
        <v>58.904109589041099</v>
      </c>
      <c r="AB1137" s="274">
        <v>36.508137088922311</v>
      </c>
      <c r="AC1137" s="274">
        <v>38.236421547376736</v>
      </c>
      <c r="AD1137" s="274">
        <v>47.945205479452056</v>
      </c>
      <c r="AE1137" s="274">
        <v>46.974189338812707</v>
      </c>
      <c r="AF1137" s="274">
        <v>47.945205479452063</v>
      </c>
      <c r="AG1137" s="274">
        <v>41.324390433920641</v>
      </c>
      <c r="AH1137" s="274">
        <v>45.154944915339911</v>
      </c>
      <c r="AI1137" s="274">
        <v>64.38356164383562</v>
      </c>
      <c r="AJ1137" s="274">
        <v>64.38356164383562</v>
      </c>
      <c r="AK1137" s="274">
        <v>20.547945205479451</v>
      </c>
      <c r="AL1137" s="274">
        <v>20.547945205479451</v>
      </c>
      <c r="AM1137" s="386">
        <f>AVERAGE(F1137:AL1137)</f>
        <v>53.886506523738959</v>
      </c>
    </row>
    <row r="1138" spans="1:39" x14ac:dyDescent="0.2">
      <c r="A1138" s="19"/>
      <c r="B1138" s="79" t="s">
        <v>559</v>
      </c>
      <c r="C1138" s="80" t="s">
        <v>63</v>
      </c>
      <c r="D1138" s="19" t="s">
        <v>564</v>
      </c>
      <c r="E1138" s="27"/>
      <c r="F1138" s="274">
        <v>38.356164383561641</v>
      </c>
      <c r="G1138" s="274">
        <v>38.356164383561634</v>
      </c>
      <c r="H1138" s="274">
        <v>38.356164383561641</v>
      </c>
      <c r="I1138" s="274">
        <v>41.095890410958901</v>
      </c>
      <c r="J1138" s="274">
        <v>38.356164383561648</v>
      </c>
      <c r="K1138" s="274">
        <v>38.356164383561641</v>
      </c>
      <c r="L1138" s="274">
        <v>38.356164383561641</v>
      </c>
      <c r="M1138" s="274">
        <v>41.095890410958901</v>
      </c>
      <c r="N1138" s="274">
        <v>47.975353015712855</v>
      </c>
      <c r="O1138" s="274">
        <v>45.094301590452048</v>
      </c>
      <c r="P1138" s="274">
        <v>41.095890410958894</v>
      </c>
      <c r="Q1138" s="274">
        <v>41.095890410958901</v>
      </c>
      <c r="R1138" s="274">
        <v>49.31506849315069</v>
      </c>
      <c r="S1138" s="274">
        <v>35.61643835616438</v>
      </c>
      <c r="T1138" s="274">
        <v>35.61643835616438</v>
      </c>
      <c r="U1138" s="274">
        <v>36.650329304894413</v>
      </c>
      <c r="V1138" s="274">
        <v>50.908315636777154</v>
      </c>
      <c r="W1138" s="274">
        <v>41.095890410958894</v>
      </c>
      <c r="X1138" s="274">
        <v>41.095890410958901</v>
      </c>
      <c r="Y1138" s="274">
        <v>41.095890410958894</v>
      </c>
      <c r="Z1138" s="274">
        <v>35.616438356164387</v>
      </c>
      <c r="AA1138" s="274">
        <v>41.095890410958901</v>
      </c>
      <c r="AB1138" s="274">
        <v>63.491862911077689</v>
      </c>
      <c r="AC1138" s="274">
        <v>61.763578452623264</v>
      </c>
      <c r="AD1138" s="274">
        <v>52.054794520547944</v>
      </c>
      <c r="AE1138" s="274">
        <v>53.025810661187293</v>
      </c>
      <c r="AF1138" s="274">
        <v>52.054794520547937</v>
      </c>
      <c r="AG1138" s="274">
        <v>58.675609566079359</v>
      </c>
      <c r="AH1138" s="274">
        <v>54.845055084660089</v>
      </c>
      <c r="AI1138" s="274">
        <v>35.61643835616438</v>
      </c>
      <c r="AJ1138" s="274">
        <v>35.61643835616438</v>
      </c>
      <c r="AK1138" s="274">
        <v>79.452054794520549</v>
      </c>
      <c r="AL1138" s="274">
        <v>79.452054794520549</v>
      </c>
      <c r="AM1138" s="386">
        <f t="shared" ref="AM1138:AM1149" si="240">AVERAGE(F1138:AL1138)</f>
        <v>46.113493476261041</v>
      </c>
    </row>
    <row r="1139" spans="1:39" x14ac:dyDescent="0.2">
      <c r="A1139" s="19"/>
      <c r="B1139" s="79" t="s">
        <v>560</v>
      </c>
      <c r="C1139" s="80" t="s">
        <v>63</v>
      </c>
      <c r="D1139" s="19" t="s">
        <v>564</v>
      </c>
      <c r="E1139" s="27"/>
      <c r="F1139" s="274">
        <v>100</v>
      </c>
      <c r="G1139" s="274">
        <v>100</v>
      </c>
      <c r="H1139" s="274">
        <v>100</v>
      </c>
      <c r="I1139" s="274">
        <v>100</v>
      </c>
      <c r="J1139" s="274">
        <v>100</v>
      </c>
      <c r="K1139" s="274">
        <v>100</v>
      </c>
      <c r="L1139" s="274">
        <v>100</v>
      </c>
      <c r="M1139" s="274">
        <v>100</v>
      </c>
      <c r="N1139" s="274">
        <v>100.00000000000001</v>
      </c>
      <c r="O1139" s="274">
        <v>100</v>
      </c>
      <c r="P1139" s="274">
        <v>100</v>
      </c>
      <c r="Q1139" s="274">
        <v>100</v>
      </c>
      <c r="R1139" s="274">
        <v>100</v>
      </c>
      <c r="S1139" s="274">
        <v>100</v>
      </c>
      <c r="T1139" s="274">
        <v>100</v>
      </c>
      <c r="U1139" s="274">
        <v>100</v>
      </c>
      <c r="V1139" s="274">
        <v>100</v>
      </c>
      <c r="W1139" s="274">
        <v>100</v>
      </c>
      <c r="X1139" s="274">
        <v>100</v>
      </c>
      <c r="Y1139" s="274">
        <v>100</v>
      </c>
      <c r="Z1139" s="274">
        <v>100</v>
      </c>
      <c r="AA1139" s="274">
        <v>100</v>
      </c>
      <c r="AB1139" s="274">
        <v>100</v>
      </c>
      <c r="AC1139" s="274">
        <v>99.999999999999986</v>
      </c>
      <c r="AD1139" s="274">
        <v>100</v>
      </c>
      <c r="AE1139" s="274">
        <v>100</v>
      </c>
      <c r="AF1139" s="274">
        <v>100</v>
      </c>
      <c r="AG1139" s="274">
        <v>100</v>
      </c>
      <c r="AH1139" s="274">
        <v>100</v>
      </c>
      <c r="AI1139" s="274">
        <v>100</v>
      </c>
      <c r="AJ1139" s="274">
        <v>100</v>
      </c>
      <c r="AK1139" s="274">
        <v>100.00000000000001</v>
      </c>
      <c r="AL1139" s="274">
        <v>100</v>
      </c>
      <c r="AM1139" s="386">
        <f t="shared" si="240"/>
        <v>100</v>
      </c>
    </row>
    <row r="1140" spans="1:39" x14ac:dyDescent="0.2">
      <c r="A1140" s="19"/>
      <c r="B1140" s="79" t="s">
        <v>561</v>
      </c>
      <c r="C1140" s="80" t="s">
        <v>63</v>
      </c>
      <c r="D1140" s="19" t="s">
        <v>564</v>
      </c>
      <c r="E1140" s="27"/>
      <c r="F1140" s="274">
        <v>0</v>
      </c>
      <c r="G1140" s="274">
        <v>0</v>
      </c>
      <c r="H1140" s="274">
        <v>0</v>
      </c>
      <c r="I1140" s="274">
        <v>0</v>
      </c>
      <c r="J1140" s="274">
        <v>0</v>
      </c>
      <c r="K1140" s="274">
        <v>0</v>
      </c>
      <c r="L1140" s="274">
        <v>0</v>
      </c>
      <c r="M1140" s="274">
        <v>0</v>
      </c>
      <c r="N1140" s="274">
        <v>0</v>
      </c>
      <c r="O1140" s="274">
        <v>0</v>
      </c>
      <c r="P1140" s="274">
        <v>0</v>
      </c>
      <c r="Q1140" s="274">
        <v>0</v>
      </c>
      <c r="R1140" s="274">
        <v>0</v>
      </c>
      <c r="S1140" s="274">
        <v>0</v>
      </c>
      <c r="T1140" s="274">
        <v>0</v>
      </c>
      <c r="U1140" s="274">
        <v>0</v>
      </c>
      <c r="V1140" s="274">
        <v>0</v>
      </c>
      <c r="W1140" s="274">
        <v>0</v>
      </c>
      <c r="X1140" s="274">
        <v>0</v>
      </c>
      <c r="Y1140" s="274">
        <v>0</v>
      </c>
      <c r="Z1140" s="274">
        <v>0</v>
      </c>
      <c r="AA1140" s="274">
        <v>0</v>
      </c>
      <c r="AB1140" s="274">
        <v>0</v>
      </c>
      <c r="AC1140" s="274">
        <v>0</v>
      </c>
      <c r="AD1140" s="274">
        <v>0</v>
      </c>
      <c r="AE1140" s="274">
        <v>0</v>
      </c>
      <c r="AF1140" s="274">
        <v>0</v>
      </c>
      <c r="AG1140" s="274">
        <v>0</v>
      </c>
      <c r="AH1140" s="274">
        <v>0</v>
      </c>
      <c r="AI1140" s="274">
        <v>0</v>
      </c>
      <c r="AJ1140" s="274">
        <v>0</v>
      </c>
      <c r="AK1140" s="274">
        <v>0</v>
      </c>
      <c r="AL1140" s="274">
        <v>0</v>
      </c>
      <c r="AM1140" s="386">
        <f t="shared" si="240"/>
        <v>0</v>
      </c>
    </row>
    <row r="1141" spans="1:39" x14ac:dyDescent="0.2">
      <c r="A1141" s="19"/>
      <c r="B1141" s="79" t="s">
        <v>562</v>
      </c>
      <c r="C1141" s="80" t="s">
        <v>63</v>
      </c>
      <c r="D1141" s="19" t="s">
        <v>564</v>
      </c>
      <c r="E1141" s="27"/>
      <c r="F1141" s="274">
        <v>0</v>
      </c>
      <c r="G1141" s="274">
        <v>0</v>
      </c>
      <c r="H1141" s="274">
        <v>0</v>
      </c>
      <c r="I1141" s="274">
        <v>0</v>
      </c>
      <c r="J1141" s="274">
        <v>0</v>
      </c>
      <c r="K1141" s="274">
        <v>0</v>
      </c>
      <c r="L1141" s="274">
        <v>0</v>
      </c>
      <c r="M1141" s="274">
        <v>0</v>
      </c>
      <c r="N1141" s="274">
        <v>0</v>
      </c>
      <c r="O1141" s="274">
        <v>0</v>
      </c>
      <c r="P1141" s="274">
        <v>0</v>
      </c>
      <c r="Q1141" s="274">
        <v>0</v>
      </c>
      <c r="R1141" s="274">
        <v>0</v>
      </c>
      <c r="S1141" s="274">
        <v>0</v>
      </c>
      <c r="T1141" s="274">
        <v>0</v>
      </c>
      <c r="U1141" s="274">
        <v>0</v>
      </c>
      <c r="V1141" s="274">
        <v>0</v>
      </c>
      <c r="W1141" s="274">
        <v>0</v>
      </c>
      <c r="X1141" s="274">
        <v>0</v>
      </c>
      <c r="Y1141" s="274">
        <v>0</v>
      </c>
      <c r="Z1141" s="274">
        <v>0</v>
      </c>
      <c r="AA1141" s="274">
        <v>0</v>
      </c>
      <c r="AB1141" s="274">
        <v>0</v>
      </c>
      <c r="AC1141" s="274">
        <v>0</v>
      </c>
      <c r="AD1141" s="274">
        <v>0</v>
      </c>
      <c r="AE1141" s="274">
        <v>0</v>
      </c>
      <c r="AF1141" s="274">
        <v>0</v>
      </c>
      <c r="AG1141" s="274">
        <v>0</v>
      </c>
      <c r="AH1141" s="274">
        <v>0</v>
      </c>
      <c r="AI1141" s="274">
        <v>0</v>
      </c>
      <c r="AJ1141" s="274">
        <v>0</v>
      </c>
      <c r="AK1141" s="274">
        <v>0</v>
      </c>
      <c r="AL1141" s="274">
        <v>0</v>
      </c>
      <c r="AM1141" s="386">
        <f t="shared" si="240"/>
        <v>0</v>
      </c>
    </row>
    <row r="1142" spans="1:39" x14ac:dyDescent="0.2">
      <c r="A1142" s="19"/>
      <c r="B1142" s="19" t="s">
        <v>563</v>
      </c>
      <c r="C1142" s="80" t="s">
        <v>63</v>
      </c>
      <c r="D1142" s="19" t="s">
        <v>564</v>
      </c>
      <c r="E1142" s="27"/>
      <c r="F1142" s="55">
        <v>26</v>
      </c>
      <c r="G1142" s="55">
        <v>26</v>
      </c>
      <c r="H1142" s="55">
        <v>26</v>
      </c>
      <c r="I1142" s="55">
        <v>26</v>
      </c>
      <c r="J1142" s="55">
        <v>26</v>
      </c>
      <c r="K1142" s="55">
        <v>26</v>
      </c>
      <c r="L1142" s="55">
        <v>26</v>
      </c>
      <c r="M1142" s="55">
        <v>26</v>
      </c>
      <c r="N1142" s="55">
        <v>26</v>
      </c>
      <c r="O1142" s="55">
        <v>26</v>
      </c>
      <c r="P1142" s="55">
        <v>26</v>
      </c>
      <c r="Q1142" s="55">
        <v>26</v>
      </c>
      <c r="R1142" s="55">
        <v>26</v>
      </c>
      <c r="S1142" s="55">
        <v>26</v>
      </c>
      <c r="T1142" s="55">
        <v>26</v>
      </c>
      <c r="U1142" s="55">
        <v>26</v>
      </c>
      <c r="V1142" s="55">
        <v>26</v>
      </c>
      <c r="W1142" s="55">
        <v>26</v>
      </c>
      <c r="X1142" s="55">
        <v>26</v>
      </c>
      <c r="Y1142" s="55">
        <v>26</v>
      </c>
      <c r="Z1142" s="55">
        <v>26</v>
      </c>
      <c r="AA1142" s="55">
        <v>26</v>
      </c>
      <c r="AB1142" s="55">
        <v>26</v>
      </c>
      <c r="AC1142" s="55">
        <v>26</v>
      </c>
      <c r="AD1142" s="55">
        <v>26</v>
      </c>
      <c r="AE1142" s="55">
        <v>26</v>
      </c>
      <c r="AF1142" s="55">
        <v>26</v>
      </c>
      <c r="AG1142" s="55">
        <v>26</v>
      </c>
      <c r="AH1142" s="55">
        <v>26</v>
      </c>
      <c r="AI1142" s="55">
        <v>26</v>
      </c>
      <c r="AJ1142" s="55">
        <v>26</v>
      </c>
      <c r="AK1142" s="55">
        <v>26</v>
      </c>
      <c r="AL1142" s="55">
        <v>26</v>
      </c>
      <c r="AM1142" s="386">
        <f t="shared" si="240"/>
        <v>26</v>
      </c>
    </row>
    <row r="1143" spans="1:39" x14ac:dyDescent="0.2">
      <c r="A1143" s="19"/>
      <c r="B1143" s="19" t="s">
        <v>565</v>
      </c>
      <c r="C1143" s="80" t="s">
        <v>63</v>
      </c>
      <c r="D1143" s="19" t="s">
        <v>564</v>
      </c>
      <c r="E1143" s="27"/>
      <c r="F1143" s="55">
        <v>26</v>
      </c>
      <c r="G1143" s="55">
        <v>26</v>
      </c>
      <c r="H1143" s="55">
        <v>26</v>
      </c>
      <c r="I1143" s="55">
        <v>26</v>
      </c>
      <c r="J1143" s="55">
        <v>26</v>
      </c>
      <c r="K1143" s="55">
        <v>26</v>
      </c>
      <c r="L1143" s="55">
        <v>26</v>
      </c>
      <c r="M1143" s="55">
        <v>26</v>
      </c>
      <c r="N1143" s="55">
        <v>26</v>
      </c>
      <c r="O1143" s="55">
        <v>26</v>
      </c>
      <c r="P1143" s="55">
        <v>26</v>
      </c>
      <c r="Q1143" s="55">
        <v>26</v>
      </c>
      <c r="R1143" s="55">
        <v>26</v>
      </c>
      <c r="S1143" s="55">
        <v>26</v>
      </c>
      <c r="T1143" s="55">
        <v>26</v>
      </c>
      <c r="U1143" s="55">
        <v>26</v>
      </c>
      <c r="V1143" s="55">
        <v>26</v>
      </c>
      <c r="W1143" s="55">
        <v>26</v>
      </c>
      <c r="X1143" s="55">
        <v>26</v>
      </c>
      <c r="Y1143" s="55">
        <v>26</v>
      </c>
      <c r="Z1143" s="55">
        <v>26</v>
      </c>
      <c r="AA1143" s="55">
        <v>26</v>
      </c>
      <c r="AB1143" s="55">
        <v>26</v>
      </c>
      <c r="AC1143" s="55">
        <v>26</v>
      </c>
      <c r="AD1143" s="55">
        <v>26</v>
      </c>
      <c r="AE1143" s="55">
        <v>26</v>
      </c>
      <c r="AF1143" s="55">
        <v>26</v>
      </c>
      <c r="AG1143" s="55">
        <v>26</v>
      </c>
      <c r="AH1143" s="55">
        <v>26</v>
      </c>
      <c r="AI1143" s="55">
        <v>26</v>
      </c>
      <c r="AJ1143" s="55">
        <v>26</v>
      </c>
      <c r="AK1143" s="55">
        <v>26</v>
      </c>
      <c r="AL1143" s="55">
        <v>26</v>
      </c>
      <c r="AM1143" s="386">
        <f t="shared" si="240"/>
        <v>26</v>
      </c>
    </row>
    <row r="1144" spans="1:39" x14ac:dyDescent="0.2">
      <c r="A1144" s="19"/>
      <c r="B1144" s="19" t="s">
        <v>566</v>
      </c>
      <c r="C1144" s="80" t="s">
        <v>63</v>
      </c>
      <c r="D1144" s="19" t="s">
        <v>564</v>
      </c>
      <c r="E1144" s="27"/>
      <c r="F1144" s="55">
        <v>27</v>
      </c>
      <c r="G1144" s="55">
        <v>27</v>
      </c>
      <c r="H1144" s="55">
        <v>27</v>
      </c>
      <c r="I1144" s="55">
        <v>27</v>
      </c>
      <c r="J1144" s="55">
        <v>27</v>
      </c>
      <c r="K1144" s="55">
        <v>27</v>
      </c>
      <c r="L1144" s="55">
        <v>27</v>
      </c>
      <c r="M1144" s="55">
        <v>27</v>
      </c>
      <c r="N1144" s="55">
        <v>27</v>
      </c>
      <c r="O1144" s="55">
        <v>27</v>
      </c>
      <c r="P1144" s="55">
        <v>27</v>
      </c>
      <c r="Q1144" s="55">
        <v>27</v>
      </c>
      <c r="R1144" s="55">
        <v>27</v>
      </c>
      <c r="S1144" s="55">
        <v>27</v>
      </c>
      <c r="T1144" s="55">
        <v>27</v>
      </c>
      <c r="U1144" s="55">
        <v>27</v>
      </c>
      <c r="V1144" s="55">
        <v>27</v>
      </c>
      <c r="W1144" s="55">
        <v>27</v>
      </c>
      <c r="X1144" s="55">
        <v>27</v>
      </c>
      <c r="Y1144" s="55">
        <v>27</v>
      </c>
      <c r="Z1144" s="55">
        <v>27</v>
      </c>
      <c r="AA1144" s="55">
        <v>27</v>
      </c>
      <c r="AB1144" s="55">
        <v>27</v>
      </c>
      <c r="AC1144" s="55">
        <v>27</v>
      </c>
      <c r="AD1144" s="55">
        <v>27</v>
      </c>
      <c r="AE1144" s="55">
        <v>27</v>
      </c>
      <c r="AF1144" s="55">
        <v>27</v>
      </c>
      <c r="AG1144" s="55">
        <v>27</v>
      </c>
      <c r="AH1144" s="55">
        <v>27</v>
      </c>
      <c r="AI1144" s="55">
        <v>27</v>
      </c>
      <c r="AJ1144" s="55">
        <v>27</v>
      </c>
      <c r="AK1144" s="55">
        <v>27</v>
      </c>
      <c r="AL1144" s="55">
        <v>27</v>
      </c>
      <c r="AM1144" s="386">
        <f t="shared" si="240"/>
        <v>27</v>
      </c>
    </row>
    <row r="1145" spans="1:39" x14ac:dyDescent="0.2">
      <c r="A1145" s="19"/>
      <c r="B1145" s="19" t="s">
        <v>567</v>
      </c>
      <c r="C1145" s="80" t="s">
        <v>63</v>
      </c>
      <c r="D1145" s="19" t="s">
        <v>564</v>
      </c>
      <c r="E1145" s="27"/>
      <c r="F1145" s="55">
        <v>10</v>
      </c>
      <c r="G1145" s="55">
        <v>10</v>
      </c>
      <c r="H1145" s="55">
        <v>10</v>
      </c>
      <c r="I1145" s="55">
        <v>10</v>
      </c>
      <c r="J1145" s="55">
        <v>10</v>
      </c>
      <c r="K1145" s="55">
        <v>10</v>
      </c>
      <c r="L1145" s="55">
        <v>10</v>
      </c>
      <c r="M1145" s="55">
        <v>10</v>
      </c>
      <c r="N1145" s="55">
        <v>10</v>
      </c>
      <c r="O1145" s="55">
        <v>10</v>
      </c>
      <c r="P1145" s="55">
        <v>10</v>
      </c>
      <c r="Q1145" s="55">
        <v>10</v>
      </c>
      <c r="R1145" s="55">
        <v>10</v>
      </c>
      <c r="S1145" s="55">
        <v>10</v>
      </c>
      <c r="T1145" s="55">
        <v>10</v>
      </c>
      <c r="U1145" s="55">
        <v>10</v>
      </c>
      <c r="V1145" s="55">
        <v>10</v>
      </c>
      <c r="W1145" s="55">
        <v>10</v>
      </c>
      <c r="X1145" s="55">
        <v>10</v>
      </c>
      <c r="Y1145" s="55">
        <v>10</v>
      </c>
      <c r="Z1145" s="55">
        <v>10</v>
      </c>
      <c r="AA1145" s="55">
        <v>10</v>
      </c>
      <c r="AB1145" s="55">
        <v>10</v>
      </c>
      <c r="AC1145" s="55">
        <v>10</v>
      </c>
      <c r="AD1145" s="55">
        <v>10</v>
      </c>
      <c r="AE1145" s="55">
        <v>10</v>
      </c>
      <c r="AF1145" s="55">
        <v>10</v>
      </c>
      <c r="AG1145" s="55">
        <v>10</v>
      </c>
      <c r="AH1145" s="55">
        <v>10</v>
      </c>
      <c r="AI1145" s="55">
        <v>10</v>
      </c>
      <c r="AJ1145" s="55">
        <v>10</v>
      </c>
      <c r="AK1145" s="55">
        <v>10</v>
      </c>
      <c r="AL1145" s="55">
        <v>10</v>
      </c>
      <c r="AM1145" s="386">
        <f t="shared" si="240"/>
        <v>10</v>
      </c>
    </row>
    <row r="1146" spans="1:39" x14ac:dyDescent="0.2">
      <c r="A1146" s="19"/>
      <c r="B1146" s="19" t="s">
        <v>568</v>
      </c>
      <c r="C1146" s="80" t="s">
        <v>63</v>
      </c>
      <c r="D1146" s="19" t="s">
        <v>564</v>
      </c>
      <c r="E1146" s="27"/>
      <c r="F1146" s="55">
        <v>4</v>
      </c>
      <c r="G1146" s="55">
        <v>4</v>
      </c>
      <c r="H1146" s="55">
        <v>4</v>
      </c>
      <c r="I1146" s="55">
        <v>4</v>
      </c>
      <c r="J1146" s="55">
        <v>4</v>
      </c>
      <c r="K1146" s="55">
        <v>4</v>
      </c>
      <c r="L1146" s="55">
        <v>4</v>
      </c>
      <c r="M1146" s="55">
        <v>4</v>
      </c>
      <c r="N1146" s="55">
        <v>4</v>
      </c>
      <c r="O1146" s="55">
        <v>4</v>
      </c>
      <c r="P1146" s="55">
        <v>4</v>
      </c>
      <c r="Q1146" s="55">
        <v>4</v>
      </c>
      <c r="R1146" s="55">
        <v>4</v>
      </c>
      <c r="S1146" s="55">
        <v>4</v>
      </c>
      <c r="T1146" s="55">
        <v>4</v>
      </c>
      <c r="U1146" s="55">
        <v>4</v>
      </c>
      <c r="V1146" s="55">
        <v>4</v>
      </c>
      <c r="W1146" s="55">
        <v>4</v>
      </c>
      <c r="X1146" s="55">
        <v>4</v>
      </c>
      <c r="Y1146" s="55">
        <v>4</v>
      </c>
      <c r="Z1146" s="55">
        <v>4</v>
      </c>
      <c r="AA1146" s="55">
        <v>4</v>
      </c>
      <c r="AB1146" s="55">
        <v>4</v>
      </c>
      <c r="AC1146" s="55">
        <v>4</v>
      </c>
      <c r="AD1146" s="55">
        <v>4</v>
      </c>
      <c r="AE1146" s="55">
        <v>4</v>
      </c>
      <c r="AF1146" s="55">
        <v>4</v>
      </c>
      <c r="AG1146" s="55">
        <v>4</v>
      </c>
      <c r="AH1146" s="55">
        <v>4</v>
      </c>
      <c r="AI1146" s="55">
        <v>4</v>
      </c>
      <c r="AJ1146" s="55">
        <v>4</v>
      </c>
      <c r="AK1146" s="55">
        <v>4</v>
      </c>
      <c r="AL1146" s="55">
        <v>4</v>
      </c>
      <c r="AM1146" s="386">
        <f t="shared" si="240"/>
        <v>4</v>
      </c>
    </row>
    <row r="1147" spans="1:39" x14ac:dyDescent="0.2">
      <c r="A1147" s="19"/>
      <c r="B1147" s="19" t="s">
        <v>569</v>
      </c>
      <c r="C1147" s="80" t="s">
        <v>63</v>
      </c>
      <c r="D1147" s="19" t="s">
        <v>564</v>
      </c>
      <c r="E1147" s="27"/>
      <c r="F1147" s="55">
        <v>4</v>
      </c>
      <c r="G1147" s="55">
        <v>4</v>
      </c>
      <c r="H1147" s="55">
        <v>4</v>
      </c>
      <c r="I1147" s="55">
        <v>4</v>
      </c>
      <c r="J1147" s="55">
        <v>4</v>
      </c>
      <c r="K1147" s="55">
        <v>4</v>
      </c>
      <c r="L1147" s="55">
        <v>4</v>
      </c>
      <c r="M1147" s="55">
        <v>4</v>
      </c>
      <c r="N1147" s="55">
        <v>4</v>
      </c>
      <c r="O1147" s="55">
        <v>4</v>
      </c>
      <c r="P1147" s="55">
        <v>4</v>
      </c>
      <c r="Q1147" s="55">
        <v>4</v>
      </c>
      <c r="R1147" s="55">
        <v>4</v>
      </c>
      <c r="S1147" s="55">
        <v>4</v>
      </c>
      <c r="T1147" s="55">
        <v>4</v>
      </c>
      <c r="U1147" s="55">
        <v>4</v>
      </c>
      <c r="V1147" s="55">
        <v>4</v>
      </c>
      <c r="W1147" s="55">
        <v>4</v>
      </c>
      <c r="X1147" s="55">
        <v>4</v>
      </c>
      <c r="Y1147" s="55">
        <v>4</v>
      </c>
      <c r="Z1147" s="55">
        <v>4</v>
      </c>
      <c r="AA1147" s="55">
        <v>4</v>
      </c>
      <c r="AB1147" s="55">
        <v>4</v>
      </c>
      <c r="AC1147" s="55">
        <v>4</v>
      </c>
      <c r="AD1147" s="55">
        <v>4</v>
      </c>
      <c r="AE1147" s="55">
        <v>4</v>
      </c>
      <c r="AF1147" s="55">
        <v>4</v>
      </c>
      <c r="AG1147" s="55">
        <v>4</v>
      </c>
      <c r="AH1147" s="55">
        <v>4</v>
      </c>
      <c r="AI1147" s="55">
        <v>4</v>
      </c>
      <c r="AJ1147" s="55">
        <v>4</v>
      </c>
      <c r="AK1147" s="55">
        <v>4</v>
      </c>
      <c r="AL1147" s="55">
        <v>4</v>
      </c>
      <c r="AM1147" s="386">
        <f t="shared" si="240"/>
        <v>4</v>
      </c>
    </row>
    <row r="1148" spans="1:39" x14ac:dyDescent="0.2">
      <c r="A1148" s="19"/>
      <c r="B1148" s="19" t="s">
        <v>570</v>
      </c>
      <c r="C1148" s="80" t="s">
        <v>63</v>
      </c>
      <c r="D1148" s="19" t="s">
        <v>564</v>
      </c>
      <c r="E1148" s="27"/>
      <c r="F1148" s="55">
        <v>3</v>
      </c>
      <c r="G1148" s="55">
        <v>3</v>
      </c>
      <c r="H1148" s="55">
        <v>3</v>
      </c>
      <c r="I1148" s="55">
        <v>3</v>
      </c>
      <c r="J1148" s="55">
        <v>3</v>
      </c>
      <c r="K1148" s="55">
        <v>3</v>
      </c>
      <c r="L1148" s="55">
        <v>3</v>
      </c>
      <c r="M1148" s="55">
        <v>3</v>
      </c>
      <c r="N1148" s="55">
        <v>3</v>
      </c>
      <c r="O1148" s="55">
        <v>3</v>
      </c>
      <c r="P1148" s="55">
        <v>3</v>
      </c>
      <c r="Q1148" s="55">
        <v>3</v>
      </c>
      <c r="R1148" s="55">
        <v>3</v>
      </c>
      <c r="S1148" s="55">
        <v>3</v>
      </c>
      <c r="T1148" s="55">
        <v>3</v>
      </c>
      <c r="U1148" s="55">
        <v>3</v>
      </c>
      <c r="V1148" s="55">
        <v>3</v>
      </c>
      <c r="W1148" s="55">
        <v>3</v>
      </c>
      <c r="X1148" s="55">
        <v>3</v>
      </c>
      <c r="Y1148" s="55">
        <v>3</v>
      </c>
      <c r="Z1148" s="55">
        <v>3</v>
      </c>
      <c r="AA1148" s="55">
        <v>3</v>
      </c>
      <c r="AB1148" s="55">
        <v>3</v>
      </c>
      <c r="AC1148" s="55">
        <v>3</v>
      </c>
      <c r="AD1148" s="55">
        <v>3</v>
      </c>
      <c r="AE1148" s="55">
        <v>3</v>
      </c>
      <c r="AF1148" s="55">
        <v>3</v>
      </c>
      <c r="AG1148" s="55">
        <v>3</v>
      </c>
      <c r="AH1148" s="55">
        <v>3</v>
      </c>
      <c r="AI1148" s="55">
        <v>3</v>
      </c>
      <c r="AJ1148" s="55">
        <v>3</v>
      </c>
      <c r="AK1148" s="55">
        <v>3</v>
      </c>
      <c r="AL1148" s="55">
        <v>3</v>
      </c>
      <c r="AM1148" s="386">
        <f t="shared" si="240"/>
        <v>3</v>
      </c>
    </row>
    <row r="1149" spans="1:39" x14ac:dyDescent="0.2">
      <c r="A1149" s="19"/>
      <c r="B1149" s="19" t="s">
        <v>571</v>
      </c>
      <c r="C1149" s="80" t="s">
        <v>63</v>
      </c>
      <c r="D1149" s="19" t="s">
        <v>564</v>
      </c>
      <c r="E1149" s="27"/>
      <c r="F1149" s="55">
        <v>1</v>
      </c>
      <c r="G1149" s="55">
        <v>1</v>
      </c>
      <c r="H1149" s="55">
        <v>1</v>
      </c>
      <c r="I1149" s="55">
        <v>1</v>
      </c>
      <c r="J1149" s="55">
        <v>1</v>
      </c>
      <c r="K1149" s="55">
        <v>1</v>
      </c>
      <c r="L1149" s="55">
        <v>1</v>
      </c>
      <c r="M1149" s="55">
        <v>1</v>
      </c>
      <c r="N1149" s="55">
        <v>1</v>
      </c>
      <c r="O1149" s="55">
        <v>1</v>
      </c>
      <c r="P1149" s="55">
        <v>1</v>
      </c>
      <c r="Q1149" s="55">
        <v>1</v>
      </c>
      <c r="R1149" s="55">
        <v>1</v>
      </c>
      <c r="S1149" s="55">
        <v>1</v>
      </c>
      <c r="T1149" s="55">
        <v>1</v>
      </c>
      <c r="U1149" s="55">
        <v>1</v>
      </c>
      <c r="V1149" s="55">
        <v>1</v>
      </c>
      <c r="W1149" s="55">
        <v>1</v>
      </c>
      <c r="X1149" s="55">
        <v>1</v>
      </c>
      <c r="Y1149" s="55">
        <v>1</v>
      </c>
      <c r="Z1149" s="55">
        <v>1</v>
      </c>
      <c r="AA1149" s="55">
        <v>1</v>
      </c>
      <c r="AB1149" s="55">
        <v>1</v>
      </c>
      <c r="AC1149" s="55">
        <v>1</v>
      </c>
      <c r="AD1149" s="55">
        <v>1</v>
      </c>
      <c r="AE1149" s="55">
        <v>1</v>
      </c>
      <c r="AF1149" s="55">
        <v>1</v>
      </c>
      <c r="AG1149" s="55">
        <v>1</v>
      </c>
      <c r="AH1149" s="55">
        <v>1</v>
      </c>
      <c r="AI1149" s="55">
        <v>1</v>
      </c>
      <c r="AJ1149" s="55">
        <v>1</v>
      </c>
      <c r="AK1149" s="55">
        <v>1</v>
      </c>
      <c r="AL1149" s="55">
        <v>1</v>
      </c>
      <c r="AM1149" s="386">
        <f t="shared" si="240"/>
        <v>1</v>
      </c>
    </row>
    <row r="1150" spans="1:39" x14ac:dyDescent="0.2">
      <c r="A1150" s="19"/>
      <c r="B1150" s="19"/>
      <c r="C1150" s="18"/>
      <c r="D1150" s="19"/>
      <c r="E1150" s="27"/>
      <c r="F1150" s="55"/>
      <c r="G1150" s="55"/>
      <c r="H1150" s="55"/>
      <c r="I1150" s="55"/>
      <c r="J1150" s="55"/>
      <c r="K1150" s="55"/>
      <c r="L1150" s="55"/>
      <c r="M1150" s="55"/>
      <c r="N1150" s="55"/>
      <c r="O1150" s="55"/>
      <c r="P1150" s="55"/>
      <c r="Q1150" s="55"/>
      <c r="R1150" s="55"/>
      <c r="S1150" s="55"/>
      <c r="T1150" s="55"/>
      <c r="U1150" s="55"/>
      <c r="V1150" s="55"/>
      <c r="W1150" s="55"/>
      <c r="X1150" s="55"/>
      <c r="Y1150" s="55"/>
      <c r="Z1150" s="55"/>
      <c r="AA1150" s="55"/>
      <c r="AB1150" s="55"/>
      <c r="AC1150" s="55"/>
      <c r="AD1150" s="55"/>
      <c r="AE1150" s="55"/>
      <c r="AF1150" s="55"/>
      <c r="AG1150" s="55"/>
      <c r="AH1150" s="55"/>
      <c r="AI1150" s="55"/>
      <c r="AJ1150" s="55"/>
      <c r="AK1150" s="55"/>
      <c r="AL1150" s="55"/>
      <c r="AM1150" s="107"/>
    </row>
    <row r="1151" spans="1:39" x14ac:dyDescent="0.2">
      <c r="A1151" s="19" t="s">
        <v>345</v>
      </c>
      <c r="B1151" s="79" t="s">
        <v>557</v>
      </c>
      <c r="C1151" s="80" t="s">
        <v>63</v>
      </c>
      <c r="D1151" s="19" t="s">
        <v>564</v>
      </c>
      <c r="E1151" s="27"/>
      <c r="F1151" s="274">
        <v>17.808219178082197</v>
      </c>
      <c r="G1151" s="274">
        <v>17.808219178082197</v>
      </c>
      <c r="H1151" s="274">
        <v>17.808219178082183</v>
      </c>
      <c r="I1151" s="274">
        <v>58.904109589041099</v>
      </c>
      <c r="J1151" s="274">
        <v>61.643835616438359</v>
      </c>
      <c r="K1151" s="274">
        <v>17.808219178082197</v>
      </c>
      <c r="L1151" s="274">
        <v>61.643835616438366</v>
      </c>
      <c r="M1151" s="274">
        <v>58.904109589041099</v>
      </c>
      <c r="N1151" s="274">
        <v>23.968573025719238</v>
      </c>
      <c r="O1151" s="274">
        <v>28.406522670542202</v>
      </c>
      <c r="P1151" s="274">
        <v>58.904109589041099</v>
      </c>
      <c r="Q1151" s="274">
        <v>58.904109589041099</v>
      </c>
      <c r="R1151" s="274">
        <v>17.808219178082183</v>
      </c>
      <c r="S1151" s="274">
        <v>3.066684332131544</v>
      </c>
      <c r="T1151" s="274">
        <v>5.6934773486794228</v>
      </c>
      <c r="U1151" s="274">
        <v>13.388288231890115</v>
      </c>
      <c r="V1151" s="274">
        <v>26.753239957060899</v>
      </c>
      <c r="W1151" s="274">
        <v>58.904109589041099</v>
      </c>
      <c r="X1151" s="274">
        <v>12.328767123287676</v>
      </c>
      <c r="Y1151" s="274">
        <v>12.328767123287662</v>
      </c>
      <c r="Z1151" s="274">
        <v>64.383561643835634</v>
      </c>
      <c r="AA1151" s="274">
        <v>12.32876712328769</v>
      </c>
      <c r="AB1151" s="274">
        <v>20.945192088216999</v>
      </c>
      <c r="AC1151" s="274">
        <v>24.450123661939699</v>
      </c>
      <c r="AD1151" s="274">
        <v>47.945205479452056</v>
      </c>
      <c r="AE1151" s="274">
        <v>36.214986339795189</v>
      </c>
      <c r="AF1151" s="274">
        <v>47.945205479452056</v>
      </c>
      <c r="AG1151" s="274">
        <v>32.448357724225033</v>
      </c>
      <c r="AH1151" s="274">
        <v>30.613761574981709</v>
      </c>
      <c r="AI1151" s="274">
        <v>64.38356164383562</v>
      </c>
      <c r="AJ1151" s="274">
        <v>64.38356164383562</v>
      </c>
      <c r="AK1151" s="274">
        <v>56.164383561643838</v>
      </c>
      <c r="AL1151" s="274">
        <v>56.164383561643838</v>
      </c>
      <c r="AM1151" s="386">
        <f>AVERAGE(F1151:AL1151)</f>
        <v>36.095596557795069</v>
      </c>
    </row>
    <row r="1152" spans="1:39" x14ac:dyDescent="0.2">
      <c r="A1152" s="19"/>
      <c r="B1152" s="79" t="s">
        <v>559</v>
      </c>
      <c r="C1152" s="80" t="s">
        <v>63</v>
      </c>
      <c r="D1152" s="19" t="s">
        <v>564</v>
      </c>
      <c r="E1152" s="27"/>
      <c r="F1152" s="274">
        <v>82.191780821917803</v>
      </c>
      <c r="G1152" s="274">
        <v>82.191780821917803</v>
      </c>
      <c r="H1152" s="274">
        <v>82.191780821917817</v>
      </c>
      <c r="I1152" s="274">
        <v>41.095890410958901</v>
      </c>
      <c r="J1152" s="274">
        <v>38.356164383561641</v>
      </c>
      <c r="K1152" s="274">
        <v>82.191780821917803</v>
      </c>
      <c r="L1152" s="274">
        <v>38.356164383561634</v>
      </c>
      <c r="M1152" s="274">
        <v>41.095890410958901</v>
      </c>
      <c r="N1152" s="274">
        <v>76.031426974280762</v>
      </c>
      <c r="O1152" s="274">
        <v>71.593477329457798</v>
      </c>
      <c r="P1152" s="274">
        <v>41.095890410958901</v>
      </c>
      <c r="Q1152" s="274">
        <v>41.095890410958901</v>
      </c>
      <c r="R1152" s="274">
        <v>82.191780821917817</v>
      </c>
      <c r="S1152" s="274">
        <v>96.933315667868456</v>
      </c>
      <c r="T1152" s="274">
        <v>94.306522651320577</v>
      </c>
      <c r="U1152" s="274">
        <v>86.611711768109885</v>
      </c>
      <c r="V1152" s="274">
        <v>73.246760042939101</v>
      </c>
      <c r="W1152" s="274">
        <v>41.095890410958901</v>
      </c>
      <c r="X1152" s="274">
        <v>87.671232876712324</v>
      </c>
      <c r="Y1152" s="274">
        <v>87.671232876712338</v>
      </c>
      <c r="Z1152" s="274">
        <v>35.616438356164373</v>
      </c>
      <c r="AA1152" s="274">
        <v>87.67123287671231</v>
      </c>
      <c r="AB1152" s="274">
        <v>79.054807911783001</v>
      </c>
      <c r="AC1152" s="274">
        <v>75.549876338060301</v>
      </c>
      <c r="AD1152" s="274">
        <v>52.054794520547944</v>
      </c>
      <c r="AE1152" s="274">
        <v>63.785013660204811</v>
      </c>
      <c r="AF1152" s="274">
        <v>52.054794520547944</v>
      </c>
      <c r="AG1152" s="274">
        <v>67.551642275774967</v>
      </c>
      <c r="AH1152" s="274">
        <v>69.386238425018291</v>
      </c>
      <c r="AI1152" s="274">
        <v>35.61643835616438</v>
      </c>
      <c r="AJ1152" s="274">
        <v>35.61643835616438</v>
      </c>
      <c r="AK1152" s="274">
        <v>43.835616438356162</v>
      </c>
      <c r="AL1152" s="274">
        <v>43.835616438356162</v>
      </c>
      <c r="AM1152" s="386">
        <f t="shared" ref="AM1152:AM1163" si="241">AVERAGE(F1152:AL1152)</f>
        <v>63.904403442204938</v>
      </c>
    </row>
    <row r="1153" spans="1:39" x14ac:dyDescent="0.2">
      <c r="A1153" s="19"/>
      <c r="B1153" s="79" t="s">
        <v>560</v>
      </c>
      <c r="C1153" s="80" t="s">
        <v>63</v>
      </c>
      <c r="D1153" s="19" t="s">
        <v>564</v>
      </c>
      <c r="E1153" s="27"/>
      <c r="F1153" s="274">
        <v>100</v>
      </c>
      <c r="G1153" s="274">
        <v>100</v>
      </c>
      <c r="H1153" s="274">
        <v>100</v>
      </c>
      <c r="I1153" s="274">
        <v>100</v>
      </c>
      <c r="J1153" s="274">
        <v>100</v>
      </c>
      <c r="K1153" s="274">
        <v>100</v>
      </c>
      <c r="L1153" s="274">
        <v>100</v>
      </c>
      <c r="M1153" s="274">
        <v>100</v>
      </c>
      <c r="N1153" s="274">
        <v>100</v>
      </c>
      <c r="O1153" s="274">
        <v>100</v>
      </c>
      <c r="P1153" s="274">
        <v>100</v>
      </c>
      <c r="Q1153" s="274">
        <v>100</v>
      </c>
      <c r="R1153" s="274">
        <v>100</v>
      </c>
      <c r="S1153" s="274">
        <v>100</v>
      </c>
      <c r="T1153" s="274">
        <v>100</v>
      </c>
      <c r="U1153" s="274">
        <v>100</v>
      </c>
      <c r="V1153" s="274">
        <v>100</v>
      </c>
      <c r="W1153" s="274">
        <v>100</v>
      </c>
      <c r="X1153" s="274">
        <v>100</v>
      </c>
      <c r="Y1153" s="274">
        <v>100</v>
      </c>
      <c r="Z1153" s="274">
        <v>100</v>
      </c>
      <c r="AA1153" s="274">
        <v>100</v>
      </c>
      <c r="AB1153" s="274">
        <v>100</v>
      </c>
      <c r="AC1153" s="274">
        <v>100</v>
      </c>
      <c r="AD1153" s="274">
        <v>100</v>
      </c>
      <c r="AE1153" s="274">
        <v>100</v>
      </c>
      <c r="AF1153" s="274">
        <v>100</v>
      </c>
      <c r="AG1153" s="274">
        <v>100</v>
      </c>
      <c r="AH1153" s="274">
        <v>100</v>
      </c>
      <c r="AI1153" s="274">
        <v>100</v>
      </c>
      <c r="AJ1153" s="274">
        <v>100</v>
      </c>
      <c r="AK1153" s="274">
        <v>100</v>
      </c>
      <c r="AL1153" s="274">
        <v>0</v>
      </c>
      <c r="AM1153" s="386">
        <f t="shared" si="241"/>
        <v>96.969696969696969</v>
      </c>
    </row>
    <row r="1154" spans="1:39" x14ac:dyDescent="0.2">
      <c r="A1154" s="19"/>
      <c r="B1154" s="79" t="s">
        <v>561</v>
      </c>
      <c r="C1154" s="80" t="s">
        <v>63</v>
      </c>
      <c r="D1154" s="19" t="s">
        <v>564</v>
      </c>
      <c r="E1154" s="27"/>
      <c r="F1154" s="274">
        <v>0</v>
      </c>
      <c r="G1154" s="274">
        <v>0</v>
      </c>
      <c r="H1154" s="274">
        <v>0</v>
      </c>
      <c r="I1154" s="274">
        <v>0</v>
      </c>
      <c r="J1154" s="274">
        <v>0</v>
      </c>
      <c r="K1154" s="274">
        <v>0</v>
      </c>
      <c r="L1154" s="274">
        <v>0</v>
      </c>
      <c r="M1154" s="274">
        <v>0</v>
      </c>
      <c r="N1154" s="274">
        <v>0</v>
      </c>
      <c r="O1154" s="274">
        <v>0</v>
      </c>
      <c r="P1154" s="274">
        <v>0</v>
      </c>
      <c r="Q1154" s="274">
        <v>0</v>
      </c>
      <c r="R1154" s="274">
        <v>0</v>
      </c>
      <c r="S1154" s="274">
        <v>0</v>
      </c>
      <c r="T1154" s="274">
        <v>0</v>
      </c>
      <c r="U1154" s="274">
        <v>0</v>
      </c>
      <c r="V1154" s="274">
        <v>0</v>
      </c>
      <c r="W1154" s="274">
        <v>0</v>
      </c>
      <c r="X1154" s="274">
        <v>0</v>
      </c>
      <c r="Y1154" s="274">
        <v>0</v>
      </c>
      <c r="Z1154" s="274">
        <v>0</v>
      </c>
      <c r="AA1154" s="274">
        <v>0</v>
      </c>
      <c r="AB1154" s="274">
        <v>0</v>
      </c>
      <c r="AC1154" s="274">
        <v>0</v>
      </c>
      <c r="AD1154" s="274">
        <v>0</v>
      </c>
      <c r="AE1154" s="274">
        <v>0</v>
      </c>
      <c r="AF1154" s="274">
        <v>0</v>
      </c>
      <c r="AG1154" s="274">
        <v>0</v>
      </c>
      <c r="AH1154" s="274">
        <v>0</v>
      </c>
      <c r="AI1154" s="274">
        <v>0</v>
      </c>
      <c r="AJ1154" s="274">
        <v>0</v>
      </c>
      <c r="AK1154" s="274">
        <v>0</v>
      </c>
      <c r="AL1154" s="274">
        <v>0</v>
      </c>
      <c r="AM1154" s="386">
        <f t="shared" si="241"/>
        <v>0</v>
      </c>
    </row>
    <row r="1155" spans="1:39" x14ac:dyDescent="0.2">
      <c r="A1155" s="19"/>
      <c r="B1155" s="79" t="s">
        <v>562</v>
      </c>
      <c r="C1155" s="80" t="s">
        <v>63</v>
      </c>
      <c r="D1155" s="19" t="s">
        <v>564</v>
      </c>
      <c r="E1155" s="27"/>
      <c r="F1155" s="274">
        <v>0</v>
      </c>
      <c r="G1155" s="274">
        <v>0</v>
      </c>
      <c r="H1155" s="274">
        <v>0</v>
      </c>
      <c r="I1155" s="274">
        <v>0</v>
      </c>
      <c r="J1155" s="274">
        <v>0</v>
      </c>
      <c r="K1155" s="274">
        <v>0</v>
      </c>
      <c r="L1155" s="274">
        <v>0</v>
      </c>
      <c r="M1155" s="274">
        <v>0</v>
      </c>
      <c r="N1155" s="274">
        <v>0</v>
      </c>
      <c r="O1155" s="274">
        <v>0</v>
      </c>
      <c r="P1155" s="274">
        <v>0</v>
      </c>
      <c r="Q1155" s="274">
        <v>0</v>
      </c>
      <c r="R1155" s="274">
        <v>0</v>
      </c>
      <c r="S1155" s="274">
        <v>0</v>
      </c>
      <c r="T1155" s="274">
        <v>0</v>
      </c>
      <c r="U1155" s="274">
        <v>0</v>
      </c>
      <c r="V1155" s="274">
        <v>0</v>
      </c>
      <c r="W1155" s="274">
        <v>0</v>
      </c>
      <c r="X1155" s="274">
        <v>0</v>
      </c>
      <c r="Y1155" s="274">
        <v>0</v>
      </c>
      <c r="Z1155" s="274">
        <v>0</v>
      </c>
      <c r="AA1155" s="274">
        <v>0</v>
      </c>
      <c r="AB1155" s="274">
        <v>0</v>
      </c>
      <c r="AC1155" s="274">
        <v>0</v>
      </c>
      <c r="AD1155" s="274">
        <v>0</v>
      </c>
      <c r="AE1155" s="274">
        <v>0</v>
      </c>
      <c r="AF1155" s="274">
        <v>0</v>
      </c>
      <c r="AG1155" s="274">
        <v>0</v>
      </c>
      <c r="AH1155" s="274">
        <v>0</v>
      </c>
      <c r="AI1155" s="274">
        <v>0</v>
      </c>
      <c r="AJ1155" s="274">
        <v>0</v>
      </c>
      <c r="AK1155" s="274">
        <v>0</v>
      </c>
      <c r="AL1155" s="274">
        <v>0</v>
      </c>
      <c r="AM1155" s="386">
        <f t="shared" si="241"/>
        <v>0</v>
      </c>
    </row>
    <row r="1156" spans="1:39" x14ac:dyDescent="0.2">
      <c r="A1156" s="19"/>
      <c r="B1156" s="19" t="s">
        <v>563</v>
      </c>
      <c r="C1156" s="80" t="s">
        <v>63</v>
      </c>
      <c r="D1156" s="19" t="s">
        <v>564</v>
      </c>
      <c r="E1156" s="27"/>
      <c r="F1156" s="55">
        <v>26</v>
      </c>
      <c r="G1156" s="55">
        <v>26</v>
      </c>
      <c r="H1156" s="55">
        <v>26</v>
      </c>
      <c r="I1156" s="55">
        <v>26</v>
      </c>
      <c r="J1156" s="55">
        <v>26</v>
      </c>
      <c r="K1156" s="55">
        <v>26</v>
      </c>
      <c r="L1156" s="55">
        <v>26</v>
      </c>
      <c r="M1156" s="55">
        <v>26</v>
      </c>
      <c r="N1156" s="55">
        <v>26</v>
      </c>
      <c r="O1156" s="55">
        <v>26</v>
      </c>
      <c r="P1156" s="55">
        <v>26</v>
      </c>
      <c r="Q1156" s="55">
        <v>26</v>
      </c>
      <c r="R1156" s="55">
        <v>26</v>
      </c>
      <c r="S1156" s="55">
        <v>26</v>
      </c>
      <c r="T1156" s="55">
        <v>26</v>
      </c>
      <c r="U1156" s="55">
        <v>26</v>
      </c>
      <c r="V1156" s="55">
        <v>26</v>
      </c>
      <c r="W1156" s="55">
        <v>26</v>
      </c>
      <c r="X1156" s="55">
        <v>26</v>
      </c>
      <c r="Y1156" s="55">
        <v>26</v>
      </c>
      <c r="Z1156" s="55">
        <v>26</v>
      </c>
      <c r="AA1156" s="55">
        <v>26</v>
      </c>
      <c r="AB1156" s="55">
        <v>26</v>
      </c>
      <c r="AC1156" s="55">
        <v>26</v>
      </c>
      <c r="AD1156" s="55">
        <v>26</v>
      </c>
      <c r="AE1156" s="55">
        <v>26</v>
      </c>
      <c r="AF1156" s="55">
        <v>26</v>
      </c>
      <c r="AG1156" s="55">
        <v>26</v>
      </c>
      <c r="AH1156" s="55">
        <v>26</v>
      </c>
      <c r="AI1156" s="55">
        <v>26</v>
      </c>
      <c r="AJ1156" s="55">
        <v>26</v>
      </c>
      <c r="AK1156" s="55">
        <v>26</v>
      </c>
      <c r="AL1156" s="55">
        <v>26</v>
      </c>
      <c r="AM1156" s="386">
        <f t="shared" si="241"/>
        <v>26</v>
      </c>
    </row>
    <row r="1157" spans="1:39" x14ac:dyDescent="0.2">
      <c r="A1157" s="19"/>
      <c r="B1157" s="19" t="s">
        <v>565</v>
      </c>
      <c r="C1157" s="80" t="s">
        <v>63</v>
      </c>
      <c r="D1157" s="19" t="s">
        <v>564</v>
      </c>
      <c r="E1157" s="27"/>
      <c r="F1157" s="55">
        <v>26</v>
      </c>
      <c r="G1157" s="55">
        <v>26</v>
      </c>
      <c r="H1157" s="55">
        <v>26</v>
      </c>
      <c r="I1157" s="55">
        <v>26</v>
      </c>
      <c r="J1157" s="55">
        <v>26</v>
      </c>
      <c r="K1157" s="55">
        <v>26</v>
      </c>
      <c r="L1157" s="55">
        <v>26</v>
      </c>
      <c r="M1157" s="55">
        <v>26</v>
      </c>
      <c r="N1157" s="55">
        <v>26</v>
      </c>
      <c r="O1157" s="55">
        <v>26</v>
      </c>
      <c r="P1157" s="55">
        <v>26</v>
      </c>
      <c r="Q1157" s="55">
        <v>26</v>
      </c>
      <c r="R1157" s="55">
        <v>26</v>
      </c>
      <c r="S1157" s="55">
        <v>26</v>
      </c>
      <c r="T1157" s="55">
        <v>26</v>
      </c>
      <c r="U1157" s="55">
        <v>26</v>
      </c>
      <c r="V1157" s="55">
        <v>26</v>
      </c>
      <c r="W1157" s="55">
        <v>26</v>
      </c>
      <c r="X1157" s="55">
        <v>26</v>
      </c>
      <c r="Y1157" s="55">
        <v>26</v>
      </c>
      <c r="Z1157" s="55">
        <v>26</v>
      </c>
      <c r="AA1157" s="55">
        <v>26</v>
      </c>
      <c r="AB1157" s="55">
        <v>26</v>
      </c>
      <c r="AC1157" s="55">
        <v>26</v>
      </c>
      <c r="AD1157" s="55">
        <v>26</v>
      </c>
      <c r="AE1157" s="55">
        <v>26</v>
      </c>
      <c r="AF1157" s="55">
        <v>26</v>
      </c>
      <c r="AG1157" s="55">
        <v>26</v>
      </c>
      <c r="AH1157" s="55">
        <v>26</v>
      </c>
      <c r="AI1157" s="55">
        <v>26</v>
      </c>
      <c r="AJ1157" s="55">
        <v>26</v>
      </c>
      <c r="AK1157" s="55">
        <v>26</v>
      </c>
      <c r="AL1157" s="55">
        <v>26</v>
      </c>
      <c r="AM1157" s="386">
        <f t="shared" si="241"/>
        <v>26</v>
      </c>
    </row>
    <row r="1158" spans="1:39" x14ac:dyDescent="0.2">
      <c r="A1158" s="19"/>
      <c r="B1158" s="19" t="s">
        <v>566</v>
      </c>
      <c r="C1158" s="80" t="s">
        <v>63</v>
      </c>
      <c r="D1158" s="19" t="s">
        <v>564</v>
      </c>
      <c r="E1158" s="27"/>
      <c r="F1158" s="55">
        <v>27</v>
      </c>
      <c r="G1158" s="55">
        <v>27</v>
      </c>
      <c r="H1158" s="55">
        <v>27</v>
      </c>
      <c r="I1158" s="55">
        <v>27</v>
      </c>
      <c r="J1158" s="55">
        <v>27</v>
      </c>
      <c r="K1158" s="55">
        <v>27</v>
      </c>
      <c r="L1158" s="55">
        <v>27</v>
      </c>
      <c r="M1158" s="55">
        <v>27</v>
      </c>
      <c r="N1158" s="55">
        <v>27</v>
      </c>
      <c r="O1158" s="55">
        <v>27</v>
      </c>
      <c r="P1158" s="55">
        <v>27</v>
      </c>
      <c r="Q1158" s="55">
        <v>27</v>
      </c>
      <c r="R1158" s="55">
        <v>27</v>
      </c>
      <c r="S1158" s="55">
        <v>27</v>
      </c>
      <c r="T1158" s="55">
        <v>27</v>
      </c>
      <c r="U1158" s="55">
        <v>27</v>
      </c>
      <c r="V1158" s="55">
        <v>27</v>
      </c>
      <c r="W1158" s="55">
        <v>27</v>
      </c>
      <c r="X1158" s="55">
        <v>27</v>
      </c>
      <c r="Y1158" s="55">
        <v>27</v>
      </c>
      <c r="Z1158" s="55">
        <v>27</v>
      </c>
      <c r="AA1158" s="55">
        <v>27</v>
      </c>
      <c r="AB1158" s="55">
        <v>27</v>
      </c>
      <c r="AC1158" s="55">
        <v>27</v>
      </c>
      <c r="AD1158" s="55">
        <v>27</v>
      </c>
      <c r="AE1158" s="55">
        <v>27</v>
      </c>
      <c r="AF1158" s="55">
        <v>27</v>
      </c>
      <c r="AG1158" s="55">
        <v>27</v>
      </c>
      <c r="AH1158" s="55">
        <v>27</v>
      </c>
      <c r="AI1158" s="55">
        <v>27</v>
      </c>
      <c r="AJ1158" s="55">
        <v>27</v>
      </c>
      <c r="AK1158" s="55">
        <v>27</v>
      </c>
      <c r="AL1158" s="55">
        <v>27</v>
      </c>
      <c r="AM1158" s="386">
        <f t="shared" si="241"/>
        <v>27</v>
      </c>
    </row>
    <row r="1159" spans="1:39" x14ac:dyDescent="0.2">
      <c r="A1159" s="19"/>
      <c r="B1159" s="19" t="s">
        <v>567</v>
      </c>
      <c r="C1159" s="80" t="s">
        <v>63</v>
      </c>
      <c r="D1159" s="19" t="s">
        <v>564</v>
      </c>
      <c r="E1159" s="27"/>
      <c r="F1159" s="55">
        <v>10</v>
      </c>
      <c r="G1159" s="55">
        <v>10</v>
      </c>
      <c r="H1159" s="55">
        <v>10</v>
      </c>
      <c r="I1159" s="55">
        <v>10</v>
      </c>
      <c r="J1159" s="55">
        <v>10</v>
      </c>
      <c r="K1159" s="55">
        <v>10</v>
      </c>
      <c r="L1159" s="55">
        <v>10</v>
      </c>
      <c r="M1159" s="55">
        <v>10</v>
      </c>
      <c r="N1159" s="55">
        <v>10</v>
      </c>
      <c r="O1159" s="55">
        <v>10</v>
      </c>
      <c r="P1159" s="55">
        <v>10</v>
      </c>
      <c r="Q1159" s="55">
        <v>10</v>
      </c>
      <c r="R1159" s="55">
        <v>10</v>
      </c>
      <c r="S1159" s="55">
        <v>10</v>
      </c>
      <c r="T1159" s="55">
        <v>10</v>
      </c>
      <c r="U1159" s="55">
        <v>10</v>
      </c>
      <c r="V1159" s="55">
        <v>10</v>
      </c>
      <c r="W1159" s="55">
        <v>10</v>
      </c>
      <c r="X1159" s="55">
        <v>10</v>
      </c>
      <c r="Y1159" s="55">
        <v>10</v>
      </c>
      <c r="Z1159" s="55">
        <v>10</v>
      </c>
      <c r="AA1159" s="55">
        <v>10</v>
      </c>
      <c r="AB1159" s="55">
        <v>10</v>
      </c>
      <c r="AC1159" s="55">
        <v>10</v>
      </c>
      <c r="AD1159" s="55">
        <v>10</v>
      </c>
      <c r="AE1159" s="55">
        <v>10</v>
      </c>
      <c r="AF1159" s="55">
        <v>10</v>
      </c>
      <c r="AG1159" s="55">
        <v>10</v>
      </c>
      <c r="AH1159" s="55">
        <v>10</v>
      </c>
      <c r="AI1159" s="55">
        <v>10</v>
      </c>
      <c r="AJ1159" s="55">
        <v>10</v>
      </c>
      <c r="AK1159" s="55">
        <v>10</v>
      </c>
      <c r="AL1159" s="55">
        <v>10</v>
      </c>
      <c r="AM1159" s="386">
        <f t="shared" si="241"/>
        <v>10</v>
      </c>
    </row>
    <row r="1160" spans="1:39" x14ac:dyDescent="0.2">
      <c r="A1160" s="19"/>
      <c r="B1160" s="19" t="s">
        <v>568</v>
      </c>
      <c r="C1160" s="80" t="s">
        <v>63</v>
      </c>
      <c r="D1160" s="19" t="s">
        <v>564</v>
      </c>
      <c r="E1160" s="27"/>
      <c r="F1160" s="55">
        <v>4</v>
      </c>
      <c r="G1160" s="55">
        <v>4</v>
      </c>
      <c r="H1160" s="55">
        <v>4</v>
      </c>
      <c r="I1160" s="55">
        <v>4</v>
      </c>
      <c r="J1160" s="55">
        <v>4</v>
      </c>
      <c r="K1160" s="55">
        <v>4</v>
      </c>
      <c r="L1160" s="55">
        <v>4</v>
      </c>
      <c r="M1160" s="55">
        <v>4</v>
      </c>
      <c r="N1160" s="55">
        <v>4</v>
      </c>
      <c r="O1160" s="55">
        <v>4</v>
      </c>
      <c r="P1160" s="55">
        <v>4</v>
      </c>
      <c r="Q1160" s="55">
        <v>4</v>
      </c>
      <c r="R1160" s="55">
        <v>4</v>
      </c>
      <c r="S1160" s="55">
        <v>4</v>
      </c>
      <c r="T1160" s="55">
        <v>4</v>
      </c>
      <c r="U1160" s="55">
        <v>4</v>
      </c>
      <c r="V1160" s="55">
        <v>4</v>
      </c>
      <c r="W1160" s="55">
        <v>4</v>
      </c>
      <c r="X1160" s="55">
        <v>4</v>
      </c>
      <c r="Y1160" s="55">
        <v>4</v>
      </c>
      <c r="Z1160" s="55">
        <v>4</v>
      </c>
      <c r="AA1160" s="55">
        <v>4</v>
      </c>
      <c r="AB1160" s="55">
        <v>4</v>
      </c>
      <c r="AC1160" s="55">
        <v>4</v>
      </c>
      <c r="AD1160" s="55">
        <v>4</v>
      </c>
      <c r="AE1160" s="55">
        <v>4</v>
      </c>
      <c r="AF1160" s="55">
        <v>4</v>
      </c>
      <c r="AG1160" s="55">
        <v>4</v>
      </c>
      <c r="AH1160" s="55">
        <v>4</v>
      </c>
      <c r="AI1160" s="55">
        <v>4</v>
      </c>
      <c r="AJ1160" s="55">
        <v>4</v>
      </c>
      <c r="AK1160" s="55">
        <v>4</v>
      </c>
      <c r="AL1160" s="55">
        <v>4</v>
      </c>
      <c r="AM1160" s="386">
        <f t="shared" si="241"/>
        <v>4</v>
      </c>
    </row>
    <row r="1161" spans="1:39" x14ac:dyDescent="0.2">
      <c r="A1161" s="19"/>
      <c r="B1161" s="19" t="s">
        <v>569</v>
      </c>
      <c r="C1161" s="80" t="s">
        <v>63</v>
      </c>
      <c r="D1161" s="19" t="s">
        <v>564</v>
      </c>
      <c r="E1161" s="27"/>
      <c r="F1161" s="55">
        <v>4</v>
      </c>
      <c r="G1161" s="55">
        <v>4</v>
      </c>
      <c r="H1161" s="55">
        <v>4</v>
      </c>
      <c r="I1161" s="55">
        <v>4</v>
      </c>
      <c r="J1161" s="55">
        <v>4</v>
      </c>
      <c r="K1161" s="55">
        <v>4</v>
      </c>
      <c r="L1161" s="55">
        <v>4</v>
      </c>
      <c r="M1161" s="55">
        <v>4</v>
      </c>
      <c r="N1161" s="55">
        <v>4</v>
      </c>
      <c r="O1161" s="55">
        <v>4</v>
      </c>
      <c r="P1161" s="55">
        <v>4</v>
      </c>
      <c r="Q1161" s="55">
        <v>4</v>
      </c>
      <c r="R1161" s="55">
        <v>4</v>
      </c>
      <c r="S1161" s="55">
        <v>4</v>
      </c>
      <c r="T1161" s="55">
        <v>4</v>
      </c>
      <c r="U1161" s="55">
        <v>4</v>
      </c>
      <c r="V1161" s="55">
        <v>4</v>
      </c>
      <c r="W1161" s="55">
        <v>4</v>
      </c>
      <c r="X1161" s="55">
        <v>4</v>
      </c>
      <c r="Y1161" s="55">
        <v>4</v>
      </c>
      <c r="Z1161" s="55">
        <v>4</v>
      </c>
      <c r="AA1161" s="55">
        <v>4</v>
      </c>
      <c r="AB1161" s="55">
        <v>4</v>
      </c>
      <c r="AC1161" s="55">
        <v>4</v>
      </c>
      <c r="AD1161" s="55">
        <v>4</v>
      </c>
      <c r="AE1161" s="55">
        <v>4</v>
      </c>
      <c r="AF1161" s="55">
        <v>4</v>
      </c>
      <c r="AG1161" s="55">
        <v>4</v>
      </c>
      <c r="AH1161" s="55">
        <v>4</v>
      </c>
      <c r="AI1161" s="55">
        <v>4</v>
      </c>
      <c r="AJ1161" s="55">
        <v>4</v>
      </c>
      <c r="AK1161" s="55">
        <v>4</v>
      </c>
      <c r="AL1161" s="55">
        <v>4</v>
      </c>
      <c r="AM1161" s="386">
        <f t="shared" si="241"/>
        <v>4</v>
      </c>
    </row>
    <row r="1162" spans="1:39" x14ac:dyDescent="0.2">
      <c r="A1162" s="19"/>
      <c r="B1162" s="19" t="s">
        <v>570</v>
      </c>
      <c r="C1162" s="80" t="s">
        <v>63</v>
      </c>
      <c r="D1162" s="19" t="s">
        <v>564</v>
      </c>
      <c r="E1162" s="27"/>
      <c r="F1162" s="55">
        <v>3</v>
      </c>
      <c r="G1162" s="55">
        <v>3</v>
      </c>
      <c r="H1162" s="55">
        <v>3</v>
      </c>
      <c r="I1162" s="55">
        <v>3</v>
      </c>
      <c r="J1162" s="55">
        <v>3</v>
      </c>
      <c r="K1162" s="55">
        <v>3</v>
      </c>
      <c r="L1162" s="55">
        <v>3</v>
      </c>
      <c r="M1162" s="55">
        <v>3</v>
      </c>
      <c r="N1162" s="55">
        <v>3</v>
      </c>
      <c r="O1162" s="55">
        <v>3</v>
      </c>
      <c r="P1162" s="55">
        <v>3</v>
      </c>
      <c r="Q1162" s="55">
        <v>3</v>
      </c>
      <c r="R1162" s="55">
        <v>3</v>
      </c>
      <c r="S1162" s="55">
        <v>3</v>
      </c>
      <c r="T1162" s="55">
        <v>3</v>
      </c>
      <c r="U1162" s="55">
        <v>3</v>
      </c>
      <c r="V1162" s="55">
        <v>3</v>
      </c>
      <c r="W1162" s="55">
        <v>3</v>
      </c>
      <c r="X1162" s="55">
        <v>3</v>
      </c>
      <c r="Y1162" s="55">
        <v>3</v>
      </c>
      <c r="Z1162" s="55">
        <v>3</v>
      </c>
      <c r="AA1162" s="55">
        <v>3</v>
      </c>
      <c r="AB1162" s="55">
        <v>3</v>
      </c>
      <c r="AC1162" s="55">
        <v>3</v>
      </c>
      <c r="AD1162" s="55">
        <v>3</v>
      </c>
      <c r="AE1162" s="55">
        <v>3</v>
      </c>
      <c r="AF1162" s="55">
        <v>3</v>
      </c>
      <c r="AG1162" s="55">
        <v>3</v>
      </c>
      <c r="AH1162" s="55">
        <v>3</v>
      </c>
      <c r="AI1162" s="55">
        <v>3</v>
      </c>
      <c r="AJ1162" s="55">
        <v>3</v>
      </c>
      <c r="AK1162" s="55">
        <v>3</v>
      </c>
      <c r="AL1162" s="55">
        <v>3</v>
      </c>
      <c r="AM1162" s="386">
        <f t="shared" si="241"/>
        <v>3</v>
      </c>
    </row>
    <row r="1163" spans="1:39" x14ac:dyDescent="0.2">
      <c r="A1163" s="19"/>
      <c r="B1163" s="19" t="s">
        <v>571</v>
      </c>
      <c r="C1163" s="80" t="s">
        <v>63</v>
      </c>
      <c r="D1163" s="19" t="s">
        <v>564</v>
      </c>
      <c r="E1163" s="27"/>
      <c r="F1163" s="55">
        <v>1</v>
      </c>
      <c r="G1163" s="55">
        <v>1</v>
      </c>
      <c r="H1163" s="55">
        <v>1</v>
      </c>
      <c r="I1163" s="55">
        <v>1</v>
      </c>
      <c r="J1163" s="55">
        <v>1</v>
      </c>
      <c r="K1163" s="55">
        <v>1</v>
      </c>
      <c r="L1163" s="55">
        <v>1</v>
      </c>
      <c r="M1163" s="55">
        <v>1</v>
      </c>
      <c r="N1163" s="55">
        <v>1</v>
      </c>
      <c r="O1163" s="55">
        <v>1</v>
      </c>
      <c r="P1163" s="55">
        <v>1</v>
      </c>
      <c r="Q1163" s="55">
        <v>1</v>
      </c>
      <c r="R1163" s="55">
        <v>1</v>
      </c>
      <c r="S1163" s="55">
        <v>1</v>
      </c>
      <c r="T1163" s="55">
        <v>1</v>
      </c>
      <c r="U1163" s="55">
        <v>1</v>
      </c>
      <c r="V1163" s="55">
        <v>1</v>
      </c>
      <c r="W1163" s="55">
        <v>1</v>
      </c>
      <c r="X1163" s="55">
        <v>1</v>
      </c>
      <c r="Y1163" s="55">
        <v>1</v>
      </c>
      <c r="Z1163" s="55">
        <v>1</v>
      </c>
      <c r="AA1163" s="55">
        <v>1</v>
      </c>
      <c r="AB1163" s="55">
        <v>1</v>
      </c>
      <c r="AC1163" s="55">
        <v>1</v>
      </c>
      <c r="AD1163" s="55">
        <v>1</v>
      </c>
      <c r="AE1163" s="55">
        <v>1</v>
      </c>
      <c r="AF1163" s="55">
        <v>1</v>
      </c>
      <c r="AG1163" s="55">
        <v>1</v>
      </c>
      <c r="AH1163" s="55">
        <v>1</v>
      </c>
      <c r="AI1163" s="55">
        <v>1</v>
      </c>
      <c r="AJ1163" s="55">
        <v>1</v>
      </c>
      <c r="AK1163" s="55">
        <v>1</v>
      </c>
      <c r="AL1163" s="55">
        <v>1</v>
      </c>
      <c r="AM1163" s="386">
        <f t="shared" si="241"/>
        <v>1</v>
      </c>
    </row>
    <row r="1164" spans="1:39" x14ac:dyDescent="0.2">
      <c r="A1164" s="19"/>
      <c r="B1164" s="19"/>
      <c r="C1164" s="18"/>
      <c r="D1164" s="19"/>
      <c r="E1164" s="27"/>
      <c r="F1164" s="55"/>
      <c r="G1164" s="55"/>
      <c r="H1164" s="55"/>
      <c r="I1164" s="55"/>
      <c r="J1164" s="55"/>
      <c r="K1164" s="55"/>
      <c r="L1164" s="55"/>
      <c r="M1164" s="55"/>
      <c r="N1164" s="55"/>
      <c r="O1164" s="55"/>
      <c r="P1164" s="55"/>
      <c r="Q1164" s="55"/>
      <c r="R1164" s="55"/>
      <c r="S1164" s="55"/>
      <c r="T1164" s="55"/>
      <c r="U1164" s="55"/>
      <c r="V1164" s="55"/>
      <c r="W1164" s="55"/>
      <c r="X1164" s="55"/>
      <c r="Y1164" s="55"/>
      <c r="Z1164" s="55"/>
      <c r="AA1164" s="55"/>
      <c r="AB1164" s="55"/>
      <c r="AC1164" s="55"/>
      <c r="AD1164" s="55"/>
      <c r="AE1164" s="55"/>
      <c r="AF1164" s="55"/>
      <c r="AG1164" s="55"/>
      <c r="AH1164" s="55"/>
      <c r="AI1164" s="55"/>
      <c r="AJ1164" s="55"/>
      <c r="AK1164" s="55"/>
      <c r="AL1164" s="55"/>
      <c r="AM1164" s="107"/>
    </row>
    <row r="1165" spans="1:39" x14ac:dyDescent="0.2">
      <c r="A1165" s="19" t="s">
        <v>346</v>
      </c>
      <c r="B1165" s="79" t="s">
        <v>557</v>
      </c>
      <c r="C1165" s="80" t="s">
        <v>63</v>
      </c>
      <c r="D1165" s="268" t="s">
        <v>558</v>
      </c>
      <c r="E1165" s="27"/>
      <c r="F1165" s="274">
        <v>0</v>
      </c>
      <c r="G1165" s="274">
        <v>0</v>
      </c>
      <c r="H1165" s="274">
        <v>0</v>
      </c>
      <c r="I1165" s="274">
        <v>0</v>
      </c>
      <c r="J1165" s="274">
        <v>0</v>
      </c>
      <c r="K1165" s="274">
        <v>0</v>
      </c>
      <c r="L1165" s="274">
        <v>0</v>
      </c>
      <c r="M1165" s="274">
        <v>0</v>
      </c>
      <c r="N1165" s="274">
        <v>0</v>
      </c>
      <c r="O1165" s="274">
        <v>0</v>
      </c>
      <c r="P1165" s="274">
        <v>0</v>
      </c>
      <c r="Q1165" s="274">
        <v>0</v>
      </c>
      <c r="R1165" s="274">
        <v>0</v>
      </c>
      <c r="S1165" s="274">
        <v>0</v>
      </c>
      <c r="T1165" s="274">
        <v>0</v>
      </c>
      <c r="U1165" s="274">
        <v>0</v>
      </c>
      <c r="V1165" s="274">
        <v>0</v>
      </c>
      <c r="W1165" s="274">
        <v>0</v>
      </c>
      <c r="X1165" s="274">
        <v>0</v>
      </c>
      <c r="Y1165" s="274">
        <v>0</v>
      </c>
      <c r="Z1165" s="274">
        <v>0</v>
      </c>
      <c r="AA1165" s="274">
        <v>0</v>
      </c>
      <c r="AB1165" s="274">
        <v>0</v>
      </c>
      <c r="AC1165" s="274">
        <v>0</v>
      </c>
      <c r="AD1165" s="274">
        <v>0</v>
      </c>
      <c r="AE1165" s="274">
        <v>0</v>
      </c>
      <c r="AF1165" s="274">
        <v>0</v>
      </c>
      <c r="AG1165" s="274">
        <v>0</v>
      </c>
      <c r="AH1165" s="274">
        <v>0</v>
      </c>
      <c r="AI1165" s="274">
        <v>0</v>
      </c>
      <c r="AJ1165" s="274">
        <v>0</v>
      </c>
      <c r="AK1165" s="274">
        <v>0</v>
      </c>
      <c r="AL1165" s="274">
        <v>0</v>
      </c>
      <c r="AM1165" s="386">
        <f>AVERAGE(F1165:AL1165)</f>
        <v>0</v>
      </c>
    </row>
    <row r="1166" spans="1:39" x14ac:dyDescent="0.2">
      <c r="A1166" s="19"/>
      <c r="B1166" s="79" t="s">
        <v>559</v>
      </c>
      <c r="C1166" s="80" t="s">
        <v>63</v>
      </c>
      <c r="D1166" s="268" t="s">
        <v>558</v>
      </c>
      <c r="E1166" s="27"/>
      <c r="F1166" s="274">
        <v>99.999999999999986</v>
      </c>
      <c r="G1166" s="274">
        <v>100</v>
      </c>
      <c r="H1166" s="274">
        <v>100</v>
      </c>
      <c r="I1166" s="274">
        <v>100</v>
      </c>
      <c r="J1166" s="274">
        <v>100</v>
      </c>
      <c r="K1166" s="274">
        <v>100</v>
      </c>
      <c r="L1166" s="274">
        <v>100</v>
      </c>
      <c r="M1166" s="274">
        <v>100</v>
      </c>
      <c r="N1166" s="274">
        <v>100</v>
      </c>
      <c r="O1166" s="274">
        <v>100</v>
      </c>
      <c r="P1166" s="274">
        <v>100</v>
      </c>
      <c r="Q1166" s="274">
        <v>100</v>
      </c>
      <c r="R1166" s="274">
        <v>100</v>
      </c>
      <c r="S1166" s="274">
        <v>99.999999999999986</v>
      </c>
      <c r="T1166" s="274">
        <v>100</v>
      </c>
      <c r="U1166" s="274">
        <v>100</v>
      </c>
      <c r="V1166" s="274">
        <v>100</v>
      </c>
      <c r="W1166" s="274">
        <v>100</v>
      </c>
      <c r="X1166" s="274">
        <v>100</v>
      </c>
      <c r="Y1166" s="274">
        <v>100</v>
      </c>
      <c r="Z1166" s="274">
        <v>100</v>
      </c>
      <c r="AA1166" s="274">
        <v>100.00000000000001</v>
      </c>
      <c r="AB1166" s="274">
        <v>99.999999999999986</v>
      </c>
      <c r="AC1166" s="274">
        <v>100</v>
      </c>
      <c r="AD1166" s="274">
        <v>100</v>
      </c>
      <c r="AE1166" s="274">
        <v>100</v>
      </c>
      <c r="AF1166" s="274">
        <v>100</v>
      </c>
      <c r="AG1166" s="274">
        <v>100</v>
      </c>
      <c r="AH1166" s="274">
        <v>100</v>
      </c>
      <c r="AI1166" s="274">
        <v>100</v>
      </c>
      <c r="AJ1166" s="274">
        <v>100</v>
      </c>
      <c r="AK1166" s="274">
        <v>100</v>
      </c>
      <c r="AL1166" s="274">
        <v>100</v>
      </c>
      <c r="AM1166" s="386">
        <f t="shared" ref="AM1166:AM1177" si="242">AVERAGE(F1166:AL1166)</f>
        <v>100</v>
      </c>
    </row>
    <row r="1167" spans="1:39" x14ac:dyDescent="0.2">
      <c r="A1167" s="19"/>
      <c r="B1167" s="79" t="s">
        <v>560</v>
      </c>
      <c r="C1167" s="80" t="s">
        <v>63</v>
      </c>
      <c r="D1167" s="268" t="s">
        <v>558</v>
      </c>
      <c r="E1167" s="27"/>
      <c r="F1167" s="274">
        <v>40</v>
      </c>
      <c r="G1167" s="274">
        <v>40</v>
      </c>
      <c r="H1167" s="274">
        <v>40.000000000000007</v>
      </c>
      <c r="I1167" s="274">
        <v>20</v>
      </c>
      <c r="J1167" s="274">
        <v>29.999999999999996</v>
      </c>
      <c r="K1167" s="274">
        <v>40</v>
      </c>
      <c r="L1167" s="274">
        <v>30.000000000000004</v>
      </c>
      <c r="M1167" s="274">
        <v>30.000000000000007</v>
      </c>
      <c r="N1167" s="274">
        <v>80.610215913434814</v>
      </c>
      <c r="O1167" s="274">
        <v>61.378989534683527</v>
      </c>
      <c r="P1167" s="274">
        <v>30</v>
      </c>
      <c r="Q1167" s="274">
        <v>30</v>
      </c>
      <c r="R1167" s="274">
        <v>10</v>
      </c>
      <c r="S1167" s="274">
        <v>28.578843944875572</v>
      </c>
      <c r="T1167" s="274">
        <v>29.339611401868929</v>
      </c>
      <c r="U1167" s="274">
        <v>34.071816777105234</v>
      </c>
      <c r="V1167" s="274">
        <v>25.821366051131218</v>
      </c>
      <c r="W1167" s="274">
        <v>29.999999999999996</v>
      </c>
      <c r="X1167" s="274">
        <v>40</v>
      </c>
      <c r="Y1167" s="274">
        <v>40.000000000000007</v>
      </c>
      <c r="Z1167" s="274">
        <v>9.9999999999999995E-7</v>
      </c>
      <c r="AA1167" s="274">
        <v>40.000000000000007</v>
      </c>
      <c r="AB1167" s="274">
        <v>30.091844982465876</v>
      </c>
      <c r="AC1167" s="274">
        <v>31.396582607679562</v>
      </c>
      <c r="AD1167" s="274">
        <v>20.000000000000004</v>
      </c>
      <c r="AE1167" s="274">
        <v>20.472997777618051</v>
      </c>
      <c r="AF1167" s="274">
        <v>20.000000000000004</v>
      </c>
      <c r="AG1167" s="274">
        <v>24.709109866845356</v>
      </c>
      <c r="AH1167" s="274">
        <v>27.197795807783507</v>
      </c>
      <c r="AI1167" s="274">
        <v>9.9999999999999995E-7</v>
      </c>
      <c r="AJ1167" s="274">
        <v>9.9999999999999995E-7</v>
      </c>
      <c r="AK1167" s="274">
        <v>100</v>
      </c>
      <c r="AL1167" s="274">
        <v>100</v>
      </c>
      <c r="AM1167" s="386">
        <f t="shared" si="242"/>
        <v>34.05058114137853</v>
      </c>
    </row>
    <row r="1168" spans="1:39" x14ac:dyDescent="0.2">
      <c r="A1168" s="19"/>
      <c r="B1168" s="79" t="s">
        <v>561</v>
      </c>
      <c r="C1168" s="80" t="s">
        <v>63</v>
      </c>
      <c r="D1168" s="268" t="s">
        <v>558</v>
      </c>
      <c r="E1168" s="27"/>
      <c r="F1168" s="274">
        <v>0</v>
      </c>
      <c r="G1168" s="274">
        <v>0</v>
      </c>
      <c r="H1168" s="274">
        <v>0</v>
      </c>
      <c r="I1168" s="274">
        <v>0</v>
      </c>
      <c r="J1168" s="274">
        <v>0</v>
      </c>
      <c r="K1168" s="274">
        <v>0</v>
      </c>
      <c r="L1168" s="274">
        <v>0</v>
      </c>
      <c r="M1168" s="274">
        <v>0</v>
      </c>
      <c r="N1168" s="274">
        <v>0</v>
      </c>
      <c r="O1168" s="274">
        <v>0</v>
      </c>
      <c r="P1168" s="274">
        <v>0</v>
      </c>
      <c r="Q1168" s="274">
        <v>0</v>
      </c>
      <c r="R1168" s="274">
        <v>0</v>
      </c>
      <c r="S1168" s="274">
        <v>0</v>
      </c>
      <c r="T1168" s="274">
        <v>0</v>
      </c>
      <c r="U1168" s="274">
        <v>0</v>
      </c>
      <c r="V1168" s="274">
        <v>0</v>
      </c>
      <c r="W1168" s="274">
        <v>0</v>
      </c>
      <c r="X1168" s="274">
        <v>0</v>
      </c>
      <c r="Y1168" s="274">
        <v>0</v>
      </c>
      <c r="Z1168" s="274">
        <v>0</v>
      </c>
      <c r="AA1168" s="274">
        <v>0</v>
      </c>
      <c r="AB1168" s="274">
        <v>0</v>
      </c>
      <c r="AC1168" s="274">
        <v>0</v>
      </c>
      <c r="AD1168" s="274">
        <v>0</v>
      </c>
      <c r="AE1168" s="274">
        <v>0</v>
      </c>
      <c r="AF1168" s="274">
        <v>0</v>
      </c>
      <c r="AG1168" s="274">
        <v>0</v>
      </c>
      <c r="AH1168" s="274">
        <v>0</v>
      </c>
      <c r="AI1168" s="274">
        <v>0</v>
      </c>
      <c r="AJ1168" s="274">
        <v>0</v>
      </c>
      <c r="AK1168" s="274">
        <v>0</v>
      </c>
      <c r="AL1168" s="274">
        <v>0</v>
      </c>
      <c r="AM1168" s="386">
        <f t="shared" si="242"/>
        <v>0</v>
      </c>
    </row>
    <row r="1169" spans="1:39" x14ac:dyDescent="0.2">
      <c r="A1169" s="19"/>
      <c r="B1169" s="79" t="s">
        <v>562</v>
      </c>
      <c r="C1169" s="80" t="s">
        <v>63</v>
      </c>
      <c r="D1169" s="268" t="s">
        <v>558</v>
      </c>
      <c r="E1169" s="27"/>
      <c r="F1169" s="274">
        <v>60</v>
      </c>
      <c r="G1169" s="274">
        <v>60</v>
      </c>
      <c r="H1169" s="274">
        <v>59.999999999999993</v>
      </c>
      <c r="I1169" s="274">
        <v>80</v>
      </c>
      <c r="J1169" s="274">
        <v>70</v>
      </c>
      <c r="K1169" s="274">
        <v>60</v>
      </c>
      <c r="L1169" s="274">
        <v>70</v>
      </c>
      <c r="M1169" s="274">
        <v>70</v>
      </c>
      <c r="N1169" s="274">
        <v>19.389784086565186</v>
      </c>
      <c r="O1169" s="274">
        <v>38.621010465316473</v>
      </c>
      <c r="P1169" s="274">
        <v>70</v>
      </c>
      <c r="Q1169" s="274">
        <v>70</v>
      </c>
      <c r="R1169" s="274">
        <v>90</v>
      </c>
      <c r="S1169" s="274">
        <v>71.421156055124428</v>
      </c>
      <c r="T1169" s="274">
        <v>70.660388598131078</v>
      </c>
      <c r="U1169" s="274">
        <v>65.928183222894774</v>
      </c>
      <c r="V1169" s="274">
        <v>74.178633948868779</v>
      </c>
      <c r="W1169" s="274">
        <v>70</v>
      </c>
      <c r="X1169" s="274">
        <v>60</v>
      </c>
      <c r="Y1169" s="274">
        <v>59.999999999999993</v>
      </c>
      <c r="Z1169" s="274">
        <v>99.999999000000003</v>
      </c>
      <c r="AA1169" s="274">
        <v>59.999999999999993</v>
      </c>
      <c r="AB1169" s="274">
        <v>69.908155017534128</v>
      </c>
      <c r="AC1169" s="274">
        <v>68.603417392320438</v>
      </c>
      <c r="AD1169" s="274">
        <v>80</v>
      </c>
      <c r="AE1169" s="274">
        <v>79.527002222381952</v>
      </c>
      <c r="AF1169" s="274">
        <v>80</v>
      </c>
      <c r="AG1169" s="274">
        <v>75.290890133154647</v>
      </c>
      <c r="AH1169" s="274">
        <v>72.802204192216493</v>
      </c>
      <c r="AI1169" s="274">
        <v>99.999999000000003</v>
      </c>
      <c r="AJ1169" s="274">
        <v>99.999999000000003</v>
      </c>
      <c r="AK1169" s="274">
        <v>0</v>
      </c>
      <c r="AL1169" s="274">
        <v>0</v>
      </c>
      <c r="AM1169" s="386">
        <f t="shared" si="242"/>
        <v>65.94941885862147</v>
      </c>
    </row>
    <row r="1170" spans="1:39" x14ac:dyDescent="0.2">
      <c r="A1170" s="19"/>
      <c r="B1170" s="19" t="s">
        <v>563</v>
      </c>
      <c r="C1170" s="80" t="s">
        <v>63</v>
      </c>
      <c r="D1170" s="19" t="s">
        <v>564</v>
      </c>
      <c r="E1170" s="27"/>
      <c r="F1170" s="55">
        <v>24</v>
      </c>
      <c r="G1170" s="55">
        <v>24</v>
      </c>
      <c r="H1170" s="55">
        <v>24</v>
      </c>
      <c r="I1170" s="55">
        <v>24</v>
      </c>
      <c r="J1170" s="55">
        <v>24</v>
      </c>
      <c r="K1170" s="55">
        <v>24</v>
      </c>
      <c r="L1170" s="55">
        <v>24</v>
      </c>
      <c r="M1170" s="55">
        <v>24</v>
      </c>
      <c r="N1170" s="55">
        <v>24</v>
      </c>
      <c r="O1170" s="55">
        <v>24</v>
      </c>
      <c r="P1170" s="55">
        <v>24</v>
      </c>
      <c r="Q1170" s="55">
        <v>24</v>
      </c>
      <c r="R1170" s="55">
        <v>24</v>
      </c>
      <c r="S1170" s="55">
        <v>24</v>
      </c>
      <c r="T1170" s="55">
        <v>24</v>
      </c>
      <c r="U1170" s="55">
        <v>24</v>
      </c>
      <c r="V1170" s="55">
        <v>24</v>
      </c>
      <c r="W1170" s="55">
        <v>24</v>
      </c>
      <c r="X1170" s="55">
        <v>24</v>
      </c>
      <c r="Y1170" s="55">
        <v>24</v>
      </c>
      <c r="Z1170" s="55">
        <v>24</v>
      </c>
      <c r="AA1170" s="55">
        <v>24</v>
      </c>
      <c r="AB1170" s="55">
        <v>24</v>
      </c>
      <c r="AC1170" s="55">
        <v>24</v>
      </c>
      <c r="AD1170" s="55">
        <v>24</v>
      </c>
      <c r="AE1170" s="55">
        <v>24</v>
      </c>
      <c r="AF1170" s="55">
        <v>24</v>
      </c>
      <c r="AG1170" s="55">
        <v>24</v>
      </c>
      <c r="AH1170" s="55">
        <v>24</v>
      </c>
      <c r="AI1170" s="55">
        <v>24</v>
      </c>
      <c r="AJ1170" s="55">
        <v>24</v>
      </c>
      <c r="AK1170" s="55">
        <v>24</v>
      </c>
      <c r="AL1170" s="55">
        <v>24</v>
      </c>
      <c r="AM1170" s="386">
        <f t="shared" si="242"/>
        <v>24</v>
      </c>
    </row>
    <row r="1171" spans="1:39" x14ac:dyDescent="0.2">
      <c r="A1171" s="19"/>
      <c r="B1171" s="19" t="s">
        <v>565</v>
      </c>
      <c r="C1171" s="80" t="s">
        <v>63</v>
      </c>
      <c r="D1171" s="19" t="s">
        <v>564</v>
      </c>
      <c r="E1171" s="27"/>
      <c r="F1171" s="55">
        <v>24</v>
      </c>
      <c r="G1171" s="55">
        <v>24</v>
      </c>
      <c r="H1171" s="55">
        <v>24</v>
      </c>
      <c r="I1171" s="55">
        <v>24</v>
      </c>
      <c r="J1171" s="55">
        <v>24</v>
      </c>
      <c r="K1171" s="55">
        <v>24</v>
      </c>
      <c r="L1171" s="55">
        <v>24</v>
      </c>
      <c r="M1171" s="55">
        <v>24</v>
      </c>
      <c r="N1171" s="55">
        <v>24</v>
      </c>
      <c r="O1171" s="55">
        <v>24</v>
      </c>
      <c r="P1171" s="55">
        <v>24</v>
      </c>
      <c r="Q1171" s="55">
        <v>24</v>
      </c>
      <c r="R1171" s="55">
        <v>24</v>
      </c>
      <c r="S1171" s="55">
        <v>24</v>
      </c>
      <c r="T1171" s="55">
        <v>24</v>
      </c>
      <c r="U1171" s="55">
        <v>24</v>
      </c>
      <c r="V1171" s="55">
        <v>24</v>
      </c>
      <c r="W1171" s="55">
        <v>24</v>
      </c>
      <c r="X1171" s="55">
        <v>24</v>
      </c>
      <c r="Y1171" s="55">
        <v>24</v>
      </c>
      <c r="Z1171" s="55">
        <v>24</v>
      </c>
      <c r="AA1171" s="55">
        <v>24</v>
      </c>
      <c r="AB1171" s="55">
        <v>24</v>
      </c>
      <c r="AC1171" s="55">
        <v>24</v>
      </c>
      <c r="AD1171" s="55">
        <v>24</v>
      </c>
      <c r="AE1171" s="55">
        <v>24</v>
      </c>
      <c r="AF1171" s="55">
        <v>24</v>
      </c>
      <c r="AG1171" s="55">
        <v>24</v>
      </c>
      <c r="AH1171" s="55">
        <v>24</v>
      </c>
      <c r="AI1171" s="55">
        <v>24</v>
      </c>
      <c r="AJ1171" s="55">
        <v>24</v>
      </c>
      <c r="AK1171" s="55">
        <v>24</v>
      </c>
      <c r="AL1171" s="55">
        <v>24</v>
      </c>
      <c r="AM1171" s="386">
        <f t="shared" si="242"/>
        <v>24</v>
      </c>
    </row>
    <row r="1172" spans="1:39" x14ac:dyDescent="0.2">
      <c r="A1172" s="19"/>
      <c r="B1172" s="19" t="s">
        <v>566</v>
      </c>
      <c r="C1172" s="80" t="s">
        <v>63</v>
      </c>
      <c r="D1172" s="19" t="s">
        <v>564</v>
      </c>
      <c r="E1172" s="27"/>
      <c r="F1172" s="55">
        <v>27</v>
      </c>
      <c r="G1172" s="55">
        <v>27</v>
      </c>
      <c r="H1172" s="55">
        <v>27</v>
      </c>
      <c r="I1172" s="55">
        <v>27</v>
      </c>
      <c r="J1172" s="55">
        <v>27</v>
      </c>
      <c r="K1172" s="55">
        <v>27</v>
      </c>
      <c r="L1172" s="55">
        <v>27</v>
      </c>
      <c r="M1172" s="55">
        <v>27</v>
      </c>
      <c r="N1172" s="55">
        <v>27</v>
      </c>
      <c r="O1172" s="55">
        <v>27</v>
      </c>
      <c r="P1172" s="55">
        <v>27</v>
      </c>
      <c r="Q1172" s="55">
        <v>27</v>
      </c>
      <c r="R1172" s="55">
        <v>27</v>
      </c>
      <c r="S1172" s="55">
        <v>27</v>
      </c>
      <c r="T1172" s="55">
        <v>27</v>
      </c>
      <c r="U1172" s="55">
        <v>27</v>
      </c>
      <c r="V1172" s="55">
        <v>27</v>
      </c>
      <c r="W1172" s="55">
        <v>27</v>
      </c>
      <c r="X1172" s="55">
        <v>27</v>
      </c>
      <c r="Y1172" s="55">
        <v>27</v>
      </c>
      <c r="Z1172" s="55">
        <v>27</v>
      </c>
      <c r="AA1172" s="55">
        <v>27</v>
      </c>
      <c r="AB1172" s="55">
        <v>27</v>
      </c>
      <c r="AC1172" s="55">
        <v>27</v>
      </c>
      <c r="AD1172" s="55">
        <v>27</v>
      </c>
      <c r="AE1172" s="55">
        <v>27</v>
      </c>
      <c r="AF1172" s="55">
        <v>27</v>
      </c>
      <c r="AG1172" s="55">
        <v>27</v>
      </c>
      <c r="AH1172" s="55">
        <v>27</v>
      </c>
      <c r="AI1172" s="55">
        <v>27</v>
      </c>
      <c r="AJ1172" s="55">
        <v>27</v>
      </c>
      <c r="AK1172" s="55">
        <v>27</v>
      </c>
      <c r="AL1172" s="55">
        <v>27</v>
      </c>
      <c r="AM1172" s="386">
        <f t="shared" si="242"/>
        <v>27</v>
      </c>
    </row>
    <row r="1173" spans="1:39" x14ac:dyDescent="0.2">
      <c r="A1173" s="19"/>
      <c r="B1173" s="19" t="s">
        <v>567</v>
      </c>
      <c r="C1173" s="80" t="s">
        <v>63</v>
      </c>
      <c r="D1173" s="19" t="s">
        <v>564</v>
      </c>
      <c r="E1173" s="27"/>
      <c r="F1173" s="55">
        <v>10</v>
      </c>
      <c r="G1173" s="55">
        <v>10</v>
      </c>
      <c r="H1173" s="55">
        <v>10</v>
      </c>
      <c r="I1173" s="55">
        <v>10</v>
      </c>
      <c r="J1173" s="55">
        <v>10</v>
      </c>
      <c r="K1173" s="55">
        <v>10</v>
      </c>
      <c r="L1173" s="55">
        <v>10</v>
      </c>
      <c r="M1173" s="55">
        <v>10</v>
      </c>
      <c r="N1173" s="55">
        <v>10</v>
      </c>
      <c r="O1173" s="55">
        <v>10</v>
      </c>
      <c r="P1173" s="55">
        <v>10</v>
      </c>
      <c r="Q1173" s="55">
        <v>10</v>
      </c>
      <c r="R1173" s="55">
        <v>10</v>
      </c>
      <c r="S1173" s="55">
        <v>10</v>
      </c>
      <c r="T1173" s="55">
        <v>10</v>
      </c>
      <c r="U1173" s="55">
        <v>10</v>
      </c>
      <c r="V1173" s="55">
        <v>10</v>
      </c>
      <c r="W1173" s="55">
        <v>10</v>
      </c>
      <c r="X1173" s="55">
        <v>10</v>
      </c>
      <c r="Y1173" s="55">
        <v>10</v>
      </c>
      <c r="Z1173" s="55">
        <v>10</v>
      </c>
      <c r="AA1173" s="55">
        <v>10</v>
      </c>
      <c r="AB1173" s="55">
        <v>10</v>
      </c>
      <c r="AC1173" s="55">
        <v>10</v>
      </c>
      <c r="AD1173" s="55">
        <v>10</v>
      </c>
      <c r="AE1173" s="55">
        <v>10</v>
      </c>
      <c r="AF1173" s="55">
        <v>10</v>
      </c>
      <c r="AG1173" s="55">
        <v>10</v>
      </c>
      <c r="AH1173" s="55">
        <v>10</v>
      </c>
      <c r="AI1173" s="55">
        <v>10</v>
      </c>
      <c r="AJ1173" s="55">
        <v>10</v>
      </c>
      <c r="AK1173" s="55">
        <v>10</v>
      </c>
      <c r="AL1173" s="55">
        <v>10</v>
      </c>
      <c r="AM1173" s="386">
        <f t="shared" si="242"/>
        <v>10</v>
      </c>
    </row>
    <row r="1174" spans="1:39" x14ac:dyDescent="0.2">
      <c r="A1174" s="19"/>
      <c r="B1174" s="19" t="s">
        <v>568</v>
      </c>
      <c r="C1174" s="80" t="s">
        <v>63</v>
      </c>
      <c r="D1174" s="19" t="s">
        <v>564</v>
      </c>
      <c r="E1174" s="27"/>
      <c r="F1174" s="55">
        <v>3.4</v>
      </c>
      <c r="G1174" s="55">
        <v>3.4</v>
      </c>
      <c r="H1174" s="55">
        <v>3.4</v>
      </c>
      <c r="I1174" s="55">
        <v>3.4</v>
      </c>
      <c r="J1174" s="55">
        <v>3.4</v>
      </c>
      <c r="K1174" s="55">
        <v>3.4</v>
      </c>
      <c r="L1174" s="55">
        <v>3.4</v>
      </c>
      <c r="M1174" s="55">
        <v>3.4</v>
      </c>
      <c r="N1174" s="55">
        <v>3.4</v>
      </c>
      <c r="O1174" s="55">
        <v>3.4</v>
      </c>
      <c r="P1174" s="55">
        <v>3.4</v>
      </c>
      <c r="Q1174" s="55">
        <v>3.4</v>
      </c>
      <c r="R1174" s="55">
        <v>3.4</v>
      </c>
      <c r="S1174" s="55">
        <v>3.4</v>
      </c>
      <c r="T1174" s="55">
        <v>3.4</v>
      </c>
      <c r="U1174" s="55">
        <v>3.4</v>
      </c>
      <c r="V1174" s="55">
        <v>3.4</v>
      </c>
      <c r="W1174" s="55">
        <v>3.4</v>
      </c>
      <c r="X1174" s="55">
        <v>3.4</v>
      </c>
      <c r="Y1174" s="55">
        <v>3.4</v>
      </c>
      <c r="Z1174" s="55">
        <v>3.4</v>
      </c>
      <c r="AA1174" s="55">
        <v>3.4</v>
      </c>
      <c r="AB1174" s="55">
        <v>3.4</v>
      </c>
      <c r="AC1174" s="55">
        <v>3.4</v>
      </c>
      <c r="AD1174" s="55">
        <v>3.4</v>
      </c>
      <c r="AE1174" s="55">
        <v>3.4</v>
      </c>
      <c r="AF1174" s="55">
        <v>3.4</v>
      </c>
      <c r="AG1174" s="55">
        <v>3.4</v>
      </c>
      <c r="AH1174" s="55">
        <v>3.4</v>
      </c>
      <c r="AI1174" s="55">
        <v>3.4</v>
      </c>
      <c r="AJ1174" s="55">
        <v>3.4</v>
      </c>
      <c r="AK1174" s="55">
        <v>3.4</v>
      </c>
      <c r="AL1174" s="55">
        <v>3.4</v>
      </c>
      <c r="AM1174" s="386">
        <f t="shared" si="242"/>
        <v>3.4000000000000017</v>
      </c>
    </row>
    <row r="1175" spans="1:39" x14ac:dyDescent="0.2">
      <c r="A1175" s="19"/>
      <c r="B1175" s="19" t="s">
        <v>569</v>
      </c>
      <c r="C1175" s="80" t="s">
        <v>63</v>
      </c>
      <c r="D1175" s="19" t="s">
        <v>564</v>
      </c>
      <c r="E1175" s="27"/>
      <c r="F1175" s="55">
        <v>3.4</v>
      </c>
      <c r="G1175" s="55">
        <v>3.4</v>
      </c>
      <c r="H1175" s="55">
        <v>3.4</v>
      </c>
      <c r="I1175" s="55">
        <v>3.4</v>
      </c>
      <c r="J1175" s="55">
        <v>3.4</v>
      </c>
      <c r="K1175" s="55">
        <v>3.4</v>
      </c>
      <c r="L1175" s="55">
        <v>3.4</v>
      </c>
      <c r="M1175" s="55">
        <v>3.4</v>
      </c>
      <c r="N1175" s="55">
        <v>3.4</v>
      </c>
      <c r="O1175" s="55">
        <v>3.4</v>
      </c>
      <c r="P1175" s="55">
        <v>3.4</v>
      </c>
      <c r="Q1175" s="55">
        <v>3.4</v>
      </c>
      <c r="R1175" s="55">
        <v>3.4</v>
      </c>
      <c r="S1175" s="55">
        <v>3.4</v>
      </c>
      <c r="T1175" s="55">
        <v>3.4</v>
      </c>
      <c r="U1175" s="55">
        <v>3.4</v>
      </c>
      <c r="V1175" s="55">
        <v>3.4</v>
      </c>
      <c r="W1175" s="55">
        <v>3.4</v>
      </c>
      <c r="X1175" s="55">
        <v>3.4</v>
      </c>
      <c r="Y1175" s="55">
        <v>3.4</v>
      </c>
      <c r="Z1175" s="55">
        <v>3.4</v>
      </c>
      <c r="AA1175" s="55">
        <v>3.4</v>
      </c>
      <c r="AB1175" s="55">
        <v>3.4</v>
      </c>
      <c r="AC1175" s="55">
        <v>3.4</v>
      </c>
      <c r="AD1175" s="55">
        <v>3.4</v>
      </c>
      <c r="AE1175" s="55">
        <v>3.4</v>
      </c>
      <c r="AF1175" s="55">
        <v>3.4</v>
      </c>
      <c r="AG1175" s="55">
        <v>3.4</v>
      </c>
      <c r="AH1175" s="55">
        <v>3.4</v>
      </c>
      <c r="AI1175" s="55">
        <v>3.4</v>
      </c>
      <c r="AJ1175" s="55">
        <v>3.4</v>
      </c>
      <c r="AK1175" s="55">
        <v>3.4</v>
      </c>
      <c r="AL1175" s="55">
        <v>3.4</v>
      </c>
      <c r="AM1175" s="386">
        <f t="shared" si="242"/>
        <v>3.4000000000000017</v>
      </c>
    </row>
    <row r="1176" spans="1:39" x14ac:dyDescent="0.2">
      <c r="A1176" s="19"/>
      <c r="B1176" s="19" t="s">
        <v>570</v>
      </c>
      <c r="C1176" s="80" t="s">
        <v>63</v>
      </c>
      <c r="D1176" s="19" t="s">
        <v>564</v>
      </c>
      <c r="E1176" s="27"/>
      <c r="F1176" s="55">
        <v>2</v>
      </c>
      <c r="G1176" s="55">
        <v>2</v>
      </c>
      <c r="H1176" s="55">
        <v>2</v>
      </c>
      <c r="I1176" s="55">
        <v>2</v>
      </c>
      <c r="J1176" s="55">
        <v>2</v>
      </c>
      <c r="K1176" s="55">
        <v>2</v>
      </c>
      <c r="L1176" s="55">
        <v>2</v>
      </c>
      <c r="M1176" s="55">
        <v>2</v>
      </c>
      <c r="N1176" s="55">
        <v>2</v>
      </c>
      <c r="O1176" s="55">
        <v>2</v>
      </c>
      <c r="P1176" s="55">
        <v>2</v>
      </c>
      <c r="Q1176" s="55">
        <v>2</v>
      </c>
      <c r="R1176" s="55">
        <v>2</v>
      </c>
      <c r="S1176" s="55">
        <v>2</v>
      </c>
      <c r="T1176" s="55">
        <v>2</v>
      </c>
      <c r="U1176" s="55">
        <v>2</v>
      </c>
      <c r="V1176" s="55">
        <v>2</v>
      </c>
      <c r="W1176" s="55">
        <v>2</v>
      </c>
      <c r="X1176" s="55">
        <v>2</v>
      </c>
      <c r="Y1176" s="55">
        <v>2</v>
      </c>
      <c r="Z1176" s="55">
        <v>2</v>
      </c>
      <c r="AA1176" s="55">
        <v>2</v>
      </c>
      <c r="AB1176" s="55">
        <v>2</v>
      </c>
      <c r="AC1176" s="55">
        <v>2</v>
      </c>
      <c r="AD1176" s="55">
        <v>2</v>
      </c>
      <c r="AE1176" s="55">
        <v>2</v>
      </c>
      <c r="AF1176" s="55">
        <v>2</v>
      </c>
      <c r="AG1176" s="55">
        <v>2</v>
      </c>
      <c r="AH1176" s="55">
        <v>2</v>
      </c>
      <c r="AI1176" s="55">
        <v>2</v>
      </c>
      <c r="AJ1176" s="55">
        <v>2</v>
      </c>
      <c r="AK1176" s="55">
        <v>2</v>
      </c>
      <c r="AL1176" s="55">
        <v>2</v>
      </c>
      <c r="AM1176" s="386">
        <f t="shared" si="242"/>
        <v>2</v>
      </c>
    </row>
    <row r="1177" spans="1:39" x14ac:dyDescent="0.2">
      <c r="A1177" s="19"/>
      <c r="B1177" s="19" t="s">
        <v>571</v>
      </c>
      <c r="C1177" s="80" t="s">
        <v>63</v>
      </c>
      <c r="D1177" s="19" t="s">
        <v>564</v>
      </c>
      <c r="E1177" s="27"/>
      <c r="F1177" s="19">
        <v>2</v>
      </c>
      <c r="G1177" s="19">
        <v>2</v>
      </c>
      <c r="H1177" s="19">
        <v>2</v>
      </c>
      <c r="I1177" s="19">
        <v>2</v>
      </c>
      <c r="J1177" s="19">
        <v>2</v>
      </c>
      <c r="K1177" s="19">
        <v>2</v>
      </c>
      <c r="L1177" s="19">
        <v>2</v>
      </c>
      <c r="M1177" s="19">
        <v>2</v>
      </c>
      <c r="N1177" s="19">
        <v>2</v>
      </c>
      <c r="O1177" s="19">
        <v>2</v>
      </c>
      <c r="P1177" s="19">
        <v>2</v>
      </c>
      <c r="Q1177" s="19">
        <v>2</v>
      </c>
      <c r="R1177" s="19">
        <v>2</v>
      </c>
      <c r="S1177" s="19">
        <v>2</v>
      </c>
      <c r="T1177" s="19">
        <v>2</v>
      </c>
      <c r="U1177" s="19">
        <v>2</v>
      </c>
      <c r="V1177" s="19">
        <v>2</v>
      </c>
      <c r="W1177" s="19">
        <v>2</v>
      </c>
      <c r="X1177" s="19">
        <v>2</v>
      </c>
      <c r="Y1177" s="19">
        <v>2</v>
      </c>
      <c r="Z1177" s="19">
        <v>2</v>
      </c>
      <c r="AA1177" s="19">
        <v>2</v>
      </c>
      <c r="AB1177" s="19">
        <v>2</v>
      </c>
      <c r="AC1177" s="19">
        <v>2</v>
      </c>
      <c r="AD1177" s="19">
        <v>2</v>
      </c>
      <c r="AE1177" s="19">
        <v>2</v>
      </c>
      <c r="AF1177" s="19">
        <v>2</v>
      </c>
      <c r="AG1177" s="19">
        <v>2</v>
      </c>
      <c r="AH1177" s="19">
        <v>2</v>
      </c>
      <c r="AI1177" s="19">
        <v>2</v>
      </c>
      <c r="AJ1177" s="19">
        <v>2</v>
      </c>
      <c r="AK1177" s="19">
        <v>2</v>
      </c>
      <c r="AL1177" s="19">
        <v>2</v>
      </c>
      <c r="AM1177" s="386">
        <f t="shared" si="242"/>
        <v>2</v>
      </c>
    </row>
    <row r="1178" spans="1:39" x14ac:dyDescent="0.2">
      <c r="A1178" s="19"/>
      <c r="B1178" s="19"/>
      <c r="C1178" s="18"/>
      <c r="D1178" s="19"/>
      <c r="E1178" s="27"/>
      <c r="F1178" s="19"/>
      <c r="G1178" s="19"/>
      <c r="H1178" s="19"/>
      <c r="I1178" s="19"/>
      <c r="J1178" s="19"/>
      <c r="K1178" s="19"/>
      <c r="L1178" s="19"/>
      <c r="M1178" s="19"/>
      <c r="N1178" s="19"/>
      <c r="O1178" s="19"/>
      <c r="P1178" s="19"/>
      <c r="Q1178" s="19"/>
      <c r="R1178" s="19"/>
      <c r="S1178" s="19"/>
      <c r="T1178" s="19"/>
      <c r="U1178" s="19"/>
      <c r="V1178" s="19"/>
      <c r="W1178" s="19"/>
      <c r="X1178" s="19"/>
      <c r="Y1178" s="19"/>
      <c r="Z1178" s="19"/>
      <c r="AA1178" s="19"/>
      <c r="AB1178" s="19"/>
      <c r="AC1178" s="19"/>
      <c r="AD1178" s="19"/>
      <c r="AE1178" s="19"/>
      <c r="AF1178" s="19"/>
      <c r="AG1178" s="19"/>
      <c r="AH1178" s="19"/>
      <c r="AI1178" s="19"/>
      <c r="AJ1178" s="19"/>
      <c r="AK1178" s="19"/>
      <c r="AL1178" s="19"/>
      <c r="AM1178" s="107"/>
    </row>
    <row r="1179" spans="1:39" x14ac:dyDescent="0.2">
      <c r="A1179" s="19" t="s">
        <v>347</v>
      </c>
      <c r="B1179" s="79" t="s">
        <v>557</v>
      </c>
      <c r="C1179" s="80" t="s">
        <v>63</v>
      </c>
      <c r="D1179" s="268" t="s">
        <v>564</v>
      </c>
      <c r="E1179" s="27"/>
      <c r="F1179" s="174">
        <v>9.9999999999999995E-8</v>
      </c>
      <c r="G1179" s="174">
        <v>9.9999999999999995E-8</v>
      </c>
      <c r="H1179" s="174">
        <v>9.9999999999999995E-8</v>
      </c>
      <c r="I1179" s="174">
        <v>9.9999999999999995E-8</v>
      </c>
      <c r="J1179" s="174">
        <v>9.9999999999999995E-8</v>
      </c>
      <c r="K1179" s="174">
        <v>9.9999999999999995E-8</v>
      </c>
      <c r="L1179" s="174">
        <v>9.9999999999999995E-8</v>
      </c>
      <c r="M1179" s="174">
        <v>9.9999999999999995E-8</v>
      </c>
      <c r="N1179" s="174">
        <v>9.9999999999999995E-8</v>
      </c>
      <c r="O1179" s="174">
        <v>9.9999999999999995E-8</v>
      </c>
      <c r="P1179" s="174">
        <v>9.9999999999999995E-8</v>
      </c>
      <c r="Q1179" s="174">
        <v>9.9999999999999995E-8</v>
      </c>
      <c r="R1179" s="174">
        <v>9.9999999999999995E-8</v>
      </c>
      <c r="S1179" s="174">
        <v>9.9999999999999995E-8</v>
      </c>
      <c r="T1179" s="174">
        <v>9.9999999999999995E-8</v>
      </c>
      <c r="U1179" s="174">
        <v>9.9999999999999995E-8</v>
      </c>
      <c r="V1179" s="174">
        <v>9.9999999999999995E-8</v>
      </c>
      <c r="W1179" s="174">
        <v>9.9999999999999995E-8</v>
      </c>
      <c r="X1179" s="174">
        <v>9.9999999999999995E-8</v>
      </c>
      <c r="Y1179" s="174">
        <v>9.9999999999999995E-8</v>
      </c>
      <c r="Z1179" s="174">
        <v>9.9999999999999995E-8</v>
      </c>
      <c r="AA1179" s="174">
        <v>9.9999999999999995E-8</v>
      </c>
      <c r="AB1179" s="174">
        <v>9.9999999999999995E-8</v>
      </c>
      <c r="AC1179" s="174">
        <v>9.9999999999999995E-8</v>
      </c>
      <c r="AD1179" s="174">
        <v>9.9999999999999995E-8</v>
      </c>
      <c r="AE1179" s="174">
        <v>9.9999999999999995E-8</v>
      </c>
      <c r="AF1179" s="174">
        <v>9.9999999999999995E-8</v>
      </c>
      <c r="AG1179" s="174">
        <v>9.9999999999999995E-8</v>
      </c>
      <c r="AH1179" s="174">
        <v>9.9999999999999995E-8</v>
      </c>
      <c r="AI1179" s="174">
        <v>9.9999999999999995E-8</v>
      </c>
      <c r="AJ1179" s="174">
        <v>9.9999999999999995E-8</v>
      </c>
      <c r="AK1179" s="174">
        <v>9.9999999999999995E-8</v>
      </c>
      <c r="AL1179" s="174">
        <v>9.9999999999999995E-8</v>
      </c>
      <c r="AM1179" s="386">
        <f>AVERAGE(F1179:AL1179)</f>
        <v>9.9999999999999929E-8</v>
      </c>
    </row>
    <row r="1180" spans="1:39" x14ac:dyDescent="0.2">
      <c r="A1180" s="19"/>
      <c r="B1180" s="79" t="s">
        <v>559</v>
      </c>
      <c r="C1180" s="80" t="s">
        <v>63</v>
      </c>
      <c r="D1180" s="79" t="s">
        <v>564</v>
      </c>
      <c r="E1180" s="27"/>
      <c r="F1180" s="174">
        <v>100</v>
      </c>
      <c r="G1180" s="174">
        <v>100.00000000000001</v>
      </c>
      <c r="H1180" s="174">
        <v>99.999999999999986</v>
      </c>
      <c r="I1180" s="174">
        <v>100</v>
      </c>
      <c r="J1180" s="174">
        <v>100</v>
      </c>
      <c r="K1180" s="174">
        <v>100</v>
      </c>
      <c r="L1180" s="174">
        <v>100</v>
      </c>
      <c r="M1180" s="174">
        <v>100</v>
      </c>
      <c r="N1180" s="174">
        <v>100</v>
      </c>
      <c r="O1180" s="174">
        <v>100</v>
      </c>
      <c r="P1180" s="174">
        <v>100</v>
      </c>
      <c r="Q1180" s="174">
        <v>100</v>
      </c>
      <c r="R1180" s="174">
        <v>100</v>
      </c>
      <c r="S1180" s="174">
        <v>100</v>
      </c>
      <c r="T1180" s="174">
        <v>100</v>
      </c>
      <c r="U1180" s="174">
        <v>100</v>
      </c>
      <c r="V1180" s="174">
        <v>100</v>
      </c>
      <c r="W1180" s="174">
        <v>100</v>
      </c>
      <c r="X1180" s="174">
        <v>100</v>
      </c>
      <c r="Y1180" s="174">
        <v>100</v>
      </c>
      <c r="Z1180" s="174">
        <v>100</v>
      </c>
      <c r="AA1180" s="174">
        <v>100</v>
      </c>
      <c r="AB1180" s="174">
        <v>100</v>
      </c>
      <c r="AC1180" s="174">
        <v>100</v>
      </c>
      <c r="AD1180" s="174">
        <v>100</v>
      </c>
      <c r="AE1180" s="174">
        <v>100</v>
      </c>
      <c r="AF1180" s="174">
        <v>100</v>
      </c>
      <c r="AG1180" s="174">
        <v>100</v>
      </c>
      <c r="AH1180" s="174">
        <v>100</v>
      </c>
      <c r="AI1180" s="174">
        <v>100</v>
      </c>
      <c r="AJ1180" s="174">
        <v>100</v>
      </c>
      <c r="AK1180" s="174">
        <v>100</v>
      </c>
      <c r="AL1180" s="174">
        <v>100</v>
      </c>
      <c r="AM1180" s="386">
        <f t="shared" ref="AM1180:AM1191" si="243">AVERAGE(F1180:AL1180)</f>
        <v>100</v>
      </c>
    </row>
    <row r="1181" spans="1:39" x14ac:dyDescent="0.2">
      <c r="A1181" s="19"/>
      <c r="B1181" s="79" t="s">
        <v>560</v>
      </c>
      <c r="C1181" s="80" t="s">
        <v>63</v>
      </c>
      <c r="D1181" s="79" t="s">
        <v>564</v>
      </c>
      <c r="E1181" s="27"/>
      <c r="F1181" s="174">
        <v>10</v>
      </c>
      <c r="G1181" s="174">
        <v>10</v>
      </c>
      <c r="H1181" s="174">
        <v>9.9999999999999982</v>
      </c>
      <c r="I1181" s="174">
        <v>10.000000000000002</v>
      </c>
      <c r="J1181" s="174">
        <v>10</v>
      </c>
      <c r="K1181" s="174">
        <v>10</v>
      </c>
      <c r="L1181" s="174">
        <v>10</v>
      </c>
      <c r="M1181" s="174">
        <v>10</v>
      </c>
      <c r="N1181" s="174">
        <v>10</v>
      </c>
      <c r="O1181" s="174">
        <v>10.000000000000002</v>
      </c>
      <c r="P1181" s="174">
        <v>10.000000000000002</v>
      </c>
      <c r="Q1181" s="174">
        <v>10</v>
      </c>
      <c r="R1181" s="174">
        <v>10</v>
      </c>
      <c r="S1181" s="174">
        <v>10.000000000000002</v>
      </c>
      <c r="T1181" s="174">
        <v>9.9999999999999982</v>
      </c>
      <c r="U1181" s="174">
        <v>10</v>
      </c>
      <c r="V1181" s="174">
        <v>10</v>
      </c>
      <c r="W1181" s="174">
        <v>10.000000000000002</v>
      </c>
      <c r="X1181" s="174">
        <v>9.9999999999999982</v>
      </c>
      <c r="Y1181" s="174">
        <v>9.9999999999999982</v>
      </c>
      <c r="Z1181" s="174">
        <v>10.000000000000002</v>
      </c>
      <c r="AA1181" s="174">
        <v>10</v>
      </c>
      <c r="AB1181" s="174">
        <v>10</v>
      </c>
      <c r="AC1181" s="174">
        <v>23.650111394217326</v>
      </c>
      <c r="AD1181" s="174">
        <v>9.9999999999999982</v>
      </c>
      <c r="AE1181" s="174">
        <v>9.9999999999999982</v>
      </c>
      <c r="AF1181" s="174">
        <v>10</v>
      </c>
      <c r="AG1181" s="174">
        <v>10.000000000000002</v>
      </c>
      <c r="AH1181" s="174">
        <v>10</v>
      </c>
      <c r="AI1181" s="174">
        <v>10</v>
      </c>
      <c r="AJ1181" s="174">
        <v>10.000000000000002</v>
      </c>
      <c r="AK1181" s="174">
        <v>10.000000000000002</v>
      </c>
      <c r="AL1181" s="174">
        <v>9.9999999999999982</v>
      </c>
      <c r="AM1181" s="386">
        <f t="shared" si="243"/>
        <v>10.413639739218707</v>
      </c>
    </row>
    <row r="1182" spans="1:39" x14ac:dyDescent="0.2">
      <c r="A1182" s="19"/>
      <c r="B1182" s="79" t="s">
        <v>561</v>
      </c>
      <c r="C1182" s="80" t="s">
        <v>63</v>
      </c>
      <c r="D1182" s="79" t="s">
        <v>564</v>
      </c>
      <c r="E1182" s="27"/>
      <c r="F1182" s="174">
        <v>9.9999999999999995E-8</v>
      </c>
      <c r="G1182" s="174">
        <v>9.9999999999999995E-8</v>
      </c>
      <c r="H1182" s="174">
        <v>9.9999999999999995E-8</v>
      </c>
      <c r="I1182" s="174">
        <v>9.9999999999999995E-8</v>
      </c>
      <c r="J1182" s="174">
        <v>9.9999999999999995E-8</v>
      </c>
      <c r="K1182" s="174">
        <v>9.9999999999999995E-8</v>
      </c>
      <c r="L1182" s="174">
        <v>9.9999999999999995E-8</v>
      </c>
      <c r="M1182" s="174">
        <v>9.9999999999999995E-8</v>
      </c>
      <c r="N1182" s="174">
        <v>9.9999999999999995E-8</v>
      </c>
      <c r="O1182" s="174">
        <v>9.9999999999999995E-8</v>
      </c>
      <c r="P1182" s="174">
        <v>9.9999999999999995E-8</v>
      </c>
      <c r="Q1182" s="174">
        <v>9.9999999999999995E-8</v>
      </c>
      <c r="R1182" s="174">
        <v>9.9999999999999995E-8</v>
      </c>
      <c r="S1182" s="174">
        <v>9.9999999999999995E-8</v>
      </c>
      <c r="T1182" s="174">
        <v>9.9999999999999995E-8</v>
      </c>
      <c r="U1182" s="174">
        <v>9.9999999999999995E-8</v>
      </c>
      <c r="V1182" s="174">
        <v>9.9999999999999995E-8</v>
      </c>
      <c r="W1182" s="174">
        <v>9.9999999999999995E-8</v>
      </c>
      <c r="X1182" s="174">
        <v>9.9999999999999995E-8</v>
      </c>
      <c r="Y1182" s="174">
        <v>9.9999999999999995E-8</v>
      </c>
      <c r="Z1182" s="174">
        <v>9.9999999999999995E-8</v>
      </c>
      <c r="AA1182" s="174">
        <v>9.9999999999999995E-8</v>
      </c>
      <c r="AB1182" s="174">
        <v>9.9999999999999995E-8</v>
      </c>
      <c r="AC1182" s="174">
        <v>9.9999999999999995E-8</v>
      </c>
      <c r="AD1182" s="174">
        <v>9.9999999999999995E-8</v>
      </c>
      <c r="AE1182" s="174">
        <v>9.9999999999999995E-8</v>
      </c>
      <c r="AF1182" s="174">
        <v>9.9999999999999995E-8</v>
      </c>
      <c r="AG1182" s="174">
        <v>9.9999999999999995E-8</v>
      </c>
      <c r="AH1182" s="174">
        <v>9.9999999999999995E-8</v>
      </c>
      <c r="AI1182" s="174">
        <v>9.9999999999999995E-8</v>
      </c>
      <c r="AJ1182" s="174">
        <v>9.9999999999999995E-8</v>
      </c>
      <c r="AK1182" s="174">
        <v>9.9999999999999995E-8</v>
      </c>
      <c r="AL1182" s="174">
        <v>9.9999999999999995E-8</v>
      </c>
      <c r="AM1182" s="386">
        <f t="shared" si="243"/>
        <v>9.9999999999999929E-8</v>
      </c>
    </row>
    <row r="1183" spans="1:39" x14ac:dyDescent="0.2">
      <c r="A1183" s="19"/>
      <c r="B1183" s="79" t="s">
        <v>562</v>
      </c>
      <c r="C1183" s="80" t="s">
        <v>63</v>
      </c>
      <c r="D1183" s="79" t="s">
        <v>564</v>
      </c>
      <c r="E1183" s="27"/>
      <c r="F1183" s="174">
        <v>89.999999999999986</v>
      </c>
      <c r="G1183" s="174">
        <v>90</v>
      </c>
      <c r="H1183" s="174">
        <v>90</v>
      </c>
      <c r="I1183" s="174">
        <v>90</v>
      </c>
      <c r="J1183" s="174">
        <v>90</v>
      </c>
      <c r="K1183" s="174">
        <v>90</v>
      </c>
      <c r="L1183" s="174">
        <v>90</v>
      </c>
      <c r="M1183" s="174">
        <v>90.000000000000014</v>
      </c>
      <c r="N1183" s="174">
        <v>90</v>
      </c>
      <c r="O1183" s="174">
        <v>90</v>
      </c>
      <c r="P1183" s="174">
        <v>90.000000000000014</v>
      </c>
      <c r="Q1183" s="174">
        <v>89.999999999999986</v>
      </c>
      <c r="R1183" s="174">
        <v>90</v>
      </c>
      <c r="S1183" s="174">
        <v>90</v>
      </c>
      <c r="T1183" s="174">
        <v>89.999999999999986</v>
      </c>
      <c r="U1183" s="174">
        <v>90</v>
      </c>
      <c r="V1183" s="174">
        <v>90</v>
      </c>
      <c r="W1183" s="174">
        <v>90</v>
      </c>
      <c r="X1183" s="174">
        <v>90</v>
      </c>
      <c r="Y1183" s="174">
        <v>90</v>
      </c>
      <c r="Z1183" s="174">
        <v>90.000000000000014</v>
      </c>
      <c r="AA1183" s="174">
        <v>90</v>
      </c>
      <c r="AB1183" s="174">
        <v>90</v>
      </c>
      <c r="AC1183" s="174">
        <v>76.349888605782681</v>
      </c>
      <c r="AD1183" s="174">
        <v>90</v>
      </c>
      <c r="AE1183" s="174">
        <v>90</v>
      </c>
      <c r="AF1183" s="174">
        <v>90</v>
      </c>
      <c r="AG1183" s="174">
        <v>89.999999999999986</v>
      </c>
      <c r="AH1183" s="174">
        <v>90</v>
      </c>
      <c r="AI1183" s="174">
        <v>90</v>
      </c>
      <c r="AJ1183" s="174">
        <v>90.000000000000014</v>
      </c>
      <c r="AK1183" s="174">
        <v>90.000000000000014</v>
      </c>
      <c r="AL1183" s="174">
        <v>90</v>
      </c>
      <c r="AM1183" s="386">
        <f t="shared" si="243"/>
        <v>89.586360260781291</v>
      </c>
    </row>
    <row r="1184" spans="1:39" x14ac:dyDescent="0.2">
      <c r="A1184" s="19"/>
      <c r="B1184" s="19" t="s">
        <v>563</v>
      </c>
      <c r="C1184" s="80" t="s">
        <v>63</v>
      </c>
      <c r="D1184" s="19" t="s">
        <v>564</v>
      </c>
      <c r="E1184" s="27"/>
      <c r="F1184" s="31">
        <v>35</v>
      </c>
      <c r="G1184" s="31">
        <v>35</v>
      </c>
      <c r="H1184" s="31">
        <v>35</v>
      </c>
      <c r="I1184" s="31">
        <v>35</v>
      </c>
      <c r="J1184" s="31">
        <v>35</v>
      </c>
      <c r="K1184" s="31">
        <v>35</v>
      </c>
      <c r="L1184" s="31">
        <v>35</v>
      </c>
      <c r="M1184" s="31">
        <v>35</v>
      </c>
      <c r="N1184" s="31">
        <v>35</v>
      </c>
      <c r="O1184" s="31">
        <v>35</v>
      </c>
      <c r="P1184" s="31">
        <v>35</v>
      </c>
      <c r="Q1184" s="31">
        <v>35</v>
      </c>
      <c r="R1184" s="31">
        <v>35</v>
      </c>
      <c r="S1184" s="31">
        <v>35</v>
      </c>
      <c r="T1184" s="31">
        <v>35</v>
      </c>
      <c r="U1184" s="31">
        <v>35</v>
      </c>
      <c r="V1184" s="31">
        <v>35</v>
      </c>
      <c r="W1184" s="31">
        <v>35</v>
      </c>
      <c r="X1184" s="31">
        <v>35</v>
      </c>
      <c r="Y1184" s="31">
        <v>35</v>
      </c>
      <c r="Z1184" s="31">
        <v>35</v>
      </c>
      <c r="AA1184" s="31">
        <v>35</v>
      </c>
      <c r="AB1184" s="31">
        <v>35</v>
      </c>
      <c r="AC1184" s="31">
        <v>35</v>
      </c>
      <c r="AD1184" s="31">
        <v>35</v>
      </c>
      <c r="AE1184" s="31">
        <v>35</v>
      </c>
      <c r="AF1184" s="31">
        <v>35</v>
      </c>
      <c r="AG1184" s="31">
        <v>35</v>
      </c>
      <c r="AH1184" s="31">
        <v>35</v>
      </c>
      <c r="AI1184" s="31">
        <v>35</v>
      </c>
      <c r="AJ1184" s="31">
        <v>35</v>
      </c>
      <c r="AK1184" s="31">
        <v>35</v>
      </c>
      <c r="AL1184" s="31">
        <v>35</v>
      </c>
      <c r="AM1184" s="386">
        <f t="shared" si="243"/>
        <v>35</v>
      </c>
    </row>
    <row r="1185" spans="1:39" x14ac:dyDescent="0.2">
      <c r="A1185" s="19"/>
      <c r="B1185" s="19" t="s">
        <v>565</v>
      </c>
      <c r="C1185" s="80" t="s">
        <v>63</v>
      </c>
      <c r="D1185" s="19" t="s">
        <v>564</v>
      </c>
      <c r="E1185" s="27"/>
      <c r="F1185" s="31">
        <v>35</v>
      </c>
      <c r="G1185" s="31">
        <v>35</v>
      </c>
      <c r="H1185" s="31">
        <v>35</v>
      </c>
      <c r="I1185" s="31">
        <v>35</v>
      </c>
      <c r="J1185" s="31">
        <v>35</v>
      </c>
      <c r="K1185" s="31">
        <v>35</v>
      </c>
      <c r="L1185" s="31">
        <v>35</v>
      </c>
      <c r="M1185" s="31">
        <v>35</v>
      </c>
      <c r="N1185" s="31">
        <v>35</v>
      </c>
      <c r="O1185" s="31">
        <v>35</v>
      </c>
      <c r="P1185" s="31">
        <v>35</v>
      </c>
      <c r="Q1185" s="31">
        <v>35</v>
      </c>
      <c r="R1185" s="31">
        <v>35</v>
      </c>
      <c r="S1185" s="31">
        <v>35</v>
      </c>
      <c r="T1185" s="31">
        <v>35</v>
      </c>
      <c r="U1185" s="31">
        <v>35</v>
      </c>
      <c r="V1185" s="31">
        <v>35</v>
      </c>
      <c r="W1185" s="31">
        <v>35</v>
      </c>
      <c r="X1185" s="31">
        <v>35</v>
      </c>
      <c r="Y1185" s="31">
        <v>35</v>
      </c>
      <c r="Z1185" s="31">
        <v>35</v>
      </c>
      <c r="AA1185" s="31">
        <v>35</v>
      </c>
      <c r="AB1185" s="31">
        <v>35</v>
      </c>
      <c r="AC1185" s="31">
        <v>35</v>
      </c>
      <c r="AD1185" s="31">
        <v>35</v>
      </c>
      <c r="AE1185" s="31">
        <v>35</v>
      </c>
      <c r="AF1185" s="31">
        <v>35</v>
      </c>
      <c r="AG1185" s="31">
        <v>35</v>
      </c>
      <c r="AH1185" s="31">
        <v>35</v>
      </c>
      <c r="AI1185" s="31">
        <v>35</v>
      </c>
      <c r="AJ1185" s="31">
        <v>35</v>
      </c>
      <c r="AK1185" s="31">
        <v>35</v>
      </c>
      <c r="AL1185" s="31">
        <v>35</v>
      </c>
      <c r="AM1185" s="386">
        <f t="shared" si="243"/>
        <v>35</v>
      </c>
    </row>
    <row r="1186" spans="1:39" x14ac:dyDescent="0.2">
      <c r="A1186" s="19"/>
      <c r="B1186" s="19" t="s">
        <v>566</v>
      </c>
      <c r="C1186" s="80" t="s">
        <v>63</v>
      </c>
      <c r="D1186" s="19" t="s">
        <v>564</v>
      </c>
      <c r="E1186" s="27"/>
      <c r="F1186" s="31">
        <v>35</v>
      </c>
      <c r="G1186" s="31">
        <v>35</v>
      </c>
      <c r="H1186" s="31">
        <v>35</v>
      </c>
      <c r="I1186" s="31">
        <v>35</v>
      </c>
      <c r="J1186" s="31">
        <v>35</v>
      </c>
      <c r="K1186" s="31">
        <v>35</v>
      </c>
      <c r="L1186" s="31">
        <v>35</v>
      </c>
      <c r="M1186" s="31">
        <v>35</v>
      </c>
      <c r="N1186" s="31">
        <v>35</v>
      </c>
      <c r="O1186" s="31">
        <v>35</v>
      </c>
      <c r="P1186" s="31">
        <v>35</v>
      </c>
      <c r="Q1186" s="31">
        <v>35</v>
      </c>
      <c r="R1186" s="31">
        <v>35</v>
      </c>
      <c r="S1186" s="31">
        <v>35</v>
      </c>
      <c r="T1186" s="31">
        <v>35</v>
      </c>
      <c r="U1186" s="31">
        <v>35</v>
      </c>
      <c r="V1186" s="31">
        <v>35</v>
      </c>
      <c r="W1186" s="31">
        <v>35</v>
      </c>
      <c r="X1186" s="31">
        <v>35</v>
      </c>
      <c r="Y1186" s="31">
        <v>35</v>
      </c>
      <c r="Z1186" s="31">
        <v>35</v>
      </c>
      <c r="AA1186" s="31">
        <v>35</v>
      </c>
      <c r="AB1186" s="31">
        <v>35</v>
      </c>
      <c r="AC1186" s="31">
        <v>35</v>
      </c>
      <c r="AD1186" s="31">
        <v>35</v>
      </c>
      <c r="AE1186" s="31">
        <v>35</v>
      </c>
      <c r="AF1186" s="31">
        <v>35</v>
      </c>
      <c r="AG1186" s="31">
        <v>35</v>
      </c>
      <c r="AH1186" s="31">
        <v>35</v>
      </c>
      <c r="AI1186" s="31">
        <v>35</v>
      </c>
      <c r="AJ1186" s="31">
        <v>35</v>
      </c>
      <c r="AK1186" s="31">
        <v>35</v>
      </c>
      <c r="AL1186" s="31">
        <v>35</v>
      </c>
      <c r="AM1186" s="386">
        <f t="shared" si="243"/>
        <v>35</v>
      </c>
    </row>
    <row r="1187" spans="1:39" x14ac:dyDescent="0.2">
      <c r="A1187" s="19"/>
      <c r="B1187" s="19" t="s">
        <v>567</v>
      </c>
      <c r="C1187" s="80" t="s">
        <v>63</v>
      </c>
      <c r="D1187" s="19" t="s">
        <v>564</v>
      </c>
      <c r="E1187" s="27"/>
      <c r="F1187" s="31">
        <v>60</v>
      </c>
      <c r="G1187" s="31">
        <v>60</v>
      </c>
      <c r="H1187" s="31">
        <v>60</v>
      </c>
      <c r="I1187" s="31">
        <v>60</v>
      </c>
      <c r="J1187" s="31">
        <v>60</v>
      </c>
      <c r="K1187" s="31">
        <v>60</v>
      </c>
      <c r="L1187" s="31">
        <v>60</v>
      </c>
      <c r="M1187" s="31">
        <v>60</v>
      </c>
      <c r="N1187" s="31">
        <v>60</v>
      </c>
      <c r="O1187" s="31">
        <v>60</v>
      </c>
      <c r="P1187" s="31">
        <v>60</v>
      </c>
      <c r="Q1187" s="31">
        <v>60</v>
      </c>
      <c r="R1187" s="31">
        <v>60</v>
      </c>
      <c r="S1187" s="31">
        <v>60</v>
      </c>
      <c r="T1187" s="31">
        <v>60</v>
      </c>
      <c r="U1187" s="31">
        <v>60</v>
      </c>
      <c r="V1187" s="31">
        <v>60</v>
      </c>
      <c r="W1187" s="31">
        <v>60</v>
      </c>
      <c r="X1187" s="31">
        <v>60</v>
      </c>
      <c r="Y1187" s="31">
        <v>60</v>
      </c>
      <c r="Z1187" s="31">
        <v>60</v>
      </c>
      <c r="AA1187" s="31">
        <v>60</v>
      </c>
      <c r="AB1187" s="31">
        <v>60</v>
      </c>
      <c r="AC1187" s="31">
        <v>60</v>
      </c>
      <c r="AD1187" s="31">
        <v>60</v>
      </c>
      <c r="AE1187" s="31">
        <v>60</v>
      </c>
      <c r="AF1187" s="31">
        <v>60</v>
      </c>
      <c r="AG1187" s="31">
        <v>60</v>
      </c>
      <c r="AH1187" s="31">
        <v>60</v>
      </c>
      <c r="AI1187" s="31">
        <v>60</v>
      </c>
      <c r="AJ1187" s="31">
        <v>60</v>
      </c>
      <c r="AK1187" s="31">
        <v>60</v>
      </c>
      <c r="AL1187" s="31">
        <v>60</v>
      </c>
      <c r="AM1187" s="386">
        <f t="shared" si="243"/>
        <v>60</v>
      </c>
    </row>
    <row r="1188" spans="1:39" x14ac:dyDescent="0.2">
      <c r="A1188" s="19"/>
      <c r="B1188" s="19" t="s">
        <v>568</v>
      </c>
      <c r="C1188" s="80" t="s">
        <v>63</v>
      </c>
      <c r="D1188" s="19" t="s">
        <v>564</v>
      </c>
      <c r="E1188" s="27"/>
      <c r="F1188" s="31">
        <v>4</v>
      </c>
      <c r="G1188" s="31">
        <v>4</v>
      </c>
      <c r="H1188" s="31">
        <v>4</v>
      </c>
      <c r="I1188" s="31">
        <v>4</v>
      </c>
      <c r="J1188" s="31">
        <v>4</v>
      </c>
      <c r="K1188" s="31">
        <v>4</v>
      </c>
      <c r="L1188" s="31">
        <v>4</v>
      </c>
      <c r="M1188" s="31">
        <v>4</v>
      </c>
      <c r="N1188" s="31">
        <v>4</v>
      </c>
      <c r="O1188" s="31">
        <v>4</v>
      </c>
      <c r="P1188" s="31">
        <v>4</v>
      </c>
      <c r="Q1188" s="31">
        <v>4</v>
      </c>
      <c r="R1188" s="31">
        <v>4</v>
      </c>
      <c r="S1188" s="31">
        <v>4</v>
      </c>
      <c r="T1188" s="31">
        <v>4</v>
      </c>
      <c r="U1188" s="31">
        <v>4</v>
      </c>
      <c r="V1188" s="31">
        <v>4</v>
      </c>
      <c r="W1188" s="31">
        <v>4</v>
      </c>
      <c r="X1188" s="31">
        <v>4</v>
      </c>
      <c r="Y1188" s="31">
        <v>4</v>
      </c>
      <c r="Z1188" s="31">
        <v>4</v>
      </c>
      <c r="AA1188" s="31">
        <v>4</v>
      </c>
      <c r="AB1188" s="31">
        <v>4</v>
      </c>
      <c r="AC1188" s="31">
        <v>4</v>
      </c>
      <c r="AD1188" s="31">
        <v>4</v>
      </c>
      <c r="AE1188" s="31">
        <v>4</v>
      </c>
      <c r="AF1188" s="31">
        <v>4</v>
      </c>
      <c r="AG1188" s="31">
        <v>4</v>
      </c>
      <c r="AH1188" s="31">
        <v>4</v>
      </c>
      <c r="AI1188" s="31">
        <v>4</v>
      </c>
      <c r="AJ1188" s="31">
        <v>4</v>
      </c>
      <c r="AK1188" s="31">
        <v>4</v>
      </c>
      <c r="AL1188" s="31">
        <v>4</v>
      </c>
      <c r="AM1188" s="386">
        <f t="shared" si="243"/>
        <v>4</v>
      </c>
    </row>
    <row r="1189" spans="1:39" x14ac:dyDescent="0.2">
      <c r="A1189" s="19"/>
      <c r="B1189" s="19" t="s">
        <v>569</v>
      </c>
      <c r="C1189" s="80" t="s">
        <v>63</v>
      </c>
      <c r="D1189" s="19" t="s">
        <v>564</v>
      </c>
      <c r="E1189" s="27"/>
      <c r="F1189" s="31">
        <v>4</v>
      </c>
      <c r="G1189" s="31">
        <v>4</v>
      </c>
      <c r="H1189" s="31">
        <v>4</v>
      </c>
      <c r="I1189" s="31">
        <v>4</v>
      </c>
      <c r="J1189" s="31">
        <v>4</v>
      </c>
      <c r="K1189" s="31">
        <v>4</v>
      </c>
      <c r="L1189" s="31">
        <v>4</v>
      </c>
      <c r="M1189" s="31">
        <v>4</v>
      </c>
      <c r="N1189" s="31">
        <v>4</v>
      </c>
      <c r="O1189" s="31">
        <v>4</v>
      </c>
      <c r="P1189" s="31">
        <v>4</v>
      </c>
      <c r="Q1189" s="31">
        <v>4</v>
      </c>
      <c r="R1189" s="31">
        <v>4</v>
      </c>
      <c r="S1189" s="31">
        <v>4</v>
      </c>
      <c r="T1189" s="31">
        <v>4</v>
      </c>
      <c r="U1189" s="31">
        <v>4</v>
      </c>
      <c r="V1189" s="31">
        <v>4</v>
      </c>
      <c r="W1189" s="31">
        <v>4</v>
      </c>
      <c r="X1189" s="31">
        <v>4</v>
      </c>
      <c r="Y1189" s="31">
        <v>4</v>
      </c>
      <c r="Z1189" s="31">
        <v>4</v>
      </c>
      <c r="AA1189" s="31">
        <v>4</v>
      </c>
      <c r="AB1189" s="31">
        <v>4</v>
      </c>
      <c r="AC1189" s="31">
        <v>4</v>
      </c>
      <c r="AD1189" s="31">
        <v>4</v>
      </c>
      <c r="AE1189" s="31">
        <v>4</v>
      </c>
      <c r="AF1189" s="31">
        <v>4</v>
      </c>
      <c r="AG1189" s="31">
        <v>4</v>
      </c>
      <c r="AH1189" s="31">
        <v>4</v>
      </c>
      <c r="AI1189" s="31">
        <v>4</v>
      </c>
      <c r="AJ1189" s="31">
        <v>4</v>
      </c>
      <c r="AK1189" s="31">
        <v>4</v>
      </c>
      <c r="AL1189" s="31">
        <v>4</v>
      </c>
      <c r="AM1189" s="386">
        <f t="shared" si="243"/>
        <v>4</v>
      </c>
    </row>
    <row r="1190" spans="1:39" x14ac:dyDescent="0.2">
      <c r="A1190" s="19"/>
      <c r="B1190" s="19" t="s">
        <v>570</v>
      </c>
      <c r="C1190" s="80" t="s">
        <v>63</v>
      </c>
      <c r="D1190" s="19" t="s">
        <v>564</v>
      </c>
      <c r="E1190" s="27"/>
      <c r="F1190" s="31">
        <v>3</v>
      </c>
      <c r="G1190" s="31">
        <v>3</v>
      </c>
      <c r="H1190" s="31">
        <v>3</v>
      </c>
      <c r="I1190" s="31">
        <v>3</v>
      </c>
      <c r="J1190" s="31">
        <v>3</v>
      </c>
      <c r="K1190" s="31">
        <v>3</v>
      </c>
      <c r="L1190" s="31">
        <v>3</v>
      </c>
      <c r="M1190" s="31">
        <v>3</v>
      </c>
      <c r="N1190" s="31">
        <v>3</v>
      </c>
      <c r="O1190" s="31">
        <v>3</v>
      </c>
      <c r="P1190" s="31">
        <v>3</v>
      </c>
      <c r="Q1190" s="31">
        <v>3</v>
      </c>
      <c r="R1190" s="31">
        <v>3</v>
      </c>
      <c r="S1190" s="31">
        <v>3</v>
      </c>
      <c r="T1190" s="31">
        <v>3</v>
      </c>
      <c r="U1190" s="31">
        <v>3</v>
      </c>
      <c r="V1190" s="31">
        <v>3</v>
      </c>
      <c r="W1190" s="31">
        <v>3</v>
      </c>
      <c r="X1190" s="31">
        <v>3</v>
      </c>
      <c r="Y1190" s="31">
        <v>3</v>
      </c>
      <c r="Z1190" s="31">
        <v>3</v>
      </c>
      <c r="AA1190" s="31">
        <v>3</v>
      </c>
      <c r="AB1190" s="31">
        <v>3</v>
      </c>
      <c r="AC1190" s="31">
        <v>3</v>
      </c>
      <c r="AD1190" s="31">
        <v>3</v>
      </c>
      <c r="AE1190" s="31">
        <v>3</v>
      </c>
      <c r="AF1190" s="31">
        <v>3</v>
      </c>
      <c r="AG1190" s="31">
        <v>3</v>
      </c>
      <c r="AH1190" s="31">
        <v>3</v>
      </c>
      <c r="AI1190" s="31">
        <v>3</v>
      </c>
      <c r="AJ1190" s="31">
        <v>3</v>
      </c>
      <c r="AK1190" s="31">
        <v>3</v>
      </c>
      <c r="AL1190" s="31">
        <v>3</v>
      </c>
      <c r="AM1190" s="386">
        <f t="shared" si="243"/>
        <v>3</v>
      </c>
    </row>
    <row r="1191" spans="1:39" x14ac:dyDescent="0.2">
      <c r="A1191" s="19"/>
      <c r="B1191" s="19" t="s">
        <v>571</v>
      </c>
      <c r="C1191" s="80" t="s">
        <v>63</v>
      </c>
      <c r="D1191" s="19" t="s">
        <v>564</v>
      </c>
      <c r="E1191" s="27"/>
      <c r="F1191" s="31">
        <v>2</v>
      </c>
      <c r="G1191" s="31">
        <v>2</v>
      </c>
      <c r="H1191" s="31">
        <v>2</v>
      </c>
      <c r="I1191" s="31">
        <v>2</v>
      </c>
      <c r="J1191" s="31">
        <v>2</v>
      </c>
      <c r="K1191" s="31">
        <v>2</v>
      </c>
      <c r="L1191" s="31">
        <v>2</v>
      </c>
      <c r="M1191" s="31">
        <v>2</v>
      </c>
      <c r="N1191" s="31">
        <v>2</v>
      </c>
      <c r="O1191" s="31">
        <v>2</v>
      </c>
      <c r="P1191" s="31">
        <v>2</v>
      </c>
      <c r="Q1191" s="31">
        <v>2</v>
      </c>
      <c r="R1191" s="31">
        <v>2</v>
      </c>
      <c r="S1191" s="31">
        <v>2</v>
      </c>
      <c r="T1191" s="31">
        <v>2</v>
      </c>
      <c r="U1191" s="31">
        <v>2</v>
      </c>
      <c r="V1191" s="31">
        <v>2</v>
      </c>
      <c r="W1191" s="31">
        <v>2</v>
      </c>
      <c r="X1191" s="31">
        <v>2</v>
      </c>
      <c r="Y1191" s="31">
        <v>2</v>
      </c>
      <c r="Z1191" s="31">
        <v>2</v>
      </c>
      <c r="AA1191" s="31">
        <v>2</v>
      </c>
      <c r="AB1191" s="31">
        <v>2</v>
      </c>
      <c r="AC1191" s="31">
        <v>2</v>
      </c>
      <c r="AD1191" s="31">
        <v>2</v>
      </c>
      <c r="AE1191" s="31">
        <v>2</v>
      </c>
      <c r="AF1191" s="31">
        <v>2</v>
      </c>
      <c r="AG1191" s="31">
        <v>2</v>
      </c>
      <c r="AH1191" s="31">
        <v>2</v>
      </c>
      <c r="AI1191" s="31">
        <v>2</v>
      </c>
      <c r="AJ1191" s="31">
        <v>2</v>
      </c>
      <c r="AK1191" s="31">
        <v>2</v>
      </c>
      <c r="AL1191" s="31">
        <v>2</v>
      </c>
      <c r="AM1191" s="386">
        <f t="shared" si="243"/>
        <v>2</v>
      </c>
    </row>
    <row r="1192" spans="1:39" x14ac:dyDescent="0.2">
      <c r="A1192" s="19"/>
      <c r="B1192" s="19"/>
      <c r="C1192" s="80"/>
      <c r="D1192" s="87"/>
      <c r="E1192" s="27"/>
      <c r="F1192" s="31"/>
      <c r="G1192" s="31"/>
      <c r="H1192" s="31"/>
      <c r="I1192" s="31"/>
      <c r="J1192" s="31"/>
      <c r="K1192" s="31"/>
      <c r="L1192" s="31"/>
      <c r="M1192" s="31"/>
      <c r="N1192" s="31"/>
      <c r="O1192" s="31"/>
      <c r="P1192" s="31"/>
      <c r="Q1192" s="31"/>
      <c r="R1192" s="31"/>
      <c r="S1192" s="31"/>
      <c r="T1192" s="31"/>
      <c r="U1192" s="31"/>
      <c r="V1192" s="31"/>
      <c r="W1192" s="31"/>
      <c r="X1192" s="31"/>
      <c r="Y1192" s="31"/>
      <c r="Z1192" s="31"/>
      <c r="AA1192" s="31"/>
      <c r="AB1192" s="31"/>
      <c r="AC1192" s="31"/>
      <c r="AD1192" s="31"/>
      <c r="AE1192" s="31"/>
      <c r="AF1192" s="31"/>
      <c r="AG1192" s="31"/>
      <c r="AH1192" s="31"/>
      <c r="AI1192" s="31"/>
      <c r="AJ1192" s="31"/>
      <c r="AK1192" s="31"/>
      <c r="AL1192" s="31"/>
      <c r="AM1192" s="107"/>
    </row>
    <row r="1193" spans="1:39" x14ac:dyDescent="0.2">
      <c r="A1193" s="19" t="s">
        <v>348</v>
      </c>
      <c r="B1193" s="79" t="s">
        <v>557</v>
      </c>
      <c r="C1193" s="80" t="s">
        <v>63</v>
      </c>
      <c r="D1193" s="88" t="s">
        <v>398</v>
      </c>
      <c r="E1193" s="27"/>
      <c r="F1193" s="274">
        <v>49.086674686787582</v>
      </c>
      <c r="G1193" s="274">
        <v>50.362230130185218</v>
      </c>
      <c r="H1193" s="274">
        <v>50.521962803189275</v>
      </c>
      <c r="I1193" s="274">
        <v>46.635989121254873</v>
      </c>
      <c r="J1193" s="274">
        <v>59.464449574023639</v>
      </c>
      <c r="K1193" s="274">
        <v>50.243768457105652</v>
      </c>
      <c r="L1193" s="274">
        <v>58.356626464401451</v>
      </c>
      <c r="M1193" s="274">
        <v>43.433268353255215</v>
      </c>
      <c r="N1193" s="274">
        <v>48.448482872185316</v>
      </c>
      <c r="O1193" s="274">
        <v>52.661089154278521</v>
      </c>
      <c r="P1193" s="274">
        <v>47.410349366624864</v>
      </c>
      <c r="Q1193" s="274">
        <v>24.124545924072152</v>
      </c>
      <c r="R1193" s="274">
        <v>56.751173942921945</v>
      </c>
      <c r="S1193" s="274">
        <v>51.832741232399783</v>
      </c>
      <c r="T1193" s="274">
        <v>53.225920724312708</v>
      </c>
      <c r="U1193" s="274">
        <v>53.539179083701953</v>
      </c>
      <c r="V1193" s="274">
        <v>56.80747656420079</v>
      </c>
      <c r="W1193" s="274">
        <v>41.728347363552871</v>
      </c>
      <c r="X1193" s="274">
        <v>47.367581241360362</v>
      </c>
      <c r="Y1193" s="274">
        <v>50.946265695316718</v>
      </c>
      <c r="Z1193" s="274">
        <v>42.350560210830224</v>
      </c>
      <c r="AA1193" s="274">
        <v>52.21079536990279</v>
      </c>
      <c r="AB1193" s="274">
        <v>49.420833747446444</v>
      </c>
      <c r="AC1193" s="274">
        <v>47.625260940970847</v>
      </c>
      <c r="AD1193" s="274">
        <v>46.281337570184689</v>
      </c>
      <c r="AE1193" s="274">
        <v>47.533377874324806</v>
      </c>
      <c r="AF1193" s="274">
        <v>45.855288720846801</v>
      </c>
      <c r="AG1193" s="274">
        <v>47.604095022897603</v>
      </c>
      <c r="AH1193" s="274">
        <v>54.601237968512997</v>
      </c>
      <c r="AI1193" s="274">
        <v>50.346056174630888</v>
      </c>
      <c r="AJ1193" s="274">
        <v>41.353001576839254</v>
      </c>
      <c r="AK1193" s="274">
        <v>59.87641318153868</v>
      </c>
      <c r="AL1193" s="274">
        <v>58.262483121615354</v>
      </c>
      <c r="AM1193" s="386">
        <f>AVERAGE(F1193:AL1193)</f>
        <v>49.583904976838546</v>
      </c>
    </row>
    <row r="1194" spans="1:39" x14ac:dyDescent="0.2">
      <c r="A1194" s="19"/>
      <c r="B1194" s="79" t="s">
        <v>559</v>
      </c>
      <c r="C1194" s="80" t="s">
        <v>63</v>
      </c>
      <c r="D1194" s="88" t="s">
        <v>398</v>
      </c>
      <c r="E1194" s="27"/>
      <c r="F1194" s="274">
        <v>50.913325313212418</v>
      </c>
      <c r="G1194" s="274">
        <v>49.637769869814782</v>
      </c>
      <c r="H1194" s="274">
        <v>49.478037196810725</v>
      </c>
      <c r="I1194" s="274">
        <v>53.364010878745127</v>
      </c>
      <c r="J1194" s="274">
        <v>40.535550425976361</v>
      </c>
      <c r="K1194" s="274">
        <v>49.756231542894348</v>
      </c>
      <c r="L1194" s="274">
        <v>41.643373535598549</v>
      </c>
      <c r="M1194" s="274">
        <v>56.566731646744785</v>
      </c>
      <c r="N1194" s="274">
        <v>51.551517127814684</v>
      </c>
      <c r="O1194" s="274">
        <v>47.338910845721479</v>
      </c>
      <c r="P1194" s="274">
        <v>52.589650633375136</v>
      </c>
      <c r="Q1194" s="274">
        <v>75.875454075927848</v>
      </c>
      <c r="R1194" s="274">
        <v>43.248826057078055</v>
      </c>
      <c r="S1194" s="274">
        <v>48.167258767600217</v>
      </c>
      <c r="T1194" s="274">
        <v>46.774079275687292</v>
      </c>
      <c r="U1194" s="274">
        <v>46.460820916298047</v>
      </c>
      <c r="V1194" s="274">
        <v>43.19252343579921</v>
      </c>
      <c r="W1194" s="274">
        <v>58.271652636447129</v>
      </c>
      <c r="X1194" s="274">
        <v>52.632418758639638</v>
      </c>
      <c r="Y1194" s="274">
        <v>49.053734304683282</v>
      </c>
      <c r="Z1194" s="274">
        <v>57.649439789169776</v>
      </c>
      <c r="AA1194" s="274">
        <v>47.78920463009721</v>
      </c>
      <c r="AB1194" s="274">
        <v>50.579166252553556</v>
      </c>
      <c r="AC1194" s="274">
        <v>52.374739059029153</v>
      </c>
      <c r="AD1194" s="274">
        <v>53.718662429815311</v>
      </c>
      <c r="AE1194" s="274">
        <v>52.466622125675194</v>
      </c>
      <c r="AF1194" s="274">
        <v>54.144711279153199</v>
      </c>
      <c r="AG1194" s="274">
        <v>52.395904977102397</v>
      </c>
      <c r="AH1194" s="274">
        <v>45.398762031487003</v>
      </c>
      <c r="AI1194" s="274">
        <v>49.653943825369112</v>
      </c>
      <c r="AJ1194" s="274">
        <v>58.646998423160746</v>
      </c>
      <c r="AK1194" s="274">
        <v>40.12358681846132</v>
      </c>
      <c r="AL1194" s="274">
        <v>41.737516878384646</v>
      </c>
      <c r="AM1194" s="386">
        <f t="shared" ref="AM1194:AM1205" si="244">AVERAGE(F1194:AL1194)</f>
        <v>50.416095023161454</v>
      </c>
    </row>
    <row r="1195" spans="1:39" x14ac:dyDescent="0.2">
      <c r="A1195" s="19"/>
      <c r="B1195" s="79" t="s">
        <v>560</v>
      </c>
      <c r="C1195" s="80" t="s">
        <v>63</v>
      </c>
      <c r="D1195" s="88" t="s">
        <v>398</v>
      </c>
      <c r="E1195" s="27"/>
      <c r="F1195" s="274">
        <v>62.525791865473352</v>
      </c>
      <c r="G1195" s="274">
        <v>72.382825349906156</v>
      </c>
      <c r="H1195" s="274">
        <v>64.417910781665256</v>
      </c>
      <c r="I1195" s="274">
        <v>72.294135817592306</v>
      </c>
      <c r="J1195" s="274">
        <v>62.337187937798141</v>
      </c>
      <c r="K1195" s="274">
        <v>70.276097538912538</v>
      </c>
      <c r="L1195" s="274">
        <v>57.293701949705415</v>
      </c>
      <c r="M1195" s="274">
        <v>70.906907257573806</v>
      </c>
      <c r="N1195" s="274">
        <v>65.296578294298158</v>
      </c>
      <c r="O1195" s="274">
        <v>66.335110183678935</v>
      </c>
      <c r="P1195" s="274">
        <v>37.770061978260109</v>
      </c>
      <c r="Q1195" s="274">
        <v>25.921094049635755</v>
      </c>
      <c r="R1195" s="274">
        <v>44.439459977536295</v>
      </c>
      <c r="S1195" s="274">
        <v>44.789233213186513</v>
      </c>
      <c r="T1195" s="274">
        <v>40.985925349648774</v>
      </c>
      <c r="U1195" s="274">
        <v>68.035028039810257</v>
      </c>
      <c r="V1195" s="274">
        <v>59.88877422187813</v>
      </c>
      <c r="W1195" s="274">
        <v>35.686682045801795</v>
      </c>
      <c r="X1195" s="274">
        <v>33.694109002417143</v>
      </c>
      <c r="Y1195" s="274">
        <v>40.714330642074977</v>
      </c>
      <c r="Z1195" s="274">
        <v>36.888873729769074</v>
      </c>
      <c r="AA1195" s="274">
        <v>43.490525803380649</v>
      </c>
      <c r="AB1195" s="274">
        <v>58.612765082110478</v>
      </c>
      <c r="AC1195" s="274">
        <v>54.128537771526773</v>
      </c>
      <c r="AD1195" s="274">
        <v>54.567303337299386</v>
      </c>
      <c r="AE1195" s="274">
        <v>55.90371305963955</v>
      </c>
      <c r="AF1195" s="274">
        <v>53.946451138567134</v>
      </c>
      <c r="AG1195" s="274">
        <v>55.551456233186322</v>
      </c>
      <c r="AH1195" s="274">
        <v>56.324624993957954</v>
      </c>
      <c r="AI1195" s="274">
        <v>52.137875669029782</v>
      </c>
      <c r="AJ1195" s="274">
        <v>35.353387003480627</v>
      </c>
      <c r="AK1195" s="274">
        <v>88.45565480597304</v>
      </c>
      <c r="AL1195" s="274">
        <v>84.384296168262409</v>
      </c>
      <c r="AM1195" s="386">
        <f t="shared" si="244"/>
        <v>55.325345766455669</v>
      </c>
    </row>
    <row r="1196" spans="1:39" x14ac:dyDescent="0.2">
      <c r="A1196" s="19"/>
      <c r="B1196" s="79" t="s">
        <v>561</v>
      </c>
      <c r="C1196" s="80" t="s">
        <v>63</v>
      </c>
      <c r="D1196" s="88" t="s">
        <v>398</v>
      </c>
      <c r="E1196" s="27"/>
      <c r="F1196" s="274">
        <v>31.175495104017351</v>
      </c>
      <c r="G1196" s="274">
        <v>13.808587325046927</v>
      </c>
      <c r="H1196" s="274">
        <v>29.842197442076291</v>
      </c>
      <c r="I1196" s="274">
        <v>20.465629321866796</v>
      </c>
      <c r="J1196" s="274">
        <v>30.446645687929944</v>
      </c>
      <c r="K1196" s="274">
        <v>14.861951230543735</v>
      </c>
      <c r="L1196" s="274">
        <v>34.219612875030364</v>
      </c>
      <c r="M1196" s="274">
        <v>21.541744912287868</v>
      </c>
      <c r="N1196" s="274">
        <v>23.791658658675487</v>
      </c>
      <c r="O1196" s="274">
        <v>22.218455974283508</v>
      </c>
      <c r="P1196" s="274">
        <v>40.282659847176205</v>
      </c>
      <c r="Q1196" s="274">
        <v>51.113010373061563</v>
      </c>
      <c r="R1196" s="274">
        <v>35.560540022463712</v>
      </c>
      <c r="S1196" s="274">
        <v>45.327188947596156</v>
      </c>
      <c r="T1196" s="274">
        <v>47.246022697416358</v>
      </c>
      <c r="U1196" s="274">
        <v>26.826773330598499</v>
      </c>
      <c r="V1196" s="274">
        <v>24.207454822280948</v>
      </c>
      <c r="W1196" s="274">
        <v>28.045738037728743</v>
      </c>
      <c r="X1196" s="274">
        <v>38.572816476810857</v>
      </c>
      <c r="Y1196" s="274">
        <v>35.268400965437678</v>
      </c>
      <c r="Z1196" s="274">
        <v>45.23681893981928</v>
      </c>
      <c r="AA1196" s="274">
        <v>33.827752754320358</v>
      </c>
      <c r="AB1196" s="274">
        <v>34.126723939936376</v>
      </c>
      <c r="AC1196" s="274">
        <v>35.975859507318702</v>
      </c>
      <c r="AD1196" s="274">
        <v>30.401496512918428</v>
      </c>
      <c r="AE1196" s="274">
        <v>32.089715277323201</v>
      </c>
      <c r="AF1196" s="274">
        <v>30.382995560106352</v>
      </c>
      <c r="AG1196" s="274">
        <v>32.906207393748232</v>
      </c>
      <c r="AH1196" s="274">
        <v>26.384054985342928</v>
      </c>
      <c r="AI1196" s="274">
        <v>41.552509476434061</v>
      </c>
      <c r="AJ1196" s="274">
        <v>45.651770886046982</v>
      </c>
      <c r="AK1196" s="274">
        <v>10.609531921872891</v>
      </c>
      <c r="AL1196" s="274">
        <v>14.627882902208917</v>
      </c>
      <c r="AM1196" s="386">
        <f t="shared" si="244"/>
        <v>31.169572851809864</v>
      </c>
    </row>
    <row r="1197" spans="1:39" x14ac:dyDescent="0.2">
      <c r="A1197" s="19"/>
      <c r="B1197" s="79" t="s">
        <v>562</v>
      </c>
      <c r="C1197" s="80" t="s">
        <v>63</v>
      </c>
      <c r="D1197" s="88" t="s">
        <v>398</v>
      </c>
      <c r="E1197" s="27"/>
      <c r="F1197" s="274">
        <v>6.2987130305093046</v>
      </c>
      <c r="G1197" s="274">
        <v>13.808587325046915</v>
      </c>
      <c r="H1197" s="274">
        <v>5.739891776258446</v>
      </c>
      <c r="I1197" s="274">
        <v>7.2402348605408946</v>
      </c>
      <c r="J1197" s="274">
        <v>7.2161663742719213</v>
      </c>
      <c r="K1197" s="274">
        <v>14.861951230543724</v>
      </c>
      <c r="L1197" s="274">
        <v>8.4866851752642276</v>
      </c>
      <c r="M1197" s="274">
        <v>7.5513478301383259</v>
      </c>
      <c r="N1197" s="274">
        <v>10.911763047026355</v>
      </c>
      <c r="O1197" s="274">
        <v>11.44643384203755</v>
      </c>
      <c r="P1197" s="274">
        <v>21.947278174563678</v>
      </c>
      <c r="Q1197" s="274">
        <v>22.965895577302689</v>
      </c>
      <c r="R1197" s="274">
        <v>20</v>
      </c>
      <c r="S1197" s="274">
        <v>9.8835778392173381</v>
      </c>
      <c r="T1197" s="274">
        <v>11.768051952934869</v>
      </c>
      <c r="U1197" s="274">
        <v>5.1381986295912441</v>
      </c>
      <c r="V1197" s="274">
        <v>15.903770955840926</v>
      </c>
      <c r="W1197" s="274">
        <v>36.267579916469458</v>
      </c>
      <c r="X1197" s="274">
        <v>27.733074520771993</v>
      </c>
      <c r="Y1197" s="274">
        <v>24.017268392487352</v>
      </c>
      <c r="Z1197" s="274">
        <v>17.874307330411654</v>
      </c>
      <c r="AA1197" s="274">
        <v>22.681721442298993</v>
      </c>
      <c r="AB1197" s="274">
        <v>7.260510977953146</v>
      </c>
      <c r="AC1197" s="274">
        <v>9.8956027211545177</v>
      </c>
      <c r="AD1197" s="274">
        <v>15.031200149782194</v>
      </c>
      <c r="AE1197" s="274">
        <v>12.006571663037249</v>
      </c>
      <c r="AF1197" s="274">
        <v>15.670553301326521</v>
      </c>
      <c r="AG1197" s="274">
        <v>11.542336373065439</v>
      </c>
      <c r="AH1197" s="274">
        <v>17.291320020699118</v>
      </c>
      <c r="AI1197" s="274">
        <v>6.3096148545361643</v>
      </c>
      <c r="AJ1197" s="274">
        <v>18.994842110472391</v>
      </c>
      <c r="AK1197" s="274">
        <v>0.93481327215407362</v>
      </c>
      <c r="AL1197" s="274">
        <v>0.98782092952868084</v>
      </c>
      <c r="AM1197" s="386">
        <f t="shared" si="244"/>
        <v>13.505081381734465</v>
      </c>
    </row>
    <row r="1198" spans="1:39" x14ac:dyDescent="0.2">
      <c r="A1198" s="19"/>
      <c r="B1198" s="19" t="s">
        <v>563</v>
      </c>
      <c r="C1198" s="80" t="s">
        <v>63</v>
      </c>
      <c r="D1198" s="88" t="s">
        <v>398</v>
      </c>
      <c r="E1198" s="27"/>
      <c r="F1198" s="55">
        <v>26</v>
      </c>
      <c r="G1198" s="55">
        <v>26</v>
      </c>
      <c r="H1198" s="55">
        <v>26</v>
      </c>
      <c r="I1198" s="55">
        <v>26</v>
      </c>
      <c r="J1198" s="55">
        <v>26</v>
      </c>
      <c r="K1198" s="55">
        <v>26</v>
      </c>
      <c r="L1198" s="55">
        <v>26</v>
      </c>
      <c r="M1198" s="55">
        <v>26</v>
      </c>
      <c r="N1198" s="55">
        <v>26</v>
      </c>
      <c r="O1198" s="55">
        <v>26</v>
      </c>
      <c r="P1198" s="55">
        <v>26</v>
      </c>
      <c r="Q1198" s="55">
        <v>26</v>
      </c>
      <c r="R1198" s="55">
        <v>26</v>
      </c>
      <c r="S1198" s="55">
        <v>26</v>
      </c>
      <c r="T1198" s="55">
        <v>26</v>
      </c>
      <c r="U1198" s="55">
        <v>26</v>
      </c>
      <c r="V1198" s="55">
        <v>26</v>
      </c>
      <c r="W1198" s="55">
        <v>26</v>
      </c>
      <c r="X1198" s="55">
        <v>26</v>
      </c>
      <c r="Y1198" s="55">
        <v>26</v>
      </c>
      <c r="Z1198" s="55">
        <v>26</v>
      </c>
      <c r="AA1198" s="55">
        <v>26</v>
      </c>
      <c r="AB1198" s="55">
        <v>26</v>
      </c>
      <c r="AC1198" s="55">
        <v>26</v>
      </c>
      <c r="AD1198" s="55">
        <v>26</v>
      </c>
      <c r="AE1198" s="55">
        <v>26</v>
      </c>
      <c r="AF1198" s="55">
        <v>26</v>
      </c>
      <c r="AG1198" s="55">
        <v>26</v>
      </c>
      <c r="AH1198" s="55">
        <v>26</v>
      </c>
      <c r="AI1198" s="55">
        <v>26</v>
      </c>
      <c r="AJ1198" s="55">
        <v>26</v>
      </c>
      <c r="AK1198" s="55">
        <v>26</v>
      </c>
      <c r="AL1198" s="55">
        <v>26</v>
      </c>
      <c r="AM1198" s="386">
        <f t="shared" si="244"/>
        <v>26</v>
      </c>
    </row>
    <row r="1199" spans="1:39" x14ac:dyDescent="0.2">
      <c r="A1199" s="19"/>
      <c r="B1199" s="19" t="s">
        <v>565</v>
      </c>
      <c r="C1199" s="80" t="s">
        <v>63</v>
      </c>
      <c r="D1199" s="88" t="s">
        <v>398</v>
      </c>
      <c r="E1199" s="27"/>
      <c r="F1199" s="66">
        <v>35</v>
      </c>
      <c r="G1199" s="66">
        <v>35</v>
      </c>
      <c r="H1199" s="66">
        <v>35</v>
      </c>
      <c r="I1199" s="66">
        <v>35</v>
      </c>
      <c r="J1199" s="66">
        <v>35</v>
      </c>
      <c r="K1199" s="66">
        <v>35</v>
      </c>
      <c r="L1199" s="66">
        <v>35</v>
      </c>
      <c r="M1199" s="66">
        <v>35</v>
      </c>
      <c r="N1199" s="66">
        <v>35</v>
      </c>
      <c r="O1199" s="66">
        <v>35</v>
      </c>
      <c r="P1199" s="66">
        <v>35</v>
      </c>
      <c r="Q1199" s="66">
        <v>35</v>
      </c>
      <c r="R1199" s="66">
        <v>35</v>
      </c>
      <c r="S1199" s="66">
        <v>35</v>
      </c>
      <c r="T1199" s="66">
        <v>35</v>
      </c>
      <c r="U1199" s="66">
        <v>35</v>
      </c>
      <c r="V1199" s="66">
        <v>35</v>
      </c>
      <c r="W1199" s="66">
        <v>35</v>
      </c>
      <c r="X1199" s="66">
        <v>35</v>
      </c>
      <c r="Y1199" s="66">
        <v>35</v>
      </c>
      <c r="Z1199" s="66">
        <v>35</v>
      </c>
      <c r="AA1199" s="66">
        <v>35</v>
      </c>
      <c r="AB1199" s="66">
        <v>35</v>
      </c>
      <c r="AC1199" s="66">
        <v>35</v>
      </c>
      <c r="AD1199" s="66">
        <v>35</v>
      </c>
      <c r="AE1199" s="66">
        <v>35</v>
      </c>
      <c r="AF1199" s="66">
        <v>35</v>
      </c>
      <c r="AG1199" s="66">
        <v>35</v>
      </c>
      <c r="AH1199" s="66">
        <v>35</v>
      </c>
      <c r="AI1199" s="66">
        <v>35</v>
      </c>
      <c r="AJ1199" s="66">
        <v>35</v>
      </c>
      <c r="AK1199" s="66">
        <v>35</v>
      </c>
      <c r="AL1199" s="66">
        <v>35</v>
      </c>
      <c r="AM1199" s="386">
        <f t="shared" si="244"/>
        <v>35</v>
      </c>
    </row>
    <row r="1200" spans="1:39" x14ac:dyDescent="0.2">
      <c r="A1200" s="19"/>
      <c r="B1200" s="19" t="s">
        <v>566</v>
      </c>
      <c r="C1200" s="80" t="s">
        <v>63</v>
      </c>
      <c r="D1200" s="88" t="s">
        <v>398</v>
      </c>
      <c r="E1200" s="27"/>
      <c r="F1200" s="66">
        <v>35</v>
      </c>
      <c r="G1200" s="66">
        <v>35</v>
      </c>
      <c r="H1200" s="66">
        <v>35</v>
      </c>
      <c r="I1200" s="66">
        <v>35</v>
      </c>
      <c r="J1200" s="66">
        <v>35</v>
      </c>
      <c r="K1200" s="66">
        <v>35</v>
      </c>
      <c r="L1200" s="66">
        <v>35</v>
      </c>
      <c r="M1200" s="66">
        <v>35</v>
      </c>
      <c r="N1200" s="66">
        <v>35</v>
      </c>
      <c r="O1200" s="66">
        <v>35</v>
      </c>
      <c r="P1200" s="66">
        <v>35</v>
      </c>
      <c r="Q1200" s="66">
        <v>35</v>
      </c>
      <c r="R1200" s="66">
        <v>35</v>
      </c>
      <c r="S1200" s="66">
        <v>35</v>
      </c>
      <c r="T1200" s="66">
        <v>35</v>
      </c>
      <c r="U1200" s="66">
        <v>35</v>
      </c>
      <c r="V1200" s="66">
        <v>35</v>
      </c>
      <c r="W1200" s="66">
        <v>35</v>
      </c>
      <c r="X1200" s="66">
        <v>35</v>
      </c>
      <c r="Y1200" s="66">
        <v>35</v>
      </c>
      <c r="Z1200" s="66">
        <v>35</v>
      </c>
      <c r="AA1200" s="66">
        <v>35</v>
      </c>
      <c r="AB1200" s="66">
        <v>35</v>
      </c>
      <c r="AC1200" s="66">
        <v>35</v>
      </c>
      <c r="AD1200" s="66">
        <v>35</v>
      </c>
      <c r="AE1200" s="66">
        <v>35</v>
      </c>
      <c r="AF1200" s="66">
        <v>35</v>
      </c>
      <c r="AG1200" s="66">
        <v>35</v>
      </c>
      <c r="AH1200" s="66">
        <v>35</v>
      </c>
      <c r="AI1200" s="66">
        <v>35</v>
      </c>
      <c r="AJ1200" s="66">
        <v>35</v>
      </c>
      <c r="AK1200" s="66">
        <v>35</v>
      </c>
      <c r="AL1200" s="66">
        <v>35</v>
      </c>
      <c r="AM1200" s="386">
        <f t="shared" si="244"/>
        <v>35</v>
      </c>
    </row>
    <row r="1201" spans="1:39" x14ac:dyDescent="0.2">
      <c r="A1201" s="19"/>
      <c r="B1201" s="19" t="s">
        <v>567</v>
      </c>
      <c r="C1201" s="80" t="s">
        <v>63</v>
      </c>
      <c r="D1201" s="88" t="s">
        <v>398</v>
      </c>
      <c r="E1201" s="27"/>
      <c r="F1201" s="66">
        <v>60</v>
      </c>
      <c r="G1201" s="66">
        <v>60</v>
      </c>
      <c r="H1201" s="66">
        <v>60</v>
      </c>
      <c r="I1201" s="66">
        <v>60</v>
      </c>
      <c r="J1201" s="66">
        <v>60</v>
      </c>
      <c r="K1201" s="66">
        <v>60</v>
      </c>
      <c r="L1201" s="66">
        <v>60</v>
      </c>
      <c r="M1201" s="66">
        <v>60</v>
      </c>
      <c r="N1201" s="66">
        <v>60</v>
      </c>
      <c r="O1201" s="66">
        <v>60</v>
      </c>
      <c r="P1201" s="66">
        <v>60</v>
      </c>
      <c r="Q1201" s="66">
        <v>60</v>
      </c>
      <c r="R1201" s="66">
        <v>60</v>
      </c>
      <c r="S1201" s="66">
        <v>60</v>
      </c>
      <c r="T1201" s="66">
        <v>60</v>
      </c>
      <c r="U1201" s="66">
        <v>60</v>
      </c>
      <c r="V1201" s="66">
        <v>60</v>
      </c>
      <c r="W1201" s="66">
        <v>60</v>
      </c>
      <c r="X1201" s="66">
        <v>60</v>
      </c>
      <c r="Y1201" s="66">
        <v>60</v>
      </c>
      <c r="Z1201" s="66">
        <v>60</v>
      </c>
      <c r="AA1201" s="66">
        <v>60</v>
      </c>
      <c r="AB1201" s="66">
        <v>60</v>
      </c>
      <c r="AC1201" s="66">
        <v>60</v>
      </c>
      <c r="AD1201" s="66">
        <v>60</v>
      </c>
      <c r="AE1201" s="66">
        <v>60</v>
      </c>
      <c r="AF1201" s="66">
        <v>60</v>
      </c>
      <c r="AG1201" s="66">
        <v>60</v>
      </c>
      <c r="AH1201" s="66">
        <v>60</v>
      </c>
      <c r="AI1201" s="66">
        <v>60</v>
      </c>
      <c r="AJ1201" s="66">
        <v>60</v>
      </c>
      <c r="AK1201" s="66">
        <v>60</v>
      </c>
      <c r="AL1201" s="66">
        <v>60</v>
      </c>
      <c r="AM1201" s="386">
        <f t="shared" si="244"/>
        <v>60</v>
      </c>
    </row>
    <row r="1202" spans="1:39" x14ac:dyDescent="0.2">
      <c r="A1202" s="19"/>
      <c r="B1202" s="19" t="s">
        <v>568</v>
      </c>
      <c r="C1202" s="80" t="s">
        <v>63</v>
      </c>
      <c r="D1202" s="88" t="s">
        <v>398</v>
      </c>
      <c r="E1202" s="27"/>
      <c r="F1202" s="66">
        <v>4</v>
      </c>
      <c r="G1202" s="66">
        <v>4</v>
      </c>
      <c r="H1202" s="66">
        <v>4</v>
      </c>
      <c r="I1202" s="66">
        <v>4</v>
      </c>
      <c r="J1202" s="66">
        <v>4</v>
      </c>
      <c r="K1202" s="66">
        <v>4</v>
      </c>
      <c r="L1202" s="66">
        <v>4</v>
      </c>
      <c r="M1202" s="66">
        <v>4</v>
      </c>
      <c r="N1202" s="66">
        <v>4</v>
      </c>
      <c r="O1202" s="66">
        <v>4</v>
      </c>
      <c r="P1202" s="66">
        <v>4</v>
      </c>
      <c r="Q1202" s="66">
        <v>4</v>
      </c>
      <c r="R1202" s="66">
        <v>4</v>
      </c>
      <c r="S1202" s="66">
        <v>4</v>
      </c>
      <c r="T1202" s="66">
        <v>4</v>
      </c>
      <c r="U1202" s="66">
        <v>4</v>
      </c>
      <c r="V1202" s="66">
        <v>4</v>
      </c>
      <c r="W1202" s="66">
        <v>4</v>
      </c>
      <c r="X1202" s="66">
        <v>4</v>
      </c>
      <c r="Y1202" s="66">
        <v>4</v>
      </c>
      <c r="Z1202" s="66">
        <v>4</v>
      </c>
      <c r="AA1202" s="66">
        <v>4</v>
      </c>
      <c r="AB1202" s="66">
        <v>4</v>
      </c>
      <c r="AC1202" s="66">
        <v>4</v>
      </c>
      <c r="AD1202" s="66">
        <v>4</v>
      </c>
      <c r="AE1202" s="66">
        <v>4</v>
      </c>
      <c r="AF1202" s="66">
        <v>4</v>
      </c>
      <c r="AG1202" s="66">
        <v>4</v>
      </c>
      <c r="AH1202" s="66">
        <v>4</v>
      </c>
      <c r="AI1202" s="66">
        <v>4</v>
      </c>
      <c r="AJ1202" s="66">
        <v>4</v>
      </c>
      <c r="AK1202" s="66">
        <v>4</v>
      </c>
      <c r="AL1202" s="66">
        <v>4</v>
      </c>
      <c r="AM1202" s="386">
        <f t="shared" si="244"/>
        <v>4</v>
      </c>
    </row>
    <row r="1203" spans="1:39" x14ac:dyDescent="0.2">
      <c r="A1203" s="19"/>
      <c r="B1203" s="19" t="s">
        <v>569</v>
      </c>
      <c r="C1203" s="80" t="s">
        <v>63</v>
      </c>
      <c r="D1203" s="88" t="s">
        <v>398</v>
      </c>
      <c r="E1203" s="27"/>
      <c r="F1203" s="66">
        <v>4</v>
      </c>
      <c r="G1203" s="66">
        <v>4</v>
      </c>
      <c r="H1203" s="66">
        <v>4</v>
      </c>
      <c r="I1203" s="66">
        <v>4</v>
      </c>
      <c r="J1203" s="66">
        <v>4</v>
      </c>
      <c r="K1203" s="66">
        <v>4</v>
      </c>
      <c r="L1203" s="66">
        <v>4</v>
      </c>
      <c r="M1203" s="66">
        <v>4</v>
      </c>
      <c r="N1203" s="66">
        <v>4</v>
      </c>
      <c r="O1203" s="66">
        <v>4</v>
      </c>
      <c r="P1203" s="66">
        <v>4</v>
      </c>
      <c r="Q1203" s="66">
        <v>4</v>
      </c>
      <c r="R1203" s="66">
        <v>4</v>
      </c>
      <c r="S1203" s="66">
        <v>4</v>
      </c>
      <c r="T1203" s="66">
        <v>4</v>
      </c>
      <c r="U1203" s="66">
        <v>4</v>
      </c>
      <c r="V1203" s="66">
        <v>4</v>
      </c>
      <c r="W1203" s="66">
        <v>4</v>
      </c>
      <c r="X1203" s="66">
        <v>4</v>
      </c>
      <c r="Y1203" s="66">
        <v>4</v>
      </c>
      <c r="Z1203" s="66">
        <v>4</v>
      </c>
      <c r="AA1203" s="66">
        <v>4</v>
      </c>
      <c r="AB1203" s="66">
        <v>4</v>
      </c>
      <c r="AC1203" s="66">
        <v>4</v>
      </c>
      <c r="AD1203" s="66">
        <v>4</v>
      </c>
      <c r="AE1203" s="66">
        <v>4</v>
      </c>
      <c r="AF1203" s="66">
        <v>4</v>
      </c>
      <c r="AG1203" s="66">
        <v>4</v>
      </c>
      <c r="AH1203" s="66">
        <v>4</v>
      </c>
      <c r="AI1203" s="66">
        <v>4</v>
      </c>
      <c r="AJ1203" s="66">
        <v>4</v>
      </c>
      <c r="AK1203" s="66">
        <v>4</v>
      </c>
      <c r="AL1203" s="66">
        <v>4</v>
      </c>
      <c r="AM1203" s="386">
        <f t="shared" si="244"/>
        <v>4</v>
      </c>
    </row>
    <row r="1204" spans="1:39" x14ac:dyDescent="0.2">
      <c r="A1204" s="19"/>
      <c r="B1204" s="19" t="s">
        <v>570</v>
      </c>
      <c r="C1204" s="80" t="s">
        <v>63</v>
      </c>
      <c r="D1204" s="88" t="s">
        <v>398</v>
      </c>
      <c r="E1204" s="27"/>
      <c r="F1204" s="66">
        <v>3</v>
      </c>
      <c r="G1204" s="66">
        <v>3</v>
      </c>
      <c r="H1204" s="66">
        <v>3</v>
      </c>
      <c r="I1204" s="66">
        <v>3</v>
      </c>
      <c r="J1204" s="66">
        <v>3</v>
      </c>
      <c r="K1204" s="66">
        <v>3</v>
      </c>
      <c r="L1204" s="66">
        <v>3</v>
      </c>
      <c r="M1204" s="66">
        <v>3</v>
      </c>
      <c r="N1204" s="66">
        <v>3</v>
      </c>
      <c r="O1204" s="66">
        <v>3</v>
      </c>
      <c r="P1204" s="66">
        <v>3</v>
      </c>
      <c r="Q1204" s="66">
        <v>3</v>
      </c>
      <c r="R1204" s="66">
        <v>3</v>
      </c>
      <c r="S1204" s="66">
        <v>3</v>
      </c>
      <c r="T1204" s="66">
        <v>3</v>
      </c>
      <c r="U1204" s="66">
        <v>3</v>
      </c>
      <c r="V1204" s="66">
        <v>3</v>
      </c>
      <c r="W1204" s="66">
        <v>3</v>
      </c>
      <c r="X1204" s="66">
        <v>3</v>
      </c>
      <c r="Y1204" s="66">
        <v>3</v>
      </c>
      <c r="Z1204" s="66">
        <v>3</v>
      </c>
      <c r="AA1204" s="66">
        <v>3</v>
      </c>
      <c r="AB1204" s="66">
        <v>3</v>
      </c>
      <c r="AC1204" s="66">
        <v>3</v>
      </c>
      <c r="AD1204" s="66">
        <v>3</v>
      </c>
      <c r="AE1204" s="66">
        <v>3</v>
      </c>
      <c r="AF1204" s="66">
        <v>3</v>
      </c>
      <c r="AG1204" s="66">
        <v>3</v>
      </c>
      <c r="AH1204" s="66">
        <v>3</v>
      </c>
      <c r="AI1204" s="66">
        <v>3</v>
      </c>
      <c r="AJ1204" s="66">
        <v>3</v>
      </c>
      <c r="AK1204" s="66">
        <v>3</v>
      </c>
      <c r="AL1204" s="66">
        <v>3</v>
      </c>
      <c r="AM1204" s="386">
        <f t="shared" si="244"/>
        <v>3</v>
      </c>
    </row>
    <row r="1205" spans="1:39" x14ac:dyDescent="0.2">
      <c r="A1205" s="19"/>
      <c r="B1205" s="19" t="s">
        <v>571</v>
      </c>
      <c r="C1205" s="80" t="s">
        <v>63</v>
      </c>
      <c r="D1205" s="88" t="s">
        <v>398</v>
      </c>
      <c r="E1205" s="27"/>
      <c r="F1205" s="66">
        <v>2</v>
      </c>
      <c r="G1205" s="66">
        <v>2</v>
      </c>
      <c r="H1205" s="66">
        <v>2</v>
      </c>
      <c r="I1205" s="66">
        <v>2</v>
      </c>
      <c r="J1205" s="66">
        <v>2</v>
      </c>
      <c r="K1205" s="66">
        <v>2</v>
      </c>
      <c r="L1205" s="66">
        <v>2</v>
      </c>
      <c r="M1205" s="66">
        <v>2</v>
      </c>
      <c r="N1205" s="66">
        <v>2</v>
      </c>
      <c r="O1205" s="66">
        <v>2</v>
      </c>
      <c r="P1205" s="66">
        <v>2</v>
      </c>
      <c r="Q1205" s="66">
        <v>2</v>
      </c>
      <c r="R1205" s="66">
        <v>2</v>
      </c>
      <c r="S1205" s="66">
        <v>2</v>
      </c>
      <c r="T1205" s="66">
        <v>2</v>
      </c>
      <c r="U1205" s="66">
        <v>2</v>
      </c>
      <c r="V1205" s="66">
        <v>2</v>
      </c>
      <c r="W1205" s="66">
        <v>2</v>
      </c>
      <c r="X1205" s="66">
        <v>2</v>
      </c>
      <c r="Y1205" s="66">
        <v>2</v>
      </c>
      <c r="Z1205" s="66">
        <v>2</v>
      </c>
      <c r="AA1205" s="66">
        <v>2</v>
      </c>
      <c r="AB1205" s="66">
        <v>2</v>
      </c>
      <c r="AC1205" s="66">
        <v>2</v>
      </c>
      <c r="AD1205" s="66">
        <v>2</v>
      </c>
      <c r="AE1205" s="66">
        <v>2</v>
      </c>
      <c r="AF1205" s="66">
        <v>2</v>
      </c>
      <c r="AG1205" s="66">
        <v>2</v>
      </c>
      <c r="AH1205" s="66">
        <v>2</v>
      </c>
      <c r="AI1205" s="66">
        <v>2</v>
      </c>
      <c r="AJ1205" s="66">
        <v>2</v>
      </c>
      <c r="AK1205" s="66">
        <v>2</v>
      </c>
      <c r="AL1205" s="66">
        <v>2</v>
      </c>
      <c r="AM1205" s="386">
        <f t="shared" si="244"/>
        <v>2</v>
      </c>
    </row>
    <row r="1206" spans="1:39" x14ac:dyDescent="0.2">
      <c r="A1206" s="8"/>
      <c r="B1206" s="19"/>
      <c r="C1206" s="18"/>
      <c r="D1206" s="19"/>
      <c r="E1206" s="8"/>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107"/>
    </row>
    <row r="1207" spans="1:39" x14ac:dyDescent="0.2">
      <c r="A1207" s="8"/>
      <c r="B1207" s="8" t="s">
        <v>572</v>
      </c>
      <c r="C1207" s="22" t="s">
        <v>77</v>
      </c>
      <c r="D1207" s="8"/>
      <c r="E1207" s="70"/>
      <c r="F1207" s="70">
        <f t="shared" ref="F1207:AL1207" si="245">F1114*(F1124/100)*((F1125/100)*(F1128/100)+(F1125/100)*(F1128/100)*(F1132/100)+(F1126/100)*(F1129/100)+(F1126/100)*(F1129/100)*(F1133/100)+(F1127/100)*(F1130/100)+(F1127/100)*(F1130/100)*(F1134/100))</f>
        <v>0</v>
      </c>
      <c r="G1207" s="70">
        <f t="shared" si="245"/>
        <v>0</v>
      </c>
      <c r="H1207" s="70">
        <f t="shared" si="245"/>
        <v>0</v>
      </c>
      <c r="I1207" s="70">
        <f t="shared" si="245"/>
        <v>0</v>
      </c>
      <c r="J1207" s="70">
        <f t="shared" si="245"/>
        <v>14.253850077999768</v>
      </c>
      <c r="K1207" s="70">
        <f t="shared" si="245"/>
        <v>8.8543147082582081</v>
      </c>
      <c r="L1207" s="70">
        <f t="shared" si="245"/>
        <v>8.1185030693371161</v>
      </c>
      <c r="M1207" s="70">
        <f t="shared" si="245"/>
        <v>0</v>
      </c>
      <c r="N1207" s="70">
        <f t="shared" si="245"/>
        <v>0</v>
      </c>
      <c r="O1207" s="70">
        <f t="shared" si="245"/>
        <v>0</v>
      </c>
      <c r="P1207" s="70">
        <f t="shared" si="245"/>
        <v>32.244438059419529</v>
      </c>
      <c r="Q1207" s="70">
        <f t="shared" si="245"/>
        <v>0</v>
      </c>
      <c r="R1207" s="70">
        <f t="shared" si="245"/>
        <v>16.384987310808615</v>
      </c>
      <c r="S1207" s="70">
        <f t="shared" si="245"/>
        <v>20.519914972895844</v>
      </c>
      <c r="T1207" s="70">
        <f t="shared" si="245"/>
        <v>35.996353389110524</v>
      </c>
      <c r="U1207" s="70">
        <f t="shared" si="245"/>
        <v>0</v>
      </c>
      <c r="V1207" s="70">
        <f t="shared" si="245"/>
        <v>53.237909958622289</v>
      </c>
      <c r="W1207" s="70">
        <f t="shared" si="245"/>
        <v>11.852767199274355</v>
      </c>
      <c r="X1207" s="70">
        <f t="shared" si="245"/>
        <v>5.1184937671470889</v>
      </c>
      <c r="Y1207" s="70">
        <f t="shared" si="245"/>
        <v>6.5160350352536769</v>
      </c>
      <c r="Z1207" s="70">
        <f t="shared" si="245"/>
        <v>3.285135861461963</v>
      </c>
      <c r="AA1207" s="70">
        <f t="shared" si="245"/>
        <v>7.5777029556489879</v>
      </c>
      <c r="AB1207" s="70">
        <f t="shared" si="245"/>
        <v>12.695121819724148</v>
      </c>
      <c r="AC1207" s="70">
        <f t="shared" si="245"/>
        <v>33.758261420656424</v>
      </c>
      <c r="AD1207" s="70">
        <f t="shared" si="245"/>
        <v>0</v>
      </c>
      <c r="AE1207" s="70">
        <f t="shared" si="245"/>
        <v>10.975114342720641</v>
      </c>
      <c r="AF1207" s="70">
        <f t="shared" si="245"/>
        <v>0</v>
      </c>
      <c r="AG1207" s="70">
        <f t="shared" si="245"/>
        <v>9.7646678153547519</v>
      </c>
      <c r="AH1207" s="70">
        <f t="shared" si="245"/>
        <v>11.276758139757355</v>
      </c>
      <c r="AI1207" s="70">
        <f t="shared" si="245"/>
        <v>0</v>
      </c>
      <c r="AJ1207" s="70">
        <f t="shared" si="245"/>
        <v>0</v>
      </c>
      <c r="AK1207" s="70">
        <f t="shared" si="245"/>
        <v>0</v>
      </c>
      <c r="AL1207" s="70">
        <f t="shared" si="245"/>
        <v>0</v>
      </c>
      <c r="AM1207" s="379">
        <f>SUM(F1207:AL1207)</f>
        <v>302.43032990345125</v>
      </c>
    </row>
    <row r="1208" spans="1:39" x14ac:dyDescent="0.2">
      <c r="A1208" s="8"/>
      <c r="B1208" s="8" t="s">
        <v>573</v>
      </c>
      <c r="C1208" s="22" t="s">
        <v>77</v>
      </c>
      <c r="D1208" s="8"/>
      <c r="E1208" s="70"/>
      <c r="F1208" s="70">
        <f t="shared" ref="F1208:AL1208" si="246">F1114*(F1123/100)*(F1131/100)+F1114*(F1123/100)*(F1131/100)*(F1135/100)</f>
        <v>0</v>
      </c>
      <c r="G1208" s="70">
        <f t="shared" si="246"/>
        <v>0</v>
      </c>
      <c r="H1208" s="70">
        <f t="shared" si="246"/>
        <v>0</v>
      </c>
      <c r="I1208" s="70">
        <f t="shared" si="246"/>
        <v>0</v>
      </c>
      <c r="J1208" s="70">
        <f t="shared" si="246"/>
        <v>7.87146346219237</v>
      </c>
      <c r="K1208" s="70">
        <f t="shared" si="246"/>
        <v>3.358528576361135</v>
      </c>
      <c r="L1208" s="70">
        <f t="shared" si="246"/>
        <v>4.281199097618984</v>
      </c>
      <c r="M1208" s="70">
        <f t="shared" si="246"/>
        <v>0</v>
      </c>
      <c r="N1208" s="70">
        <f t="shared" si="246"/>
        <v>0</v>
      </c>
      <c r="O1208" s="70">
        <f t="shared" si="246"/>
        <v>0</v>
      </c>
      <c r="P1208" s="70">
        <f t="shared" si="246"/>
        <v>10.897211218698649</v>
      </c>
      <c r="Q1208" s="70">
        <f t="shared" si="246"/>
        <v>0</v>
      </c>
      <c r="R1208" s="70">
        <f t="shared" si="246"/>
        <v>8.0644306975209279</v>
      </c>
      <c r="S1208" s="70">
        <f t="shared" si="246"/>
        <v>8.3061676300041238</v>
      </c>
      <c r="T1208" s="70">
        <f t="shared" si="246"/>
        <v>15.399867756978136</v>
      </c>
      <c r="U1208" s="70">
        <f t="shared" si="246"/>
        <v>0</v>
      </c>
      <c r="V1208" s="70">
        <f t="shared" si="246"/>
        <v>26.293536634661546</v>
      </c>
      <c r="W1208" s="70">
        <f t="shared" si="246"/>
        <v>3.169018969015156</v>
      </c>
      <c r="X1208" s="70">
        <f t="shared" si="246"/>
        <v>1.724039590117276</v>
      </c>
      <c r="Y1208" s="70">
        <f t="shared" si="246"/>
        <v>2.5354616449927194</v>
      </c>
      <c r="Z1208" s="70">
        <f t="shared" si="246"/>
        <v>0.90574502785490418</v>
      </c>
      <c r="AA1208" s="70">
        <f t="shared" si="246"/>
        <v>3.1028838148402103</v>
      </c>
      <c r="AB1208" s="70">
        <f t="shared" si="246"/>
        <v>4.6695149492745003</v>
      </c>
      <c r="AC1208" s="70">
        <f t="shared" si="246"/>
        <v>11.54694169954513</v>
      </c>
      <c r="AD1208" s="70">
        <f t="shared" si="246"/>
        <v>0</v>
      </c>
      <c r="AE1208" s="70">
        <f t="shared" si="246"/>
        <v>3.7379697070340936</v>
      </c>
      <c r="AF1208" s="70">
        <f t="shared" si="246"/>
        <v>0</v>
      </c>
      <c r="AG1208" s="70">
        <f t="shared" si="246"/>
        <v>3.3355911475888096</v>
      </c>
      <c r="AH1208" s="70">
        <f t="shared" si="246"/>
        <v>5.0909993309993693</v>
      </c>
      <c r="AI1208" s="70">
        <f t="shared" si="246"/>
        <v>0</v>
      </c>
      <c r="AJ1208" s="70">
        <f t="shared" si="246"/>
        <v>0</v>
      </c>
      <c r="AK1208" s="70">
        <f t="shared" si="246"/>
        <v>0</v>
      </c>
      <c r="AL1208" s="70">
        <f t="shared" si="246"/>
        <v>0</v>
      </c>
      <c r="AM1208" s="379">
        <f t="shared" ref="AM1208:AM1245" si="247">SUM(F1208:AL1208)</f>
        <v>124.29057095529805</v>
      </c>
    </row>
    <row r="1209" spans="1:39" x14ac:dyDescent="0.2">
      <c r="A1209" s="8"/>
      <c r="B1209" s="8" t="s">
        <v>574</v>
      </c>
      <c r="C1209" s="22" t="s">
        <v>77</v>
      </c>
      <c r="D1209" s="8"/>
      <c r="E1209" s="70"/>
      <c r="F1209" s="70">
        <f t="shared" ref="F1209:AL1209" si="248">F1114*(F1124/100)-F1207</f>
        <v>0</v>
      </c>
      <c r="G1209" s="70">
        <f t="shared" si="248"/>
        <v>0</v>
      </c>
      <c r="H1209" s="70">
        <f t="shared" si="248"/>
        <v>0</v>
      </c>
      <c r="I1209" s="70">
        <f t="shared" si="248"/>
        <v>0</v>
      </c>
      <c r="J1209" s="70">
        <f t="shared" si="248"/>
        <v>38.351992800644794</v>
      </c>
      <c r="K1209" s="70">
        <f t="shared" si="248"/>
        <v>23.752933603601548</v>
      </c>
      <c r="L1209" s="70">
        <f t="shared" si="248"/>
        <v>21.833162654817809</v>
      </c>
      <c r="M1209" s="70">
        <f t="shared" si="248"/>
        <v>0</v>
      </c>
      <c r="N1209" s="70">
        <f t="shared" si="248"/>
        <v>0</v>
      </c>
      <c r="O1209" s="70">
        <f t="shared" si="248"/>
        <v>0</v>
      </c>
      <c r="P1209" s="70">
        <f t="shared" si="248"/>
        <v>86.262104335029079</v>
      </c>
      <c r="Q1209" s="70">
        <f t="shared" si="248"/>
        <v>0</v>
      </c>
      <c r="R1209" s="70">
        <f t="shared" si="248"/>
        <v>43.867227555737728</v>
      </c>
      <c r="S1209" s="70">
        <f t="shared" si="248"/>
        <v>55.154360778196207</v>
      </c>
      <c r="T1209" s="70">
        <f t="shared" si="248"/>
        <v>96.681636829100697</v>
      </c>
      <c r="U1209" s="70">
        <f t="shared" si="248"/>
        <v>0</v>
      </c>
      <c r="V1209" s="70">
        <f t="shared" si="248"/>
        <v>142.76021336061555</v>
      </c>
      <c r="W1209" s="70">
        <f t="shared" si="248"/>
        <v>31.533353218190136</v>
      </c>
      <c r="X1209" s="70">
        <f t="shared" si="248"/>
        <v>13.662526567671406</v>
      </c>
      <c r="Y1209" s="70">
        <f t="shared" si="248"/>
        <v>17.418036880524241</v>
      </c>
      <c r="Z1209" s="70">
        <f t="shared" si="248"/>
        <v>8.8025097485116408</v>
      </c>
      <c r="AA1209" s="70">
        <f t="shared" si="248"/>
        <v>20.266502878557546</v>
      </c>
      <c r="AB1209" s="70">
        <f t="shared" si="248"/>
        <v>34.157424282253018</v>
      </c>
      <c r="AC1209" s="70">
        <f t="shared" si="248"/>
        <v>90.736565380187514</v>
      </c>
      <c r="AD1209" s="70">
        <f t="shared" si="248"/>
        <v>0</v>
      </c>
      <c r="AE1209" s="70">
        <f t="shared" si="248"/>
        <v>29.475025984782103</v>
      </c>
      <c r="AF1209" s="70">
        <f t="shared" si="248"/>
        <v>0</v>
      </c>
      <c r="AG1209" s="70">
        <f t="shared" si="248"/>
        <v>26.228964279568697</v>
      </c>
      <c r="AH1209" s="70">
        <f t="shared" si="248"/>
        <v>30.222887564207731</v>
      </c>
      <c r="AI1209" s="70">
        <f t="shared" si="248"/>
        <v>0</v>
      </c>
      <c r="AJ1209" s="70">
        <f t="shared" si="248"/>
        <v>0</v>
      </c>
      <c r="AK1209" s="70">
        <f t="shared" si="248"/>
        <v>0</v>
      </c>
      <c r="AL1209" s="70">
        <f t="shared" si="248"/>
        <v>0</v>
      </c>
      <c r="AM1209" s="379">
        <f t="shared" si="247"/>
        <v>811.1674287021973</v>
      </c>
    </row>
    <row r="1210" spans="1:39" x14ac:dyDescent="0.2">
      <c r="A1210" s="8"/>
      <c r="B1210" s="8" t="s">
        <v>575</v>
      </c>
      <c r="C1210" s="22" t="s">
        <v>77</v>
      </c>
      <c r="D1210" s="8"/>
      <c r="E1210" s="70"/>
      <c r="F1210" s="70">
        <f t="shared" ref="F1210:AL1210" si="249">F1114*(F1123/100)-F1208</f>
        <v>0</v>
      </c>
      <c r="G1210" s="70">
        <f t="shared" si="249"/>
        <v>0</v>
      </c>
      <c r="H1210" s="70">
        <f t="shared" si="249"/>
        <v>0</v>
      </c>
      <c r="I1210" s="70">
        <f t="shared" si="249"/>
        <v>0</v>
      </c>
      <c r="J1210" s="70">
        <f t="shared" si="249"/>
        <v>69.299746951458317</v>
      </c>
      <c r="K1210" s="70">
        <f t="shared" si="249"/>
        <v>29.568222172277441</v>
      </c>
      <c r="L1210" s="70">
        <f t="shared" si="249"/>
        <v>37.691341075116142</v>
      </c>
      <c r="M1210" s="70">
        <f t="shared" si="249"/>
        <v>0</v>
      </c>
      <c r="N1210" s="70">
        <f t="shared" si="249"/>
        <v>0</v>
      </c>
      <c r="O1210" s="70">
        <f t="shared" si="249"/>
        <v>0</v>
      </c>
      <c r="P1210" s="70">
        <f t="shared" si="249"/>
        <v>95.938192886190066</v>
      </c>
      <c r="Q1210" s="70">
        <f t="shared" si="249"/>
        <v>0</v>
      </c>
      <c r="R1210" s="70">
        <f t="shared" si="249"/>
        <v>70.998615356605811</v>
      </c>
      <c r="S1210" s="70">
        <f t="shared" si="249"/>
        <v>73.12684835042846</v>
      </c>
      <c r="T1210" s="70">
        <f t="shared" si="249"/>
        <v>135.57922789967026</v>
      </c>
      <c r="U1210" s="70">
        <f t="shared" si="249"/>
        <v>0</v>
      </c>
      <c r="V1210" s="70">
        <f t="shared" si="249"/>
        <v>231.48623429339281</v>
      </c>
      <c r="W1210" s="70">
        <f t="shared" si="249"/>
        <v>27.899794452702057</v>
      </c>
      <c r="X1210" s="70">
        <f t="shared" si="249"/>
        <v>15.178309332601117</v>
      </c>
      <c r="Y1210" s="70">
        <f t="shared" si="249"/>
        <v>22.322005462779039</v>
      </c>
      <c r="Z1210" s="70">
        <f t="shared" si="249"/>
        <v>7.9741081864088628</v>
      </c>
      <c r="AA1210" s="70">
        <f t="shared" si="249"/>
        <v>27.317545742416751</v>
      </c>
      <c r="AB1210" s="70">
        <f t="shared" si="249"/>
        <v>41.110043376946095</v>
      </c>
      <c r="AC1210" s="70">
        <f t="shared" si="249"/>
        <v>101.65836908030907</v>
      </c>
      <c r="AD1210" s="70">
        <f t="shared" si="249"/>
        <v>0</v>
      </c>
      <c r="AE1210" s="70">
        <f t="shared" si="249"/>
        <v>32.908792126633486</v>
      </c>
      <c r="AF1210" s="70">
        <f t="shared" si="249"/>
        <v>0</v>
      </c>
      <c r="AG1210" s="70">
        <f t="shared" si="249"/>
        <v>29.36628284837991</v>
      </c>
      <c r="AH1210" s="70">
        <f t="shared" si="249"/>
        <v>44.820758816053271</v>
      </c>
      <c r="AI1210" s="70">
        <f t="shared" si="249"/>
        <v>0</v>
      </c>
      <c r="AJ1210" s="70">
        <f t="shared" si="249"/>
        <v>0</v>
      </c>
      <c r="AK1210" s="70">
        <f t="shared" si="249"/>
        <v>0</v>
      </c>
      <c r="AL1210" s="70">
        <f t="shared" si="249"/>
        <v>0</v>
      </c>
      <c r="AM1210" s="379">
        <f t="shared" si="247"/>
        <v>1094.244438410369</v>
      </c>
    </row>
    <row r="1211" spans="1:39" x14ac:dyDescent="0.2">
      <c r="A1211" s="8"/>
      <c r="B1211" s="8"/>
      <c r="C1211" s="22"/>
      <c r="D1211" s="8"/>
      <c r="E1211" s="70"/>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379"/>
    </row>
    <row r="1212" spans="1:39" x14ac:dyDescent="0.2">
      <c r="A1212" s="8"/>
      <c r="B1212" s="8" t="s">
        <v>576</v>
      </c>
      <c r="C1212" s="22" t="s">
        <v>77</v>
      </c>
      <c r="D1212" s="8"/>
      <c r="E1212" s="70"/>
      <c r="F1212" s="70">
        <f t="shared" ref="F1212:AL1212" si="250">F1115*(F1138/100)*((F1139/100)*(F1142/100)+(F1139/100)*(F1142/100)*(F1146/100)+(F1140/100)*(F1143/100)+(F1140/100)*(F1143/100)*(F1147/100)+(F1141/100)*(F1144/100)+(F1141/100)*(F1144/100)*(F1148/100))</f>
        <v>0</v>
      </c>
      <c r="G1212" s="70">
        <f t="shared" si="250"/>
        <v>0</v>
      </c>
      <c r="H1212" s="70">
        <f t="shared" si="250"/>
        <v>0</v>
      </c>
      <c r="I1212" s="70">
        <f t="shared" si="250"/>
        <v>0</v>
      </c>
      <c r="J1212" s="70">
        <f t="shared" si="250"/>
        <v>1.1021275645055116E-2</v>
      </c>
      <c r="K1212" s="70">
        <f t="shared" si="250"/>
        <v>5.8644940002684567E-3</v>
      </c>
      <c r="L1212" s="70">
        <f t="shared" si="250"/>
        <v>3.884440703762905E-3</v>
      </c>
      <c r="M1212" s="70">
        <f t="shared" si="250"/>
        <v>0</v>
      </c>
      <c r="N1212" s="70">
        <f t="shared" si="250"/>
        <v>0</v>
      </c>
      <c r="O1212" s="70">
        <f t="shared" si="250"/>
        <v>0</v>
      </c>
      <c r="P1212" s="70">
        <f t="shared" si="250"/>
        <v>2.9882688314045665E-2</v>
      </c>
      <c r="Q1212" s="70">
        <f t="shared" si="250"/>
        <v>0</v>
      </c>
      <c r="R1212" s="70">
        <f t="shared" si="250"/>
        <v>5.4973360351334391E-2</v>
      </c>
      <c r="S1212" s="70">
        <f t="shared" si="250"/>
        <v>0.53798671134153853</v>
      </c>
      <c r="T1212" s="70">
        <f t="shared" si="250"/>
        <v>0.74168917775808285</v>
      </c>
      <c r="U1212" s="70">
        <f t="shared" si="250"/>
        <v>0</v>
      </c>
      <c r="V1212" s="70">
        <f t="shared" si="250"/>
        <v>0.39734741435663734</v>
      </c>
      <c r="W1212" s="70">
        <f t="shared" si="250"/>
        <v>1.4746409087259693E-2</v>
      </c>
      <c r="X1212" s="70">
        <f t="shared" si="250"/>
        <v>6.5222363738423828E-2</v>
      </c>
      <c r="Y1212" s="70">
        <f t="shared" si="250"/>
        <v>0.11173449276626236</v>
      </c>
      <c r="Z1212" s="70">
        <f t="shared" si="250"/>
        <v>0.14095980063618524</v>
      </c>
      <c r="AA1212" s="70">
        <f t="shared" si="250"/>
        <v>0.4893596196584109</v>
      </c>
      <c r="AB1212" s="70">
        <f t="shared" si="250"/>
        <v>0.36225320681795475</v>
      </c>
      <c r="AC1212" s="70">
        <f t="shared" si="250"/>
        <v>0.64316437502586943</v>
      </c>
      <c r="AD1212" s="70">
        <f t="shared" si="250"/>
        <v>0</v>
      </c>
      <c r="AE1212" s="70">
        <f t="shared" si="250"/>
        <v>5.8838505996129165E-2</v>
      </c>
      <c r="AF1212" s="70">
        <f t="shared" si="250"/>
        <v>0</v>
      </c>
      <c r="AG1212" s="70">
        <f t="shared" si="250"/>
        <v>0.31339326058763955</v>
      </c>
      <c r="AH1212" s="70">
        <f t="shared" si="250"/>
        <v>3.1226016637912361E-2</v>
      </c>
      <c r="AI1212" s="70">
        <f t="shared" si="250"/>
        <v>0</v>
      </c>
      <c r="AJ1212" s="70">
        <f t="shared" si="250"/>
        <v>0</v>
      </c>
      <c r="AK1212" s="70">
        <f t="shared" si="250"/>
        <v>0</v>
      </c>
      <c r="AL1212" s="70">
        <f t="shared" si="250"/>
        <v>0</v>
      </c>
      <c r="AM1212" s="379">
        <f t="shared" si="247"/>
        <v>4.0135476134227721</v>
      </c>
    </row>
    <row r="1213" spans="1:39" x14ac:dyDescent="0.2">
      <c r="A1213" s="8"/>
      <c r="B1213" s="8" t="s">
        <v>577</v>
      </c>
      <c r="C1213" s="22" t="s">
        <v>77</v>
      </c>
      <c r="D1213" s="8"/>
      <c r="E1213" s="70"/>
      <c r="F1213" s="70">
        <f t="shared" ref="F1213:AL1213" si="251">F1115*(F1137/100)*((F1145/100)+(F1145/100)*(F1149/100))</f>
        <v>0</v>
      </c>
      <c r="G1213" s="70">
        <f t="shared" si="251"/>
        <v>0</v>
      </c>
      <c r="H1213" s="70">
        <f t="shared" si="251"/>
        <v>0</v>
      </c>
      <c r="I1213" s="70">
        <f t="shared" si="251"/>
        <v>0</v>
      </c>
      <c r="J1213" s="70">
        <f t="shared" si="251"/>
        <v>6.6160843468374211E-3</v>
      </c>
      <c r="K1213" s="70">
        <f t="shared" si="251"/>
        <v>3.5204624407253987E-3</v>
      </c>
      <c r="L1213" s="70">
        <f t="shared" si="251"/>
        <v>2.3318341872625744E-3</v>
      </c>
      <c r="M1213" s="70">
        <f t="shared" si="251"/>
        <v>0</v>
      </c>
      <c r="N1213" s="70">
        <f t="shared" si="251"/>
        <v>0</v>
      </c>
      <c r="O1213" s="70">
        <f t="shared" si="251"/>
        <v>0</v>
      </c>
      <c r="P1213" s="70">
        <f t="shared" si="251"/>
        <v>1.5998584239139593E-2</v>
      </c>
      <c r="Q1213" s="70">
        <f t="shared" si="251"/>
        <v>0</v>
      </c>
      <c r="R1213" s="70">
        <f t="shared" si="251"/>
        <v>2.110406883145716E-2</v>
      </c>
      <c r="S1213" s="70">
        <f t="shared" si="251"/>
        <v>0.36325428407178589</v>
      </c>
      <c r="T1213" s="70">
        <f t="shared" si="251"/>
        <v>0.50079633119276556</v>
      </c>
      <c r="U1213" s="70">
        <f t="shared" si="251"/>
        <v>0</v>
      </c>
      <c r="V1213" s="70">
        <f t="shared" si="251"/>
        <v>0.14312130348366223</v>
      </c>
      <c r="W1213" s="70">
        <f t="shared" si="251"/>
        <v>7.8949278434379769E-3</v>
      </c>
      <c r="X1213" s="70">
        <f t="shared" si="251"/>
        <v>3.4918728515282875E-2</v>
      </c>
      <c r="Y1213" s="70">
        <f t="shared" si="251"/>
        <v>5.9820377475823173E-2</v>
      </c>
      <c r="Z1213" s="70">
        <f t="shared" si="251"/>
        <v>9.5177539488502952E-2</v>
      </c>
      <c r="AA1213" s="70">
        <f t="shared" si="251"/>
        <v>0.261993198739704</v>
      </c>
      <c r="AB1213" s="70">
        <f t="shared" si="251"/>
        <v>7.780339139767678E-2</v>
      </c>
      <c r="AC1213" s="70">
        <f t="shared" si="251"/>
        <v>0.14872413718342145</v>
      </c>
      <c r="AD1213" s="70">
        <f t="shared" si="251"/>
        <v>0</v>
      </c>
      <c r="AE1213" s="70">
        <f t="shared" si="251"/>
        <v>1.9469208696621415E-2</v>
      </c>
      <c r="AF1213" s="70">
        <f t="shared" si="251"/>
        <v>0</v>
      </c>
      <c r="AG1213" s="70">
        <f t="shared" si="251"/>
        <v>8.2442885835753252E-2</v>
      </c>
      <c r="AH1213" s="70">
        <f t="shared" si="251"/>
        <v>9.6028271814150943E-3</v>
      </c>
      <c r="AI1213" s="70">
        <f t="shared" si="251"/>
        <v>0</v>
      </c>
      <c r="AJ1213" s="70">
        <f t="shared" si="251"/>
        <v>0</v>
      </c>
      <c r="AK1213" s="70">
        <f t="shared" si="251"/>
        <v>0</v>
      </c>
      <c r="AL1213" s="70">
        <f t="shared" si="251"/>
        <v>0</v>
      </c>
      <c r="AM1213" s="379">
        <f t="shared" si="247"/>
        <v>1.8545901751512748</v>
      </c>
    </row>
    <row r="1214" spans="1:39" x14ac:dyDescent="0.2">
      <c r="A1214" s="8"/>
      <c r="B1214" s="8" t="s">
        <v>578</v>
      </c>
      <c r="C1214" s="22" t="s">
        <v>77</v>
      </c>
      <c r="D1214" s="8"/>
      <c r="E1214" s="70"/>
      <c r="F1214" s="70">
        <f t="shared" ref="F1214:AL1214" si="252">F1115*(F1138/100)-F1212</f>
        <v>0</v>
      </c>
      <c r="G1214" s="70">
        <f t="shared" si="252"/>
        <v>0</v>
      </c>
      <c r="H1214" s="70">
        <f t="shared" si="252"/>
        <v>0</v>
      </c>
      <c r="I1214" s="70">
        <f t="shared" si="252"/>
        <v>0</v>
      </c>
      <c r="J1214" s="70">
        <f t="shared" si="252"/>
        <v>2.9737879847012615E-2</v>
      </c>
      <c r="K1214" s="70">
        <f t="shared" si="252"/>
        <v>1.5823723456345657E-2</v>
      </c>
      <c r="L1214" s="70">
        <f t="shared" si="252"/>
        <v>1.0481094443289258E-2</v>
      </c>
      <c r="M1214" s="70">
        <f t="shared" si="252"/>
        <v>0</v>
      </c>
      <c r="N1214" s="70">
        <f t="shared" si="252"/>
        <v>0</v>
      </c>
      <c r="O1214" s="70">
        <f t="shared" si="252"/>
        <v>0</v>
      </c>
      <c r="P1214" s="70">
        <f t="shared" si="252"/>
        <v>8.0630212255649827E-2</v>
      </c>
      <c r="Q1214" s="70">
        <f t="shared" si="252"/>
        <v>0</v>
      </c>
      <c r="R1214" s="70">
        <f t="shared" si="252"/>
        <v>0.14833048710182534</v>
      </c>
      <c r="S1214" s="70">
        <f t="shared" si="252"/>
        <v>1.4516091146256893</v>
      </c>
      <c r="T1214" s="70">
        <f t="shared" si="252"/>
        <v>2.0012441719389686</v>
      </c>
      <c r="U1214" s="70">
        <f t="shared" si="252"/>
        <v>0</v>
      </c>
      <c r="V1214" s="70">
        <f t="shared" si="252"/>
        <v>1.0721326683232344</v>
      </c>
      <c r="W1214" s="70">
        <f t="shared" si="252"/>
        <v>3.9789127478049816E-2</v>
      </c>
      <c r="X1214" s="70">
        <f t="shared" si="252"/>
        <v>0.17598460274982997</v>
      </c>
      <c r="Y1214" s="70">
        <f t="shared" si="252"/>
        <v>0.30148478521547711</v>
      </c>
      <c r="Z1214" s="70">
        <f t="shared" si="252"/>
        <v>0.38034123721952934</v>
      </c>
      <c r="AA1214" s="70">
        <f t="shared" si="252"/>
        <v>1.3204022873623393</v>
      </c>
      <c r="AB1214" s="70">
        <f t="shared" si="252"/>
        <v>0.97744060537862332</v>
      </c>
      <c r="AC1214" s="70">
        <f t="shared" si="252"/>
        <v>1.7354021006615175</v>
      </c>
      <c r="AD1214" s="70">
        <f t="shared" si="252"/>
        <v>0</v>
      </c>
      <c r="AE1214" s="70">
        <f t="shared" si="252"/>
        <v>0.15875951913748459</v>
      </c>
      <c r="AF1214" s="70">
        <f t="shared" si="252"/>
        <v>0</v>
      </c>
      <c r="AG1214" s="70">
        <f t="shared" si="252"/>
        <v>0.84560548418913384</v>
      </c>
      <c r="AH1214" s="70">
        <f t="shared" si="252"/>
        <v>8.4254814123597838E-2</v>
      </c>
      <c r="AI1214" s="70">
        <f t="shared" si="252"/>
        <v>0</v>
      </c>
      <c r="AJ1214" s="70">
        <f t="shared" si="252"/>
        <v>0</v>
      </c>
      <c r="AK1214" s="70">
        <f t="shared" si="252"/>
        <v>0</v>
      </c>
      <c r="AL1214" s="70">
        <f t="shared" si="252"/>
        <v>0</v>
      </c>
      <c r="AM1214" s="379">
        <f t="shared" si="247"/>
        <v>10.829453915507598</v>
      </c>
    </row>
    <row r="1215" spans="1:39" x14ac:dyDescent="0.2">
      <c r="A1215" s="8"/>
      <c r="B1215" s="8" t="s">
        <v>579</v>
      </c>
      <c r="C1215" s="22" t="s">
        <v>77</v>
      </c>
      <c r="D1215" s="8"/>
      <c r="E1215" s="70"/>
      <c r="F1215" s="70">
        <f t="shared" ref="F1215:AL1215" si="253">F1115*(F1137/100)-F1213</f>
        <v>0</v>
      </c>
      <c r="G1215" s="70">
        <f t="shared" si="253"/>
        <v>0</v>
      </c>
      <c r="H1215" s="70">
        <f t="shared" si="253"/>
        <v>0</v>
      </c>
      <c r="I1215" s="70">
        <f t="shared" si="253"/>
        <v>0</v>
      </c>
      <c r="J1215" s="70">
        <f t="shared" si="253"/>
        <v>5.888970126541427E-2</v>
      </c>
      <c r="K1215" s="70">
        <f t="shared" si="253"/>
        <v>3.1335601328833007E-2</v>
      </c>
      <c r="L1215" s="70">
        <f t="shared" si="253"/>
        <v>2.0755633013356974E-2</v>
      </c>
      <c r="M1215" s="70">
        <f t="shared" si="253"/>
        <v>0</v>
      </c>
      <c r="N1215" s="70">
        <f t="shared" si="253"/>
        <v>0</v>
      </c>
      <c r="O1215" s="70">
        <f t="shared" si="253"/>
        <v>0</v>
      </c>
      <c r="P1215" s="70">
        <f t="shared" si="253"/>
        <v>0.14240323991075737</v>
      </c>
      <c r="Q1215" s="70">
        <f t="shared" si="253"/>
        <v>0</v>
      </c>
      <c r="R1215" s="70">
        <f t="shared" si="253"/>
        <v>0.18784710771762361</v>
      </c>
      <c r="S1215" s="70">
        <f t="shared" si="253"/>
        <v>3.2333227859458957</v>
      </c>
      <c r="T1215" s="70">
        <f t="shared" si="253"/>
        <v>4.4575831855672892</v>
      </c>
      <c r="U1215" s="70">
        <f t="shared" si="253"/>
        <v>0</v>
      </c>
      <c r="V1215" s="70">
        <f t="shared" si="253"/>
        <v>1.2739213052654685</v>
      </c>
      <c r="W1215" s="70">
        <f t="shared" si="253"/>
        <v>7.0272674566839013E-2</v>
      </c>
      <c r="X1215" s="70">
        <f t="shared" si="253"/>
        <v>0.31081125678454757</v>
      </c>
      <c r="Y1215" s="70">
        <f t="shared" si="253"/>
        <v>0.53246058763133697</v>
      </c>
      <c r="Z1215" s="70">
        <f t="shared" si="253"/>
        <v>0.84717433663528863</v>
      </c>
      <c r="AA1215" s="70">
        <f t="shared" si="253"/>
        <v>2.3319988679900381</v>
      </c>
      <c r="AB1215" s="70">
        <f t="shared" si="253"/>
        <v>0.69252721650011306</v>
      </c>
      <c r="AC1215" s="70">
        <f t="shared" si="253"/>
        <v>1.3237920725534247</v>
      </c>
      <c r="AD1215" s="70">
        <f t="shared" si="253"/>
        <v>0</v>
      </c>
      <c r="AE1215" s="70">
        <f t="shared" si="253"/>
        <v>0.17329523384418466</v>
      </c>
      <c r="AF1215" s="70">
        <f t="shared" si="253"/>
        <v>0</v>
      </c>
      <c r="AG1215" s="70">
        <f t="shared" si="253"/>
        <v>0.73382331055784333</v>
      </c>
      <c r="AH1215" s="70">
        <f t="shared" si="253"/>
        <v>8.5474669664278899E-2</v>
      </c>
      <c r="AI1215" s="70">
        <f t="shared" si="253"/>
        <v>0</v>
      </c>
      <c r="AJ1215" s="70">
        <f t="shared" si="253"/>
        <v>0</v>
      </c>
      <c r="AK1215" s="70">
        <f t="shared" si="253"/>
        <v>0</v>
      </c>
      <c r="AL1215" s="70">
        <f t="shared" si="253"/>
        <v>0</v>
      </c>
      <c r="AM1215" s="379">
        <f t="shared" si="247"/>
        <v>16.507688786742534</v>
      </c>
    </row>
    <row r="1216" spans="1:39" x14ac:dyDescent="0.2">
      <c r="A1216" s="8"/>
      <c r="B1216" s="8"/>
      <c r="C1216" s="22"/>
      <c r="D1216" s="8"/>
      <c r="E1216" s="70"/>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379"/>
    </row>
    <row r="1217" spans="1:39" x14ac:dyDescent="0.2">
      <c r="A1217" s="8"/>
      <c r="B1217" s="8" t="s">
        <v>580</v>
      </c>
      <c r="C1217" s="22" t="s">
        <v>77</v>
      </c>
      <c r="D1217" s="8"/>
      <c r="E1217" s="70"/>
      <c r="F1217" s="70">
        <f t="shared" ref="F1217:AL1217" si="254">F1116*(F1152/100)*((F1153/100)*(F1156/100)+(F1153/100)*(F1156/100)*(F1160/100)+(F1154/100)*(F1157/100)+(F1154/100)*(F1157/100)*(F1161/100)+(F1155/100)*(F1158/100)+(F1155/100)*(F1158/100)*(F1162/100))</f>
        <v>0</v>
      </c>
      <c r="G1217" s="70">
        <f t="shared" si="254"/>
        <v>0</v>
      </c>
      <c r="H1217" s="70">
        <f t="shared" si="254"/>
        <v>0</v>
      </c>
      <c r="I1217" s="70">
        <f t="shared" si="254"/>
        <v>0</v>
      </c>
      <c r="J1217" s="70">
        <f t="shared" si="254"/>
        <v>0.1874788845129032</v>
      </c>
      <c r="K1217" s="70">
        <f t="shared" si="254"/>
        <v>0.30962913793676988</v>
      </c>
      <c r="L1217" s="70">
        <f t="shared" si="254"/>
        <v>0.10558366180393756</v>
      </c>
      <c r="M1217" s="70">
        <f t="shared" si="254"/>
        <v>0</v>
      </c>
      <c r="N1217" s="70">
        <f t="shared" si="254"/>
        <v>0</v>
      </c>
      <c r="O1217" s="70">
        <f t="shared" si="254"/>
        <v>0</v>
      </c>
      <c r="P1217" s="70">
        <f t="shared" si="254"/>
        <v>1.2823566166423688</v>
      </c>
      <c r="Q1217" s="70">
        <f t="shared" si="254"/>
        <v>0</v>
      </c>
      <c r="R1217" s="70">
        <f t="shared" si="254"/>
        <v>0.25219586633982416</v>
      </c>
      <c r="S1217" s="70">
        <f t="shared" si="254"/>
        <v>1.3937370273649619</v>
      </c>
      <c r="T1217" s="70">
        <f t="shared" si="254"/>
        <v>2.5400886818939972</v>
      </c>
      <c r="U1217" s="70">
        <f t="shared" si="254"/>
        <v>0</v>
      </c>
      <c r="V1217" s="70">
        <f t="shared" si="254"/>
        <v>7.197846426687347</v>
      </c>
      <c r="W1217" s="70">
        <f t="shared" si="254"/>
        <v>0.11426669106484394</v>
      </c>
      <c r="X1217" s="70">
        <f t="shared" si="254"/>
        <v>0.50118397069574971</v>
      </c>
      <c r="Y1217" s="70">
        <f t="shared" si="254"/>
        <v>0.38562284004852593</v>
      </c>
      <c r="Z1217" s="70">
        <f t="shared" si="254"/>
        <v>4.3594173387553017</v>
      </c>
      <c r="AA1217" s="70">
        <f t="shared" si="254"/>
        <v>2.8234862358367141</v>
      </c>
      <c r="AB1217" s="70">
        <f t="shared" si="254"/>
        <v>7.6120134836469608</v>
      </c>
      <c r="AC1217" s="70">
        <f t="shared" si="254"/>
        <v>9.1621672908561305</v>
      </c>
      <c r="AD1217" s="70">
        <f t="shared" si="254"/>
        <v>0</v>
      </c>
      <c r="AE1217" s="70">
        <f t="shared" si="254"/>
        <v>4.811553797367635</v>
      </c>
      <c r="AF1217" s="70">
        <f t="shared" si="254"/>
        <v>0</v>
      </c>
      <c r="AG1217" s="70">
        <f t="shared" si="254"/>
        <v>2.6998961863237323</v>
      </c>
      <c r="AH1217" s="70">
        <f t="shared" si="254"/>
        <v>0.49837132611487939</v>
      </c>
      <c r="AI1217" s="70">
        <f t="shared" si="254"/>
        <v>0</v>
      </c>
      <c r="AJ1217" s="70">
        <f t="shared" si="254"/>
        <v>0</v>
      </c>
      <c r="AK1217" s="70">
        <f t="shared" si="254"/>
        <v>0</v>
      </c>
      <c r="AL1217" s="70">
        <f t="shared" si="254"/>
        <v>0</v>
      </c>
      <c r="AM1217" s="379">
        <f t="shared" si="247"/>
        <v>46.236895463892587</v>
      </c>
    </row>
    <row r="1218" spans="1:39" x14ac:dyDescent="0.2">
      <c r="A1218" s="8"/>
      <c r="B1218" s="8" t="s">
        <v>581</v>
      </c>
      <c r="C1218" s="22" t="s">
        <v>77</v>
      </c>
      <c r="D1218" s="8"/>
      <c r="E1218" s="70"/>
      <c r="F1218" s="70">
        <f t="shared" ref="F1218:AL1218" si="255">F1116*(F1151/100)*((F1159/100)+(F1159/100)*(F1163/100))</f>
        <v>0</v>
      </c>
      <c r="G1218" s="70">
        <f t="shared" si="255"/>
        <v>0</v>
      </c>
      <c r="H1218" s="70">
        <f t="shared" si="255"/>
        <v>0</v>
      </c>
      <c r="I1218" s="70">
        <f t="shared" si="255"/>
        <v>0</v>
      </c>
      <c r="J1218" s="70">
        <f t="shared" si="255"/>
        <v>0.11254378831772309</v>
      </c>
      <c r="K1218" s="70">
        <f t="shared" si="255"/>
        <v>2.505812734904949E-2</v>
      </c>
      <c r="L1218" s="70">
        <f t="shared" si="255"/>
        <v>6.3381992669444262E-2</v>
      </c>
      <c r="M1218" s="70">
        <f t="shared" si="255"/>
        <v>0</v>
      </c>
      <c r="N1218" s="70">
        <f t="shared" si="255"/>
        <v>0</v>
      </c>
      <c r="O1218" s="70">
        <f t="shared" si="255"/>
        <v>0</v>
      </c>
      <c r="P1218" s="70">
        <f t="shared" si="255"/>
        <v>0.68654768072951289</v>
      </c>
      <c r="Q1218" s="70">
        <f t="shared" si="255"/>
        <v>0</v>
      </c>
      <c r="R1218" s="70">
        <f t="shared" si="255"/>
        <v>2.0410082131668447E-2</v>
      </c>
      <c r="S1218" s="70">
        <f t="shared" si="255"/>
        <v>1.6469921554037766E-2</v>
      </c>
      <c r="T1218" s="70">
        <f t="shared" si="255"/>
        <v>5.7279528127021612E-2</v>
      </c>
      <c r="U1218" s="70">
        <f t="shared" si="255"/>
        <v>0</v>
      </c>
      <c r="V1218" s="70">
        <f t="shared" si="255"/>
        <v>0.98198584717483028</v>
      </c>
      <c r="W1218" s="70">
        <f t="shared" si="255"/>
        <v>6.1176065001801928E-2</v>
      </c>
      <c r="X1218" s="70">
        <f t="shared" si="255"/>
        <v>2.6325364585015065E-2</v>
      </c>
      <c r="Y1218" s="70">
        <f t="shared" si="255"/>
        <v>2.0255360207338077E-2</v>
      </c>
      <c r="Z1218" s="70">
        <f t="shared" si="255"/>
        <v>2.9435244235138009</v>
      </c>
      <c r="AA1218" s="70">
        <f t="shared" si="255"/>
        <v>0.14830742582606657</v>
      </c>
      <c r="AB1218" s="70">
        <f t="shared" si="255"/>
        <v>0.7533040377760053</v>
      </c>
      <c r="AC1218" s="70">
        <f t="shared" si="255"/>
        <v>1.1075420038432289</v>
      </c>
      <c r="AD1218" s="70">
        <f t="shared" si="255"/>
        <v>0</v>
      </c>
      <c r="AE1218" s="70">
        <f t="shared" si="255"/>
        <v>1.0203982504596572</v>
      </c>
      <c r="AF1218" s="70">
        <f t="shared" si="255"/>
        <v>0</v>
      </c>
      <c r="AG1218" s="70">
        <f t="shared" si="255"/>
        <v>0.48441609158486687</v>
      </c>
      <c r="AH1218" s="70">
        <f t="shared" si="255"/>
        <v>8.2131751616612209E-2</v>
      </c>
      <c r="AI1218" s="70">
        <f t="shared" si="255"/>
        <v>0</v>
      </c>
      <c r="AJ1218" s="70">
        <f t="shared" si="255"/>
        <v>0</v>
      </c>
      <c r="AK1218" s="70">
        <f t="shared" si="255"/>
        <v>0</v>
      </c>
      <c r="AL1218" s="70">
        <f t="shared" si="255"/>
        <v>0</v>
      </c>
      <c r="AM1218" s="379">
        <f t="shared" si="247"/>
        <v>8.6110577424676809</v>
      </c>
    </row>
    <row r="1219" spans="1:39" x14ac:dyDescent="0.2">
      <c r="A1219" s="8"/>
      <c r="B1219" s="8" t="s">
        <v>582</v>
      </c>
      <c r="C1219" s="22" t="s">
        <v>77</v>
      </c>
      <c r="D1219" s="8"/>
      <c r="E1219" s="70"/>
      <c r="F1219" s="70">
        <f t="shared" ref="F1219:AL1219" si="256">F1116*(F1152/100)-F1217</f>
        <v>0</v>
      </c>
      <c r="G1219" s="70">
        <f t="shared" si="256"/>
        <v>0</v>
      </c>
      <c r="H1219" s="70">
        <f t="shared" si="256"/>
        <v>0</v>
      </c>
      <c r="I1219" s="70">
        <f t="shared" si="256"/>
        <v>0</v>
      </c>
      <c r="J1219" s="70">
        <f t="shared" si="256"/>
        <v>0.50586018543126543</v>
      </c>
      <c r="K1219" s="70">
        <f t="shared" si="256"/>
        <v>0.83544903490631373</v>
      </c>
      <c r="L1219" s="70">
        <f t="shared" si="256"/>
        <v>0.28488846025204451</v>
      </c>
      <c r="M1219" s="70">
        <f t="shared" si="256"/>
        <v>0</v>
      </c>
      <c r="N1219" s="70">
        <f t="shared" si="256"/>
        <v>0</v>
      </c>
      <c r="O1219" s="70">
        <f t="shared" si="256"/>
        <v>0</v>
      </c>
      <c r="P1219" s="70">
        <f t="shared" si="256"/>
        <v>3.4600864922421306</v>
      </c>
      <c r="Q1219" s="70">
        <f t="shared" si="256"/>
        <v>0</v>
      </c>
      <c r="R1219" s="70">
        <f t="shared" si="256"/>
        <v>0.68048115414769106</v>
      </c>
      <c r="S1219" s="70">
        <f t="shared" si="256"/>
        <v>3.7606158844877076</v>
      </c>
      <c r="T1219" s="70">
        <f t="shared" si="256"/>
        <v>6.8537304079506667</v>
      </c>
      <c r="U1219" s="70">
        <f t="shared" si="256"/>
        <v>0</v>
      </c>
      <c r="V1219" s="70">
        <f t="shared" si="256"/>
        <v>19.421408109878286</v>
      </c>
      <c r="W1219" s="70">
        <f t="shared" si="256"/>
        <v>0.30831722559508185</v>
      </c>
      <c r="X1219" s="70">
        <f t="shared" si="256"/>
        <v>1.3523070451908985</v>
      </c>
      <c r="Y1219" s="70">
        <f t="shared" si="256"/>
        <v>1.0404971305451349</v>
      </c>
      <c r="Z1219" s="70">
        <f t="shared" si="256"/>
        <v>11.762688203978799</v>
      </c>
      <c r="AA1219" s="70">
        <f t="shared" si="256"/>
        <v>7.6184007310150381</v>
      </c>
      <c r="AB1219" s="70">
        <f t="shared" si="256"/>
        <v>20.53892395587582</v>
      </c>
      <c r="AC1219" s="70">
        <f t="shared" si="256"/>
        <v>24.721587483020087</v>
      </c>
      <c r="AD1219" s="70">
        <f t="shared" si="256"/>
        <v>0</v>
      </c>
      <c r="AE1219" s="70">
        <f t="shared" si="256"/>
        <v>12.98265403313397</v>
      </c>
      <c r="AF1219" s="70">
        <f t="shared" si="256"/>
        <v>0</v>
      </c>
      <c r="AG1219" s="70">
        <f t="shared" si="256"/>
        <v>7.2849269879504241</v>
      </c>
      <c r="AH1219" s="70">
        <f t="shared" si="256"/>
        <v>1.3447178976827512</v>
      </c>
      <c r="AI1219" s="70">
        <f t="shared" si="256"/>
        <v>0</v>
      </c>
      <c r="AJ1219" s="70">
        <f t="shared" si="256"/>
        <v>0</v>
      </c>
      <c r="AK1219" s="70">
        <f t="shared" si="256"/>
        <v>0</v>
      </c>
      <c r="AL1219" s="70">
        <f t="shared" si="256"/>
        <v>0</v>
      </c>
      <c r="AM1219" s="379">
        <f t="shared" si="247"/>
        <v>124.75754042328411</v>
      </c>
    </row>
    <row r="1220" spans="1:39" x14ac:dyDescent="0.2">
      <c r="A1220" s="8"/>
      <c r="B1220" s="8" t="s">
        <v>583</v>
      </c>
      <c r="C1220" s="22" t="s">
        <v>77</v>
      </c>
      <c r="D1220" s="8"/>
      <c r="E1220" s="70"/>
      <c r="F1220" s="70">
        <f t="shared" ref="F1220:AL1220" si="257">F1116*(F1151/100)-F1218</f>
        <v>0</v>
      </c>
      <c r="G1220" s="70">
        <f t="shared" si="257"/>
        <v>0</v>
      </c>
      <c r="H1220" s="70">
        <f t="shared" si="257"/>
        <v>0</v>
      </c>
      <c r="I1220" s="70">
        <f t="shared" si="257"/>
        <v>0</v>
      </c>
      <c r="J1220" s="70">
        <f t="shared" si="257"/>
        <v>1.0017511455211192</v>
      </c>
      <c r="K1220" s="70">
        <f t="shared" si="257"/>
        <v>0.22304214343361872</v>
      </c>
      <c r="L1220" s="70">
        <f t="shared" si="257"/>
        <v>0.56416248920624157</v>
      </c>
      <c r="M1220" s="70">
        <f t="shared" si="257"/>
        <v>0</v>
      </c>
      <c r="N1220" s="70">
        <f t="shared" si="257"/>
        <v>0</v>
      </c>
      <c r="O1220" s="70">
        <f t="shared" si="257"/>
        <v>0</v>
      </c>
      <c r="P1220" s="70">
        <f t="shared" si="257"/>
        <v>6.1109541086716046</v>
      </c>
      <c r="Q1220" s="70">
        <f t="shared" si="257"/>
        <v>0</v>
      </c>
      <c r="R1220" s="70">
        <f t="shared" si="257"/>
        <v>0.18166993897395972</v>
      </c>
      <c r="S1220" s="70">
        <f t="shared" si="257"/>
        <v>0.14659860868395991</v>
      </c>
      <c r="T1220" s="70">
        <f t="shared" si="257"/>
        <v>0.50984451273457843</v>
      </c>
      <c r="U1220" s="70">
        <f t="shared" si="257"/>
        <v>0</v>
      </c>
      <c r="V1220" s="70">
        <f t="shared" si="257"/>
        <v>8.7406463030710135</v>
      </c>
      <c r="W1220" s="70">
        <f t="shared" si="257"/>
        <v>0.54452754887742505</v>
      </c>
      <c r="X1220" s="70">
        <f t="shared" si="257"/>
        <v>0.23432180952404497</v>
      </c>
      <c r="Y1220" s="70">
        <f t="shared" si="257"/>
        <v>0.18029276065739536</v>
      </c>
      <c r="Z1220" s="70">
        <f t="shared" si="257"/>
        <v>26.20028174989017</v>
      </c>
      <c r="AA1220" s="70">
        <f t="shared" si="257"/>
        <v>1.3200829288874638</v>
      </c>
      <c r="AB1220" s="70">
        <f t="shared" si="257"/>
        <v>6.7051517817884028</v>
      </c>
      <c r="AC1220" s="70">
        <f t="shared" si="257"/>
        <v>9.8582204104461653</v>
      </c>
      <c r="AD1220" s="70">
        <f t="shared" si="257"/>
        <v>0</v>
      </c>
      <c r="AE1220" s="70">
        <f t="shared" si="257"/>
        <v>9.0825547243884337</v>
      </c>
      <c r="AF1220" s="70">
        <f t="shared" si="257"/>
        <v>0</v>
      </c>
      <c r="AG1220" s="70">
        <f t="shared" si="257"/>
        <v>4.311782834997973</v>
      </c>
      <c r="AH1220" s="70">
        <f t="shared" si="257"/>
        <v>0.73105390795380565</v>
      </c>
      <c r="AI1220" s="70">
        <f t="shared" si="257"/>
        <v>0</v>
      </c>
      <c r="AJ1220" s="70">
        <f t="shared" si="257"/>
        <v>0</v>
      </c>
      <c r="AK1220" s="70">
        <f t="shared" si="257"/>
        <v>0</v>
      </c>
      <c r="AL1220" s="70">
        <f t="shared" si="257"/>
        <v>0</v>
      </c>
      <c r="AM1220" s="379">
        <f t="shared" si="247"/>
        <v>76.646939707707375</v>
      </c>
    </row>
    <row r="1221" spans="1:39" x14ac:dyDescent="0.2">
      <c r="A1221" s="8"/>
      <c r="B1221" s="8"/>
      <c r="C1221" s="22"/>
      <c r="D1221" s="8"/>
      <c r="E1221" s="70"/>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379"/>
    </row>
    <row r="1222" spans="1:39" x14ac:dyDescent="0.2">
      <c r="A1222" s="8"/>
      <c r="B1222" s="8" t="s">
        <v>584</v>
      </c>
      <c r="C1222" s="22" t="s">
        <v>77</v>
      </c>
      <c r="D1222" s="8"/>
      <c r="E1222" s="70"/>
      <c r="F1222" s="70">
        <f t="shared" ref="F1222:AL1222" si="258">F1117*(F1166/100)*((F1167/100)*(F1170/100)+(F1167/100)*(F1170/100)*(F1174/100)+(F1168/100)*(F1171/100)+(F1168/100)*(F1171/100)*(F1175/100)+(F1169/100)*(F1172/100)+(F1169/100)*(F1172/100)*(F1176/100))</f>
        <v>0</v>
      </c>
      <c r="G1222" s="70">
        <f t="shared" si="258"/>
        <v>0</v>
      </c>
      <c r="H1222" s="70">
        <f t="shared" si="258"/>
        <v>0</v>
      </c>
      <c r="I1222" s="70">
        <f t="shared" si="258"/>
        <v>0</v>
      </c>
      <c r="J1222" s="70">
        <f t="shared" si="258"/>
        <v>0.96347904373009918</v>
      </c>
      <c r="K1222" s="70">
        <f t="shared" si="258"/>
        <v>0.4804960299886144</v>
      </c>
      <c r="L1222" s="70">
        <f t="shared" si="258"/>
        <v>1.3327993860163525</v>
      </c>
      <c r="M1222" s="70">
        <f t="shared" si="258"/>
        <v>0</v>
      </c>
      <c r="N1222" s="70">
        <f t="shared" si="258"/>
        <v>0</v>
      </c>
      <c r="O1222" s="70">
        <f t="shared" si="258"/>
        <v>0</v>
      </c>
      <c r="P1222" s="70">
        <f t="shared" si="258"/>
        <v>0.98648984959889918</v>
      </c>
      <c r="Q1222" s="70">
        <f t="shared" si="258"/>
        <v>0</v>
      </c>
      <c r="R1222" s="70">
        <f t="shared" si="258"/>
        <v>25.23955650543293</v>
      </c>
      <c r="S1222" s="70">
        <f t="shared" si="258"/>
        <v>2.6886938536877105</v>
      </c>
      <c r="T1222" s="70">
        <f t="shared" si="258"/>
        <v>7.0193971438698837</v>
      </c>
      <c r="U1222" s="70">
        <f t="shared" si="258"/>
        <v>0</v>
      </c>
      <c r="V1222" s="70">
        <f t="shared" si="258"/>
        <v>2.4133545767418165</v>
      </c>
      <c r="W1222" s="70">
        <f t="shared" si="258"/>
        <v>0.53191770656510595</v>
      </c>
      <c r="X1222" s="70">
        <f t="shared" si="258"/>
        <v>0.16993829182936088</v>
      </c>
      <c r="Y1222" s="70">
        <f t="shared" si="258"/>
        <v>1.0426199489770196</v>
      </c>
      <c r="Z1222" s="70">
        <f t="shared" si="258"/>
        <v>0.23400416418208858</v>
      </c>
      <c r="AA1222" s="70">
        <f t="shared" si="258"/>
        <v>0.75099181541312854</v>
      </c>
      <c r="AB1222" s="70">
        <f t="shared" si="258"/>
        <v>1.1922537510612909</v>
      </c>
      <c r="AC1222" s="70">
        <f t="shared" si="258"/>
        <v>2.5762922312977556</v>
      </c>
      <c r="AD1222" s="70">
        <f t="shared" si="258"/>
        <v>0</v>
      </c>
      <c r="AE1222" s="70">
        <f t="shared" si="258"/>
        <v>1.7490186949717927</v>
      </c>
      <c r="AF1222" s="70">
        <f t="shared" si="258"/>
        <v>0</v>
      </c>
      <c r="AG1222" s="70">
        <f t="shared" si="258"/>
        <v>1.0206477910486889</v>
      </c>
      <c r="AH1222" s="70">
        <f t="shared" si="258"/>
        <v>0.4821059886973042</v>
      </c>
      <c r="AI1222" s="70">
        <f t="shared" si="258"/>
        <v>0</v>
      </c>
      <c r="AJ1222" s="70">
        <f t="shared" si="258"/>
        <v>0</v>
      </c>
      <c r="AK1222" s="70">
        <f t="shared" si="258"/>
        <v>0</v>
      </c>
      <c r="AL1222" s="70">
        <f t="shared" si="258"/>
        <v>0</v>
      </c>
      <c r="AM1222" s="379">
        <f t="shared" si="247"/>
        <v>50.874056773109849</v>
      </c>
    </row>
    <row r="1223" spans="1:39" x14ac:dyDescent="0.2">
      <c r="A1223" s="8"/>
      <c r="B1223" s="8" t="s">
        <v>585</v>
      </c>
      <c r="C1223" s="22" t="s">
        <v>77</v>
      </c>
      <c r="D1223" s="8"/>
      <c r="E1223" s="70"/>
      <c r="F1223" s="70">
        <f t="shared" ref="F1223:AL1223" si="259">F1117*(F1165/100)*((F1173/100)+(F1173/100)*(F1177/100))</f>
        <v>0</v>
      </c>
      <c r="G1223" s="70">
        <f t="shared" si="259"/>
        <v>0</v>
      </c>
      <c r="H1223" s="70">
        <f t="shared" si="259"/>
        <v>0</v>
      </c>
      <c r="I1223" s="70">
        <f t="shared" si="259"/>
        <v>0</v>
      </c>
      <c r="J1223" s="70">
        <f t="shared" si="259"/>
        <v>0</v>
      </c>
      <c r="K1223" s="70">
        <f t="shared" si="259"/>
        <v>0</v>
      </c>
      <c r="L1223" s="70">
        <f t="shared" si="259"/>
        <v>0</v>
      </c>
      <c r="M1223" s="70">
        <f t="shared" si="259"/>
        <v>0</v>
      </c>
      <c r="N1223" s="70">
        <f t="shared" si="259"/>
        <v>0</v>
      </c>
      <c r="O1223" s="70">
        <f t="shared" si="259"/>
        <v>0</v>
      </c>
      <c r="P1223" s="70">
        <f t="shared" si="259"/>
        <v>0</v>
      </c>
      <c r="Q1223" s="70">
        <f t="shared" si="259"/>
        <v>0</v>
      </c>
      <c r="R1223" s="70">
        <f t="shared" si="259"/>
        <v>0</v>
      </c>
      <c r="S1223" s="70">
        <f t="shared" si="259"/>
        <v>0</v>
      </c>
      <c r="T1223" s="70">
        <f t="shared" si="259"/>
        <v>0</v>
      </c>
      <c r="U1223" s="70">
        <f t="shared" si="259"/>
        <v>0</v>
      </c>
      <c r="V1223" s="70">
        <f t="shared" si="259"/>
        <v>0</v>
      </c>
      <c r="W1223" s="70">
        <f t="shared" si="259"/>
        <v>0</v>
      </c>
      <c r="X1223" s="70">
        <f t="shared" si="259"/>
        <v>0</v>
      </c>
      <c r="Y1223" s="70">
        <f t="shared" si="259"/>
        <v>0</v>
      </c>
      <c r="Z1223" s="70">
        <f t="shared" si="259"/>
        <v>0</v>
      </c>
      <c r="AA1223" s="70">
        <f t="shared" si="259"/>
        <v>0</v>
      </c>
      <c r="AB1223" s="70">
        <f t="shared" si="259"/>
        <v>0</v>
      </c>
      <c r="AC1223" s="70">
        <f t="shared" si="259"/>
        <v>0</v>
      </c>
      <c r="AD1223" s="70">
        <f t="shared" si="259"/>
        <v>0</v>
      </c>
      <c r="AE1223" s="70">
        <f t="shared" si="259"/>
        <v>0</v>
      </c>
      <c r="AF1223" s="70">
        <f t="shared" si="259"/>
        <v>0</v>
      </c>
      <c r="AG1223" s="70">
        <f t="shared" si="259"/>
        <v>0</v>
      </c>
      <c r="AH1223" s="70">
        <f t="shared" si="259"/>
        <v>0</v>
      </c>
      <c r="AI1223" s="70">
        <f t="shared" si="259"/>
        <v>0</v>
      </c>
      <c r="AJ1223" s="70">
        <f t="shared" si="259"/>
        <v>0</v>
      </c>
      <c r="AK1223" s="70">
        <f t="shared" si="259"/>
        <v>0</v>
      </c>
      <c r="AL1223" s="70">
        <f t="shared" si="259"/>
        <v>0</v>
      </c>
      <c r="AM1223" s="379">
        <f t="shared" si="247"/>
        <v>0</v>
      </c>
    </row>
    <row r="1224" spans="1:39" x14ac:dyDescent="0.2">
      <c r="A1224" s="8"/>
      <c r="B1224" s="8" t="s">
        <v>586</v>
      </c>
      <c r="C1224" s="22" t="s">
        <v>77</v>
      </c>
      <c r="D1224" s="8"/>
      <c r="E1224" s="70"/>
      <c r="F1224" s="70">
        <f t="shared" ref="F1224:AL1224" si="260">F1117*(F1166/100)-F1222</f>
        <v>0</v>
      </c>
      <c r="G1224" s="70">
        <f t="shared" si="260"/>
        <v>0</v>
      </c>
      <c r="H1224" s="70">
        <f t="shared" si="260"/>
        <v>0</v>
      </c>
      <c r="I1224" s="70">
        <f t="shared" si="260"/>
        <v>0</v>
      </c>
      <c r="J1224" s="70">
        <f t="shared" si="260"/>
        <v>2.641977883426109</v>
      </c>
      <c r="K1224" s="70">
        <f t="shared" si="260"/>
        <v>1.3360966490960662</v>
      </c>
      <c r="L1224" s="70">
        <f t="shared" si="260"/>
        <v>3.6546996261244127</v>
      </c>
      <c r="M1224" s="70">
        <f t="shared" si="260"/>
        <v>0</v>
      </c>
      <c r="N1224" s="70">
        <f t="shared" si="260"/>
        <v>0</v>
      </c>
      <c r="O1224" s="70">
        <f t="shared" si="260"/>
        <v>0</v>
      </c>
      <c r="P1224" s="70">
        <f t="shared" si="260"/>
        <v>2.7050763395687749</v>
      </c>
      <c r="Q1224" s="70">
        <f t="shared" si="260"/>
        <v>0</v>
      </c>
      <c r="R1224" s="70">
        <f t="shared" si="260"/>
        <v>67.322885753632519</v>
      </c>
      <c r="S1224" s="70">
        <f t="shared" si="260"/>
        <v>7.3581742920926656</v>
      </c>
      <c r="T1224" s="70">
        <f t="shared" si="260"/>
        <v>19.230378611433796</v>
      </c>
      <c r="U1224" s="70">
        <f t="shared" si="260"/>
        <v>0</v>
      </c>
      <c r="V1224" s="70">
        <f t="shared" si="260"/>
        <v>6.5794099300630151</v>
      </c>
      <c r="W1224" s="70">
        <f t="shared" si="260"/>
        <v>1.4585836876192833</v>
      </c>
      <c r="X1224" s="70">
        <f t="shared" si="260"/>
        <v>0.47254080803060666</v>
      </c>
      <c r="Y1224" s="70">
        <f t="shared" si="260"/>
        <v>2.8991727988718567</v>
      </c>
      <c r="Z1224" s="70">
        <f t="shared" si="260"/>
        <v>0.61568415975960966</v>
      </c>
      <c r="AA1224" s="70">
        <f t="shared" si="260"/>
        <v>2.0882537741171938</v>
      </c>
      <c r="AB1224" s="70">
        <f t="shared" si="260"/>
        <v>3.2697239734949508</v>
      </c>
      <c r="AC1224" s="70">
        <f t="shared" si="260"/>
        <v>7.0782540800333793</v>
      </c>
      <c r="AD1224" s="70">
        <f t="shared" si="260"/>
        <v>0</v>
      </c>
      <c r="AE1224" s="70">
        <f t="shared" si="260"/>
        <v>4.7330739643631805</v>
      </c>
      <c r="AF1224" s="70">
        <f t="shared" si="260"/>
        <v>0</v>
      </c>
      <c r="AG1224" s="70">
        <f t="shared" si="260"/>
        <v>2.7782530315850389</v>
      </c>
      <c r="AH1224" s="70">
        <f t="shared" si="260"/>
        <v>1.3168552162335678</v>
      </c>
      <c r="AI1224" s="70">
        <f t="shared" si="260"/>
        <v>0</v>
      </c>
      <c r="AJ1224" s="70">
        <f t="shared" si="260"/>
        <v>0</v>
      </c>
      <c r="AK1224" s="70">
        <f t="shared" si="260"/>
        <v>0</v>
      </c>
      <c r="AL1224" s="70">
        <f t="shared" si="260"/>
        <v>0</v>
      </c>
      <c r="AM1224" s="379">
        <f t="shared" si="247"/>
        <v>137.53909457954603</v>
      </c>
    </row>
    <row r="1225" spans="1:39" x14ac:dyDescent="0.2">
      <c r="A1225" s="8"/>
      <c r="B1225" s="8" t="s">
        <v>587</v>
      </c>
      <c r="C1225" s="22" t="s">
        <v>77</v>
      </c>
      <c r="D1225" s="8"/>
      <c r="E1225" s="70"/>
      <c r="F1225" s="70">
        <f t="shared" ref="F1225:AL1225" si="261">F1117*(F1165/100)-F1223</f>
        <v>0</v>
      </c>
      <c r="G1225" s="70">
        <f t="shared" si="261"/>
        <v>0</v>
      </c>
      <c r="H1225" s="70">
        <f t="shared" si="261"/>
        <v>0</v>
      </c>
      <c r="I1225" s="70">
        <f t="shared" si="261"/>
        <v>0</v>
      </c>
      <c r="J1225" s="70">
        <f t="shared" si="261"/>
        <v>0</v>
      </c>
      <c r="K1225" s="70">
        <f t="shared" si="261"/>
        <v>0</v>
      </c>
      <c r="L1225" s="70">
        <f t="shared" si="261"/>
        <v>0</v>
      </c>
      <c r="M1225" s="70">
        <f t="shared" si="261"/>
        <v>0</v>
      </c>
      <c r="N1225" s="70">
        <f t="shared" si="261"/>
        <v>0</v>
      </c>
      <c r="O1225" s="70">
        <f t="shared" si="261"/>
        <v>0</v>
      </c>
      <c r="P1225" s="70">
        <f t="shared" si="261"/>
        <v>0</v>
      </c>
      <c r="Q1225" s="70">
        <f t="shared" si="261"/>
        <v>0</v>
      </c>
      <c r="R1225" s="70">
        <f t="shared" si="261"/>
        <v>0</v>
      </c>
      <c r="S1225" s="70">
        <f t="shared" si="261"/>
        <v>0</v>
      </c>
      <c r="T1225" s="70">
        <f t="shared" si="261"/>
        <v>0</v>
      </c>
      <c r="U1225" s="70">
        <f t="shared" si="261"/>
        <v>0</v>
      </c>
      <c r="V1225" s="70">
        <f t="shared" si="261"/>
        <v>0</v>
      </c>
      <c r="W1225" s="70">
        <f t="shared" si="261"/>
        <v>0</v>
      </c>
      <c r="X1225" s="70">
        <f t="shared" si="261"/>
        <v>0</v>
      </c>
      <c r="Y1225" s="70">
        <f t="shared" si="261"/>
        <v>0</v>
      </c>
      <c r="Z1225" s="70">
        <f t="shared" si="261"/>
        <v>0</v>
      </c>
      <c r="AA1225" s="70">
        <f t="shared" si="261"/>
        <v>0</v>
      </c>
      <c r="AB1225" s="70">
        <f t="shared" si="261"/>
        <v>0</v>
      </c>
      <c r="AC1225" s="70">
        <f t="shared" si="261"/>
        <v>0</v>
      </c>
      <c r="AD1225" s="70">
        <f t="shared" si="261"/>
        <v>0</v>
      </c>
      <c r="AE1225" s="70">
        <f t="shared" si="261"/>
        <v>0</v>
      </c>
      <c r="AF1225" s="70">
        <f t="shared" si="261"/>
        <v>0</v>
      </c>
      <c r="AG1225" s="70">
        <f t="shared" si="261"/>
        <v>0</v>
      </c>
      <c r="AH1225" s="70">
        <f t="shared" si="261"/>
        <v>0</v>
      </c>
      <c r="AI1225" s="70">
        <f t="shared" si="261"/>
        <v>0</v>
      </c>
      <c r="AJ1225" s="70">
        <f t="shared" si="261"/>
        <v>0</v>
      </c>
      <c r="AK1225" s="70">
        <f t="shared" si="261"/>
        <v>0</v>
      </c>
      <c r="AL1225" s="70">
        <f t="shared" si="261"/>
        <v>0</v>
      </c>
      <c r="AM1225" s="379">
        <f t="shared" si="247"/>
        <v>0</v>
      </c>
    </row>
    <row r="1226" spans="1:39" x14ac:dyDescent="0.2">
      <c r="A1226" s="8"/>
      <c r="B1226" s="8"/>
      <c r="C1226" s="22"/>
      <c r="D1226" s="8"/>
      <c r="E1226" s="70"/>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379"/>
    </row>
    <row r="1227" spans="1:39" x14ac:dyDescent="0.2">
      <c r="A1227" s="8"/>
      <c r="B1227" s="8" t="s">
        <v>588</v>
      </c>
      <c r="C1227" s="22" t="s">
        <v>77</v>
      </c>
      <c r="D1227" s="8"/>
      <c r="E1227" s="70"/>
      <c r="F1227" s="70">
        <f>F1118*(F1180/100)*((F1181/100)*(F1184/100)+(F1181/100)*(F1184/100)*(F1188/100)+(F1182/100)*(F1185/100)+(F1182/100)*(F1185/100)*(F1189/100)+(F1183/100)*(F1186/100)+(F1183/100)*(F1186/100)*(F1190/100))</f>
        <v>0</v>
      </c>
      <c r="G1227" s="70">
        <f t="shared" ref="G1227:AL1227" si="262">G1118*(G1180/100)*((G1181/100)*(G1184/100)+(G1181/100)*(G1184/100)*(G1188/100)+(G1182/100)*(G1185/100)+(G1182/100)*(G1185/100)*(G1189/100)+(G1183/100)*(G1186/100)+(G1183/100)*(G1186/100)*(G1190/100))</f>
        <v>0</v>
      </c>
      <c r="H1227" s="70">
        <f t="shared" si="262"/>
        <v>0</v>
      </c>
      <c r="I1227" s="70">
        <f t="shared" si="262"/>
        <v>0</v>
      </c>
      <c r="J1227" s="70">
        <f t="shared" si="262"/>
        <v>1.6331341867613587</v>
      </c>
      <c r="K1227" s="70">
        <f t="shared" si="262"/>
        <v>0.72286838380828233</v>
      </c>
      <c r="L1227" s="70">
        <f t="shared" si="262"/>
        <v>0.61376645443526312</v>
      </c>
      <c r="M1227" s="70">
        <f t="shared" si="262"/>
        <v>0</v>
      </c>
      <c r="N1227" s="70">
        <f t="shared" si="262"/>
        <v>0</v>
      </c>
      <c r="O1227" s="70">
        <f t="shared" si="262"/>
        <v>0</v>
      </c>
      <c r="P1227" s="70">
        <f t="shared" si="262"/>
        <v>0.96706854508672169</v>
      </c>
      <c r="Q1227" s="70">
        <f t="shared" si="262"/>
        <v>0</v>
      </c>
      <c r="R1227" s="70">
        <f t="shared" si="262"/>
        <v>22.784426306852538</v>
      </c>
      <c r="S1227" s="70">
        <f t="shared" si="262"/>
        <v>10.224358147435632</v>
      </c>
      <c r="T1227" s="70">
        <f t="shared" si="262"/>
        <v>17.785844936589793</v>
      </c>
      <c r="U1227" s="70">
        <f t="shared" si="262"/>
        <v>0</v>
      </c>
      <c r="V1227" s="70">
        <f t="shared" si="262"/>
        <v>4.1939054113649785</v>
      </c>
      <c r="W1227" s="70">
        <f t="shared" si="262"/>
        <v>0.26670209791560279</v>
      </c>
      <c r="X1227" s="70">
        <f t="shared" si="262"/>
        <v>1.5578978785831434</v>
      </c>
      <c r="Y1227" s="70">
        <f t="shared" si="262"/>
        <v>1.9280610910651212</v>
      </c>
      <c r="Z1227" s="70">
        <f t="shared" si="262"/>
        <v>0.87113841129129799</v>
      </c>
      <c r="AA1227" s="70">
        <f t="shared" si="262"/>
        <v>4.4100696931423409</v>
      </c>
      <c r="AB1227" s="70">
        <f t="shared" si="262"/>
        <v>1.2576944807665216</v>
      </c>
      <c r="AC1227" s="70">
        <f t="shared" si="262"/>
        <v>7.2491575529687902</v>
      </c>
      <c r="AD1227" s="70">
        <f t="shared" si="262"/>
        <v>0</v>
      </c>
      <c r="AE1227" s="70">
        <f t="shared" si="262"/>
        <v>1.3616470313904137</v>
      </c>
      <c r="AF1227" s="70">
        <f t="shared" si="262"/>
        <v>0</v>
      </c>
      <c r="AG1227" s="70">
        <f t="shared" si="262"/>
        <v>2.7945831881261185</v>
      </c>
      <c r="AH1227" s="70">
        <f t="shared" si="262"/>
        <v>2.7651704740189205</v>
      </c>
      <c r="AI1227" s="70">
        <f t="shared" si="262"/>
        <v>0</v>
      </c>
      <c r="AJ1227" s="70">
        <f t="shared" si="262"/>
        <v>0</v>
      </c>
      <c r="AK1227" s="70">
        <f t="shared" si="262"/>
        <v>0</v>
      </c>
      <c r="AL1227" s="70">
        <f t="shared" si="262"/>
        <v>0</v>
      </c>
      <c r="AM1227" s="379">
        <f t="shared" si="247"/>
        <v>83.387494271602847</v>
      </c>
    </row>
    <row r="1228" spans="1:39" x14ac:dyDescent="0.2">
      <c r="A1228" s="8"/>
      <c r="B1228" s="8" t="s">
        <v>589</v>
      </c>
      <c r="C1228" s="22" t="s">
        <v>77</v>
      </c>
      <c r="D1228" s="8"/>
      <c r="E1228" s="70"/>
      <c r="F1228" s="70">
        <f>F1118*(F1179/100)*((F1187/100)+(F1187/100)*(F1191/100))</f>
        <v>0</v>
      </c>
      <c r="G1228" s="70">
        <f t="shared" ref="G1228:AL1228" si="263">G1118*(G1179/100)*((G1187/100)+(G1187/100)*(G1191/100))</f>
        <v>0</v>
      </c>
      <c r="H1228" s="70">
        <f t="shared" si="263"/>
        <v>0</v>
      </c>
      <c r="I1228" s="70">
        <f t="shared" si="263"/>
        <v>0</v>
      </c>
      <c r="J1228" s="70">
        <f t="shared" si="263"/>
        <v>2.7697883366765925E-9</v>
      </c>
      <c r="K1228" s="70">
        <f t="shared" si="263"/>
        <v>1.2259815725215779E-9</v>
      </c>
      <c r="L1228" s="70">
        <f t="shared" si="263"/>
        <v>1.040945184246853E-9</v>
      </c>
      <c r="M1228" s="70">
        <f t="shared" si="263"/>
        <v>0</v>
      </c>
      <c r="N1228" s="70">
        <f t="shared" si="263"/>
        <v>0</v>
      </c>
      <c r="O1228" s="70">
        <f t="shared" si="263"/>
        <v>0</v>
      </c>
      <c r="P1228" s="70">
        <f t="shared" si="263"/>
        <v>1.6401439628545411E-9</v>
      </c>
      <c r="Q1228" s="70">
        <f t="shared" si="263"/>
        <v>0</v>
      </c>
      <c r="R1228" s="70">
        <f t="shared" si="263"/>
        <v>3.8642285951857997E-8</v>
      </c>
      <c r="S1228" s="70">
        <f t="shared" si="263"/>
        <v>1.7340466066007138E-8</v>
      </c>
      <c r="T1228" s="70">
        <f t="shared" si="263"/>
        <v>3.0164714120030479E-8</v>
      </c>
      <c r="U1228" s="70">
        <f t="shared" si="263"/>
        <v>0</v>
      </c>
      <c r="V1228" s="70">
        <f t="shared" si="263"/>
        <v>7.1128449748269112E-9</v>
      </c>
      <c r="W1228" s="70">
        <f t="shared" si="263"/>
        <v>4.5232557505806396E-10</v>
      </c>
      <c r="X1228" s="70">
        <f t="shared" si="263"/>
        <v>2.6421878917309886E-9</v>
      </c>
      <c r="Y1228" s="70">
        <f t="shared" si="263"/>
        <v>3.2699830581725929E-9</v>
      </c>
      <c r="Z1228" s="70">
        <f t="shared" si="263"/>
        <v>1.477446881453467E-9</v>
      </c>
      <c r="AA1228" s="70">
        <f t="shared" si="263"/>
        <v>7.4794586378844098E-9</v>
      </c>
      <c r="AB1228" s="70">
        <f t="shared" si="263"/>
        <v>2.1330442606420479E-9</v>
      </c>
      <c r="AC1228" s="70">
        <f t="shared" si="263"/>
        <v>1.2278282999512392E-8</v>
      </c>
      <c r="AD1228" s="70">
        <f t="shared" si="263"/>
        <v>0</v>
      </c>
      <c r="AE1228" s="70">
        <f t="shared" si="263"/>
        <v>2.309347325399281E-9</v>
      </c>
      <c r="AF1228" s="70">
        <f t="shared" si="263"/>
        <v>0</v>
      </c>
      <c r="AG1228" s="70">
        <f t="shared" si="263"/>
        <v>4.7396006911679915E-9</v>
      </c>
      <c r="AH1228" s="70">
        <f t="shared" si="263"/>
        <v>4.6897168585077512E-9</v>
      </c>
      <c r="AI1228" s="70">
        <f t="shared" si="263"/>
        <v>0</v>
      </c>
      <c r="AJ1228" s="70">
        <f t="shared" si="263"/>
        <v>0</v>
      </c>
      <c r="AK1228" s="70">
        <f t="shared" si="263"/>
        <v>0</v>
      </c>
      <c r="AL1228" s="70">
        <f t="shared" si="263"/>
        <v>0</v>
      </c>
      <c r="AM1228" s="379">
        <f t="shared" si="247"/>
        <v>1.4140856434855107E-7</v>
      </c>
    </row>
    <row r="1229" spans="1:39" x14ac:dyDescent="0.2">
      <c r="A1229" s="8"/>
      <c r="B1229" s="8" t="s">
        <v>590</v>
      </c>
      <c r="C1229" s="22" t="s">
        <v>77</v>
      </c>
      <c r="D1229" s="8"/>
      <c r="E1229" s="70"/>
      <c r="F1229" s="70">
        <f>F1118*(F1180/100)-F1227</f>
        <v>0</v>
      </c>
      <c r="G1229" s="70">
        <f t="shared" ref="G1229:AL1229" si="264">G1118*(G1180/100)-G1227</f>
        <v>0</v>
      </c>
      <c r="H1229" s="70">
        <f t="shared" si="264"/>
        <v>0</v>
      </c>
      <c r="I1229" s="70">
        <f t="shared" si="264"/>
        <v>0</v>
      </c>
      <c r="J1229" s="70">
        <f t="shared" si="264"/>
        <v>2.8926637489847087</v>
      </c>
      <c r="K1229" s="70">
        <f t="shared" si="264"/>
        <v>1.2803694797890677</v>
      </c>
      <c r="L1229" s="70">
        <f t="shared" si="264"/>
        <v>1.0871243694975035</v>
      </c>
      <c r="M1229" s="70">
        <f t="shared" si="264"/>
        <v>0</v>
      </c>
      <c r="N1229" s="70">
        <f t="shared" si="264"/>
        <v>0</v>
      </c>
      <c r="O1229" s="70">
        <f t="shared" si="264"/>
        <v>0</v>
      </c>
      <c r="P1229" s="70">
        <f t="shared" si="264"/>
        <v>1.7129052504272346</v>
      </c>
      <c r="Q1229" s="70">
        <f t="shared" si="264"/>
        <v>0</v>
      </c>
      <c r="R1229" s="70">
        <f t="shared" si="264"/>
        <v>40.356563810562498</v>
      </c>
      <c r="S1229" s="70">
        <f t="shared" si="264"/>
        <v>18.109736731661002</v>
      </c>
      <c r="T1229" s="70">
        <f t="shared" si="264"/>
        <v>31.502903625551514</v>
      </c>
      <c r="U1229" s="70">
        <f t="shared" si="264"/>
        <v>0</v>
      </c>
      <c r="V1229" s="70">
        <f t="shared" si="264"/>
        <v>7.4283902991365132</v>
      </c>
      <c r="W1229" s="70">
        <f t="shared" si="264"/>
        <v>0.47239197897665869</v>
      </c>
      <c r="X1229" s="70">
        <f t="shared" si="264"/>
        <v>2.7594025981014791</v>
      </c>
      <c r="Y1229" s="70">
        <f t="shared" si="264"/>
        <v>3.4150484811123194</v>
      </c>
      <c r="Z1229" s="70">
        <f t="shared" si="264"/>
        <v>1.5429904799725374</v>
      </c>
      <c r="AA1229" s="70">
        <f t="shared" si="264"/>
        <v>7.8112679504596381</v>
      </c>
      <c r="AB1229" s="70">
        <f t="shared" si="264"/>
        <v>2.2276719581910736</v>
      </c>
      <c r="AC1229" s="70">
        <f t="shared" si="264"/>
        <v>12.813396367803097</v>
      </c>
      <c r="AD1229" s="70">
        <f t="shared" si="264"/>
        <v>0</v>
      </c>
      <c r="AE1229" s="70">
        <f t="shared" si="264"/>
        <v>2.4117963107652756</v>
      </c>
      <c r="AF1229" s="70">
        <f t="shared" si="264"/>
        <v>0</v>
      </c>
      <c r="AG1229" s="70">
        <f t="shared" si="264"/>
        <v>4.9498623856777906</v>
      </c>
      <c r="AH1229" s="70">
        <f t="shared" si="264"/>
        <v>4.8977655692943998</v>
      </c>
      <c r="AI1229" s="70">
        <f t="shared" si="264"/>
        <v>0</v>
      </c>
      <c r="AJ1229" s="70">
        <f t="shared" si="264"/>
        <v>0</v>
      </c>
      <c r="AK1229" s="70">
        <f t="shared" si="264"/>
        <v>0</v>
      </c>
      <c r="AL1229" s="70">
        <f t="shared" si="264"/>
        <v>0</v>
      </c>
      <c r="AM1229" s="379">
        <f t="shared" si="247"/>
        <v>147.67225139596428</v>
      </c>
    </row>
    <row r="1230" spans="1:39" x14ac:dyDescent="0.2">
      <c r="A1230" s="8"/>
      <c r="B1230" s="8" t="s">
        <v>591</v>
      </c>
      <c r="C1230" s="22" t="s">
        <v>77</v>
      </c>
      <c r="D1230" s="8"/>
      <c r="E1230" s="70"/>
      <c r="F1230" s="70">
        <f>F1118*(F1179/100)-F1228</f>
        <v>0</v>
      </c>
      <c r="G1230" s="70">
        <f t="shared" ref="G1230:AL1230" si="265">G1118*(G1179/100)-G1228</f>
        <v>0</v>
      </c>
      <c r="H1230" s="70">
        <f t="shared" si="265"/>
        <v>0</v>
      </c>
      <c r="I1230" s="70">
        <f t="shared" si="265"/>
        <v>0</v>
      </c>
      <c r="J1230" s="70">
        <f t="shared" si="265"/>
        <v>1.7560095990694738E-9</v>
      </c>
      <c r="K1230" s="70">
        <f t="shared" si="265"/>
        <v>7.7725629107577163E-10</v>
      </c>
      <c r="L1230" s="70">
        <f t="shared" si="265"/>
        <v>6.5994563968591331E-10</v>
      </c>
      <c r="M1230" s="70">
        <f t="shared" si="265"/>
        <v>0</v>
      </c>
      <c r="N1230" s="70">
        <f t="shared" si="265"/>
        <v>0</v>
      </c>
      <c r="O1230" s="70">
        <f t="shared" si="265"/>
        <v>0</v>
      </c>
      <c r="P1230" s="70">
        <f t="shared" si="265"/>
        <v>1.039829832659415E-9</v>
      </c>
      <c r="Q1230" s="70">
        <f t="shared" si="265"/>
        <v>0</v>
      </c>
      <c r="R1230" s="70">
        <f t="shared" si="265"/>
        <v>2.4498704165557035E-8</v>
      </c>
      <c r="S1230" s="70">
        <f t="shared" si="265"/>
        <v>1.0993628813089494E-8</v>
      </c>
      <c r="T1230" s="70">
        <f t="shared" si="265"/>
        <v>1.9124034442110823E-8</v>
      </c>
      <c r="U1230" s="70">
        <f t="shared" si="265"/>
        <v>0</v>
      </c>
      <c r="V1230" s="70">
        <f t="shared" si="265"/>
        <v>4.5094507356745782E-9</v>
      </c>
      <c r="W1230" s="70">
        <f t="shared" si="265"/>
        <v>2.8676850183419745E-10</v>
      </c>
      <c r="X1230" s="70">
        <f t="shared" si="265"/>
        <v>1.6751125849536335E-9</v>
      </c>
      <c r="Y1230" s="70">
        <f t="shared" si="265"/>
        <v>2.0731265140048469E-9</v>
      </c>
      <c r="Z1230" s="70">
        <f t="shared" si="265"/>
        <v>9.366820098103682E-10</v>
      </c>
      <c r="AA1230" s="70">
        <f t="shared" si="265"/>
        <v>4.7418790057175682E-9</v>
      </c>
      <c r="AB1230" s="70">
        <f t="shared" si="265"/>
        <v>1.3523221783155467E-9</v>
      </c>
      <c r="AC1230" s="70">
        <f t="shared" si="265"/>
        <v>7.7842709212594904E-9</v>
      </c>
      <c r="AD1230" s="70">
        <f t="shared" si="265"/>
        <v>0</v>
      </c>
      <c r="AE1230" s="70">
        <f t="shared" si="265"/>
        <v>1.4640960167564073E-9</v>
      </c>
      <c r="AF1230" s="70">
        <f t="shared" si="265"/>
        <v>0</v>
      </c>
      <c r="AG1230" s="70">
        <f t="shared" si="265"/>
        <v>3.004844882635916E-9</v>
      </c>
      <c r="AH1230" s="70">
        <f t="shared" si="265"/>
        <v>2.9732191848055681E-9</v>
      </c>
      <c r="AI1230" s="70">
        <f t="shared" si="265"/>
        <v>0</v>
      </c>
      <c r="AJ1230" s="70">
        <f t="shared" si="265"/>
        <v>0</v>
      </c>
      <c r="AK1230" s="70">
        <f t="shared" si="265"/>
        <v>0</v>
      </c>
      <c r="AL1230" s="70">
        <f t="shared" si="265"/>
        <v>0</v>
      </c>
      <c r="AM1230" s="379">
        <f t="shared" si="247"/>
        <v>8.9651181319016055E-8</v>
      </c>
    </row>
    <row r="1231" spans="1:39" x14ac:dyDescent="0.2">
      <c r="A1231" s="8"/>
      <c r="B1231" s="8"/>
      <c r="C1231" s="22"/>
      <c r="D1231" s="8"/>
      <c r="E1231" s="70"/>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379"/>
    </row>
    <row r="1232" spans="1:39" x14ac:dyDescent="0.2">
      <c r="A1232" s="8"/>
      <c r="B1232" s="8" t="s">
        <v>592</v>
      </c>
      <c r="C1232" s="22" t="s">
        <v>77</v>
      </c>
      <c r="D1232" s="8"/>
      <c r="E1232" s="70"/>
      <c r="F1232" s="70">
        <f>F1119*(F1194/100)*((F1195/100)*(F1198/100)+(F1195/100)*(F1198/100)*(F1202/100)+(F1196/100)*(F1199/100)+(F1196/100)*(F1199/100)*(F1203/100)+(F1197/100)*(F1200/100)+(F1197/100)*(F1200/100)*(F1205/100))</f>
        <v>0</v>
      </c>
      <c r="G1232" s="70">
        <f t="shared" ref="G1232:AL1232" si="266">G1119*(G1194/100)*((G1195/100)*(G1198/100)+(G1195/100)*(G1198/100)*(G1202/100)+(G1196/100)*(G1199/100)+(G1196/100)*(G1199/100)*(G1203/100)+(G1197/100)*(G1200/100)+(G1197/100)*(G1200/100)*(G1205/100))</f>
        <v>0</v>
      </c>
      <c r="H1232" s="70">
        <f t="shared" si="266"/>
        <v>0</v>
      </c>
      <c r="I1232" s="70">
        <f t="shared" si="266"/>
        <v>0</v>
      </c>
      <c r="J1232" s="70">
        <f t="shared" si="266"/>
        <v>1.3286876430133958</v>
      </c>
      <c r="K1232" s="70">
        <f t="shared" si="266"/>
        <v>0.34024794653432255</v>
      </c>
      <c r="L1232" s="70">
        <f t="shared" si="266"/>
        <v>0.31841446103307558</v>
      </c>
      <c r="M1232" s="70">
        <f t="shared" si="266"/>
        <v>0</v>
      </c>
      <c r="N1232" s="70">
        <f t="shared" si="266"/>
        <v>0</v>
      </c>
      <c r="O1232" s="70">
        <f t="shared" si="266"/>
        <v>0</v>
      </c>
      <c r="P1232" s="70">
        <f t="shared" si="266"/>
        <v>1.888557879402498</v>
      </c>
      <c r="Q1232" s="70">
        <f t="shared" si="266"/>
        <v>0</v>
      </c>
      <c r="R1232" s="70">
        <f t="shared" si="266"/>
        <v>0.64935998821608576</v>
      </c>
      <c r="S1232" s="70">
        <f t="shared" si="266"/>
        <v>1.510032668721051</v>
      </c>
      <c r="T1232" s="70">
        <f t="shared" si="266"/>
        <v>1.2955145070779419</v>
      </c>
      <c r="U1232" s="70">
        <f t="shared" si="266"/>
        <v>0</v>
      </c>
      <c r="V1232" s="70">
        <f t="shared" si="266"/>
        <v>1.999347385028738</v>
      </c>
      <c r="W1232" s="70">
        <f t="shared" si="266"/>
        <v>0.78449032764033622</v>
      </c>
      <c r="X1232" s="70">
        <f t="shared" si="266"/>
        <v>0.10305643499799456</v>
      </c>
      <c r="Y1232" s="70">
        <f t="shared" si="266"/>
        <v>1.2728254046857488</v>
      </c>
      <c r="Z1232" s="70">
        <f t="shared" si="266"/>
        <v>0.19587782692896324</v>
      </c>
      <c r="AA1232" s="70">
        <f t="shared" si="266"/>
        <v>1.9312337825203278</v>
      </c>
      <c r="AB1232" s="70">
        <f t="shared" si="266"/>
        <v>0.41012679502704036</v>
      </c>
      <c r="AC1232" s="70">
        <f t="shared" si="266"/>
        <v>4.2217117354112688</v>
      </c>
      <c r="AD1232" s="70">
        <f t="shared" si="266"/>
        <v>0</v>
      </c>
      <c r="AE1232" s="70">
        <f t="shared" si="266"/>
        <v>0.33139562603004374</v>
      </c>
      <c r="AF1232" s="70">
        <f t="shared" si="266"/>
        <v>0</v>
      </c>
      <c r="AG1232" s="70">
        <f t="shared" si="266"/>
        <v>0.65986080459938945</v>
      </c>
      <c r="AH1232" s="70">
        <f t="shared" si="266"/>
        <v>0.26882904755573445</v>
      </c>
      <c r="AI1232" s="70">
        <f t="shared" si="266"/>
        <v>0</v>
      </c>
      <c r="AJ1232" s="70">
        <f t="shared" si="266"/>
        <v>0</v>
      </c>
      <c r="AK1232" s="70">
        <f t="shared" si="266"/>
        <v>0</v>
      </c>
      <c r="AL1232" s="70">
        <f t="shared" si="266"/>
        <v>0</v>
      </c>
      <c r="AM1232" s="379">
        <f t="shared" si="247"/>
        <v>19.509570264423957</v>
      </c>
    </row>
    <row r="1233" spans="1:39" x14ac:dyDescent="0.2">
      <c r="A1233" s="8"/>
      <c r="B1233" s="8" t="s">
        <v>593</v>
      </c>
      <c r="C1233" s="22" t="s">
        <v>77</v>
      </c>
      <c r="D1233" s="8"/>
      <c r="E1233" s="70"/>
      <c r="F1233" s="70">
        <f>F1119*(F1193/100)*((F1202/100)+(F1187/100)*(F1205/100))</f>
        <v>0</v>
      </c>
      <c r="G1233" s="70">
        <f t="shared" ref="G1233:AL1233" si="267">G1119*(G1193/100)*((G1202/100)+(G1187/100)*(G1205/100))</f>
        <v>0</v>
      </c>
      <c r="H1233" s="70">
        <f t="shared" si="267"/>
        <v>0</v>
      </c>
      <c r="I1233" s="70">
        <f t="shared" si="267"/>
        <v>0</v>
      </c>
      <c r="J1233" s="70">
        <f t="shared" si="267"/>
        <v>0.33215293396338846</v>
      </c>
      <c r="K1233" s="70">
        <f t="shared" si="267"/>
        <v>6.011906215176599E-2</v>
      </c>
      <c r="L1233" s="70">
        <f t="shared" si="267"/>
        <v>7.4901133305306511E-2</v>
      </c>
      <c r="M1233" s="70">
        <f t="shared" si="267"/>
        <v>0</v>
      </c>
      <c r="N1233" s="70">
        <f t="shared" si="267"/>
        <v>0</v>
      </c>
      <c r="O1233" s="70">
        <f t="shared" si="267"/>
        <v>0</v>
      </c>
      <c r="P1233" s="70">
        <f t="shared" si="267"/>
        <v>0.27065214938749116</v>
      </c>
      <c r="Q1233" s="70">
        <f t="shared" si="267"/>
        <v>0</v>
      </c>
      <c r="R1233" s="70">
        <f t="shared" si="267"/>
        <v>0.13803145007168968</v>
      </c>
      <c r="S1233" s="70">
        <f t="shared" si="267"/>
        <v>0.26291523514067783</v>
      </c>
      <c r="T1233" s="70">
        <f t="shared" si="267"/>
        <v>0.23600956714648905</v>
      </c>
      <c r="U1233" s="70">
        <f t="shared" si="267"/>
        <v>0</v>
      </c>
      <c r="V1233" s="70">
        <f t="shared" si="267"/>
        <v>0.44564548334337217</v>
      </c>
      <c r="W1233" s="70">
        <f t="shared" si="267"/>
        <v>8.9045801127581703E-2</v>
      </c>
      <c r="X1233" s="70">
        <f t="shared" si="267"/>
        <v>1.459174669933077E-2</v>
      </c>
      <c r="Y1233" s="70">
        <f t="shared" si="267"/>
        <v>0.21202438690922307</v>
      </c>
      <c r="Z1233" s="70">
        <f t="shared" si="267"/>
        <v>2.2797465787586676E-2</v>
      </c>
      <c r="AA1233" s="70">
        <f t="shared" si="267"/>
        <v>0.34104421756132908</v>
      </c>
      <c r="AB1233" s="70">
        <f t="shared" si="267"/>
        <v>6.7518291858805354E-2</v>
      </c>
      <c r="AC1233" s="70">
        <f t="shared" si="267"/>
        <v>0.63849677920510928</v>
      </c>
      <c r="AD1233" s="70">
        <f t="shared" si="267"/>
        <v>0</v>
      </c>
      <c r="AE1233" s="70">
        <f t="shared" si="267"/>
        <v>5.0227046401600355E-2</v>
      </c>
      <c r="AF1233" s="70">
        <f t="shared" si="267"/>
        <v>0</v>
      </c>
      <c r="AG1233" s="70">
        <f t="shared" si="267"/>
        <v>0.10017718275353968</v>
      </c>
      <c r="AH1233" s="70">
        <f t="shared" si="267"/>
        <v>5.4222383590067362E-2</v>
      </c>
      <c r="AI1233" s="70">
        <f t="shared" si="267"/>
        <v>0</v>
      </c>
      <c r="AJ1233" s="70">
        <f t="shared" si="267"/>
        <v>0</v>
      </c>
      <c r="AK1233" s="70">
        <f t="shared" si="267"/>
        <v>0</v>
      </c>
      <c r="AL1233" s="70">
        <f t="shared" si="267"/>
        <v>0</v>
      </c>
      <c r="AM1233" s="379">
        <f t="shared" si="247"/>
        <v>3.4105723164043544</v>
      </c>
    </row>
    <row r="1234" spans="1:39" x14ac:dyDescent="0.2">
      <c r="A1234" s="8"/>
      <c r="B1234" s="8" t="s">
        <v>594</v>
      </c>
      <c r="C1234" s="22" t="s">
        <v>77</v>
      </c>
      <c r="D1234" s="8"/>
      <c r="E1234" s="70"/>
      <c r="F1234" s="70">
        <f>F1119*(F1194/100)-F1232</f>
        <v>0</v>
      </c>
      <c r="G1234" s="70">
        <f t="shared" ref="G1234:AL1234" si="268">G1119*(G1194/100)-G1232</f>
        <v>0</v>
      </c>
      <c r="H1234" s="70">
        <f t="shared" si="268"/>
        <v>0</v>
      </c>
      <c r="I1234" s="70">
        <f t="shared" si="268"/>
        <v>0</v>
      </c>
      <c r="J1234" s="70">
        <f t="shared" si="268"/>
        <v>3.0255629607115502</v>
      </c>
      <c r="K1234" s="70">
        <f t="shared" si="268"/>
        <v>0.80466938061436621</v>
      </c>
      <c r="L1234" s="70">
        <f t="shared" si="268"/>
        <v>0.70946164828116565</v>
      </c>
      <c r="M1234" s="70">
        <f t="shared" si="268"/>
        <v>0</v>
      </c>
      <c r="N1234" s="70">
        <f t="shared" si="268"/>
        <v>0</v>
      </c>
      <c r="O1234" s="70">
        <f t="shared" si="268"/>
        <v>0</v>
      </c>
      <c r="P1234" s="70">
        <f t="shared" si="268"/>
        <v>3.8848902299123447</v>
      </c>
      <c r="Q1234" s="70">
        <f t="shared" si="268"/>
        <v>0</v>
      </c>
      <c r="R1234" s="70">
        <f t="shared" si="268"/>
        <v>1.3735389228744324</v>
      </c>
      <c r="S1234" s="70">
        <f t="shared" si="268"/>
        <v>3.1884774086571515</v>
      </c>
      <c r="T1234" s="70">
        <f t="shared" si="268"/>
        <v>2.692973856553861</v>
      </c>
      <c r="U1234" s="70">
        <f t="shared" si="268"/>
        <v>0</v>
      </c>
      <c r="V1234" s="70">
        <f t="shared" si="268"/>
        <v>4.5167751896295254</v>
      </c>
      <c r="W1234" s="70">
        <f t="shared" si="268"/>
        <v>1.6068217216379663</v>
      </c>
      <c r="X1234" s="70">
        <f t="shared" si="268"/>
        <v>0.2087435274415283</v>
      </c>
      <c r="Y1234" s="70">
        <f t="shared" si="268"/>
        <v>2.6531013308397737</v>
      </c>
      <c r="Z1234" s="70">
        <f t="shared" si="268"/>
        <v>0.40090890737979956</v>
      </c>
      <c r="AA1234" s="70">
        <f t="shared" si="268"/>
        <v>4.071883663520401</v>
      </c>
      <c r="AB1234" s="70">
        <f t="shared" si="268"/>
        <v>0.91873465020046141</v>
      </c>
      <c r="AC1234" s="70">
        <f t="shared" si="268"/>
        <v>9.2815868616322117</v>
      </c>
      <c r="AD1234" s="70">
        <f t="shared" si="268"/>
        <v>0</v>
      </c>
      <c r="AE1234" s="70">
        <f t="shared" si="268"/>
        <v>0.73475538595702994</v>
      </c>
      <c r="AF1234" s="70">
        <f t="shared" si="268"/>
        <v>0</v>
      </c>
      <c r="AG1234" s="70">
        <f t="shared" si="268"/>
        <v>1.4605426485325852</v>
      </c>
      <c r="AH1234" s="70">
        <f t="shared" si="268"/>
        <v>0.59816633040656997</v>
      </c>
      <c r="AI1234" s="70">
        <f t="shared" si="268"/>
        <v>0</v>
      </c>
      <c r="AJ1234" s="70">
        <f t="shared" si="268"/>
        <v>0</v>
      </c>
      <c r="AK1234" s="70">
        <f t="shared" si="268"/>
        <v>0</v>
      </c>
      <c r="AL1234" s="70">
        <f t="shared" si="268"/>
        <v>0</v>
      </c>
      <c r="AM1234" s="379">
        <f t="shared" si="247"/>
        <v>42.131594624782736</v>
      </c>
    </row>
    <row r="1235" spans="1:39" x14ac:dyDescent="0.2">
      <c r="A1235" s="8"/>
      <c r="B1235" s="8" t="s">
        <v>595</v>
      </c>
      <c r="C1235" s="22" t="s">
        <v>77</v>
      </c>
      <c r="D1235" s="8"/>
      <c r="E1235" s="70"/>
      <c r="F1235" s="70">
        <f>F1119*(F1193/100)-F1233</f>
        <v>0</v>
      </c>
      <c r="G1235" s="70">
        <f t="shared" ref="G1235:AL1235" si="269">G1119*(G1193/100)-G1233</f>
        <v>0</v>
      </c>
      <c r="H1235" s="70">
        <f t="shared" si="269"/>
        <v>0</v>
      </c>
      <c r="I1235" s="70">
        <f t="shared" si="269"/>
        <v>0</v>
      </c>
      <c r="J1235" s="70">
        <f t="shared" si="269"/>
        <v>6.0554034884094667</v>
      </c>
      <c r="K1235" s="70">
        <f t="shared" si="269"/>
        <v>1.0960167484591183</v>
      </c>
      <c r="L1235" s="70">
        <f t="shared" si="269"/>
        <v>1.3655052764121263</v>
      </c>
      <c r="M1235" s="70">
        <f t="shared" si="269"/>
        <v>0</v>
      </c>
      <c r="N1235" s="70">
        <f t="shared" si="269"/>
        <v>0</v>
      </c>
      <c r="O1235" s="70">
        <f t="shared" si="269"/>
        <v>0</v>
      </c>
      <c r="P1235" s="70">
        <f t="shared" si="269"/>
        <v>4.9341968772950313</v>
      </c>
      <c r="Q1235" s="70">
        <f t="shared" si="269"/>
        <v>0</v>
      </c>
      <c r="R1235" s="70">
        <f t="shared" si="269"/>
        <v>2.5164195128454194</v>
      </c>
      <c r="S1235" s="70">
        <f t="shared" si="269"/>
        <v>4.7931469791031258</v>
      </c>
      <c r="T1235" s="70">
        <f t="shared" si="269"/>
        <v>4.3026359549013771</v>
      </c>
      <c r="U1235" s="70">
        <f t="shared" si="269"/>
        <v>0</v>
      </c>
      <c r="V1235" s="70">
        <f t="shared" si="269"/>
        <v>8.1244599655676311</v>
      </c>
      <c r="W1235" s="70">
        <f t="shared" si="269"/>
        <v>1.6233734513259124</v>
      </c>
      <c r="X1235" s="70">
        <f t="shared" si="269"/>
        <v>0.26601876674933783</v>
      </c>
      <c r="Y1235" s="70">
        <f t="shared" si="269"/>
        <v>3.8653676690373744</v>
      </c>
      <c r="Z1235" s="70">
        <f t="shared" si="269"/>
        <v>0.41561533781984938</v>
      </c>
      <c r="AA1235" s="70">
        <f t="shared" si="269"/>
        <v>6.2174984278488452</v>
      </c>
      <c r="AB1235" s="70">
        <f t="shared" si="269"/>
        <v>1.2309103977336053</v>
      </c>
      <c r="AC1235" s="70">
        <f t="shared" si="269"/>
        <v>11.640287436277761</v>
      </c>
      <c r="AD1235" s="70">
        <f t="shared" si="269"/>
        <v>0</v>
      </c>
      <c r="AE1235" s="70">
        <f t="shared" si="269"/>
        <v>0.91567769209071403</v>
      </c>
      <c r="AF1235" s="70">
        <f t="shared" si="269"/>
        <v>0</v>
      </c>
      <c r="AG1235" s="70">
        <f t="shared" si="269"/>
        <v>1.8263071009683771</v>
      </c>
      <c r="AH1235" s="70">
        <f t="shared" si="269"/>
        <v>0.98851576237276639</v>
      </c>
      <c r="AI1235" s="70">
        <f t="shared" si="269"/>
        <v>0</v>
      </c>
      <c r="AJ1235" s="70">
        <f t="shared" si="269"/>
        <v>0</v>
      </c>
      <c r="AK1235" s="70">
        <f t="shared" si="269"/>
        <v>0</v>
      </c>
      <c r="AL1235" s="70">
        <f t="shared" si="269"/>
        <v>0</v>
      </c>
      <c r="AM1235" s="379">
        <f t="shared" si="247"/>
        <v>62.17735684521783</v>
      </c>
    </row>
    <row r="1236" spans="1:39" x14ac:dyDescent="0.2">
      <c r="A1236" s="8"/>
      <c r="B1236" s="8"/>
      <c r="C1236" s="22"/>
      <c r="D1236" s="8"/>
      <c r="E1236" s="70"/>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379"/>
    </row>
    <row r="1237" spans="1:39" x14ac:dyDescent="0.2">
      <c r="A1237" s="8"/>
      <c r="B1237" s="8" t="s">
        <v>596</v>
      </c>
      <c r="C1237" s="22" t="s">
        <v>77</v>
      </c>
      <c r="D1237" s="8"/>
      <c r="E1237" s="70"/>
      <c r="F1237" s="70">
        <f>SUM(F1207,F1212,F1217,F1222,F1227,F1232)</f>
        <v>0</v>
      </c>
      <c r="G1237" s="70">
        <f t="shared" ref="G1237:M1240" si="270">SUM(G1207,G1212,G1217,G1222,G1227,G1232)</f>
        <v>0</v>
      </c>
      <c r="H1237" s="70">
        <f t="shared" si="270"/>
        <v>0</v>
      </c>
      <c r="I1237" s="70">
        <f t="shared" si="270"/>
        <v>0</v>
      </c>
      <c r="J1237" s="70">
        <f t="shared" si="270"/>
        <v>18.37765111166258</v>
      </c>
      <c r="K1237" s="70">
        <f t="shared" si="270"/>
        <v>10.713420700526468</v>
      </c>
      <c r="L1237" s="70">
        <f t="shared" si="270"/>
        <v>10.492951473329507</v>
      </c>
      <c r="M1237" s="70">
        <f t="shared" si="270"/>
        <v>0</v>
      </c>
      <c r="N1237" s="70">
        <f>SUM(N1207,N1212,N1217,N1222,N1227,N1232)</f>
        <v>0</v>
      </c>
      <c r="O1237" s="70">
        <f t="shared" ref="O1237:AL1240" si="271">SUM(O1207,O1212,O1217,O1222,O1227,O1232)</f>
        <v>0</v>
      </c>
      <c r="P1237" s="70">
        <f t="shared" si="271"/>
        <v>37.398793638464056</v>
      </c>
      <c r="Q1237" s="70">
        <f t="shared" si="271"/>
        <v>0</v>
      </c>
      <c r="R1237" s="70">
        <f t="shared" si="271"/>
        <v>65.365499338001328</v>
      </c>
      <c r="S1237" s="70">
        <f t="shared" si="271"/>
        <v>36.874723381446742</v>
      </c>
      <c r="T1237" s="70">
        <f t="shared" si="271"/>
        <v>65.378887836300223</v>
      </c>
      <c r="U1237" s="70">
        <f t="shared" si="271"/>
        <v>0</v>
      </c>
      <c r="V1237" s="70">
        <f t="shared" si="271"/>
        <v>69.439711172801807</v>
      </c>
      <c r="W1237" s="70">
        <f t="shared" si="271"/>
        <v>13.564890431547504</v>
      </c>
      <c r="X1237" s="70">
        <f t="shared" si="271"/>
        <v>7.5157927069917614</v>
      </c>
      <c r="Y1237" s="70">
        <f t="shared" si="271"/>
        <v>11.256898812796354</v>
      </c>
      <c r="Z1237" s="70">
        <f t="shared" si="271"/>
        <v>9.0865334032558014</v>
      </c>
      <c r="AA1237" s="70">
        <f t="shared" si="271"/>
        <v>17.982844102219907</v>
      </c>
      <c r="AB1237" s="70">
        <f t="shared" si="271"/>
        <v>23.529463537043917</v>
      </c>
      <c r="AC1237" s="70">
        <f t="shared" si="271"/>
        <v>57.61075460621624</v>
      </c>
      <c r="AD1237" s="70">
        <f t="shared" si="271"/>
        <v>0</v>
      </c>
      <c r="AE1237" s="70">
        <f t="shared" si="271"/>
        <v>19.287567998476657</v>
      </c>
      <c r="AF1237" s="70">
        <f t="shared" si="271"/>
        <v>0</v>
      </c>
      <c r="AG1237" s="70">
        <f t="shared" si="271"/>
        <v>17.253049046040321</v>
      </c>
      <c r="AH1237" s="70">
        <f t="shared" si="271"/>
        <v>15.322460992782105</v>
      </c>
      <c r="AI1237" s="70">
        <f t="shared" si="271"/>
        <v>0</v>
      </c>
      <c r="AJ1237" s="70">
        <f t="shared" si="271"/>
        <v>0</v>
      </c>
      <c r="AK1237" s="70">
        <f t="shared" si="271"/>
        <v>0</v>
      </c>
      <c r="AL1237" s="70">
        <f t="shared" si="271"/>
        <v>0</v>
      </c>
      <c r="AM1237" s="379">
        <f t="shared" si="247"/>
        <v>506.45189428990335</v>
      </c>
    </row>
    <row r="1238" spans="1:39" x14ac:dyDescent="0.2">
      <c r="A1238" s="8"/>
      <c r="B1238" s="8" t="s">
        <v>597</v>
      </c>
      <c r="C1238" s="22" t="s">
        <v>77</v>
      </c>
      <c r="D1238" s="8"/>
      <c r="E1238" s="70"/>
      <c r="F1238" s="70">
        <f>SUM(F1208,F1213,F1218,F1223,F1228,F1233)</f>
        <v>0</v>
      </c>
      <c r="G1238" s="70">
        <f t="shared" si="270"/>
        <v>0</v>
      </c>
      <c r="H1238" s="70">
        <f t="shared" si="270"/>
        <v>0</v>
      </c>
      <c r="I1238" s="70">
        <f t="shared" si="270"/>
        <v>0</v>
      </c>
      <c r="J1238" s="70">
        <f t="shared" si="270"/>
        <v>8.3227762715901061</v>
      </c>
      <c r="K1238" s="70">
        <f t="shared" si="270"/>
        <v>3.4472262295286571</v>
      </c>
      <c r="L1238" s="70">
        <f t="shared" si="270"/>
        <v>4.4218140588219423</v>
      </c>
      <c r="M1238" s="70">
        <f t="shared" si="270"/>
        <v>0</v>
      </c>
      <c r="N1238" s="70">
        <f>SUM(N1208,N1213,N1218,N1223,N1228,N1233)</f>
        <v>0</v>
      </c>
      <c r="O1238" s="70">
        <f t="shared" si="271"/>
        <v>0</v>
      </c>
      <c r="P1238" s="70">
        <f t="shared" si="271"/>
        <v>11.870409634694937</v>
      </c>
      <c r="Q1238" s="70">
        <f t="shared" si="271"/>
        <v>0</v>
      </c>
      <c r="R1238" s="70">
        <f t="shared" si="271"/>
        <v>8.2439763371980295</v>
      </c>
      <c r="S1238" s="70">
        <f t="shared" si="271"/>
        <v>8.9488070881110922</v>
      </c>
      <c r="T1238" s="70">
        <f t="shared" si="271"/>
        <v>16.193953213609127</v>
      </c>
      <c r="U1238" s="70">
        <f t="shared" si="271"/>
        <v>0</v>
      </c>
      <c r="V1238" s="70">
        <f t="shared" si="271"/>
        <v>27.864289275776258</v>
      </c>
      <c r="W1238" s="70">
        <f t="shared" si="271"/>
        <v>3.3271357634403032</v>
      </c>
      <c r="X1238" s="70">
        <f t="shared" si="271"/>
        <v>1.7998754325590924</v>
      </c>
      <c r="Y1238" s="70">
        <f t="shared" si="271"/>
        <v>2.8275617728550864</v>
      </c>
      <c r="Z1238" s="70">
        <f t="shared" si="271"/>
        <v>3.9672444581222415</v>
      </c>
      <c r="AA1238" s="70">
        <f t="shared" si="271"/>
        <v>3.8542286644467687</v>
      </c>
      <c r="AB1238" s="70">
        <f t="shared" si="271"/>
        <v>5.5681406724400313</v>
      </c>
      <c r="AC1238" s="70">
        <f t="shared" si="271"/>
        <v>13.441704632055172</v>
      </c>
      <c r="AD1238" s="70">
        <f t="shared" si="271"/>
        <v>0</v>
      </c>
      <c r="AE1238" s="70">
        <f t="shared" si="271"/>
        <v>4.8280642149013193</v>
      </c>
      <c r="AF1238" s="70">
        <f t="shared" si="271"/>
        <v>0</v>
      </c>
      <c r="AG1238" s="70">
        <f t="shared" si="271"/>
        <v>4.00262731250257</v>
      </c>
      <c r="AH1238" s="70">
        <f t="shared" si="271"/>
        <v>5.2369562980771809</v>
      </c>
      <c r="AI1238" s="70">
        <f t="shared" si="271"/>
        <v>0</v>
      </c>
      <c r="AJ1238" s="70">
        <f t="shared" si="271"/>
        <v>0</v>
      </c>
      <c r="AK1238" s="70">
        <f t="shared" si="271"/>
        <v>0</v>
      </c>
      <c r="AL1238" s="70">
        <f t="shared" si="271"/>
        <v>0</v>
      </c>
      <c r="AM1238" s="379">
        <f t="shared" si="247"/>
        <v>138.16679133072992</v>
      </c>
    </row>
    <row r="1239" spans="1:39" x14ac:dyDescent="0.2">
      <c r="A1239" s="8"/>
      <c r="B1239" s="8" t="s">
        <v>598</v>
      </c>
      <c r="C1239" s="22" t="s">
        <v>77</v>
      </c>
      <c r="D1239" s="8"/>
      <c r="E1239" s="70"/>
      <c r="F1239" s="70">
        <f>SUM(F1209,F1214,F1219,F1224,F1229,F1234)</f>
        <v>0</v>
      </c>
      <c r="G1239" s="70">
        <f t="shared" si="270"/>
        <v>0</v>
      </c>
      <c r="H1239" s="70">
        <f t="shared" si="270"/>
        <v>0</v>
      </c>
      <c r="I1239" s="70">
        <f t="shared" si="270"/>
        <v>0</v>
      </c>
      <c r="J1239" s="70">
        <f t="shared" si="270"/>
        <v>47.447795459045437</v>
      </c>
      <c r="K1239" s="70">
        <f t="shared" si="270"/>
        <v>28.025341871463713</v>
      </c>
      <c r="L1239" s="70">
        <f t="shared" si="270"/>
        <v>27.579817853416223</v>
      </c>
      <c r="M1239" s="70">
        <f t="shared" si="270"/>
        <v>0</v>
      </c>
      <c r="N1239" s="70">
        <f>SUM(N1209,N1214,N1219,N1224,N1229,N1234)</f>
        <v>0</v>
      </c>
      <c r="O1239" s="70">
        <f t="shared" si="271"/>
        <v>0</v>
      </c>
      <c r="P1239" s="70">
        <f t="shared" si="271"/>
        <v>98.105692859435223</v>
      </c>
      <c r="Q1239" s="70">
        <f t="shared" si="271"/>
        <v>0</v>
      </c>
      <c r="R1239" s="70">
        <f t="shared" si="271"/>
        <v>153.7490276840567</v>
      </c>
      <c r="S1239" s="70">
        <f t="shared" si="271"/>
        <v>89.022974209720417</v>
      </c>
      <c r="T1239" s="70">
        <f t="shared" si="271"/>
        <v>158.96286750252949</v>
      </c>
      <c r="U1239" s="70">
        <f t="shared" si="271"/>
        <v>0</v>
      </c>
      <c r="V1239" s="70">
        <f t="shared" si="271"/>
        <v>181.77832955764612</v>
      </c>
      <c r="W1239" s="70">
        <f t="shared" si="271"/>
        <v>35.419256959497176</v>
      </c>
      <c r="X1239" s="70">
        <f t="shared" si="271"/>
        <v>18.631505149185749</v>
      </c>
      <c r="Y1239" s="70">
        <f t="shared" si="271"/>
        <v>27.727341407108803</v>
      </c>
      <c r="Z1239" s="70">
        <f t="shared" si="271"/>
        <v>23.505122736821917</v>
      </c>
      <c r="AA1239" s="70">
        <f t="shared" si="271"/>
        <v>43.176711285032162</v>
      </c>
      <c r="AB1239" s="70">
        <f t="shared" si="271"/>
        <v>62.089919425393951</v>
      </c>
      <c r="AC1239" s="70">
        <f t="shared" si="271"/>
        <v>146.36679227333781</v>
      </c>
      <c r="AD1239" s="70">
        <f t="shared" si="271"/>
        <v>0</v>
      </c>
      <c r="AE1239" s="70">
        <f t="shared" si="271"/>
        <v>50.496065198139043</v>
      </c>
      <c r="AF1239" s="70">
        <f t="shared" si="271"/>
        <v>0</v>
      </c>
      <c r="AG1239" s="70">
        <f t="shared" si="271"/>
        <v>43.548154817503665</v>
      </c>
      <c r="AH1239" s="70">
        <f t="shared" si="271"/>
        <v>38.464647391948617</v>
      </c>
      <c r="AI1239" s="70">
        <f t="shared" si="271"/>
        <v>0</v>
      </c>
      <c r="AJ1239" s="70">
        <f t="shared" si="271"/>
        <v>0</v>
      </c>
      <c r="AK1239" s="70">
        <f t="shared" si="271"/>
        <v>0</v>
      </c>
      <c r="AL1239" s="70">
        <f t="shared" si="271"/>
        <v>0</v>
      </c>
      <c r="AM1239" s="379">
        <f t="shared" si="247"/>
        <v>1274.0973636412823</v>
      </c>
    </row>
    <row r="1240" spans="1:39" x14ac:dyDescent="0.2">
      <c r="A1240" s="8"/>
      <c r="B1240" s="8" t="s">
        <v>599</v>
      </c>
      <c r="C1240" s="22" t="s">
        <v>77</v>
      </c>
      <c r="D1240" s="8"/>
      <c r="E1240" s="70"/>
      <c r="F1240" s="70">
        <f>SUM(F1210,F1215,F1220,F1225,F1230,F1235)</f>
        <v>0</v>
      </c>
      <c r="G1240" s="70">
        <f t="shared" si="270"/>
        <v>0</v>
      </c>
      <c r="H1240" s="70">
        <f t="shared" si="270"/>
        <v>0</v>
      </c>
      <c r="I1240" s="70">
        <f t="shared" si="270"/>
        <v>0</v>
      </c>
      <c r="J1240" s="70">
        <f t="shared" si="270"/>
        <v>76.415791288410333</v>
      </c>
      <c r="K1240" s="70">
        <f t="shared" si="270"/>
        <v>30.918616666276268</v>
      </c>
      <c r="L1240" s="70">
        <f t="shared" si="270"/>
        <v>39.641764474407815</v>
      </c>
      <c r="M1240" s="70">
        <f t="shared" si="270"/>
        <v>0</v>
      </c>
      <c r="N1240" s="70">
        <f>SUM(N1210,N1215,N1220,N1225,N1230,N1235)</f>
        <v>0</v>
      </c>
      <c r="O1240" s="70">
        <f t="shared" si="271"/>
        <v>0</v>
      </c>
      <c r="P1240" s="70">
        <f t="shared" si="271"/>
        <v>107.12574711310731</v>
      </c>
      <c r="Q1240" s="70">
        <f t="shared" si="271"/>
        <v>0</v>
      </c>
      <c r="R1240" s="70">
        <f t="shared" si="271"/>
        <v>73.884551940641515</v>
      </c>
      <c r="S1240" s="70">
        <f t="shared" si="271"/>
        <v>81.29991673515508</v>
      </c>
      <c r="T1240" s="70">
        <f t="shared" si="271"/>
        <v>144.84929157199755</v>
      </c>
      <c r="U1240" s="70">
        <f t="shared" si="271"/>
        <v>0</v>
      </c>
      <c r="V1240" s="70">
        <f t="shared" si="271"/>
        <v>249.62526187180637</v>
      </c>
      <c r="W1240" s="70">
        <f t="shared" si="271"/>
        <v>30.137968127759002</v>
      </c>
      <c r="X1240" s="70">
        <f t="shared" si="271"/>
        <v>15.989461167334161</v>
      </c>
      <c r="Y1240" s="70">
        <f t="shared" si="271"/>
        <v>26.900126482178273</v>
      </c>
      <c r="Z1240" s="70">
        <f t="shared" si="271"/>
        <v>35.437179611690851</v>
      </c>
      <c r="AA1240" s="70">
        <f t="shared" si="271"/>
        <v>37.187125971884974</v>
      </c>
      <c r="AB1240" s="70">
        <f t="shared" si="271"/>
        <v>49.738632774320529</v>
      </c>
      <c r="AC1240" s="70">
        <f t="shared" si="271"/>
        <v>124.48066900737069</v>
      </c>
      <c r="AD1240" s="70">
        <f t="shared" si="271"/>
        <v>0</v>
      </c>
      <c r="AE1240" s="70">
        <f t="shared" si="271"/>
        <v>43.080319778420908</v>
      </c>
      <c r="AF1240" s="70">
        <f t="shared" si="271"/>
        <v>0</v>
      </c>
      <c r="AG1240" s="70">
        <f t="shared" si="271"/>
        <v>36.238196097908947</v>
      </c>
      <c r="AH1240" s="70">
        <f t="shared" si="271"/>
        <v>46.625803159017337</v>
      </c>
      <c r="AI1240" s="70">
        <f t="shared" si="271"/>
        <v>0</v>
      </c>
      <c r="AJ1240" s="70">
        <f t="shared" si="271"/>
        <v>0</v>
      </c>
      <c r="AK1240" s="70">
        <f t="shared" si="271"/>
        <v>0</v>
      </c>
      <c r="AL1240" s="70">
        <f t="shared" si="271"/>
        <v>0</v>
      </c>
      <c r="AM1240" s="379">
        <f t="shared" si="247"/>
        <v>1249.5764238396878</v>
      </c>
    </row>
    <row r="1241" spans="1:39" x14ac:dyDescent="0.2">
      <c r="A1241" s="8"/>
      <c r="B1241" s="8"/>
      <c r="C1241" s="22"/>
      <c r="D1241" s="8"/>
      <c r="E1241" s="70"/>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379"/>
    </row>
    <row r="1242" spans="1:39" x14ac:dyDescent="0.2">
      <c r="A1242" s="8"/>
      <c r="B1242" s="8" t="s">
        <v>600</v>
      </c>
      <c r="C1242" s="22" t="s">
        <v>77</v>
      </c>
      <c r="D1242" s="8"/>
      <c r="E1242" s="70"/>
      <c r="F1242" s="70">
        <f t="shared" ref="F1242:AL1242" si="272">F1238*(F20/(F20+F22))</f>
        <v>0</v>
      </c>
      <c r="G1242" s="70">
        <f t="shared" si="272"/>
        <v>0</v>
      </c>
      <c r="H1242" s="70">
        <f t="shared" si="272"/>
        <v>0</v>
      </c>
      <c r="I1242" s="70">
        <f t="shared" si="272"/>
        <v>0</v>
      </c>
      <c r="J1242" s="70">
        <f t="shared" si="272"/>
        <v>6.3050385368437993</v>
      </c>
      <c r="K1242" s="70">
        <f t="shared" si="272"/>
        <v>2.6620274600531357</v>
      </c>
      <c r="L1242" s="70">
        <f t="shared" si="272"/>
        <v>2.541491184225142</v>
      </c>
      <c r="M1242" s="70">
        <f t="shared" si="272"/>
        <v>0</v>
      </c>
      <c r="N1242" s="70">
        <f t="shared" si="272"/>
        <v>0</v>
      </c>
      <c r="O1242" s="70">
        <f t="shared" si="272"/>
        <v>0</v>
      </c>
      <c r="P1242" s="70">
        <f t="shared" si="272"/>
        <v>10.009912436100546</v>
      </c>
      <c r="Q1242" s="70">
        <f t="shared" si="272"/>
        <v>0</v>
      </c>
      <c r="R1242" s="70">
        <f t="shared" si="272"/>
        <v>2.2870435209200468</v>
      </c>
      <c r="S1242" s="70">
        <f t="shared" si="272"/>
        <v>4.0236885709716717</v>
      </c>
      <c r="T1242" s="70">
        <f t="shared" si="272"/>
        <v>6.923561028428793</v>
      </c>
      <c r="U1242" s="70">
        <f t="shared" si="272"/>
        <v>0</v>
      </c>
      <c r="V1242" s="70">
        <f t="shared" si="272"/>
        <v>20.558855062688892</v>
      </c>
      <c r="W1242" s="70">
        <f t="shared" si="272"/>
        <v>2.9573283305426323</v>
      </c>
      <c r="X1242" s="70">
        <f t="shared" si="272"/>
        <v>1.7455701384797446</v>
      </c>
      <c r="Y1242" s="70">
        <f t="shared" si="272"/>
        <v>2.3316288064681898</v>
      </c>
      <c r="Z1242" s="70">
        <f t="shared" si="272"/>
        <v>3.0788848260915955</v>
      </c>
      <c r="AA1242" s="70">
        <f t="shared" si="272"/>
        <v>3.0870429268552781</v>
      </c>
      <c r="AB1242" s="70">
        <f t="shared" si="272"/>
        <v>3.5558217636892087</v>
      </c>
      <c r="AC1242" s="70">
        <f t="shared" si="272"/>
        <v>7.5470946580769969</v>
      </c>
      <c r="AD1242" s="70">
        <f t="shared" si="272"/>
        <v>0</v>
      </c>
      <c r="AE1242" s="70">
        <f t="shared" si="272"/>
        <v>3.6057214362132433</v>
      </c>
      <c r="AF1242" s="70">
        <f t="shared" si="272"/>
        <v>0</v>
      </c>
      <c r="AG1242" s="70">
        <f t="shared" si="272"/>
        <v>2.4754218011440985</v>
      </c>
      <c r="AH1242" s="70">
        <f t="shared" si="272"/>
        <v>4.0905852129094189</v>
      </c>
      <c r="AI1242" s="70">
        <f t="shared" si="272"/>
        <v>0</v>
      </c>
      <c r="AJ1242" s="70">
        <f t="shared" si="272"/>
        <v>0</v>
      </c>
      <c r="AK1242" s="70">
        <f t="shared" si="272"/>
        <v>0</v>
      </c>
      <c r="AL1242" s="70">
        <f t="shared" si="272"/>
        <v>0</v>
      </c>
      <c r="AM1242" s="379">
        <f t="shared" si="247"/>
        <v>89.786717700702425</v>
      </c>
    </row>
    <row r="1243" spans="1:39" x14ac:dyDescent="0.2">
      <c r="A1243" s="8"/>
      <c r="B1243" s="8" t="s">
        <v>601</v>
      </c>
      <c r="C1243" s="22" t="s">
        <v>77</v>
      </c>
      <c r="D1243" s="8"/>
      <c r="E1243" s="70"/>
      <c r="F1243" s="70">
        <f t="shared" ref="F1243:AL1243" si="273">F1237+F1238*(F22/(F20+F22))</f>
        <v>0</v>
      </c>
      <c r="G1243" s="70">
        <f t="shared" si="273"/>
        <v>0</v>
      </c>
      <c r="H1243" s="70">
        <f t="shared" si="273"/>
        <v>0</v>
      </c>
      <c r="I1243" s="70">
        <f t="shared" si="273"/>
        <v>0</v>
      </c>
      <c r="J1243" s="70">
        <f t="shared" si="273"/>
        <v>20.395388846408885</v>
      </c>
      <c r="K1243" s="70">
        <f t="shared" si="273"/>
        <v>11.498619470001989</v>
      </c>
      <c r="L1243" s="70">
        <f t="shared" si="273"/>
        <v>12.373274347926307</v>
      </c>
      <c r="M1243" s="70">
        <f t="shared" si="273"/>
        <v>0</v>
      </c>
      <c r="N1243" s="70">
        <f t="shared" si="273"/>
        <v>0</v>
      </c>
      <c r="O1243" s="70">
        <f t="shared" si="273"/>
        <v>0</v>
      </c>
      <c r="P1243" s="70">
        <f t="shared" si="273"/>
        <v>39.259290837058444</v>
      </c>
      <c r="Q1243" s="70">
        <f t="shared" si="273"/>
        <v>0</v>
      </c>
      <c r="R1243" s="70">
        <f t="shared" si="273"/>
        <v>71.322432154279312</v>
      </c>
      <c r="S1243" s="70">
        <f t="shared" si="273"/>
        <v>41.799841898586166</v>
      </c>
      <c r="T1243" s="70">
        <f t="shared" si="273"/>
        <v>74.649280021480564</v>
      </c>
      <c r="U1243" s="70">
        <f t="shared" si="273"/>
        <v>0</v>
      </c>
      <c r="V1243" s="70">
        <f t="shared" si="273"/>
        <v>76.745145385889174</v>
      </c>
      <c r="W1243" s="70">
        <f t="shared" si="273"/>
        <v>13.934697864445175</v>
      </c>
      <c r="X1243" s="70">
        <f t="shared" si="273"/>
        <v>7.5700980010711092</v>
      </c>
      <c r="Y1243" s="70">
        <f t="shared" si="273"/>
        <v>11.75283177918325</v>
      </c>
      <c r="Z1243" s="70">
        <f t="shared" si="273"/>
        <v>9.9748930352864473</v>
      </c>
      <c r="AA1243" s="70">
        <f t="shared" si="273"/>
        <v>18.750029839811397</v>
      </c>
      <c r="AB1243" s="70">
        <f t="shared" si="273"/>
        <v>25.541782445794741</v>
      </c>
      <c r="AC1243" s="70">
        <f t="shared" si="273"/>
        <v>63.505364580194417</v>
      </c>
      <c r="AD1243" s="70">
        <f t="shared" si="273"/>
        <v>0</v>
      </c>
      <c r="AE1243" s="70">
        <f t="shared" si="273"/>
        <v>20.509910777164734</v>
      </c>
      <c r="AF1243" s="70">
        <f t="shared" si="273"/>
        <v>0</v>
      </c>
      <c r="AG1243" s="70">
        <f t="shared" si="273"/>
        <v>18.780254557398791</v>
      </c>
      <c r="AH1243" s="70">
        <f t="shared" si="273"/>
        <v>16.468832077949866</v>
      </c>
      <c r="AI1243" s="70">
        <f t="shared" si="273"/>
        <v>0</v>
      </c>
      <c r="AJ1243" s="70">
        <f t="shared" si="273"/>
        <v>0</v>
      </c>
      <c r="AK1243" s="70">
        <f t="shared" si="273"/>
        <v>0</v>
      </c>
      <c r="AL1243" s="70">
        <f t="shared" si="273"/>
        <v>0</v>
      </c>
      <c r="AM1243" s="379">
        <f t="shared" si="247"/>
        <v>554.83196791993078</v>
      </c>
    </row>
    <row r="1244" spans="1:39" x14ac:dyDescent="0.2">
      <c r="A1244" s="8"/>
      <c r="B1244" s="8" t="s">
        <v>602</v>
      </c>
      <c r="C1244" s="22" t="s">
        <v>77</v>
      </c>
      <c r="D1244" s="8"/>
      <c r="E1244" s="70"/>
      <c r="F1244" s="70">
        <f t="shared" ref="F1244:AL1244" si="274">F1240*(F20/(F20+F22))</f>
        <v>0</v>
      </c>
      <c r="G1244" s="70">
        <f t="shared" si="274"/>
        <v>0</v>
      </c>
      <c r="H1244" s="70">
        <f t="shared" si="274"/>
        <v>0</v>
      </c>
      <c r="I1244" s="70">
        <f t="shared" si="274"/>
        <v>0</v>
      </c>
      <c r="J1244" s="70">
        <f t="shared" si="274"/>
        <v>57.889878710483323</v>
      </c>
      <c r="K1244" s="70">
        <f t="shared" si="274"/>
        <v>23.876067630100906</v>
      </c>
      <c r="L1244" s="70">
        <f t="shared" si="274"/>
        <v>22.78458424497353</v>
      </c>
      <c r="M1244" s="70">
        <f t="shared" si="274"/>
        <v>0</v>
      </c>
      <c r="N1244" s="70">
        <f t="shared" si="274"/>
        <v>0</v>
      </c>
      <c r="O1244" s="70">
        <f t="shared" si="274"/>
        <v>0</v>
      </c>
      <c r="P1244" s="70">
        <f t="shared" si="274"/>
        <v>90.335496520682028</v>
      </c>
      <c r="Q1244" s="70">
        <f t="shared" si="274"/>
        <v>0</v>
      </c>
      <c r="R1244" s="70">
        <f t="shared" si="274"/>
        <v>20.497048863359179</v>
      </c>
      <c r="S1244" s="70">
        <f t="shared" si="274"/>
        <v>36.555212618539244</v>
      </c>
      <c r="T1244" s="70">
        <f t="shared" si="274"/>
        <v>61.92885065770129</v>
      </c>
      <c r="U1244" s="70">
        <f t="shared" si="274"/>
        <v>0</v>
      </c>
      <c r="V1244" s="70">
        <f t="shared" si="274"/>
        <v>184.17873601641529</v>
      </c>
      <c r="W1244" s="70">
        <f t="shared" si="274"/>
        <v>26.788166551115779</v>
      </c>
      <c r="X1244" s="70">
        <f t="shared" si="274"/>
        <v>15.507032008540758</v>
      </c>
      <c r="Y1244" s="70">
        <f t="shared" si="274"/>
        <v>22.18204758800124</v>
      </c>
      <c r="Z1244" s="70">
        <f t="shared" si="274"/>
        <v>27.501959039236887</v>
      </c>
      <c r="AA1244" s="70">
        <f t="shared" si="274"/>
        <v>29.785013862964906</v>
      </c>
      <c r="AB1244" s="70">
        <f t="shared" si="274"/>
        <v>31.763154582366397</v>
      </c>
      <c r="AC1244" s="70">
        <f t="shared" si="274"/>
        <v>69.89198303457573</v>
      </c>
      <c r="AD1244" s="70">
        <f t="shared" si="274"/>
        <v>0</v>
      </c>
      <c r="AE1244" s="70">
        <f t="shared" si="274"/>
        <v>32.173481045373485</v>
      </c>
      <c r="AF1244" s="70">
        <f t="shared" si="274"/>
        <v>0</v>
      </c>
      <c r="AG1244" s="70">
        <f t="shared" si="274"/>
        <v>22.41148467025587</v>
      </c>
      <c r="AH1244" s="70">
        <f t="shared" si="274"/>
        <v>36.419402814632903</v>
      </c>
      <c r="AI1244" s="70">
        <f t="shared" si="274"/>
        <v>0</v>
      </c>
      <c r="AJ1244" s="70">
        <f t="shared" si="274"/>
        <v>0</v>
      </c>
      <c r="AK1244" s="70">
        <f t="shared" si="274"/>
        <v>0</v>
      </c>
      <c r="AL1244" s="70">
        <f t="shared" si="274"/>
        <v>0</v>
      </c>
      <c r="AM1244" s="379">
        <f t="shared" si="247"/>
        <v>812.46960045931849</v>
      </c>
    </row>
    <row r="1245" spans="1:39" x14ac:dyDescent="0.2">
      <c r="A1245" s="8"/>
      <c r="B1245" s="8" t="s">
        <v>603</v>
      </c>
      <c r="C1245" s="22" t="s">
        <v>77</v>
      </c>
      <c r="D1245" s="8"/>
      <c r="E1245" s="70"/>
      <c r="F1245" s="70">
        <f t="shared" ref="F1245:AL1245" si="275">F1239+F1240*(F22/(F20+F22))</f>
        <v>0</v>
      </c>
      <c r="G1245" s="70">
        <f t="shared" si="275"/>
        <v>0</v>
      </c>
      <c r="H1245" s="70">
        <f t="shared" si="275"/>
        <v>0</v>
      </c>
      <c r="I1245" s="70">
        <f t="shared" si="275"/>
        <v>0</v>
      </c>
      <c r="J1245" s="70">
        <f t="shared" si="275"/>
        <v>65.973708036972454</v>
      </c>
      <c r="K1245" s="70">
        <f t="shared" si="275"/>
        <v>35.067890907639075</v>
      </c>
      <c r="L1245" s="70">
        <f t="shared" si="275"/>
        <v>44.436998082850508</v>
      </c>
      <c r="M1245" s="70">
        <f t="shared" si="275"/>
        <v>0</v>
      </c>
      <c r="N1245" s="70">
        <f t="shared" si="275"/>
        <v>0</v>
      </c>
      <c r="O1245" s="70">
        <f t="shared" si="275"/>
        <v>0</v>
      </c>
      <c r="P1245" s="70">
        <f t="shared" si="275"/>
        <v>114.89594345186049</v>
      </c>
      <c r="Q1245" s="70">
        <f t="shared" si="275"/>
        <v>0</v>
      </c>
      <c r="R1245" s="70">
        <f t="shared" si="275"/>
        <v>207.13653076133903</v>
      </c>
      <c r="S1245" s="70">
        <f t="shared" si="275"/>
        <v>133.76767832633627</v>
      </c>
      <c r="T1245" s="70">
        <f t="shared" si="275"/>
        <v>241.88330841682577</v>
      </c>
      <c r="U1245" s="70">
        <f t="shared" si="275"/>
        <v>0</v>
      </c>
      <c r="V1245" s="70">
        <f t="shared" si="275"/>
        <v>247.22485541303718</v>
      </c>
      <c r="W1245" s="70">
        <f t="shared" si="275"/>
        <v>38.769058536140399</v>
      </c>
      <c r="X1245" s="70">
        <f t="shared" si="275"/>
        <v>19.11393430797915</v>
      </c>
      <c r="Y1245" s="70">
        <f t="shared" si="275"/>
        <v>32.445420301285836</v>
      </c>
      <c r="Z1245" s="70">
        <f t="shared" si="275"/>
        <v>31.440343309275882</v>
      </c>
      <c r="AA1245" s="70">
        <f t="shared" si="275"/>
        <v>50.578823393952234</v>
      </c>
      <c r="AB1245" s="70">
        <f t="shared" si="275"/>
        <v>80.065397617348083</v>
      </c>
      <c r="AC1245" s="70">
        <f t="shared" si="275"/>
        <v>200.95547824613277</v>
      </c>
      <c r="AD1245" s="70">
        <f t="shared" si="275"/>
        <v>0</v>
      </c>
      <c r="AE1245" s="70">
        <f t="shared" si="275"/>
        <v>61.402903931186458</v>
      </c>
      <c r="AF1245" s="70">
        <f t="shared" si="275"/>
        <v>0</v>
      </c>
      <c r="AG1245" s="70">
        <f t="shared" si="275"/>
        <v>57.374866245156738</v>
      </c>
      <c r="AH1245" s="70">
        <f t="shared" si="275"/>
        <v>48.671047736333051</v>
      </c>
      <c r="AI1245" s="70">
        <f t="shared" si="275"/>
        <v>0</v>
      </c>
      <c r="AJ1245" s="70">
        <f t="shared" si="275"/>
        <v>0</v>
      </c>
      <c r="AK1245" s="70">
        <f t="shared" si="275"/>
        <v>0</v>
      </c>
      <c r="AL1245" s="70">
        <f t="shared" si="275"/>
        <v>0</v>
      </c>
      <c r="AM1245" s="379">
        <f t="shared" si="247"/>
        <v>1711.2041870216515</v>
      </c>
    </row>
    <row r="1246" spans="1:39" x14ac:dyDescent="0.2">
      <c r="A1246" s="1"/>
      <c r="B1246" s="1"/>
      <c r="C1246" s="3"/>
      <c r="D1246" s="1"/>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07"/>
    </row>
    <row r="1247" spans="1:39" ht="18" x14ac:dyDescent="0.25">
      <c r="A1247" s="200" t="s">
        <v>612</v>
      </c>
      <c r="B1247" s="162"/>
      <c r="C1247" s="218"/>
      <c r="D1247" s="162"/>
      <c r="E1247" s="162"/>
      <c r="F1247" s="143"/>
      <c r="G1247" s="143"/>
      <c r="H1247" s="143"/>
      <c r="I1247" s="143"/>
      <c r="J1247" s="143"/>
      <c r="K1247" s="143"/>
      <c r="L1247" s="143"/>
      <c r="M1247" s="143"/>
      <c r="N1247" s="143"/>
      <c r="O1247" s="143"/>
      <c r="P1247" s="143"/>
      <c r="Q1247" s="143"/>
      <c r="R1247" s="143"/>
      <c r="S1247" s="143"/>
      <c r="T1247" s="143"/>
      <c r="U1247" s="143"/>
      <c r="V1247" s="143"/>
      <c r="W1247" s="143"/>
      <c r="X1247" s="143"/>
      <c r="Y1247" s="143"/>
      <c r="Z1247" s="143"/>
      <c r="AA1247" s="143"/>
      <c r="AB1247" s="143"/>
      <c r="AC1247" s="143"/>
      <c r="AD1247" s="143"/>
      <c r="AE1247" s="143"/>
      <c r="AF1247" s="143"/>
      <c r="AG1247" s="143"/>
      <c r="AH1247" s="143"/>
      <c r="AI1247" s="143"/>
      <c r="AJ1247" s="143"/>
      <c r="AK1247" s="143"/>
      <c r="AL1247" s="143"/>
      <c r="AM1247" s="107"/>
    </row>
    <row r="1248" spans="1:39" ht="18" x14ac:dyDescent="0.25">
      <c r="A1248" s="201"/>
      <c r="B1248" s="141"/>
      <c r="C1248" s="219"/>
      <c r="D1248" s="141"/>
      <c r="E1248" s="1"/>
      <c r="F1248" s="142"/>
      <c r="G1248" s="142"/>
      <c r="H1248" s="142"/>
      <c r="I1248" s="142"/>
      <c r="J1248" s="142"/>
      <c r="K1248" s="142"/>
      <c r="L1248" s="142"/>
      <c r="M1248" s="142"/>
      <c r="N1248" s="142"/>
      <c r="O1248" s="142"/>
      <c r="P1248" s="142"/>
      <c r="Q1248" s="142"/>
      <c r="R1248" s="142"/>
      <c r="S1248" s="142"/>
      <c r="T1248" s="142"/>
      <c r="U1248" s="142"/>
      <c r="V1248" s="142"/>
      <c r="W1248" s="142"/>
      <c r="X1248" s="142"/>
      <c r="Y1248" s="142"/>
      <c r="Z1248" s="142"/>
      <c r="AA1248" s="142"/>
      <c r="AB1248" s="142"/>
      <c r="AC1248" s="142"/>
      <c r="AD1248" s="142"/>
      <c r="AE1248" s="142"/>
      <c r="AF1248" s="142"/>
      <c r="AG1248" s="142"/>
      <c r="AH1248" s="142"/>
      <c r="AI1248" s="142"/>
      <c r="AJ1248" s="142"/>
      <c r="AK1248" s="142"/>
      <c r="AL1248" s="142"/>
      <c r="AM1248" s="107"/>
    </row>
    <row r="1249" spans="1:39" ht="18" x14ac:dyDescent="0.25">
      <c r="A1249" s="203" t="s">
        <v>604</v>
      </c>
      <c r="B1249" s="188"/>
      <c r="C1249" s="220"/>
      <c r="D1249" s="139"/>
      <c r="E1249" s="1"/>
      <c r="F1249" s="140"/>
      <c r="G1249" s="140"/>
      <c r="H1249" s="140"/>
      <c r="I1249" s="140"/>
      <c r="J1249" s="140"/>
      <c r="K1249" s="140"/>
      <c r="L1249" s="140"/>
      <c r="M1249" s="140"/>
      <c r="N1249" s="140"/>
      <c r="O1249" s="140"/>
      <c r="P1249" s="140"/>
      <c r="Q1249" s="140"/>
      <c r="R1249" s="140"/>
      <c r="S1249" s="140"/>
      <c r="T1249" s="140"/>
      <c r="U1249" s="140"/>
      <c r="V1249" s="140"/>
      <c r="W1249" s="140"/>
      <c r="X1249" s="140"/>
      <c r="Y1249" s="140"/>
      <c r="Z1249" s="140"/>
      <c r="AA1249" s="140"/>
      <c r="AB1249" s="140"/>
      <c r="AC1249" s="140"/>
      <c r="AD1249" s="140"/>
      <c r="AE1249" s="140"/>
      <c r="AF1249" s="140"/>
      <c r="AG1249" s="140"/>
      <c r="AH1249" s="140"/>
      <c r="AI1249" s="140"/>
      <c r="AJ1249" s="140"/>
      <c r="AK1249" s="140"/>
      <c r="AL1249" s="140"/>
      <c r="AM1249" s="107"/>
    </row>
    <row r="1250" spans="1:39" ht="15" x14ac:dyDescent="0.25">
      <c r="A1250" s="205"/>
      <c r="B1250" s="166" t="s">
        <v>613</v>
      </c>
      <c r="C1250" s="223"/>
      <c r="D1250" s="166"/>
      <c r="E1250" s="1"/>
      <c r="F1250" s="139"/>
      <c r="G1250" s="139"/>
      <c r="H1250" s="139"/>
      <c r="I1250" s="139"/>
      <c r="J1250" s="139"/>
      <c r="K1250" s="139"/>
      <c r="L1250" s="139"/>
      <c r="M1250" s="139"/>
      <c r="N1250" s="139"/>
      <c r="O1250" s="139"/>
      <c r="P1250" s="139"/>
      <c r="Q1250" s="139"/>
      <c r="R1250" s="139"/>
      <c r="S1250" s="139"/>
      <c r="T1250" s="139"/>
      <c r="U1250" s="139"/>
      <c r="V1250" s="139"/>
      <c r="W1250" s="139"/>
      <c r="X1250" s="139"/>
      <c r="Y1250" s="139"/>
      <c r="Z1250" s="139"/>
      <c r="AA1250" s="139"/>
      <c r="AB1250" s="139"/>
      <c r="AC1250" s="139"/>
      <c r="AD1250" s="139"/>
      <c r="AE1250" s="139"/>
      <c r="AF1250" s="139"/>
      <c r="AG1250" s="139"/>
      <c r="AH1250" s="139"/>
      <c r="AI1250" s="139"/>
      <c r="AJ1250" s="139"/>
      <c r="AK1250" s="139"/>
      <c r="AL1250" s="139"/>
      <c r="AM1250" s="383"/>
    </row>
    <row r="1251" spans="1:39" ht="15" x14ac:dyDescent="0.25">
      <c r="A1251" s="69" t="s">
        <v>354</v>
      </c>
      <c r="B1251" s="268" t="s">
        <v>614</v>
      </c>
      <c r="C1251" s="30" t="s">
        <v>63</v>
      </c>
      <c r="D1251" s="268" t="s">
        <v>356</v>
      </c>
      <c r="E1251" s="267"/>
      <c r="F1251" s="165">
        <v>13.7</v>
      </c>
      <c r="G1251" s="165">
        <v>13.7</v>
      </c>
      <c r="H1251" s="165">
        <v>13.7</v>
      </c>
      <c r="I1251" s="165">
        <v>13.7</v>
      </c>
      <c r="J1251" s="165">
        <v>13.7</v>
      </c>
      <c r="K1251" s="165">
        <v>13.7</v>
      </c>
      <c r="L1251" s="165">
        <v>13.7</v>
      </c>
      <c r="M1251" s="165">
        <v>13.7</v>
      </c>
      <c r="N1251" s="165">
        <v>13.7</v>
      </c>
      <c r="O1251" s="165">
        <v>13.7</v>
      </c>
      <c r="P1251" s="165">
        <v>13.7</v>
      </c>
      <c r="Q1251" s="165">
        <v>13.7</v>
      </c>
      <c r="R1251" s="165">
        <v>13.7</v>
      </c>
      <c r="S1251" s="165">
        <v>13.7</v>
      </c>
      <c r="T1251" s="165">
        <v>13.7</v>
      </c>
      <c r="U1251" s="165">
        <v>13.7</v>
      </c>
      <c r="V1251" s="165">
        <v>13.7</v>
      </c>
      <c r="W1251" s="165">
        <v>13.7</v>
      </c>
      <c r="X1251" s="165">
        <v>13.7</v>
      </c>
      <c r="Y1251" s="165">
        <v>13.7</v>
      </c>
      <c r="Z1251" s="165">
        <v>13.7</v>
      </c>
      <c r="AA1251" s="165">
        <v>13.7</v>
      </c>
      <c r="AB1251" s="165">
        <v>13.7</v>
      </c>
      <c r="AC1251" s="165">
        <v>13.7</v>
      </c>
      <c r="AD1251" s="165">
        <v>13.7</v>
      </c>
      <c r="AE1251" s="165">
        <v>13.7</v>
      </c>
      <c r="AF1251" s="165">
        <v>13.7</v>
      </c>
      <c r="AG1251" s="165">
        <v>13.7</v>
      </c>
      <c r="AH1251" s="165">
        <v>13.7</v>
      </c>
      <c r="AI1251" s="165">
        <v>13.7</v>
      </c>
      <c r="AJ1251" s="165">
        <v>13.7</v>
      </c>
      <c r="AK1251" s="165">
        <v>13.7</v>
      </c>
      <c r="AL1251" s="165">
        <v>13.7</v>
      </c>
      <c r="AM1251" s="383">
        <f t="shared" ref="AM1251:AM1259" si="276">AVERAGE(F1251:AL1251)</f>
        <v>13.699999999999992</v>
      </c>
    </row>
    <row r="1252" spans="1:39" x14ac:dyDescent="0.2">
      <c r="A1252" s="1"/>
      <c r="B1252" s="268" t="s">
        <v>615</v>
      </c>
      <c r="C1252" s="30" t="s">
        <v>63</v>
      </c>
      <c r="D1252" s="268" t="s">
        <v>358</v>
      </c>
      <c r="E1252" s="267"/>
      <c r="F1252" s="165">
        <v>49.4</v>
      </c>
      <c r="G1252" s="165">
        <v>49.4</v>
      </c>
      <c r="H1252" s="165">
        <v>49.4</v>
      </c>
      <c r="I1252" s="165">
        <v>49.4</v>
      </c>
      <c r="J1252" s="165">
        <v>49.4</v>
      </c>
      <c r="K1252" s="165">
        <v>49.4</v>
      </c>
      <c r="L1252" s="165">
        <v>49.4</v>
      </c>
      <c r="M1252" s="165">
        <v>49.4</v>
      </c>
      <c r="N1252" s="165">
        <v>49.4</v>
      </c>
      <c r="O1252" s="165">
        <v>49.4</v>
      </c>
      <c r="P1252" s="165">
        <v>49.4</v>
      </c>
      <c r="Q1252" s="165">
        <v>49.4</v>
      </c>
      <c r="R1252" s="165">
        <v>49.4</v>
      </c>
      <c r="S1252" s="165">
        <v>49.4</v>
      </c>
      <c r="T1252" s="165">
        <v>49.4</v>
      </c>
      <c r="U1252" s="165">
        <v>49.4</v>
      </c>
      <c r="V1252" s="165">
        <v>49.4</v>
      </c>
      <c r="W1252" s="165">
        <v>49.4</v>
      </c>
      <c r="X1252" s="165">
        <v>49.4</v>
      </c>
      <c r="Y1252" s="165">
        <v>49.4</v>
      </c>
      <c r="Z1252" s="165">
        <v>49.4</v>
      </c>
      <c r="AA1252" s="165">
        <v>49.4</v>
      </c>
      <c r="AB1252" s="165">
        <v>49.4</v>
      </c>
      <c r="AC1252" s="165">
        <v>49.4</v>
      </c>
      <c r="AD1252" s="165">
        <v>49.4</v>
      </c>
      <c r="AE1252" s="165">
        <v>49.4</v>
      </c>
      <c r="AF1252" s="165">
        <v>49.4</v>
      </c>
      <c r="AG1252" s="165">
        <v>49.4</v>
      </c>
      <c r="AH1252" s="165">
        <v>49.4</v>
      </c>
      <c r="AI1252" s="165">
        <v>49.4</v>
      </c>
      <c r="AJ1252" s="165">
        <v>49.4</v>
      </c>
      <c r="AK1252" s="165">
        <v>49.4</v>
      </c>
      <c r="AL1252" s="165">
        <v>49.4</v>
      </c>
      <c r="AM1252" s="383">
        <f t="shared" si="276"/>
        <v>49.40000000000002</v>
      </c>
    </row>
    <row r="1253" spans="1:39" x14ac:dyDescent="0.2">
      <c r="A1253" s="1"/>
      <c r="B1253" s="268" t="s">
        <v>616</v>
      </c>
      <c r="C1253" s="30" t="s">
        <v>63</v>
      </c>
      <c r="D1253" s="268" t="s">
        <v>356</v>
      </c>
      <c r="E1253" s="267"/>
      <c r="F1253" s="165">
        <v>66.7</v>
      </c>
      <c r="G1253" s="165">
        <v>66.7</v>
      </c>
      <c r="H1253" s="165">
        <v>66.7</v>
      </c>
      <c r="I1253" s="165">
        <v>66.7</v>
      </c>
      <c r="J1253" s="165">
        <v>66.7</v>
      </c>
      <c r="K1253" s="165">
        <v>66.7</v>
      </c>
      <c r="L1253" s="165">
        <v>66.7</v>
      </c>
      <c r="M1253" s="165">
        <v>66.7</v>
      </c>
      <c r="N1253" s="165">
        <v>66.7</v>
      </c>
      <c r="O1253" s="165">
        <v>66.7</v>
      </c>
      <c r="P1253" s="165">
        <v>66.7</v>
      </c>
      <c r="Q1253" s="165">
        <v>66.7</v>
      </c>
      <c r="R1253" s="165">
        <v>66.7</v>
      </c>
      <c r="S1253" s="165">
        <v>66.7</v>
      </c>
      <c r="T1253" s="165">
        <v>66.7</v>
      </c>
      <c r="U1253" s="165">
        <v>66.7</v>
      </c>
      <c r="V1253" s="165">
        <v>66.7</v>
      </c>
      <c r="W1253" s="165">
        <v>66.7</v>
      </c>
      <c r="X1253" s="165">
        <v>66.7</v>
      </c>
      <c r="Y1253" s="165">
        <v>66.7</v>
      </c>
      <c r="Z1253" s="165">
        <v>66.7</v>
      </c>
      <c r="AA1253" s="165">
        <v>66.7</v>
      </c>
      <c r="AB1253" s="165">
        <v>66.7</v>
      </c>
      <c r="AC1253" s="165">
        <v>66.7</v>
      </c>
      <c r="AD1253" s="165">
        <v>66.7</v>
      </c>
      <c r="AE1253" s="165">
        <v>66.7</v>
      </c>
      <c r="AF1253" s="165">
        <v>66.7</v>
      </c>
      <c r="AG1253" s="165">
        <v>66.7</v>
      </c>
      <c r="AH1253" s="165">
        <v>66.7</v>
      </c>
      <c r="AI1253" s="165">
        <v>66.7</v>
      </c>
      <c r="AJ1253" s="165">
        <v>66.7</v>
      </c>
      <c r="AK1253" s="165">
        <v>66.7</v>
      </c>
      <c r="AL1253" s="165">
        <v>66.7</v>
      </c>
      <c r="AM1253" s="383">
        <f t="shared" si="276"/>
        <v>66.700000000000017</v>
      </c>
    </row>
    <row r="1254" spans="1:39" ht="15" x14ac:dyDescent="0.25">
      <c r="A1254" s="69" t="s">
        <v>360</v>
      </c>
      <c r="B1254" s="268" t="s">
        <v>617</v>
      </c>
      <c r="C1254" s="30" t="s">
        <v>63</v>
      </c>
      <c r="D1254" s="268" t="s">
        <v>356</v>
      </c>
      <c r="E1254" s="267"/>
      <c r="F1254" s="165">
        <v>35.4</v>
      </c>
      <c r="G1254" s="165">
        <v>35.4</v>
      </c>
      <c r="H1254" s="165">
        <v>35.4</v>
      </c>
      <c r="I1254" s="165">
        <v>35.4</v>
      </c>
      <c r="J1254" s="165">
        <v>35.4</v>
      </c>
      <c r="K1254" s="165">
        <v>35.4</v>
      </c>
      <c r="L1254" s="165">
        <v>35.4</v>
      </c>
      <c r="M1254" s="165">
        <v>35.4</v>
      </c>
      <c r="N1254" s="165">
        <v>35.4</v>
      </c>
      <c r="O1254" s="165">
        <v>35.4</v>
      </c>
      <c r="P1254" s="165">
        <v>35.4</v>
      </c>
      <c r="Q1254" s="165">
        <v>35.4</v>
      </c>
      <c r="R1254" s="165">
        <v>35.4</v>
      </c>
      <c r="S1254" s="165">
        <v>35.4</v>
      </c>
      <c r="T1254" s="165">
        <v>35.4</v>
      </c>
      <c r="U1254" s="165">
        <v>35.4</v>
      </c>
      <c r="V1254" s="165">
        <v>35.4</v>
      </c>
      <c r="W1254" s="165">
        <v>35.4</v>
      </c>
      <c r="X1254" s="165">
        <v>35.4</v>
      </c>
      <c r="Y1254" s="165">
        <v>35.4</v>
      </c>
      <c r="Z1254" s="165">
        <v>35.4</v>
      </c>
      <c r="AA1254" s="165">
        <v>35.4</v>
      </c>
      <c r="AB1254" s="165">
        <v>35.4</v>
      </c>
      <c r="AC1254" s="165">
        <v>35.4</v>
      </c>
      <c r="AD1254" s="165">
        <v>35.4</v>
      </c>
      <c r="AE1254" s="165">
        <v>35.4</v>
      </c>
      <c r="AF1254" s="165">
        <v>35.4</v>
      </c>
      <c r="AG1254" s="165">
        <v>35.4</v>
      </c>
      <c r="AH1254" s="165">
        <v>35.4</v>
      </c>
      <c r="AI1254" s="165">
        <v>35.4</v>
      </c>
      <c r="AJ1254" s="165">
        <v>35.4</v>
      </c>
      <c r="AK1254" s="165">
        <v>35.4</v>
      </c>
      <c r="AL1254" s="165">
        <v>35.4</v>
      </c>
      <c r="AM1254" s="383">
        <f t="shared" si="276"/>
        <v>35.4</v>
      </c>
    </row>
    <row r="1255" spans="1:39" x14ac:dyDescent="0.2">
      <c r="A1255" s="1"/>
      <c r="B1255" s="268" t="s">
        <v>618</v>
      </c>
      <c r="C1255" s="30" t="s">
        <v>63</v>
      </c>
      <c r="D1255" s="268" t="s">
        <v>356</v>
      </c>
      <c r="E1255" s="267"/>
      <c r="F1255" s="165">
        <v>27</v>
      </c>
      <c r="G1255" s="165">
        <v>27</v>
      </c>
      <c r="H1255" s="165">
        <v>27</v>
      </c>
      <c r="I1255" s="165">
        <v>27</v>
      </c>
      <c r="J1255" s="165">
        <v>27</v>
      </c>
      <c r="K1255" s="165">
        <v>27</v>
      </c>
      <c r="L1255" s="165">
        <v>27</v>
      </c>
      <c r="M1255" s="165">
        <v>27</v>
      </c>
      <c r="N1255" s="165">
        <v>27</v>
      </c>
      <c r="O1255" s="165">
        <v>27</v>
      </c>
      <c r="P1255" s="165">
        <v>27</v>
      </c>
      <c r="Q1255" s="165">
        <v>27</v>
      </c>
      <c r="R1255" s="165">
        <v>27</v>
      </c>
      <c r="S1255" s="165">
        <v>27</v>
      </c>
      <c r="T1255" s="165">
        <v>27</v>
      </c>
      <c r="U1255" s="165">
        <v>27</v>
      </c>
      <c r="V1255" s="165">
        <v>27</v>
      </c>
      <c r="W1255" s="165">
        <v>27</v>
      </c>
      <c r="X1255" s="165">
        <v>27</v>
      </c>
      <c r="Y1255" s="165">
        <v>27</v>
      </c>
      <c r="Z1255" s="165">
        <v>27</v>
      </c>
      <c r="AA1255" s="165">
        <v>27</v>
      </c>
      <c r="AB1255" s="165">
        <v>27</v>
      </c>
      <c r="AC1255" s="165">
        <v>27</v>
      </c>
      <c r="AD1255" s="165">
        <v>27</v>
      </c>
      <c r="AE1255" s="165">
        <v>27</v>
      </c>
      <c r="AF1255" s="165">
        <v>27</v>
      </c>
      <c r="AG1255" s="165">
        <v>27</v>
      </c>
      <c r="AH1255" s="165">
        <v>27</v>
      </c>
      <c r="AI1255" s="165">
        <v>27</v>
      </c>
      <c r="AJ1255" s="165">
        <v>27</v>
      </c>
      <c r="AK1255" s="165">
        <v>27</v>
      </c>
      <c r="AL1255" s="165">
        <v>27</v>
      </c>
      <c r="AM1255" s="383">
        <f t="shared" si="276"/>
        <v>27</v>
      </c>
    </row>
    <row r="1256" spans="1:39" x14ac:dyDescent="0.2">
      <c r="A1256" s="1"/>
      <c r="B1256" s="268" t="s">
        <v>619</v>
      </c>
      <c r="C1256" s="30" t="s">
        <v>63</v>
      </c>
      <c r="D1256" s="268" t="s">
        <v>356</v>
      </c>
      <c r="E1256" s="267"/>
      <c r="F1256" s="165">
        <v>7.8</v>
      </c>
      <c r="G1256" s="165">
        <v>7.8</v>
      </c>
      <c r="H1256" s="165">
        <v>7.8</v>
      </c>
      <c r="I1256" s="165">
        <v>7.8</v>
      </c>
      <c r="J1256" s="165">
        <v>7.8</v>
      </c>
      <c r="K1256" s="165">
        <v>7.8</v>
      </c>
      <c r="L1256" s="165">
        <v>7.8</v>
      </c>
      <c r="M1256" s="165">
        <v>7.8</v>
      </c>
      <c r="N1256" s="165">
        <v>7.8</v>
      </c>
      <c r="O1256" s="165">
        <v>7.8</v>
      </c>
      <c r="P1256" s="165">
        <v>7.8</v>
      </c>
      <c r="Q1256" s="165">
        <v>7.8</v>
      </c>
      <c r="R1256" s="165">
        <v>7.8</v>
      </c>
      <c r="S1256" s="165">
        <v>7.8</v>
      </c>
      <c r="T1256" s="165">
        <v>7.8</v>
      </c>
      <c r="U1256" s="165">
        <v>7.8</v>
      </c>
      <c r="V1256" s="165">
        <v>7.8</v>
      </c>
      <c r="W1256" s="165">
        <v>7.8</v>
      </c>
      <c r="X1256" s="165">
        <v>7.8</v>
      </c>
      <c r="Y1256" s="165">
        <v>7.8</v>
      </c>
      <c r="Z1256" s="165">
        <v>7.8</v>
      </c>
      <c r="AA1256" s="165">
        <v>7.8</v>
      </c>
      <c r="AB1256" s="165">
        <v>7.8</v>
      </c>
      <c r="AC1256" s="165">
        <v>7.8</v>
      </c>
      <c r="AD1256" s="165">
        <v>7.8</v>
      </c>
      <c r="AE1256" s="165">
        <v>7.8</v>
      </c>
      <c r="AF1256" s="165">
        <v>7.8</v>
      </c>
      <c r="AG1256" s="165">
        <v>7.8</v>
      </c>
      <c r="AH1256" s="165">
        <v>7.8</v>
      </c>
      <c r="AI1256" s="165">
        <v>7.8</v>
      </c>
      <c r="AJ1256" s="165">
        <v>7.8</v>
      </c>
      <c r="AK1256" s="165">
        <v>7.8</v>
      </c>
      <c r="AL1256" s="165">
        <v>7.8</v>
      </c>
      <c r="AM1256" s="383">
        <f t="shared" si="276"/>
        <v>7.8000000000000043</v>
      </c>
    </row>
    <row r="1257" spans="1:39" x14ac:dyDescent="0.2">
      <c r="A1257" s="1"/>
      <c r="B1257" s="268" t="s">
        <v>620</v>
      </c>
      <c r="C1257" s="30" t="s">
        <v>63</v>
      </c>
      <c r="D1257" s="268" t="s">
        <v>356</v>
      </c>
      <c r="E1257" s="267"/>
      <c r="F1257" s="165">
        <v>31</v>
      </c>
      <c r="G1257" s="165">
        <v>31</v>
      </c>
      <c r="H1257" s="165">
        <v>31</v>
      </c>
      <c r="I1257" s="165">
        <v>31</v>
      </c>
      <c r="J1257" s="165">
        <v>31</v>
      </c>
      <c r="K1257" s="165">
        <v>31</v>
      </c>
      <c r="L1257" s="165">
        <v>31</v>
      </c>
      <c r="M1257" s="165">
        <v>31</v>
      </c>
      <c r="N1257" s="165">
        <v>31</v>
      </c>
      <c r="O1257" s="165">
        <v>31</v>
      </c>
      <c r="P1257" s="165">
        <v>31</v>
      </c>
      <c r="Q1257" s="165">
        <v>31</v>
      </c>
      <c r="R1257" s="165">
        <v>31</v>
      </c>
      <c r="S1257" s="165">
        <v>31</v>
      </c>
      <c r="T1257" s="165">
        <v>31</v>
      </c>
      <c r="U1257" s="165">
        <v>31</v>
      </c>
      <c r="V1257" s="165">
        <v>31</v>
      </c>
      <c r="W1257" s="165">
        <v>31</v>
      </c>
      <c r="X1257" s="165">
        <v>31</v>
      </c>
      <c r="Y1257" s="165">
        <v>31</v>
      </c>
      <c r="Z1257" s="165">
        <v>31</v>
      </c>
      <c r="AA1257" s="165">
        <v>31</v>
      </c>
      <c r="AB1257" s="165">
        <v>31</v>
      </c>
      <c r="AC1257" s="165">
        <v>31</v>
      </c>
      <c r="AD1257" s="165">
        <v>31</v>
      </c>
      <c r="AE1257" s="165">
        <v>31</v>
      </c>
      <c r="AF1257" s="165">
        <v>31</v>
      </c>
      <c r="AG1257" s="165">
        <v>31</v>
      </c>
      <c r="AH1257" s="165">
        <v>31</v>
      </c>
      <c r="AI1257" s="165">
        <v>31</v>
      </c>
      <c r="AJ1257" s="165">
        <v>31</v>
      </c>
      <c r="AK1257" s="165">
        <v>31</v>
      </c>
      <c r="AL1257" s="165">
        <v>31</v>
      </c>
      <c r="AM1257" s="383">
        <f t="shared" si="276"/>
        <v>31</v>
      </c>
    </row>
    <row r="1258" spans="1:39" x14ac:dyDescent="0.2">
      <c r="A1258" s="1"/>
      <c r="B1258" s="268" t="s">
        <v>621</v>
      </c>
      <c r="C1258" s="30" t="s">
        <v>63</v>
      </c>
      <c r="D1258" s="268" t="s">
        <v>356</v>
      </c>
      <c r="E1258" s="267"/>
      <c r="F1258" s="165">
        <v>14.4</v>
      </c>
      <c r="G1258" s="165">
        <v>14.4</v>
      </c>
      <c r="H1258" s="165">
        <v>14.4</v>
      </c>
      <c r="I1258" s="165">
        <v>14.4</v>
      </c>
      <c r="J1258" s="165">
        <v>14.4</v>
      </c>
      <c r="K1258" s="165">
        <v>14.4</v>
      </c>
      <c r="L1258" s="165">
        <v>14.4</v>
      </c>
      <c r="M1258" s="165">
        <v>14.4</v>
      </c>
      <c r="N1258" s="165">
        <v>14.4</v>
      </c>
      <c r="O1258" s="165">
        <v>14.4</v>
      </c>
      <c r="P1258" s="165">
        <v>14.4</v>
      </c>
      <c r="Q1258" s="165">
        <v>14.4</v>
      </c>
      <c r="R1258" s="165">
        <v>14.4</v>
      </c>
      <c r="S1258" s="165">
        <v>14.4</v>
      </c>
      <c r="T1258" s="165">
        <v>14.4</v>
      </c>
      <c r="U1258" s="165">
        <v>14.4</v>
      </c>
      <c r="V1258" s="165">
        <v>14.4</v>
      </c>
      <c r="W1258" s="165">
        <v>14.4</v>
      </c>
      <c r="X1258" s="165">
        <v>14.4</v>
      </c>
      <c r="Y1258" s="165">
        <v>14.4</v>
      </c>
      <c r="Z1258" s="165">
        <v>14.4</v>
      </c>
      <c r="AA1258" s="165">
        <v>14.4</v>
      </c>
      <c r="AB1258" s="165">
        <v>14.4</v>
      </c>
      <c r="AC1258" s="165">
        <v>14.4</v>
      </c>
      <c r="AD1258" s="165">
        <v>14.4</v>
      </c>
      <c r="AE1258" s="165">
        <v>14.4</v>
      </c>
      <c r="AF1258" s="165">
        <v>14.4</v>
      </c>
      <c r="AG1258" s="165">
        <v>14.4</v>
      </c>
      <c r="AH1258" s="165">
        <v>14.4</v>
      </c>
      <c r="AI1258" s="165">
        <v>14.4</v>
      </c>
      <c r="AJ1258" s="165">
        <v>14.4</v>
      </c>
      <c r="AK1258" s="165">
        <v>14.4</v>
      </c>
      <c r="AL1258" s="165">
        <v>14.4</v>
      </c>
      <c r="AM1258" s="383">
        <f t="shared" si="276"/>
        <v>14.399999999999991</v>
      </c>
    </row>
    <row r="1259" spans="1:39" x14ac:dyDescent="0.2">
      <c r="A1259" s="1"/>
      <c r="B1259" s="268" t="s">
        <v>622</v>
      </c>
      <c r="C1259" s="30" t="s">
        <v>63</v>
      </c>
      <c r="D1259" s="268" t="s">
        <v>356</v>
      </c>
      <c r="E1259" s="267"/>
      <c r="F1259" s="165">
        <v>66.7</v>
      </c>
      <c r="G1259" s="165">
        <v>66.7</v>
      </c>
      <c r="H1259" s="165">
        <v>66.7</v>
      </c>
      <c r="I1259" s="165">
        <v>66.7</v>
      </c>
      <c r="J1259" s="165">
        <v>66.7</v>
      </c>
      <c r="K1259" s="165">
        <v>66.7</v>
      </c>
      <c r="L1259" s="165">
        <v>66.7</v>
      </c>
      <c r="M1259" s="165">
        <v>66.7</v>
      </c>
      <c r="N1259" s="165">
        <v>66.7</v>
      </c>
      <c r="O1259" s="165">
        <v>66.7</v>
      </c>
      <c r="P1259" s="165">
        <v>66.7</v>
      </c>
      <c r="Q1259" s="165">
        <v>66.7</v>
      </c>
      <c r="R1259" s="165">
        <v>66.7</v>
      </c>
      <c r="S1259" s="165">
        <v>66.7</v>
      </c>
      <c r="T1259" s="165">
        <v>66.7</v>
      </c>
      <c r="U1259" s="165">
        <v>66.7</v>
      </c>
      <c r="V1259" s="165">
        <v>66.7</v>
      </c>
      <c r="W1259" s="165">
        <v>66.7</v>
      </c>
      <c r="X1259" s="165">
        <v>66.7</v>
      </c>
      <c r="Y1259" s="165">
        <v>66.7</v>
      </c>
      <c r="Z1259" s="165">
        <v>66.7</v>
      </c>
      <c r="AA1259" s="165">
        <v>66.7</v>
      </c>
      <c r="AB1259" s="165">
        <v>66.7</v>
      </c>
      <c r="AC1259" s="165">
        <v>66.7</v>
      </c>
      <c r="AD1259" s="165">
        <v>66.7</v>
      </c>
      <c r="AE1259" s="165">
        <v>66.7</v>
      </c>
      <c r="AF1259" s="165">
        <v>66.7</v>
      </c>
      <c r="AG1259" s="165">
        <v>66.7</v>
      </c>
      <c r="AH1259" s="165">
        <v>66.7</v>
      </c>
      <c r="AI1259" s="165">
        <v>66.7</v>
      </c>
      <c r="AJ1259" s="165">
        <v>66.7</v>
      </c>
      <c r="AK1259" s="165">
        <v>66.7</v>
      </c>
      <c r="AL1259" s="165">
        <v>66.7</v>
      </c>
      <c r="AM1259" s="383">
        <f t="shared" si="276"/>
        <v>66.700000000000017</v>
      </c>
    </row>
    <row r="1260" spans="1:39" ht="15" x14ac:dyDescent="0.25">
      <c r="A1260" s="205"/>
      <c r="B1260" s="164" t="s">
        <v>623</v>
      </c>
      <c r="C1260" s="211"/>
      <c r="D1260" s="165"/>
      <c r="E1260" s="177"/>
      <c r="F1260" s="177">
        <f t="shared" ref="F1260:AM1260" si="277">F1251/100*F956+ (F1253/100*F958)/2+(F1258/100*F963)/2</f>
        <v>13.748076923076921</v>
      </c>
      <c r="G1260" s="177">
        <f t="shared" si="277"/>
        <v>13.748076923076921</v>
      </c>
      <c r="H1260" s="177">
        <f t="shared" si="277"/>
        <v>13.748076923076921</v>
      </c>
      <c r="I1260" s="177">
        <f t="shared" si="277"/>
        <v>13.748076923076921</v>
      </c>
      <c r="J1260" s="177">
        <f t="shared" si="277"/>
        <v>13.748076923076921</v>
      </c>
      <c r="K1260" s="177">
        <f t="shared" si="277"/>
        <v>13.748076923076921</v>
      </c>
      <c r="L1260" s="177">
        <f t="shared" si="277"/>
        <v>13.748076923076921</v>
      </c>
      <c r="M1260" s="177">
        <f t="shared" si="277"/>
        <v>13.748076923076921</v>
      </c>
      <c r="N1260" s="177">
        <f t="shared" si="277"/>
        <v>13.748076923076921</v>
      </c>
      <c r="O1260" s="177">
        <f t="shared" si="277"/>
        <v>13.748076923076921</v>
      </c>
      <c r="P1260" s="177">
        <f t="shared" si="277"/>
        <v>13.748076923076921</v>
      </c>
      <c r="Q1260" s="177">
        <f t="shared" si="277"/>
        <v>13.748076923076921</v>
      </c>
      <c r="R1260" s="177">
        <f t="shared" si="277"/>
        <v>13.748076923076921</v>
      </c>
      <c r="S1260" s="177">
        <f t="shared" si="277"/>
        <v>13.748076923076921</v>
      </c>
      <c r="T1260" s="177">
        <f t="shared" si="277"/>
        <v>13.748076923076921</v>
      </c>
      <c r="U1260" s="177">
        <f t="shared" si="277"/>
        <v>13.748076923076921</v>
      </c>
      <c r="V1260" s="177">
        <f t="shared" si="277"/>
        <v>13.748076923076921</v>
      </c>
      <c r="W1260" s="177">
        <f t="shared" si="277"/>
        <v>13.748076923076921</v>
      </c>
      <c r="X1260" s="177">
        <f t="shared" si="277"/>
        <v>13.748076923076921</v>
      </c>
      <c r="Y1260" s="177">
        <f t="shared" si="277"/>
        <v>13.748076923076921</v>
      </c>
      <c r="Z1260" s="177">
        <f t="shared" si="277"/>
        <v>13.748076923076921</v>
      </c>
      <c r="AA1260" s="177">
        <f t="shared" si="277"/>
        <v>13.748076923076921</v>
      </c>
      <c r="AB1260" s="177">
        <f t="shared" si="277"/>
        <v>13.748076923076921</v>
      </c>
      <c r="AC1260" s="177">
        <f t="shared" si="277"/>
        <v>13.748076923076921</v>
      </c>
      <c r="AD1260" s="177">
        <f t="shared" si="277"/>
        <v>13.748076923076921</v>
      </c>
      <c r="AE1260" s="177">
        <f t="shared" si="277"/>
        <v>13.748076923076921</v>
      </c>
      <c r="AF1260" s="177">
        <f t="shared" si="277"/>
        <v>13.748076923076921</v>
      </c>
      <c r="AG1260" s="177">
        <f t="shared" si="277"/>
        <v>13.748076923076921</v>
      </c>
      <c r="AH1260" s="177">
        <f t="shared" si="277"/>
        <v>13.748076923076921</v>
      </c>
      <c r="AI1260" s="177">
        <f t="shared" si="277"/>
        <v>13.748076923076921</v>
      </c>
      <c r="AJ1260" s="177">
        <f t="shared" si="277"/>
        <v>13.748076923076921</v>
      </c>
      <c r="AK1260" s="177">
        <f t="shared" si="277"/>
        <v>13.748076923076921</v>
      </c>
      <c r="AL1260" s="177">
        <f t="shared" si="277"/>
        <v>13.748076923076921</v>
      </c>
      <c r="AM1260" s="133">
        <f t="shared" si="277"/>
        <v>13.748076923076924</v>
      </c>
    </row>
    <row r="1261" spans="1:39" ht="15" x14ac:dyDescent="0.25">
      <c r="A1261" s="205"/>
      <c r="B1261" s="164" t="s">
        <v>624</v>
      </c>
      <c r="C1261" s="211"/>
      <c r="D1261" s="165"/>
      <c r="E1261" s="177"/>
      <c r="F1261" s="177">
        <f t="shared" ref="F1261:AM1261" si="278">(F1251/100*F956+F1252/100*F957+F1253/100*F958+F1254/100*F959+F1255/100*F960+F1256/100*F961+F1257/100*F962+F1258/100*F963+F1259/100*F964)-F1260</f>
        <v>33.238461538461543</v>
      </c>
      <c r="G1261" s="177">
        <f t="shared" si="278"/>
        <v>33.238461538461543</v>
      </c>
      <c r="H1261" s="177">
        <f t="shared" si="278"/>
        <v>33.238461538461543</v>
      </c>
      <c r="I1261" s="177">
        <f t="shared" si="278"/>
        <v>33.238461538461543</v>
      </c>
      <c r="J1261" s="177">
        <f t="shared" si="278"/>
        <v>33.238461538461543</v>
      </c>
      <c r="K1261" s="177">
        <f t="shared" si="278"/>
        <v>33.238461538461543</v>
      </c>
      <c r="L1261" s="177">
        <f t="shared" si="278"/>
        <v>33.238461538461543</v>
      </c>
      <c r="M1261" s="177">
        <f t="shared" si="278"/>
        <v>33.238461538461543</v>
      </c>
      <c r="N1261" s="177">
        <f t="shared" si="278"/>
        <v>33.238461538461543</v>
      </c>
      <c r="O1261" s="177">
        <f t="shared" si="278"/>
        <v>33.238461538461543</v>
      </c>
      <c r="P1261" s="177">
        <f t="shared" si="278"/>
        <v>33.238461538461543</v>
      </c>
      <c r="Q1261" s="177">
        <f t="shared" si="278"/>
        <v>33.238461538461543</v>
      </c>
      <c r="R1261" s="177">
        <f t="shared" si="278"/>
        <v>33.238461538461543</v>
      </c>
      <c r="S1261" s="177">
        <f t="shared" si="278"/>
        <v>33.238461538461543</v>
      </c>
      <c r="T1261" s="177">
        <f t="shared" si="278"/>
        <v>33.238461538461543</v>
      </c>
      <c r="U1261" s="177">
        <f t="shared" si="278"/>
        <v>33.238461538461543</v>
      </c>
      <c r="V1261" s="177">
        <f t="shared" si="278"/>
        <v>33.238461538461543</v>
      </c>
      <c r="W1261" s="177">
        <f t="shared" si="278"/>
        <v>33.238461538461543</v>
      </c>
      <c r="X1261" s="177">
        <f t="shared" si="278"/>
        <v>33.238461538461543</v>
      </c>
      <c r="Y1261" s="177">
        <f t="shared" si="278"/>
        <v>33.238461538461543</v>
      </c>
      <c r="Z1261" s="177">
        <f t="shared" si="278"/>
        <v>33.238461538461543</v>
      </c>
      <c r="AA1261" s="177">
        <f t="shared" si="278"/>
        <v>33.238461538461543</v>
      </c>
      <c r="AB1261" s="177">
        <f t="shared" si="278"/>
        <v>33.238461538461543</v>
      </c>
      <c r="AC1261" s="177">
        <f t="shared" si="278"/>
        <v>33.238461538461543</v>
      </c>
      <c r="AD1261" s="177">
        <f t="shared" si="278"/>
        <v>33.238461538461543</v>
      </c>
      <c r="AE1261" s="177">
        <f t="shared" si="278"/>
        <v>33.238461538461543</v>
      </c>
      <c r="AF1261" s="177">
        <f t="shared" si="278"/>
        <v>33.238461538461543</v>
      </c>
      <c r="AG1261" s="177">
        <f t="shared" si="278"/>
        <v>33.238461538461543</v>
      </c>
      <c r="AH1261" s="177">
        <f t="shared" si="278"/>
        <v>33.238461538461543</v>
      </c>
      <c r="AI1261" s="177">
        <f t="shared" si="278"/>
        <v>33.238461538461543</v>
      </c>
      <c r="AJ1261" s="177">
        <f t="shared" si="278"/>
        <v>33.238461538461543</v>
      </c>
      <c r="AK1261" s="177">
        <f t="shared" si="278"/>
        <v>33.238461538461543</v>
      </c>
      <c r="AL1261" s="177">
        <f t="shared" si="278"/>
        <v>33.238461538461543</v>
      </c>
      <c r="AM1261" s="133">
        <f t="shared" si="278"/>
        <v>33.238461538461536</v>
      </c>
    </row>
    <row r="1262" spans="1:39" ht="15" x14ac:dyDescent="0.25">
      <c r="A1262" s="205"/>
      <c r="B1262" s="165"/>
      <c r="C1262" s="221"/>
      <c r="D1262" s="165"/>
      <c r="E1262" s="1"/>
      <c r="F1262" s="165"/>
      <c r="G1262" s="165"/>
      <c r="H1262" s="165"/>
      <c r="I1262" s="165"/>
      <c r="J1262" s="165"/>
      <c r="K1262" s="165"/>
      <c r="L1262" s="165"/>
      <c r="M1262" s="165"/>
      <c r="N1262" s="165"/>
      <c r="O1262" s="165"/>
      <c r="P1262" s="165"/>
      <c r="Q1262" s="165"/>
      <c r="R1262" s="165"/>
      <c r="S1262" s="165"/>
      <c r="T1262" s="165"/>
      <c r="U1262" s="165"/>
      <c r="V1262" s="165"/>
      <c r="W1262" s="165"/>
      <c r="X1262" s="165"/>
      <c r="Y1262" s="165"/>
      <c r="Z1262" s="165"/>
      <c r="AA1262" s="165"/>
      <c r="AB1262" s="165"/>
      <c r="AC1262" s="165"/>
      <c r="AD1262" s="165"/>
      <c r="AE1262" s="165"/>
      <c r="AF1262" s="165"/>
      <c r="AG1262" s="165"/>
      <c r="AH1262" s="165"/>
      <c r="AI1262" s="165"/>
      <c r="AJ1262" s="165"/>
      <c r="AK1262" s="165"/>
      <c r="AL1262" s="165"/>
      <c r="AM1262" s="107"/>
    </row>
    <row r="1263" spans="1:39" ht="15" x14ac:dyDescent="0.25">
      <c r="A1263" s="69" t="s">
        <v>354</v>
      </c>
      <c r="B1263" s="268" t="s">
        <v>625</v>
      </c>
      <c r="C1263" s="30" t="s">
        <v>63</v>
      </c>
      <c r="D1263" s="268" t="s">
        <v>356</v>
      </c>
      <c r="E1263" s="267"/>
      <c r="F1263" s="165">
        <v>13.7</v>
      </c>
      <c r="G1263" s="165">
        <v>13.7</v>
      </c>
      <c r="H1263" s="165">
        <v>13.7</v>
      </c>
      <c r="I1263" s="165">
        <v>13.7</v>
      </c>
      <c r="J1263" s="165">
        <v>13.7</v>
      </c>
      <c r="K1263" s="165">
        <v>13.7</v>
      </c>
      <c r="L1263" s="165">
        <v>13.7</v>
      </c>
      <c r="M1263" s="165">
        <v>13.7</v>
      </c>
      <c r="N1263" s="165">
        <v>13.7</v>
      </c>
      <c r="O1263" s="165">
        <v>13.7</v>
      </c>
      <c r="P1263" s="165">
        <v>13.7</v>
      </c>
      <c r="Q1263" s="165">
        <v>13.7</v>
      </c>
      <c r="R1263" s="165">
        <v>13.7</v>
      </c>
      <c r="S1263" s="165">
        <v>13.7</v>
      </c>
      <c r="T1263" s="165">
        <v>13.7</v>
      </c>
      <c r="U1263" s="165">
        <v>13.7</v>
      </c>
      <c r="V1263" s="165">
        <v>13.7</v>
      </c>
      <c r="W1263" s="165">
        <v>13.7</v>
      </c>
      <c r="X1263" s="165">
        <v>13.7</v>
      </c>
      <c r="Y1263" s="165">
        <v>13.7</v>
      </c>
      <c r="Z1263" s="165">
        <v>13.7</v>
      </c>
      <c r="AA1263" s="165">
        <v>13.7</v>
      </c>
      <c r="AB1263" s="165">
        <v>13.7</v>
      </c>
      <c r="AC1263" s="165">
        <v>13.7</v>
      </c>
      <c r="AD1263" s="165">
        <v>13.7</v>
      </c>
      <c r="AE1263" s="165">
        <v>13.7</v>
      </c>
      <c r="AF1263" s="165">
        <v>13.7</v>
      </c>
      <c r="AG1263" s="165">
        <v>13.7</v>
      </c>
      <c r="AH1263" s="165">
        <v>13.7</v>
      </c>
      <c r="AI1263" s="165">
        <v>13.7</v>
      </c>
      <c r="AJ1263" s="165">
        <v>13.7</v>
      </c>
      <c r="AK1263" s="165">
        <v>13.7</v>
      </c>
      <c r="AL1263" s="165">
        <v>13.7</v>
      </c>
      <c r="AM1263" s="383">
        <f t="shared" ref="AM1263:AM1271" si="279">AVERAGE(F1263:AL1263)</f>
        <v>13.699999999999992</v>
      </c>
    </row>
    <row r="1264" spans="1:39" x14ac:dyDescent="0.2">
      <c r="A1264" s="1"/>
      <c r="B1264" s="268" t="s">
        <v>626</v>
      </c>
      <c r="C1264" s="30" t="s">
        <v>63</v>
      </c>
      <c r="D1264" s="268" t="s">
        <v>358</v>
      </c>
      <c r="E1264" s="267"/>
      <c r="F1264" s="165">
        <v>49.4</v>
      </c>
      <c r="G1264" s="165">
        <v>49.4</v>
      </c>
      <c r="H1264" s="165">
        <v>49.4</v>
      </c>
      <c r="I1264" s="165">
        <v>49.4</v>
      </c>
      <c r="J1264" s="165">
        <v>49.4</v>
      </c>
      <c r="K1264" s="165">
        <v>49.4</v>
      </c>
      <c r="L1264" s="165">
        <v>49.4</v>
      </c>
      <c r="M1264" s="165">
        <v>49.4</v>
      </c>
      <c r="N1264" s="165">
        <v>49.4</v>
      </c>
      <c r="O1264" s="165">
        <v>49.4</v>
      </c>
      <c r="P1264" s="165">
        <v>49.4</v>
      </c>
      <c r="Q1264" s="165">
        <v>49.4</v>
      </c>
      <c r="R1264" s="165">
        <v>49.4</v>
      </c>
      <c r="S1264" s="165">
        <v>49.4</v>
      </c>
      <c r="T1264" s="165">
        <v>49.4</v>
      </c>
      <c r="U1264" s="165">
        <v>49.4</v>
      </c>
      <c r="V1264" s="165">
        <v>49.4</v>
      </c>
      <c r="W1264" s="165">
        <v>49.4</v>
      </c>
      <c r="X1264" s="165">
        <v>49.4</v>
      </c>
      <c r="Y1264" s="165">
        <v>49.4</v>
      </c>
      <c r="Z1264" s="165">
        <v>49.4</v>
      </c>
      <c r="AA1264" s="165">
        <v>49.4</v>
      </c>
      <c r="AB1264" s="165">
        <v>49.4</v>
      </c>
      <c r="AC1264" s="165">
        <v>49.4</v>
      </c>
      <c r="AD1264" s="165">
        <v>49.4</v>
      </c>
      <c r="AE1264" s="165">
        <v>49.4</v>
      </c>
      <c r="AF1264" s="165">
        <v>49.4</v>
      </c>
      <c r="AG1264" s="165">
        <v>49.4</v>
      </c>
      <c r="AH1264" s="165">
        <v>49.4</v>
      </c>
      <c r="AI1264" s="165">
        <v>49.4</v>
      </c>
      <c r="AJ1264" s="165">
        <v>49.4</v>
      </c>
      <c r="AK1264" s="165">
        <v>49.4</v>
      </c>
      <c r="AL1264" s="165">
        <v>49.4</v>
      </c>
      <c r="AM1264" s="383">
        <f t="shared" si="279"/>
        <v>49.40000000000002</v>
      </c>
    </row>
    <row r="1265" spans="1:39" x14ac:dyDescent="0.2">
      <c r="A1265" s="1"/>
      <c r="B1265" s="268" t="s">
        <v>627</v>
      </c>
      <c r="C1265" s="30" t="s">
        <v>63</v>
      </c>
      <c r="D1265" s="268" t="s">
        <v>356</v>
      </c>
      <c r="E1265" s="267"/>
      <c r="F1265" s="165">
        <v>37.799999999999997</v>
      </c>
      <c r="G1265" s="165">
        <v>37.799999999999997</v>
      </c>
      <c r="H1265" s="165">
        <v>37.799999999999997</v>
      </c>
      <c r="I1265" s="165">
        <v>37.799999999999997</v>
      </c>
      <c r="J1265" s="165">
        <v>37.799999999999997</v>
      </c>
      <c r="K1265" s="165">
        <v>37.799999999999997</v>
      </c>
      <c r="L1265" s="165">
        <v>37.799999999999997</v>
      </c>
      <c r="M1265" s="165">
        <v>37.799999999999997</v>
      </c>
      <c r="N1265" s="165">
        <v>37.799999999999997</v>
      </c>
      <c r="O1265" s="165">
        <v>37.799999999999997</v>
      </c>
      <c r="P1265" s="165">
        <v>37.799999999999997</v>
      </c>
      <c r="Q1265" s="165">
        <v>37.799999999999997</v>
      </c>
      <c r="R1265" s="165">
        <v>37.799999999999997</v>
      </c>
      <c r="S1265" s="165">
        <v>37.799999999999997</v>
      </c>
      <c r="T1265" s="165">
        <v>37.799999999999997</v>
      </c>
      <c r="U1265" s="165">
        <v>37.799999999999997</v>
      </c>
      <c r="V1265" s="165">
        <v>37.799999999999997</v>
      </c>
      <c r="W1265" s="165">
        <v>37.799999999999997</v>
      </c>
      <c r="X1265" s="165">
        <v>37.799999999999997</v>
      </c>
      <c r="Y1265" s="165">
        <v>37.799999999999997</v>
      </c>
      <c r="Z1265" s="165">
        <v>37.799999999999997</v>
      </c>
      <c r="AA1265" s="165">
        <v>37.799999999999997</v>
      </c>
      <c r="AB1265" s="165">
        <v>37.799999999999997</v>
      </c>
      <c r="AC1265" s="165">
        <v>37.799999999999997</v>
      </c>
      <c r="AD1265" s="165">
        <v>37.799999999999997</v>
      </c>
      <c r="AE1265" s="165">
        <v>37.799999999999997</v>
      </c>
      <c r="AF1265" s="165">
        <v>37.799999999999997</v>
      </c>
      <c r="AG1265" s="165">
        <v>37.799999999999997</v>
      </c>
      <c r="AH1265" s="165">
        <v>37.799999999999997</v>
      </c>
      <c r="AI1265" s="165">
        <v>37.799999999999997</v>
      </c>
      <c r="AJ1265" s="165">
        <v>37.799999999999997</v>
      </c>
      <c r="AK1265" s="165">
        <v>37.799999999999997</v>
      </c>
      <c r="AL1265" s="165">
        <v>37.799999999999997</v>
      </c>
      <c r="AM1265" s="383">
        <f t="shared" si="279"/>
        <v>37.799999999999976</v>
      </c>
    </row>
    <row r="1266" spans="1:39" ht="15" x14ac:dyDescent="0.25">
      <c r="A1266" s="69" t="s">
        <v>360</v>
      </c>
      <c r="B1266" s="268" t="s">
        <v>628</v>
      </c>
      <c r="C1266" s="30" t="s">
        <v>63</v>
      </c>
      <c r="D1266" s="268" t="s">
        <v>356</v>
      </c>
      <c r="E1266" s="267"/>
      <c r="F1266" s="165">
        <v>35.4</v>
      </c>
      <c r="G1266" s="165">
        <v>35.4</v>
      </c>
      <c r="H1266" s="165">
        <v>35.4</v>
      </c>
      <c r="I1266" s="165">
        <v>35.4</v>
      </c>
      <c r="J1266" s="165">
        <v>35.4</v>
      </c>
      <c r="K1266" s="165">
        <v>35.4</v>
      </c>
      <c r="L1266" s="165">
        <v>35.4</v>
      </c>
      <c r="M1266" s="165">
        <v>35.4</v>
      </c>
      <c r="N1266" s="165">
        <v>35.4</v>
      </c>
      <c r="O1266" s="165">
        <v>35.4</v>
      </c>
      <c r="P1266" s="165">
        <v>35.4</v>
      </c>
      <c r="Q1266" s="165">
        <v>35.4</v>
      </c>
      <c r="R1266" s="165">
        <v>35.4</v>
      </c>
      <c r="S1266" s="165">
        <v>35.4</v>
      </c>
      <c r="T1266" s="165">
        <v>35.4</v>
      </c>
      <c r="U1266" s="165">
        <v>35.4</v>
      </c>
      <c r="V1266" s="165">
        <v>35.4</v>
      </c>
      <c r="W1266" s="165">
        <v>35.4</v>
      </c>
      <c r="X1266" s="165">
        <v>35.4</v>
      </c>
      <c r="Y1266" s="165">
        <v>35.4</v>
      </c>
      <c r="Z1266" s="165">
        <v>35.4</v>
      </c>
      <c r="AA1266" s="165">
        <v>35.4</v>
      </c>
      <c r="AB1266" s="165">
        <v>35.4</v>
      </c>
      <c r="AC1266" s="165">
        <v>35.4</v>
      </c>
      <c r="AD1266" s="165">
        <v>35.4</v>
      </c>
      <c r="AE1266" s="165">
        <v>35.4</v>
      </c>
      <c r="AF1266" s="165">
        <v>35.4</v>
      </c>
      <c r="AG1266" s="165">
        <v>35.4</v>
      </c>
      <c r="AH1266" s="165">
        <v>35.4</v>
      </c>
      <c r="AI1266" s="165">
        <v>35.4</v>
      </c>
      <c r="AJ1266" s="165">
        <v>35.4</v>
      </c>
      <c r="AK1266" s="165">
        <v>35.4</v>
      </c>
      <c r="AL1266" s="165">
        <v>35.4</v>
      </c>
      <c r="AM1266" s="383">
        <f t="shared" si="279"/>
        <v>35.4</v>
      </c>
    </row>
    <row r="1267" spans="1:39" x14ac:dyDescent="0.2">
      <c r="A1267" s="1"/>
      <c r="B1267" s="268" t="s">
        <v>629</v>
      </c>
      <c r="C1267" s="30" t="s">
        <v>63</v>
      </c>
      <c r="D1267" s="268" t="s">
        <v>356</v>
      </c>
      <c r="E1267" s="267"/>
      <c r="F1267" s="165">
        <v>27</v>
      </c>
      <c r="G1267" s="165">
        <v>27</v>
      </c>
      <c r="H1267" s="165">
        <v>27</v>
      </c>
      <c r="I1267" s="165">
        <v>27</v>
      </c>
      <c r="J1267" s="165">
        <v>27</v>
      </c>
      <c r="K1267" s="165">
        <v>27</v>
      </c>
      <c r="L1267" s="165">
        <v>27</v>
      </c>
      <c r="M1267" s="165">
        <v>27</v>
      </c>
      <c r="N1267" s="165">
        <v>27</v>
      </c>
      <c r="O1267" s="165">
        <v>27</v>
      </c>
      <c r="P1267" s="165">
        <v>27</v>
      </c>
      <c r="Q1267" s="165">
        <v>27</v>
      </c>
      <c r="R1267" s="165">
        <v>27</v>
      </c>
      <c r="S1267" s="165">
        <v>27</v>
      </c>
      <c r="T1267" s="165">
        <v>27</v>
      </c>
      <c r="U1267" s="165">
        <v>27</v>
      </c>
      <c r="V1267" s="165">
        <v>27</v>
      </c>
      <c r="W1267" s="165">
        <v>27</v>
      </c>
      <c r="X1267" s="165">
        <v>27</v>
      </c>
      <c r="Y1267" s="165">
        <v>27</v>
      </c>
      <c r="Z1267" s="165">
        <v>27</v>
      </c>
      <c r="AA1267" s="165">
        <v>27</v>
      </c>
      <c r="AB1267" s="165">
        <v>27</v>
      </c>
      <c r="AC1267" s="165">
        <v>27</v>
      </c>
      <c r="AD1267" s="165">
        <v>27</v>
      </c>
      <c r="AE1267" s="165">
        <v>27</v>
      </c>
      <c r="AF1267" s="165">
        <v>27</v>
      </c>
      <c r="AG1267" s="165">
        <v>27</v>
      </c>
      <c r="AH1267" s="165">
        <v>27</v>
      </c>
      <c r="AI1267" s="165">
        <v>27</v>
      </c>
      <c r="AJ1267" s="165">
        <v>27</v>
      </c>
      <c r="AK1267" s="165">
        <v>27</v>
      </c>
      <c r="AL1267" s="165">
        <v>27</v>
      </c>
      <c r="AM1267" s="383">
        <f t="shared" si="279"/>
        <v>27</v>
      </c>
    </row>
    <row r="1268" spans="1:39" x14ac:dyDescent="0.2">
      <c r="A1268" s="1"/>
      <c r="B1268" s="268" t="s">
        <v>630</v>
      </c>
      <c r="C1268" s="30" t="s">
        <v>63</v>
      </c>
      <c r="D1268" s="268" t="s">
        <v>356</v>
      </c>
      <c r="E1268" s="267"/>
      <c r="F1268" s="165">
        <v>7.8</v>
      </c>
      <c r="G1268" s="165">
        <v>7.8</v>
      </c>
      <c r="H1268" s="165">
        <v>7.8</v>
      </c>
      <c r="I1268" s="165">
        <v>7.8</v>
      </c>
      <c r="J1268" s="165">
        <v>7.8</v>
      </c>
      <c r="K1268" s="165">
        <v>7.8</v>
      </c>
      <c r="L1268" s="165">
        <v>7.8</v>
      </c>
      <c r="M1268" s="165">
        <v>7.8</v>
      </c>
      <c r="N1268" s="165">
        <v>7.8</v>
      </c>
      <c r="O1268" s="165">
        <v>7.8</v>
      </c>
      <c r="P1268" s="165">
        <v>7.8</v>
      </c>
      <c r="Q1268" s="165">
        <v>7.8</v>
      </c>
      <c r="R1268" s="165">
        <v>7.8</v>
      </c>
      <c r="S1268" s="165">
        <v>7.8</v>
      </c>
      <c r="T1268" s="165">
        <v>7.8</v>
      </c>
      <c r="U1268" s="165">
        <v>7.8</v>
      </c>
      <c r="V1268" s="165">
        <v>7.8</v>
      </c>
      <c r="W1268" s="165">
        <v>7.8</v>
      </c>
      <c r="X1268" s="165">
        <v>7.8</v>
      </c>
      <c r="Y1268" s="165">
        <v>7.8</v>
      </c>
      <c r="Z1268" s="165">
        <v>7.8</v>
      </c>
      <c r="AA1268" s="165">
        <v>7.8</v>
      </c>
      <c r="AB1268" s="165">
        <v>7.8</v>
      </c>
      <c r="AC1268" s="165">
        <v>7.8</v>
      </c>
      <c r="AD1268" s="165">
        <v>7.8</v>
      </c>
      <c r="AE1268" s="165">
        <v>7.8</v>
      </c>
      <c r="AF1268" s="165">
        <v>7.8</v>
      </c>
      <c r="AG1268" s="165">
        <v>7.8</v>
      </c>
      <c r="AH1268" s="165">
        <v>7.8</v>
      </c>
      <c r="AI1268" s="165">
        <v>7.8</v>
      </c>
      <c r="AJ1268" s="165">
        <v>7.8</v>
      </c>
      <c r="AK1268" s="165">
        <v>7.8</v>
      </c>
      <c r="AL1268" s="165">
        <v>7.8</v>
      </c>
      <c r="AM1268" s="383">
        <f t="shared" si="279"/>
        <v>7.8000000000000043</v>
      </c>
    </row>
    <row r="1269" spans="1:39" x14ac:dyDescent="0.2">
      <c r="A1269" s="1"/>
      <c r="B1269" s="268" t="s">
        <v>631</v>
      </c>
      <c r="C1269" s="30" t="s">
        <v>63</v>
      </c>
      <c r="D1269" s="268" t="s">
        <v>356</v>
      </c>
      <c r="E1269" s="267"/>
      <c r="F1269" s="165">
        <v>29.3</v>
      </c>
      <c r="G1269" s="165">
        <v>29.3</v>
      </c>
      <c r="H1269" s="165">
        <v>29.3</v>
      </c>
      <c r="I1269" s="165">
        <v>29.3</v>
      </c>
      <c r="J1269" s="165">
        <v>29.3</v>
      </c>
      <c r="K1269" s="165">
        <v>29.3</v>
      </c>
      <c r="L1269" s="165">
        <v>29.3</v>
      </c>
      <c r="M1269" s="165">
        <v>29.3</v>
      </c>
      <c r="N1269" s="165">
        <v>29.3</v>
      </c>
      <c r="O1269" s="165">
        <v>29.3</v>
      </c>
      <c r="P1269" s="165">
        <v>29.3</v>
      </c>
      <c r="Q1269" s="165">
        <v>29.3</v>
      </c>
      <c r="R1269" s="165">
        <v>29.3</v>
      </c>
      <c r="S1269" s="165">
        <v>29.3</v>
      </c>
      <c r="T1269" s="165">
        <v>29.3</v>
      </c>
      <c r="U1269" s="165">
        <v>29.3</v>
      </c>
      <c r="V1269" s="165">
        <v>29.3</v>
      </c>
      <c r="W1269" s="165">
        <v>29.3</v>
      </c>
      <c r="X1269" s="165">
        <v>29.3</v>
      </c>
      <c r="Y1269" s="165">
        <v>29.3</v>
      </c>
      <c r="Z1269" s="165">
        <v>29.3</v>
      </c>
      <c r="AA1269" s="165">
        <v>29.3</v>
      </c>
      <c r="AB1269" s="165">
        <v>29.3</v>
      </c>
      <c r="AC1269" s="165">
        <v>29.3</v>
      </c>
      <c r="AD1269" s="165">
        <v>29.3</v>
      </c>
      <c r="AE1269" s="165">
        <v>29.3</v>
      </c>
      <c r="AF1269" s="165">
        <v>29.3</v>
      </c>
      <c r="AG1269" s="165">
        <v>29.3</v>
      </c>
      <c r="AH1269" s="165">
        <v>29.3</v>
      </c>
      <c r="AI1269" s="165">
        <v>29.3</v>
      </c>
      <c r="AJ1269" s="165">
        <v>29.3</v>
      </c>
      <c r="AK1269" s="165">
        <v>29.3</v>
      </c>
      <c r="AL1269" s="165">
        <v>29.3</v>
      </c>
      <c r="AM1269" s="383">
        <f t="shared" si="279"/>
        <v>29.299999999999983</v>
      </c>
    </row>
    <row r="1270" spans="1:39" x14ac:dyDescent="0.2">
      <c r="A1270" s="1"/>
      <c r="B1270" s="268" t="s">
        <v>632</v>
      </c>
      <c r="C1270" s="30" t="s">
        <v>63</v>
      </c>
      <c r="D1270" s="268" t="s">
        <v>356</v>
      </c>
      <c r="E1270" s="267"/>
      <c r="F1270" s="165">
        <v>12.4</v>
      </c>
      <c r="G1270" s="165">
        <v>12.4</v>
      </c>
      <c r="H1270" s="165">
        <v>12.4</v>
      </c>
      <c r="I1270" s="165">
        <v>12.4</v>
      </c>
      <c r="J1270" s="165">
        <v>12.4</v>
      </c>
      <c r="K1270" s="165">
        <v>12.4</v>
      </c>
      <c r="L1270" s="165">
        <v>12.4</v>
      </c>
      <c r="M1270" s="165">
        <v>12.4</v>
      </c>
      <c r="N1270" s="165">
        <v>12.4</v>
      </c>
      <c r="O1270" s="165">
        <v>12.4</v>
      </c>
      <c r="P1270" s="165">
        <v>12.4</v>
      </c>
      <c r="Q1270" s="165">
        <v>12.4</v>
      </c>
      <c r="R1270" s="165">
        <v>12.4</v>
      </c>
      <c r="S1270" s="165">
        <v>12.4</v>
      </c>
      <c r="T1270" s="165">
        <v>12.4</v>
      </c>
      <c r="U1270" s="165">
        <v>12.4</v>
      </c>
      <c r="V1270" s="165">
        <v>12.4</v>
      </c>
      <c r="W1270" s="165">
        <v>12.4</v>
      </c>
      <c r="X1270" s="165">
        <v>12.4</v>
      </c>
      <c r="Y1270" s="165">
        <v>12.4</v>
      </c>
      <c r="Z1270" s="165">
        <v>12.4</v>
      </c>
      <c r="AA1270" s="165">
        <v>12.4</v>
      </c>
      <c r="AB1270" s="165">
        <v>12.4</v>
      </c>
      <c r="AC1270" s="165">
        <v>12.4</v>
      </c>
      <c r="AD1270" s="165">
        <v>12.4</v>
      </c>
      <c r="AE1270" s="165">
        <v>12.4</v>
      </c>
      <c r="AF1270" s="165">
        <v>12.4</v>
      </c>
      <c r="AG1270" s="165">
        <v>12.4</v>
      </c>
      <c r="AH1270" s="165">
        <v>12.4</v>
      </c>
      <c r="AI1270" s="165">
        <v>12.4</v>
      </c>
      <c r="AJ1270" s="165">
        <v>12.4</v>
      </c>
      <c r="AK1270" s="165">
        <v>12.4</v>
      </c>
      <c r="AL1270" s="165">
        <v>12.4</v>
      </c>
      <c r="AM1270" s="383">
        <f t="shared" si="279"/>
        <v>12.399999999999995</v>
      </c>
    </row>
    <row r="1271" spans="1:39" x14ac:dyDescent="0.2">
      <c r="A1271" s="1"/>
      <c r="B1271" s="268" t="s">
        <v>633</v>
      </c>
      <c r="C1271" s="30" t="s">
        <v>63</v>
      </c>
      <c r="D1271" s="268" t="s">
        <v>356</v>
      </c>
      <c r="E1271" s="267"/>
      <c r="F1271" s="165">
        <v>37.799999999999997</v>
      </c>
      <c r="G1271" s="165">
        <v>37.799999999999997</v>
      </c>
      <c r="H1271" s="165">
        <v>37.799999999999997</v>
      </c>
      <c r="I1271" s="165">
        <v>37.799999999999997</v>
      </c>
      <c r="J1271" s="165">
        <v>37.799999999999997</v>
      </c>
      <c r="K1271" s="165">
        <v>37.799999999999997</v>
      </c>
      <c r="L1271" s="165">
        <v>37.799999999999997</v>
      </c>
      <c r="M1271" s="165">
        <v>37.799999999999997</v>
      </c>
      <c r="N1271" s="165">
        <v>37.799999999999997</v>
      </c>
      <c r="O1271" s="165">
        <v>37.799999999999997</v>
      </c>
      <c r="P1271" s="165">
        <v>37.799999999999997</v>
      </c>
      <c r="Q1271" s="165">
        <v>37.799999999999997</v>
      </c>
      <c r="R1271" s="165">
        <v>37.799999999999997</v>
      </c>
      <c r="S1271" s="165">
        <v>37.799999999999997</v>
      </c>
      <c r="T1271" s="165">
        <v>37.799999999999997</v>
      </c>
      <c r="U1271" s="165">
        <v>37.799999999999997</v>
      </c>
      <c r="V1271" s="165">
        <v>37.799999999999997</v>
      </c>
      <c r="W1271" s="165">
        <v>37.799999999999997</v>
      </c>
      <c r="X1271" s="165">
        <v>37.799999999999997</v>
      </c>
      <c r="Y1271" s="165">
        <v>37.799999999999997</v>
      </c>
      <c r="Z1271" s="165">
        <v>37.799999999999997</v>
      </c>
      <c r="AA1271" s="165">
        <v>37.799999999999997</v>
      </c>
      <c r="AB1271" s="165">
        <v>37.799999999999997</v>
      </c>
      <c r="AC1271" s="165">
        <v>37.799999999999997</v>
      </c>
      <c r="AD1271" s="165">
        <v>37.799999999999997</v>
      </c>
      <c r="AE1271" s="165">
        <v>37.799999999999997</v>
      </c>
      <c r="AF1271" s="165">
        <v>37.799999999999997</v>
      </c>
      <c r="AG1271" s="165">
        <v>37.799999999999997</v>
      </c>
      <c r="AH1271" s="165">
        <v>37.799999999999997</v>
      </c>
      <c r="AI1271" s="165">
        <v>37.799999999999997</v>
      </c>
      <c r="AJ1271" s="165">
        <v>37.799999999999997</v>
      </c>
      <c r="AK1271" s="165">
        <v>37.799999999999997</v>
      </c>
      <c r="AL1271" s="165">
        <v>37.799999999999997</v>
      </c>
      <c r="AM1271" s="383">
        <f t="shared" si="279"/>
        <v>37.799999999999976</v>
      </c>
    </row>
    <row r="1272" spans="1:39" ht="15" x14ac:dyDescent="0.25">
      <c r="A1272" s="207"/>
      <c r="B1272" s="167" t="s">
        <v>634</v>
      </c>
      <c r="C1272" s="224"/>
      <c r="D1272" s="175"/>
      <c r="E1272" s="177"/>
      <c r="F1272" s="177">
        <f t="shared" ref="F1272:AM1272" si="280">F1263/100*F968+ (F1265/100*F970)/2+(F1270/100*F975)/2</f>
        <v>12.45</v>
      </c>
      <c r="G1272" s="177">
        <f t="shared" si="280"/>
        <v>12.45</v>
      </c>
      <c r="H1272" s="177">
        <f t="shared" si="280"/>
        <v>12.45</v>
      </c>
      <c r="I1272" s="177">
        <f t="shared" si="280"/>
        <v>12.45</v>
      </c>
      <c r="J1272" s="177">
        <f t="shared" si="280"/>
        <v>12.45</v>
      </c>
      <c r="K1272" s="177">
        <f t="shared" si="280"/>
        <v>12.45</v>
      </c>
      <c r="L1272" s="177">
        <f t="shared" si="280"/>
        <v>12.45</v>
      </c>
      <c r="M1272" s="177">
        <f t="shared" si="280"/>
        <v>12.45</v>
      </c>
      <c r="N1272" s="177">
        <f t="shared" si="280"/>
        <v>12.45</v>
      </c>
      <c r="O1272" s="177">
        <f t="shared" si="280"/>
        <v>12.45</v>
      </c>
      <c r="P1272" s="177">
        <f t="shared" si="280"/>
        <v>12.45</v>
      </c>
      <c r="Q1272" s="177">
        <f t="shared" si="280"/>
        <v>12.45</v>
      </c>
      <c r="R1272" s="177">
        <f t="shared" si="280"/>
        <v>12.45</v>
      </c>
      <c r="S1272" s="177">
        <f t="shared" si="280"/>
        <v>12.45</v>
      </c>
      <c r="T1272" s="177">
        <f t="shared" si="280"/>
        <v>12.45</v>
      </c>
      <c r="U1272" s="177">
        <f t="shared" si="280"/>
        <v>12.45</v>
      </c>
      <c r="V1272" s="177">
        <f t="shared" si="280"/>
        <v>12.45</v>
      </c>
      <c r="W1272" s="177">
        <f t="shared" si="280"/>
        <v>12.45</v>
      </c>
      <c r="X1272" s="177">
        <f t="shared" si="280"/>
        <v>12.45</v>
      </c>
      <c r="Y1272" s="177">
        <f t="shared" si="280"/>
        <v>12.45</v>
      </c>
      <c r="Z1272" s="177">
        <f t="shared" si="280"/>
        <v>12.45</v>
      </c>
      <c r="AA1272" s="177">
        <f t="shared" si="280"/>
        <v>12.45</v>
      </c>
      <c r="AB1272" s="177">
        <f t="shared" si="280"/>
        <v>12.45</v>
      </c>
      <c r="AC1272" s="177">
        <f t="shared" si="280"/>
        <v>12.45</v>
      </c>
      <c r="AD1272" s="177">
        <f t="shared" si="280"/>
        <v>12.45</v>
      </c>
      <c r="AE1272" s="177">
        <f t="shared" si="280"/>
        <v>12.45</v>
      </c>
      <c r="AF1272" s="177">
        <f t="shared" si="280"/>
        <v>12.45</v>
      </c>
      <c r="AG1272" s="177">
        <f t="shared" si="280"/>
        <v>12.45</v>
      </c>
      <c r="AH1272" s="177">
        <f t="shared" si="280"/>
        <v>12.45</v>
      </c>
      <c r="AI1272" s="177">
        <f t="shared" si="280"/>
        <v>12.45</v>
      </c>
      <c r="AJ1272" s="177">
        <f t="shared" si="280"/>
        <v>12.45</v>
      </c>
      <c r="AK1272" s="177">
        <f t="shared" si="280"/>
        <v>12.45</v>
      </c>
      <c r="AL1272" s="177">
        <f t="shared" si="280"/>
        <v>12.45</v>
      </c>
      <c r="AM1272" s="133">
        <f t="shared" si="280"/>
        <v>12.449999999999994</v>
      </c>
    </row>
    <row r="1273" spans="1:39" ht="15" x14ac:dyDescent="0.25">
      <c r="A1273" s="205"/>
      <c r="B1273" s="164" t="s">
        <v>635</v>
      </c>
      <c r="C1273" s="211"/>
      <c r="D1273" s="165"/>
      <c r="E1273" s="177"/>
      <c r="F1273" s="177">
        <f t="shared" ref="F1273:AM1273" si="281">(F1263/100*F968+F1264/100*F969+F1265/100*F970+F1266/100*F971+F1267/100*F972+F1268/100*F973+F1269/100*F974+F1270/100*F975+F1271/100*F976)-F1272</f>
        <v>26.37307692307694</v>
      </c>
      <c r="G1273" s="177">
        <f t="shared" si="281"/>
        <v>26.37307692307694</v>
      </c>
      <c r="H1273" s="177">
        <f t="shared" si="281"/>
        <v>26.37307692307694</v>
      </c>
      <c r="I1273" s="177">
        <f t="shared" si="281"/>
        <v>26.37307692307694</v>
      </c>
      <c r="J1273" s="177">
        <f t="shared" si="281"/>
        <v>26.37307692307694</v>
      </c>
      <c r="K1273" s="177">
        <f t="shared" si="281"/>
        <v>26.37307692307694</v>
      </c>
      <c r="L1273" s="177">
        <f t="shared" si="281"/>
        <v>26.37307692307694</v>
      </c>
      <c r="M1273" s="177">
        <f t="shared" si="281"/>
        <v>26.37307692307694</v>
      </c>
      <c r="N1273" s="177">
        <f t="shared" si="281"/>
        <v>26.37307692307694</v>
      </c>
      <c r="O1273" s="177">
        <f t="shared" si="281"/>
        <v>26.37307692307694</v>
      </c>
      <c r="P1273" s="177">
        <f t="shared" si="281"/>
        <v>26.37307692307694</v>
      </c>
      <c r="Q1273" s="177">
        <f t="shared" si="281"/>
        <v>26.37307692307694</v>
      </c>
      <c r="R1273" s="177">
        <f t="shared" si="281"/>
        <v>26.37307692307694</v>
      </c>
      <c r="S1273" s="177">
        <f t="shared" si="281"/>
        <v>26.37307692307694</v>
      </c>
      <c r="T1273" s="177">
        <f t="shared" si="281"/>
        <v>26.37307692307694</v>
      </c>
      <c r="U1273" s="177">
        <f t="shared" si="281"/>
        <v>26.37307692307694</v>
      </c>
      <c r="V1273" s="177">
        <f t="shared" si="281"/>
        <v>26.37307692307694</v>
      </c>
      <c r="W1273" s="177">
        <f t="shared" si="281"/>
        <v>26.37307692307694</v>
      </c>
      <c r="X1273" s="177">
        <f t="shared" si="281"/>
        <v>26.37307692307694</v>
      </c>
      <c r="Y1273" s="177">
        <f t="shared" si="281"/>
        <v>26.37307692307694</v>
      </c>
      <c r="Z1273" s="177">
        <f t="shared" si="281"/>
        <v>26.37307692307694</v>
      </c>
      <c r="AA1273" s="177">
        <f t="shared" si="281"/>
        <v>26.37307692307694</v>
      </c>
      <c r="AB1273" s="177">
        <f t="shared" si="281"/>
        <v>26.37307692307694</v>
      </c>
      <c r="AC1273" s="177">
        <f t="shared" si="281"/>
        <v>26.37307692307694</v>
      </c>
      <c r="AD1273" s="177">
        <f t="shared" si="281"/>
        <v>26.37307692307694</v>
      </c>
      <c r="AE1273" s="177">
        <f t="shared" si="281"/>
        <v>26.37307692307694</v>
      </c>
      <c r="AF1273" s="177">
        <f t="shared" si="281"/>
        <v>26.37307692307694</v>
      </c>
      <c r="AG1273" s="177">
        <f t="shared" si="281"/>
        <v>26.37307692307694</v>
      </c>
      <c r="AH1273" s="177">
        <f t="shared" si="281"/>
        <v>26.37307692307694</v>
      </c>
      <c r="AI1273" s="177">
        <f t="shared" si="281"/>
        <v>26.37307692307694</v>
      </c>
      <c r="AJ1273" s="177">
        <f t="shared" si="281"/>
        <v>26.37307692307694</v>
      </c>
      <c r="AK1273" s="177">
        <f t="shared" si="281"/>
        <v>26.37307692307694</v>
      </c>
      <c r="AL1273" s="177">
        <f t="shared" si="281"/>
        <v>26.37307692307694</v>
      </c>
      <c r="AM1273" s="133">
        <f t="shared" si="281"/>
        <v>26.373076923076944</v>
      </c>
    </row>
    <row r="1274" spans="1:39" ht="15" x14ac:dyDescent="0.25">
      <c r="A1274" s="205"/>
      <c r="B1274" s="165"/>
      <c r="C1274" s="221"/>
      <c r="D1274" s="165"/>
      <c r="E1274" s="1"/>
      <c r="F1274" s="165"/>
      <c r="G1274" s="165"/>
      <c r="H1274" s="165"/>
      <c r="I1274" s="165"/>
      <c r="J1274" s="165"/>
      <c r="K1274" s="165"/>
      <c r="L1274" s="165"/>
      <c r="M1274" s="165"/>
      <c r="N1274" s="165"/>
      <c r="O1274" s="165"/>
      <c r="P1274" s="165"/>
      <c r="Q1274" s="165"/>
      <c r="R1274" s="165"/>
      <c r="S1274" s="165"/>
      <c r="T1274" s="165"/>
      <c r="U1274" s="165"/>
      <c r="V1274" s="165"/>
      <c r="W1274" s="165"/>
      <c r="X1274" s="165"/>
      <c r="Y1274" s="165"/>
      <c r="Z1274" s="165"/>
      <c r="AA1274" s="165"/>
      <c r="AB1274" s="165"/>
      <c r="AC1274" s="165"/>
      <c r="AD1274" s="165"/>
      <c r="AE1274" s="165"/>
      <c r="AF1274" s="165"/>
      <c r="AG1274" s="165"/>
      <c r="AH1274" s="165"/>
      <c r="AI1274" s="165"/>
      <c r="AJ1274" s="165"/>
      <c r="AK1274" s="165"/>
      <c r="AL1274" s="165"/>
      <c r="AM1274" s="107"/>
    </row>
    <row r="1275" spans="1:39" ht="15" x14ac:dyDescent="0.25">
      <c r="A1275" s="69" t="s">
        <v>354</v>
      </c>
      <c r="B1275" s="268" t="s">
        <v>636</v>
      </c>
      <c r="C1275" s="30" t="s">
        <v>63</v>
      </c>
      <c r="D1275" s="268" t="s">
        <v>356</v>
      </c>
      <c r="E1275" s="267"/>
      <c r="F1275" s="165">
        <v>13</v>
      </c>
      <c r="G1275" s="165">
        <v>13</v>
      </c>
      <c r="H1275" s="165">
        <v>13</v>
      </c>
      <c r="I1275" s="165">
        <v>13</v>
      </c>
      <c r="J1275" s="165">
        <v>13</v>
      </c>
      <c r="K1275" s="165">
        <v>13</v>
      </c>
      <c r="L1275" s="165">
        <v>13</v>
      </c>
      <c r="M1275" s="165">
        <v>13</v>
      </c>
      <c r="N1275" s="165">
        <v>13</v>
      </c>
      <c r="O1275" s="165">
        <v>13</v>
      </c>
      <c r="P1275" s="165">
        <v>13</v>
      </c>
      <c r="Q1275" s="165">
        <v>13</v>
      </c>
      <c r="R1275" s="165">
        <v>13</v>
      </c>
      <c r="S1275" s="165">
        <v>13</v>
      </c>
      <c r="T1275" s="165">
        <v>13</v>
      </c>
      <c r="U1275" s="165">
        <v>13</v>
      </c>
      <c r="V1275" s="165">
        <v>13</v>
      </c>
      <c r="W1275" s="165">
        <v>13</v>
      </c>
      <c r="X1275" s="165">
        <v>13</v>
      </c>
      <c r="Y1275" s="165">
        <v>13</v>
      </c>
      <c r="Z1275" s="165">
        <v>13</v>
      </c>
      <c r="AA1275" s="165">
        <v>13</v>
      </c>
      <c r="AB1275" s="165">
        <v>13</v>
      </c>
      <c r="AC1275" s="165">
        <v>13</v>
      </c>
      <c r="AD1275" s="165">
        <v>13</v>
      </c>
      <c r="AE1275" s="165">
        <v>13</v>
      </c>
      <c r="AF1275" s="165">
        <v>13</v>
      </c>
      <c r="AG1275" s="165">
        <v>13</v>
      </c>
      <c r="AH1275" s="165">
        <v>13</v>
      </c>
      <c r="AI1275" s="165">
        <v>13</v>
      </c>
      <c r="AJ1275" s="165">
        <v>13</v>
      </c>
      <c r="AK1275" s="165">
        <v>13</v>
      </c>
      <c r="AL1275" s="165">
        <v>13</v>
      </c>
      <c r="AM1275" s="383">
        <f t="shared" ref="AM1275:AM1283" si="282">AVERAGE(F1275:AL1275)</f>
        <v>13</v>
      </c>
    </row>
    <row r="1276" spans="1:39" x14ac:dyDescent="0.2">
      <c r="A1276" s="1"/>
      <c r="B1276" s="268" t="s">
        <v>637</v>
      </c>
      <c r="C1276" s="30" t="s">
        <v>63</v>
      </c>
      <c r="D1276" s="268" t="s">
        <v>358</v>
      </c>
      <c r="E1276" s="267"/>
      <c r="F1276" s="165">
        <v>49.4</v>
      </c>
      <c r="G1276" s="165">
        <v>49.4</v>
      </c>
      <c r="H1276" s="165">
        <v>49.4</v>
      </c>
      <c r="I1276" s="165">
        <v>49.4</v>
      </c>
      <c r="J1276" s="165">
        <v>49.4</v>
      </c>
      <c r="K1276" s="165">
        <v>49.4</v>
      </c>
      <c r="L1276" s="165">
        <v>49.4</v>
      </c>
      <c r="M1276" s="165">
        <v>49.4</v>
      </c>
      <c r="N1276" s="165">
        <v>49.4</v>
      </c>
      <c r="O1276" s="165">
        <v>49.4</v>
      </c>
      <c r="P1276" s="165">
        <v>49.4</v>
      </c>
      <c r="Q1276" s="165">
        <v>49.4</v>
      </c>
      <c r="R1276" s="165">
        <v>49.4</v>
      </c>
      <c r="S1276" s="165">
        <v>49.4</v>
      </c>
      <c r="T1276" s="165">
        <v>49.4</v>
      </c>
      <c r="U1276" s="165">
        <v>49.4</v>
      </c>
      <c r="V1276" s="165">
        <v>49.4</v>
      </c>
      <c r="W1276" s="165">
        <v>49.4</v>
      </c>
      <c r="X1276" s="165">
        <v>49.4</v>
      </c>
      <c r="Y1276" s="165">
        <v>49.4</v>
      </c>
      <c r="Z1276" s="165">
        <v>49.4</v>
      </c>
      <c r="AA1276" s="165">
        <v>49.4</v>
      </c>
      <c r="AB1276" s="165">
        <v>49.4</v>
      </c>
      <c r="AC1276" s="165">
        <v>49.4</v>
      </c>
      <c r="AD1276" s="165">
        <v>49.4</v>
      </c>
      <c r="AE1276" s="165">
        <v>49.4</v>
      </c>
      <c r="AF1276" s="165">
        <v>49.4</v>
      </c>
      <c r="AG1276" s="165">
        <v>49.4</v>
      </c>
      <c r="AH1276" s="165">
        <v>49.4</v>
      </c>
      <c r="AI1276" s="165">
        <v>49.4</v>
      </c>
      <c r="AJ1276" s="165">
        <v>49.4</v>
      </c>
      <c r="AK1276" s="165">
        <v>49.4</v>
      </c>
      <c r="AL1276" s="165">
        <v>49.4</v>
      </c>
      <c r="AM1276" s="383">
        <f t="shared" si="282"/>
        <v>49.40000000000002</v>
      </c>
    </row>
    <row r="1277" spans="1:39" x14ac:dyDescent="0.2">
      <c r="A1277" s="1"/>
      <c r="B1277" s="268" t="s">
        <v>638</v>
      </c>
      <c r="C1277" s="30" t="s">
        <v>63</v>
      </c>
      <c r="D1277" s="268" t="s">
        <v>356</v>
      </c>
      <c r="E1277" s="267"/>
      <c r="F1277" s="165">
        <v>58.2</v>
      </c>
      <c r="G1277" s="165">
        <v>58.2</v>
      </c>
      <c r="H1277" s="165">
        <v>58.2</v>
      </c>
      <c r="I1277" s="165">
        <v>58.2</v>
      </c>
      <c r="J1277" s="165">
        <v>58.2</v>
      </c>
      <c r="K1277" s="165">
        <v>58.2</v>
      </c>
      <c r="L1277" s="165">
        <v>58.2</v>
      </c>
      <c r="M1277" s="165">
        <v>58.2</v>
      </c>
      <c r="N1277" s="165">
        <v>58.2</v>
      </c>
      <c r="O1277" s="165">
        <v>58.2</v>
      </c>
      <c r="P1277" s="165">
        <v>58.2</v>
      </c>
      <c r="Q1277" s="165">
        <v>58.2</v>
      </c>
      <c r="R1277" s="165">
        <v>58.2</v>
      </c>
      <c r="S1277" s="165">
        <v>58.2</v>
      </c>
      <c r="T1277" s="165">
        <v>58.2</v>
      </c>
      <c r="U1277" s="165">
        <v>58.2</v>
      </c>
      <c r="V1277" s="165">
        <v>58.2</v>
      </c>
      <c r="W1277" s="165">
        <v>58.2</v>
      </c>
      <c r="X1277" s="165">
        <v>58.2</v>
      </c>
      <c r="Y1277" s="165">
        <v>58.2</v>
      </c>
      <c r="Z1277" s="165">
        <v>58.2</v>
      </c>
      <c r="AA1277" s="165">
        <v>58.2</v>
      </c>
      <c r="AB1277" s="165">
        <v>58.2</v>
      </c>
      <c r="AC1277" s="165">
        <v>58.2</v>
      </c>
      <c r="AD1277" s="165">
        <v>58.2</v>
      </c>
      <c r="AE1277" s="165">
        <v>58.2</v>
      </c>
      <c r="AF1277" s="165">
        <v>58.2</v>
      </c>
      <c r="AG1277" s="165">
        <v>58.2</v>
      </c>
      <c r="AH1277" s="165">
        <v>58.2</v>
      </c>
      <c r="AI1277" s="165">
        <v>58.2</v>
      </c>
      <c r="AJ1277" s="165">
        <v>58.2</v>
      </c>
      <c r="AK1277" s="165">
        <v>58.2</v>
      </c>
      <c r="AL1277" s="165">
        <v>58.2</v>
      </c>
      <c r="AM1277" s="383">
        <f t="shared" si="282"/>
        <v>58.200000000000031</v>
      </c>
    </row>
    <row r="1278" spans="1:39" ht="15" x14ac:dyDescent="0.25">
      <c r="A1278" s="69" t="s">
        <v>360</v>
      </c>
      <c r="B1278" s="268" t="s">
        <v>639</v>
      </c>
      <c r="C1278" s="30" t="s">
        <v>63</v>
      </c>
      <c r="D1278" s="268" t="s">
        <v>356</v>
      </c>
      <c r="E1278" s="267"/>
      <c r="F1278" s="165">
        <v>35.4</v>
      </c>
      <c r="G1278" s="165">
        <v>35.4</v>
      </c>
      <c r="H1278" s="165">
        <v>35.4</v>
      </c>
      <c r="I1278" s="165">
        <v>35.4</v>
      </c>
      <c r="J1278" s="165">
        <v>35.4</v>
      </c>
      <c r="K1278" s="165">
        <v>35.4</v>
      </c>
      <c r="L1278" s="165">
        <v>35.4</v>
      </c>
      <c r="M1278" s="165">
        <v>35.4</v>
      </c>
      <c r="N1278" s="165">
        <v>35.4</v>
      </c>
      <c r="O1278" s="165">
        <v>35.4</v>
      </c>
      <c r="P1278" s="165">
        <v>35.4</v>
      </c>
      <c r="Q1278" s="165">
        <v>35.4</v>
      </c>
      <c r="R1278" s="165">
        <v>35.4</v>
      </c>
      <c r="S1278" s="165">
        <v>35.4</v>
      </c>
      <c r="T1278" s="165">
        <v>35.4</v>
      </c>
      <c r="U1278" s="165">
        <v>35.4</v>
      </c>
      <c r="V1278" s="165">
        <v>35.4</v>
      </c>
      <c r="W1278" s="165">
        <v>35.4</v>
      </c>
      <c r="X1278" s="165">
        <v>35.4</v>
      </c>
      <c r="Y1278" s="165">
        <v>35.4</v>
      </c>
      <c r="Z1278" s="165">
        <v>35.4</v>
      </c>
      <c r="AA1278" s="165">
        <v>35.4</v>
      </c>
      <c r="AB1278" s="165">
        <v>35.4</v>
      </c>
      <c r="AC1278" s="165">
        <v>35.4</v>
      </c>
      <c r="AD1278" s="165">
        <v>35.4</v>
      </c>
      <c r="AE1278" s="165">
        <v>35.4</v>
      </c>
      <c r="AF1278" s="165">
        <v>35.4</v>
      </c>
      <c r="AG1278" s="165">
        <v>35.4</v>
      </c>
      <c r="AH1278" s="165">
        <v>35.4</v>
      </c>
      <c r="AI1278" s="165">
        <v>35.4</v>
      </c>
      <c r="AJ1278" s="165">
        <v>35.4</v>
      </c>
      <c r="AK1278" s="165">
        <v>35.4</v>
      </c>
      <c r="AL1278" s="165">
        <v>35.4</v>
      </c>
      <c r="AM1278" s="383">
        <f t="shared" si="282"/>
        <v>35.4</v>
      </c>
    </row>
    <row r="1279" spans="1:39" x14ac:dyDescent="0.2">
      <c r="A1279" s="1"/>
      <c r="B1279" s="268" t="s">
        <v>640</v>
      </c>
      <c r="C1279" s="30" t="s">
        <v>63</v>
      </c>
      <c r="D1279" s="268" t="s">
        <v>356</v>
      </c>
      <c r="E1279" s="267"/>
      <c r="F1279" s="165">
        <v>27</v>
      </c>
      <c r="G1279" s="165">
        <v>27</v>
      </c>
      <c r="H1279" s="165">
        <v>27</v>
      </c>
      <c r="I1279" s="165">
        <v>27</v>
      </c>
      <c r="J1279" s="165">
        <v>27</v>
      </c>
      <c r="K1279" s="165">
        <v>27</v>
      </c>
      <c r="L1279" s="165">
        <v>27</v>
      </c>
      <c r="M1279" s="165">
        <v>27</v>
      </c>
      <c r="N1279" s="165">
        <v>27</v>
      </c>
      <c r="O1279" s="165">
        <v>27</v>
      </c>
      <c r="P1279" s="165">
        <v>27</v>
      </c>
      <c r="Q1279" s="165">
        <v>27</v>
      </c>
      <c r="R1279" s="165">
        <v>27</v>
      </c>
      <c r="S1279" s="165">
        <v>27</v>
      </c>
      <c r="T1279" s="165">
        <v>27</v>
      </c>
      <c r="U1279" s="165">
        <v>27</v>
      </c>
      <c r="V1279" s="165">
        <v>27</v>
      </c>
      <c r="W1279" s="165">
        <v>27</v>
      </c>
      <c r="X1279" s="165">
        <v>27</v>
      </c>
      <c r="Y1279" s="165">
        <v>27</v>
      </c>
      <c r="Z1279" s="165">
        <v>27</v>
      </c>
      <c r="AA1279" s="165">
        <v>27</v>
      </c>
      <c r="AB1279" s="165">
        <v>27</v>
      </c>
      <c r="AC1279" s="165">
        <v>27</v>
      </c>
      <c r="AD1279" s="165">
        <v>27</v>
      </c>
      <c r="AE1279" s="165">
        <v>27</v>
      </c>
      <c r="AF1279" s="165">
        <v>27</v>
      </c>
      <c r="AG1279" s="165">
        <v>27</v>
      </c>
      <c r="AH1279" s="165">
        <v>27</v>
      </c>
      <c r="AI1279" s="165">
        <v>27</v>
      </c>
      <c r="AJ1279" s="165">
        <v>27</v>
      </c>
      <c r="AK1279" s="165">
        <v>27</v>
      </c>
      <c r="AL1279" s="165">
        <v>27</v>
      </c>
      <c r="AM1279" s="383">
        <f t="shared" si="282"/>
        <v>27</v>
      </c>
    </row>
    <row r="1280" spans="1:39" x14ac:dyDescent="0.2">
      <c r="A1280" s="1"/>
      <c r="B1280" s="268" t="s">
        <v>641</v>
      </c>
      <c r="C1280" s="30" t="s">
        <v>63</v>
      </c>
      <c r="D1280" s="268" t="s">
        <v>356</v>
      </c>
      <c r="E1280" s="267"/>
      <c r="F1280" s="165">
        <v>7.8</v>
      </c>
      <c r="G1280" s="165">
        <v>7.8</v>
      </c>
      <c r="H1280" s="165">
        <v>7.8</v>
      </c>
      <c r="I1280" s="165">
        <v>7.8</v>
      </c>
      <c r="J1280" s="165">
        <v>7.8</v>
      </c>
      <c r="K1280" s="165">
        <v>7.8</v>
      </c>
      <c r="L1280" s="165">
        <v>7.8</v>
      </c>
      <c r="M1280" s="165">
        <v>7.8</v>
      </c>
      <c r="N1280" s="165">
        <v>7.8</v>
      </c>
      <c r="O1280" s="165">
        <v>7.8</v>
      </c>
      <c r="P1280" s="165">
        <v>7.8</v>
      </c>
      <c r="Q1280" s="165">
        <v>7.8</v>
      </c>
      <c r="R1280" s="165">
        <v>7.8</v>
      </c>
      <c r="S1280" s="165">
        <v>7.8</v>
      </c>
      <c r="T1280" s="165">
        <v>7.8</v>
      </c>
      <c r="U1280" s="165">
        <v>7.8</v>
      </c>
      <c r="V1280" s="165">
        <v>7.8</v>
      </c>
      <c r="W1280" s="165">
        <v>7.8</v>
      </c>
      <c r="X1280" s="165">
        <v>7.8</v>
      </c>
      <c r="Y1280" s="165">
        <v>7.8</v>
      </c>
      <c r="Z1280" s="165">
        <v>7.8</v>
      </c>
      <c r="AA1280" s="165">
        <v>7.8</v>
      </c>
      <c r="AB1280" s="165">
        <v>7.8</v>
      </c>
      <c r="AC1280" s="165">
        <v>7.8</v>
      </c>
      <c r="AD1280" s="165">
        <v>7.8</v>
      </c>
      <c r="AE1280" s="165">
        <v>7.8</v>
      </c>
      <c r="AF1280" s="165">
        <v>7.8</v>
      </c>
      <c r="AG1280" s="165">
        <v>7.8</v>
      </c>
      <c r="AH1280" s="165">
        <v>7.8</v>
      </c>
      <c r="AI1280" s="165">
        <v>7.8</v>
      </c>
      <c r="AJ1280" s="165">
        <v>7.8</v>
      </c>
      <c r="AK1280" s="165">
        <v>7.8</v>
      </c>
      <c r="AL1280" s="165">
        <v>7.8</v>
      </c>
      <c r="AM1280" s="383">
        <f t="shared" si="282"/>
        <v>7.8000000000000043</v>
      </c>
    </row>
    <row r="1281" spans="1:39" x14ac:dyDescent="0.2">
      <c r="A1281" s="1"/>
      <c r="B1281" s="268" t="s">
        <v>642</v>
      </c>
      <c r="C1281" s="30" t="s">
        <v>63</v>
      </c>
      <c r="D1281" s="268" t="s">
        <v>356</v>
      </c>
      <c r="E1281" s="267"/>
      <c r="F1281" s="165">
        <v>33.200000000000003</v>
      </c>
      <c r="G1281" s="165">
        <v>33.200000000000003</v>
      </c>
      <c r="H1281" s="165">
        <v>33.200000000000003</v>
      </c>
      <c r="I1281" s="165">
        <v>33.200000000000003</v>
      </c>
      <c r="J1281" s="165">
        <v>33.200000000000003</v>
      </c>
      <c r="K1281" s="165">
        <v>33.200000000000003</v>
      </c>
      <c r="L1281" s="165">
        <v>33.200000000000003</v>
      </c>
      <c r="M1281" s="165">
        <v>33.200000000000003</v>
      </c>
      <c r="N1281" s="165">
        <v>33.200000000000003</v>
      </c>
      <c r="O1281" s="165">
        <v>33.200000000000003</v>
      </c>
      <c r="P1281" s="165">
        <v>33.200000000000003</v>
      </c>
      <c r="Q1281" s="165">
        <v>33.200000000000003</v>
      </c>
      <c r="R1281" s="165">
        <v>33.200000000000003</v>
      </c>
      <c r="S1281" s="165">
        <v>33.200000000000003</v>
      </c>
      <c r="T1281" s="165">
        <v>33.200000000000003</v>
      </c>
      <c r="U1281" s="165">
        <v>33.200000000000003</v>
      </c>
      <c r="V1281" s="165">
        <v>33.200000000000003</v>
      </c>
      <c r="W1281" s="165">
        <v>33.200000000000003</v>
      </c>
      <c r="X1281" s="165">
        <v>33.200000000000003</v>
      </c>
      <c r="Y1281" s="165">
        <v>33.200000000000003</v>
      </c>
      <c r="Z1281" s="165">
        <v>33.200000000000003</v>
      </c>
      <c r="AA1281" s="165">
        <v>33.200000000000003</v>
      </c>
      <c r="AB1281" s="165">
        <v>33.200000000000003</v>
      </c>
      <c r="AC1281" s="165">
        <v>33.200000000000003</v>
      </c>
      <c r="AD1281" s="165">
        <v>33.200000000000003</v>
      </c>
      <c r="AE1281" s="165">
        <v>33.200000000000003</v>
      </c>
      <c r="AF1281" s="165">
        <v>33.200000000000003</v>
      </c>
      <c r="AG1281" s="165">
        <v>33.200000000000003</v>
      </c>
      <c r="AH1281" s="165">
        <v>33.200000000000003</v>
      </c>
      <c r="AI1281" s="165">
        <v>33.200000000000003</v>
      </c>
      <c r="AJ1281" s="165">
        <v>33.200000000000003</v>
      </c>
      <c r="AK1281" s="165">
        <v>33.200000000000003</v>
      </c>
      <c r="AL1281" s="165">
        <v>33.200000000000003</v>
      </c>
      <c r="AM1281" s="383">
        <f t="shared" si="282"/>
        <v>33.200000000000017</v>
      </c>
    </row>
    <row r="1282" spans="1:39" x14ac:dyDescent="0.2">
      <c r="A1282" s="1"/>
      <c r="B1282" s="268" t="s">
        <v>643</v>
      </c>
      <c r="C1282" s="30" t="s">
        <v>63</v>
      </c>
      <c r="D1282" s="268" t="s">
        <v>356</v>
      </c>
      <c r="E1282" s="267"/>
      <c r="F1282" s="165">
        <v>11.9</v>
      </c>
      <c r="G1282" s="165">
        <v>11.9</v>
      </c>
      <c r="H1282" s="165">
        <v>11.9</v>
      </c>
      <c r="I1282" s="165">
        <v>11.9</v>
      </c>
      <c r="J1282" s="165">
        <v>11.9</v>
      </c>
      <c r="K1282" s="165">
        <v>11.9</v>
      </c>
      <c r="L1282" s="165">
        <v>11.9</v>
      </c>
      <c r="M1282" s="165">
        <v>11.9</v>
      </c>
      <c r="N1282" s="165">
        <v>11.9</v>
      </c>
      <c r="O1282" s="165">
        <v>11.9</v>
      </c>
      <c r="P1282" s="165">
        <v>11.9</v>
      </c>
      <c r="Q1282" s="165">
        <v>11.9</v>
      </c>
      <c r="R1282" s="165">
        <v>11.9</v>
      </c>
      <c r="S1282" s="165">
        <v>11.9</v>
      </c>
      <c r="T1282" s="165">
        <v>11.9</v>
      </c>
      <c r="U1282" s="165">
        <v>11.9</v>
      </c>
      <c r="V1282" s="165">
        <v>11.9</v>
      </c>
      <c r="W1282" s="165">
        <v>11.9</v>
      </c>
      <c r="X1282" s="165">
        <v>11.9</v>
      </c>
      <c r="Y1282" s="165">
        <v>11.9</v>
      </c>
      <c r="Z1282" s="165">
        <v>11.9</v>
      </c>
      <c r="AA1282" s="165">
        <v>11.9</v>
      </c>
      <c r="AB1282" s="165">
        <v>11.9</v>
      </c>
      <c r="AC1282" s="165">
        <v>11.9</v>
      </c>
      <c r="AD1282" s="165">
        <v>11.9</v>
      </c>
      <c r="AE1282" s="165">
        <v>11.9</v>
      </c>
      <c r="AF1282" s="165">
        <v>11.9</v>
      </c>
      <c r="AG1282" s="165">
        <v>11.9</v>
      </c>
      <c r="AH1282" s="165">
        <v>11.9</v>
      </c>
      <c r="AI1282" s="165">
        <v>11.9</v>
      </c>
      <c r="AJ1282" s="165">
        <v>11.9</v>
      </c>
      <c r="AK1282" s="165">
        <v>11.9</v>
      </c>
      <c r="AL1282" s="165">
        <v>11.9</v>
      </c>
      <c r="AM1282" s="383">
        <f t="shared" si="282"/>
        <v>11.899999999999995</v>
      </c>
    </row>
    <row r="1283" spans="1:39" x14ac:dyDescent="0.2">
      <c r="A1283" s="1"/>
      <c r="B1283" s="268" t="s">
        <v>644</v>
      </c>
      <c r="C1283" s="30" t="s">
        <v>63</v>
      </c>
      <c r="D1283" s="268" t="s">
        <v>356</v>
      </c>
      <c r="E1283" s="267"/>
      <c r="F1283" s="165">
        <v>58.2</v>
      </c>
      <c r="G1283" s="165">
        <v>58.2</v>
      </c>
      <c r="H1283" s="165">
        <v>58.2</v>
      </c>
      <c r="I1283" s="165">
        <v>58.2</v>
      </c>
      <c r="J1283" s="165">
        <v>58.2</v>
      </c>
      <c r="K1283" s="165">
        <v>58.2</v>
      </c>
      <c r="L1283" s="165">
        <v>58.2</v>
      </c>
      <c r="M1283" s="165">
        <v>58.2</v>
      </c>
      <c r="N1283" s="165">
        <v>58.2</v>
      </c>
      <c r="O1283" s="165">
        <v>58.2</v>
      </c>
      <c r="P1283" s="165">
        <v>58.2</v>
      </c>
      <c r="Q1283" s="165">
        <v>58.2</v>
      </c>
      <c r="R1283" s="165">
        <v>58.2</v>
      </c>
      <c r="S1283" s="165">
        <v>58.2</v>
      </c>
      <c r="T1283" s="165">
        <v>58.2</v>
      </c>
      <c r="U1283" s="165">
        <v>58.2</v>
      </c>
      <c r="V1283" s="165">
        <v>58.2</v>
      </c>
      <c r="W1283" s="165">
        <v>58.2</v>
      </c>
      <c r="X1283" s="165">
        <v>58.2</v>
      </c>
      <c r="Y1283" s="165">
        <v>58.2</v>
      </c>
      <c r="Z1283" s="165">
        <v>58.2</v>
      </c>
      <c r="AA1283" s="165">
        <v>58.2</v>
      </c>
      <c r="AB1283" s="165">
        <v>58.2</v>
      </c>
      <c r="AC1283" s="165">
        <v>58.2</v>
      </c>
      <c r="AD1283" s="165">
        <v>58.2</v>
      </c>
      <c r="AE1283" s="165">
        <v>58.2</v>
      </c>
      <c r="AF1283" s="165">
        <v>58.2</v>
      </c>
      <c r="AG1283" s="165">
        <v>58.2</v>
      </c>
      <c r="AH1283" s="165">
        <v>58.2</v>
      </c>
      <c r="AI1283" s="165">
        <v>58.2</v>
      </c>
      <c r="AJ1283" s="165">
        <v>58.2</v>
      </c>
      <c r="AK1283" s="165">
        <v>58.2</v>
      </c>
      <c r="AL1283" s="165">
        <v>58.2</v>
      </c>
      <c r="AM1283" s="383">
        <f t="shared" si="282"/>
        <v>58.200000000000031</v>
      </c>
    </row>
    <row r="1284" spans="1:39" ht="15" x14ac:dyDescent="0.25">
      <c r="A1284" s="205"/>
      <c r="B1284" s="164" t="s">
        <v>645</v>
      </c>
      <c r="C1284" s="211"/>
      <c r="D1284" s="165"/>
      <c r="E1284" s="177"/>
      <c r="F1284" s="177">
        <f t="shared" ref="F1284:AM1284" si="283">F1275/100*F980+ (F1277/100*F982)/2+(F1282/100*F987)/2</f>
        <v>12.505357142857147</v>
      </c>
      <c r="G1284" s="177">
        <f t="shared" si="283"/>
        <v>12.505357142857147</v>
      </c>
      <c r="H1284" s="177">
        <f t="shared" si="283"/>
        <v>12.505357142857147</v>
      </c>
      <c r="I1284" s="177">
        <f t="shared" si="283"/>
        <v>12.505357142857147</v>
      </c>
      <c r="J1284" s="177">
        <f t="shared" si="283"/>
        <v>12.505357142857147</v>
      </c>
      <c r="K1284" s="177">
        <f t="shared" si="283"/>
        <v>12.505357142857147</v>
      </c>
      <c r="L1284" s="177">
        <f t="shared" si="283"/>
        <v>12.505357142857147</v>
      </c>
      <c r="M1284" s="177">
        <f t="shared" si="283"/>
        <v>12.505357142857147</v>
      </c>
      <c r="N1284" s="177">
        <f t="shared" si="283"/>
        <v>12.505357142857147</v>
      </c>
      <c r="O1284" s="177">
        <f t="shared" si="283"/>
        <v>12.505357142857147</v>
      </c>
      <c r="P1284" s="177">
        <f t="shared" si="283"/>
        <v>12.505357142857147</v>
      </c>
      <c r="Q1284" s="177">
        <f t="shared" si="283"/>
        <v>12.505357142857147</v>
      </c>
      <c r="R1284" s="177">
        <f t="shared" si="283"/>
        <v>12.505357142857147</v>
      </c>
      <c r="S1284" s="177">
        <f t="shared" si="283"/>
        <v>12.505357142857147</v>
      </c>
      <c r="T1284" s="177">
        <f t="shared" si="283"/>
        <v>12.505357142857147</v>
      </c>
      <c r="U1284" s="177">
        <f t="shared" si="283"/>
        <v>12.505357142857147</v>
      </c>
      <c r="V1284" s="177">
        <f t="shared" si="283"/>
        <v>12.505357142857147</v>
      </c>
      <c r="W1284" s="177">
        <f t="shared" si="283"/>
        <v>12.505357142857147</v>
      </c>
      <c r="X1284" s="177">
        <f t="shared" si="283"/>
        <v>12.505357142857147</v>
      </c>
      <c r="Y1284" s="177">
        <f t="shared" si="283"/>
        <v>12.505357142857147</v>
      </c>
      <c r="Z1284" s="177">
        <f t="shared" si="283"/>
        <v>12.505357142857147</v>
      </c>
      <c r="AA1284" s="177">
        <f t="shared" si="283"/>
        <v>12.505357142857147</v>
      </c>
      <c r="AB1284" s="177">
        <f t="shared" si="283"/>
        <v>12.505357142857147</v>
      </c>
      <c r="AC1284" s="177">
        <f t="shared" si="283"/>
        <v>12.505357142857147</v>
      </c>
      <c r="AD1284" s="177">
        <f t="shared" si="283"/>
        <v>12.505357142857147</v>
      </c>
      <c r="AE1284" s="177">
        <f t="shared" si="283"/>
        <v>12.505357142857147</v>
      </c>
      <c r="AF1284" s="177">
        <f t="shared" si="283"/>
        <v>12.505357142857147</v>
      </c>
      <c r="AG1284" s="177">
        <f t="shared" si="283"/>
        <v>12.505357142857147</v>
      </c>
      <c r="AH1284" s="177">
        <f t="shared" si="283"/>
        <v>12.505357142857147</v>
      </c>
      <c r="AI1284" s="177">
        <f t="shared" si="283"/>
        <v>12.505357142857147</v>
      </c>
      <c r="AJ1284" s="177">
        <f t="shared" si="283"/>
        <v>12.505357142857147</v>
      </c>
      <c r="AK1284" s="177">
        <f t="shared" si="283"/>
        <v>12.505357142857147</v>
      </c>
      <c r="AL1284" s="177">
        <f t="shared" si="283"/>
        <v>12.505357142857147</v>
      </c>
      <c r="AM1284" s="133">
        <f t="shared" si="283"/>
        <v>12.505357142857148</v>
      </c>
    </row>
    <row r="1285" spans="1:39" ht="15" x14ac:dyDescent="0.25">
      <c r="A1285" s="205"/>
      <c r="B1285" s="164" t="s">
        <v>646</v>
      </c>
      <c r="C1285" s="211"/>
      <c r="D1285" s="165"/>
      <c r="E1285" s="177"/>
      <c r="F1285" s="177">
        <f t="shared" ref="F1285:AM1285" si="284">(F1275/100*F980+F1276/100*F981+F1277/100*F982+F1278/100*F983+F1279/100*F984+F1280/100*F985+F1281/100*F986+F1282/100*F987+F1283/100*F988)-F1284</f>
        <v>19.819928571428566</v>
      </c>
      <c r="G1285" s="177">
        <f t="shared" si="284"/>
        <v>19.819928571428566</v>
      </c>
      <c r="H1285" s="177">
        <f t="shared" si="284"/>
        <v>19.819928571428566</v>
      </c>
      <c r="I1285" s="177">
        <f t="shared" si="284"/>
        <v>19.819928571428566</v>
      </c>
      <c r="J1285" s="177">
        <f t="shared" si="284"/>
        <v>19.819928571428566</v>
      </c>
      <c r="K1285" s="177">
        <f t="shared" si="284"/>
        <v>19.819928571428566</v>
      </c>
      <c r="L1285" s="177">
        <f t="shared" si="284"/>
        <v>19.819928571428566</v>
      </c>
      <c r="M1285" s="177">
        <f t="shared" si="284"/>
        <v>19.819928571428566</v>
      </c>
      <c r="N1285" s="177">
        <f t="shared" si="284"/>
        <v>19.819928571428566</v>
      </c>
      <c r="O1285" s="177">
        <f t="shared" si="284"/>
        <v>19.819928571428566</v>
      </c>
      <c r="P1285" s="177">
        <f t="shared" si="284"/>
        <v>19.819928571428566</v>
      </c>
      <c r="Q1285" s="177">
        <f t="shared" si="284"/>
        <v>19.819928571428566</v>
      </c>
      <c r="R1285" s="177">
        <f t="shared" si="284"/>
        <v>19.819928571428566</v>
      </c>
      <c r="S1285" s="177">
        <f t="shared" si="284"/>
        <v>19.819928571428566</v>
      </c>
      <c r="T1285" s="177">
        <f t="shared" si="284"/>
        <v>19.819928571428566</v>
      </c>
      <c r="U1285" s="177">
        <f t="shared" si="284"/>
        <v>19.819928571428566</v>
      </c>
      <c r="V1285" s="177">
        <f t="shared" si="284"/>
        <v>19.819928571428566</v>
      </c>
      <c r="W1285" s="177">
        <f t="shared" si="284"/>
        <v>19.819928571428566</v>
      </c>
      <c r="X1285" s="177">
        <f t="shared" si="284"/>
        <v>19.819928571428566</v>
      </c>
      <c r="Y1285" s="177">
        <f t="shared" si="284"/>
        <v>19.819928571428566</v>
      </c>
      <c r="Z1285" s="177">
        <f t="shared" si="284"/>
        <v>19.819928571428566</v>
      </c>
      <c r="AA1285" s="177">
        <f t="shared" si="284"/>
        <v>19.819928571428566</v>
      </c>
      <c r="AB1285" s="177">
        <f t="shared" si="284"/>
        <v>19.819928571428566</v>
      </c>
      <c r="AC1285" s="177">
        <f t="shared" si="284"/>
        <v>19.819928571428566</v>
      </c>
      <c r="AD1285" s="177">
        <f t="shared" si="284"/>
        <v>19.819928571428566</v>
      </c>
      <c r="AE1285" s="177">
        <f t="shared" si="284"/>
        <v>19.819928571428566</v>
      </c>
      <c r="AF1285" s="177">
        <f t="shared" si="284"/>
        <v>19.819928571428566</v>
      </c>
      <c r="AG1285" s="177">
        <f t="shared" si="284"/>
        <v>19.819928571428566</v>
      </c>
      <c r="AH1285" s="177">
        <f t="shared" si="284"/>
        <v>19.819928571428566</v>
      </c>
      <c r="AI1285" s="177">
        <f t="shared" si="284"/>
        <v>19.819928571428566</v>
      </c>
      <c r="AJ1285" s="177">
        <f t="shared" si="284"/>
        <v>19.819928571428566</v>
      </c>
      <c r="AK1285" s="177">
        <f t="shared" si="284"/>
        <v>19.819928571428566</v>
      </c>
      <c r="AL1285" s="177">
        <f t="shared" si="284"/>
        <v>19.819928571428566</v>
      </c>
      <c r="AM1285" s="133">
        <f t="shared" si="284"/>
        <v>19.819928571428562</v>
      </c>
    </row>
    <row r="1286" spans="1:39" ht="15" x14ac:dyDescent="0.25">
      <c r="A1286" s="205"/>
      <c r="B1286" s="165"/>
      <c r="C1286" s="221"/>
      <c r="D1286" s="165"/>
      <c r="E1286" s="1"/>
      <c r="F1286" s="165"/>
      <c r="G1286" s="165"/>
      <c r="H1286" s="165"/>
      <c r="I1286" s="165"/>
      <c r="J1286" s="165"/>
      <c r="K1286" s="165"/>
      <c r="L1286" s="165"/>
      <c r="M1286" s="165"/>
      <c r="N1286" s="165"/>
      <c r="O1286" s="165"/>
      <c r="P1286" s="165"/>
      <c r="Q1286" s="165"/>
      <c r="R1286" s="165"/>
      <c r="S1286" s="165"/>
      <c r="T1286" s="165"/>
      <c r="U1286" s="165"/>
      <c r="V1286" s="165"/>
      <c r="W1286" s="165"/>
      <c r="X1286" s="165"/>
      <c r="Y1286" s="165"/>
      <c r="Z1286" s="165"/>
      <c r="AA1286" s="165"/>
      <c r="AB1286" s="165"/>
      <c r="AC1286" s="165"/>
      <c r="AD1286" s="165"/>
      <c r="AE1286" s="165"/>
      <c r="AF1286" s="165"/>
      <c r="AG1286" s="165"/>
      <c r="AH1286" s="165"/>
      <c r="AI1286" s="165"/>
      <c r="AJ1286" s="165"/>
      <c r="AK1286" s="165"/>
      <c r="AL1286" s="165"/>
      <c r="AM1286" s="107"/>
    </row>
    <row r="1287" spans="1:39" ht="15" x14ac:dyDescent="0.25">
      <c r="A1287" s="69" t="s">
        <v>354</v>
      </c>
      <c r="B1287" s="268" t="s">
        <v>647</v>
      </c>
      <c r="C1287" s="30" t="s">
        <v>63</v>
      </c>
      <c r="D1287" s="268" t="s">
        <v>356</v>
      </c>
      <c r="E1287" s="267"/>
      <c r="F1287" s="165">
        <v>12.1</v>
      </c>
      <c r="G1287" s="165">
        <v>12.1</v>
      </c>
      <c r="H1287" s="165">
        <v>12.1</v>
      </c>
      <c r="I1287" s="165">
        <v>12.1</v>
      </c>
      <c r="J1287" s="165">
        <v>12.1</v>
      </c>
      <c r="K1287" s="165">
        <v>12.1</v>
      </c>
      <c r="L1287" s="165">
        <v>12.1</v>
      </c>
      <c r="M1287" s="165">
        <v>12.1</v>
      </c>
      <c r="N1287" s="165">
        <v>12.1</v>
      </c>
      <c r="O1287" s="165">
        <v>12.1</v>
      </c>
      <c r="P1287" s="165">
        <v>12.1</v>
      </c>
      <c r="Q1287" s="165">
        <v>12.1</v>
      </c>
      <c r="R1287" s="165">
        <v>12.1</v>
      </c>
      <c r="S1287" s="165">
        <v>12.1</v>
      </c>
      <c r="T1287" s="165">
        <v>12.1</v>
      </c>
      <c r="U1287" s="165">
        <v>12.1</v>
      </c>
      <c r="V1287" s="165">
        <v>12.1</v>
      </c>
      <c r="W1287" s="165">
        <v>12.1</v>
      </c>
      <c r="X1287" s="165">
        <v>12.1</v>
      </c>
      <c r="Y1287" s="165">
        <v>12.1</v>
      </c>
      <c r="Z1287" s="165">
        <v>12.1</v>
      </c>
      <c r="AA1287" s="165">
        <v>12.1</v>
      </c>
      <c r="AB1287" s="165">
        <v>12.1</v>
      </c>
      <c r="AC1287" s="165">
        <v>12.1</v>
      </c>
      <c r="AD1287" s="165">
        <v>12.1</v>
      </c>
      <c r="AE1287" s="165">
        <v>12.1</v>
      </c>
      <c r="AF1287" s="165">
        <v>12.1</v>
      </c>
      <c r="AG1287" s="165">
        <v>12.1</v>
      </c>
      <c r="AH1287" s="165">
        <v>12.1</v>
      </c>
      <c r="AI1287" s="165">
        <v>12.1</v>
      </c>
      <c r="AJ1287" s="165">
        <v>12.1</v>
      </c>
      <c r="AK1287" s="165">
        <v>12.1</v>
      </c>
      <c r="AL1287" s="165">
        <v>12.1</v>
      </c>
      <c r="AM1287" s="383">
        <f t="shared" ref="AM1287:AM1298" si="285">AVERAGE(F1287:AL1287)</f>
        <v>12.100000000000005</v>
      </c>
    </row>
    <row r="1288" spans="1:39" x14ac:dyDescent="0.2">
      <c r="A1288" s="1"/>
      <c r="B1288" s="268" t="s">
        <v>648</v>
      </c>
      <c r="C1288" s="30" t="s">
        <v>63</v>
      </c>
      <c r="D1288" s="268" t="s">
        <v>358</v>
      </c>
      <c r="E1288" s="267"/>
      <c r="F1288" s="165">
        <v>49.4</v>
      </c>
      <c r="G1288" s="165">
        <v>49.4</v>
      </c>
      <c r="H1288" s="165">
        <v>49.4</v>
      </c>
      <c r="I1288" s="165">
        <v>49.4</v>
      </c>
      <c r="J1288" s="165">
        <v>49.4</v>
      </c>
      <c r="K1288" s="165">
        <v>49.4</v>
      </c>
      <c r="L1288" s="165">
        <v>49.4</v>
      </c>
      <c r="M1288" s="165">
        <v>49.4</v>
      </c>
      <c r="N1288" s="165">
        <v>49.4</v>
      </c>
      <c r="O1288" s="165">
        <v>49.4</v>
      </c>
      <c r="P1288" s="165">
        <v>49.4</v>
      </c>
      <c r="Q1288" s="165">
        <v>49.4</v>
      </c>
      <c r="R1288" s="165">
        <v>49.4</v>
      </c>
      <c r="S1288" s="165">
        <v>49.4</v>
      </c>
      <c r="T1288" s="165">
        <v>49.4</v>
      </c>
      <c r="U1288" s="165">
        <v>49.4</v>
      </c>
      <c r="V1288" s="165">
        <v>49.4</v>
      </c>
      <c r="W1288" s="165">
        <v>49.4</v>
      </c>
      <c r="X1288" s="165">
        <v>49.4</v>
      </c>
      <c r="Y1288" s="165">
        <v>49.4</v>
      </c>
      <c r="Z1288" s="165">
        <v>49.4</v>
      </c>
      <c r="AA1288" s="165">
        <v>49.4</v>
      </c>
      <c r="AB1288" s="165">
        <v>49.4</v>
      </c>
      <c r="AC1288" s="165">
        <v>49.4</v>
      </c>
      <c r="AD1288" s="165">
        <v>49.4</v>
      </c>
      <c r="AE1288" s="165">
        <v>49.4</v>
      </c>
      <c r="AF1288" s="165">
        <v>49.4</v>
      </c>
      <c r="AG1288" s="165">
        <v>49.4</v>
      </c>
      <c r="AH1288" s="165">
        <v>49.4</v>
      </c>
      <c r="AI1288" s="165">
        <v>49.4</v>
      </c>
      <c r="AJ1288" s="165">
        <v>49.4</v>
      </c>
      <c r="AK1288" s="165">
        <v>49.4</v>
      </c>
      <c r="AL1288" s="165">
        <v>49.4</v>
      </c>
      <c r="AM1288" s="383">
        <f t="shared" si="285"/>
        <v>49.40000000000002</v>
      </c>
    </row>
    <row r="1289" spans="1:39" x14ac:dyDescent="0.2">
      <c r="A1289" s="1"/>
      <c r="B1289" s="268" t="s">
        <v>649</v>
      </c>
      <c r="C1289" s="30" t="s">
        <v>63</v>
      </c>
      <c r="D1289" s="268" t="s">
        <v>356</v>
      </c>
      <c r="E1289" s="267"/>
      <c r="F1289" s="165">
        <v>72.900000000000006</v>
      </c>
      <c r="G1289" s="165">
        <v>72.900000000000006</v>
      </c>
      <c r="H1289" s="165">
        <v>72.900000000000006</v>
      </c>
      <c r="I1289" s="165">
        <v>72.900000000000006</v>
      </c>
      <c r="J1289" s="165">
        <v>72.900000000000006</v>
      </c>
      <c r="K1289" s="165">
        <v>72.900000000000006</v>
      </c>
      <c r="L1289" s="165">
        <v>72.900000000000006</v>
      </c>
      <c r="M1289" s="165">
        <v>72.900000000000006</v>
      </c>
      <c r="N1289" s="165">
        <v>72.900000000000006</v>
      </c>
      <c r="O1289" s="165">
        <v>72.900000000000006</v>
      </c>
      <c r="P1289" s="165">
        <v>72.900000000000006</v>
      </c>
      <c r="Q1289" s="165">
        <v>72.900000000000006</v>
      </c>
      <c r="R1289" s="165">
        <v>72.900000000000006</v>
      </c>
      <c r="S1289" s="165">
        <v>72.900000000000006</v>
      </c>
      <c r="T1289" s="165">
        <v>72.900000000000006</v>
      </c>
      <c r="U1289" s="165">
        <v>72.900000000000006</v>
      </c>
      <c r="V1289" s="165">
        <v>72.900000000000006</v>
      </c>
      <c r="W1289" s="165">
        <v>72.900000000000006</v>
      </c>
      <c r="X1289" s="165">
        <v>72.900000000000006</v>
      </c>
      <c r="Y1289" s="165">
        <v>72.900000000000006</v>
      </c>
      <c r="Z1289" s="165">
        <v>72.900000000000006</v>
      </c>
      <c r="AA1289" s="165">
        <v>72.900000000000006</v>
      </c>
      <c r="AB1289" s="165">
        <v>72.900000000000006</v>
      </c>
      <c r="AC1289" s="165">
        <v>72.900000000000006</v>
      </c>
      <c r="AD1289" s="165">
        <v>72.900000000000006</v>
      </c>
      <c r="AE1289" s="165">
        <v>72.900000000000006</v>
      </c>
      <c r="AF1289" s="165">
        <v>72.900000000000006</v>
      </c>
      <c r="AG1289" s="165">
        <v>72.900000000000006</v>
      </c>
      <c r="AH1289" s="165">
        <v>72.900000000000006</v>
      </c>
      <c r="AI1289" s="165">
        <v>72.900000000000006</v>
      </c>
      <c r="AJ1289" s="165">
        <v>72.900000000000006</v>
      </c>
      <c r="AK1289" s="165">
        <v>72.900000000000006</v>
      </c>
      <c r="AL1289" s="165">
        <v>72.900000000000006</v>
      </c>
      <c r="AM1289" s="383">
        <f t="shared" si="285"/>
        <v>72.900000000000034</v>
      </c>
    </row>
    <row r="1290" spans="1:39" ht="15" x14ac:dyDescent="0.25">
      <c r="A1290" s="69" t="s">
        <v>360</v>
      </c>
      <c r="B1290" s="268" t="s">
        <v>650</v>
      </c>
      <c r="C1290" s="30" t="s">
        <v>63</v>
      </c>
      <c r="D1290" s="268" t="s">
        <v>356</v>
      </c>
      <c r="E1290" s="267"/>
      <c r="F1290" s="165">
        <v>36.1</v>
      </c>
      <c r="G1290" s="165">
        <v>36.1</v>
      </c>
      <c r="H1290" s="165">
        <v>36.1</v>
      </c>
      <c r="I1290" s="165">
        <v>36.1</v>
      </c>
      <c r="J1290" s="165">
        <v>36.1</v>
      </c>
      <c r="K1290" s="165">
        <v>36.1</v>
      </c>
      <c r="L1290" s="165">
        <v>36.1</v>
      </c>
      <c r="M1290" s="165">
        <v>36.1</v>
      </c>
      <c r="N1290" s="165">
        <v>36.1</v>
      </c>
      <c r="O1290" s="165">
        <v>36.1</v>
      </c>
      <c r="P1290" s="165">
        <v>36.1</v>
      </c>
      <c r="Q1290" s="165">
        <v>36.1</v>
      </c>
      <c r="R1290" s="165">
        <v>36.1</v>
      </c>
      <c r="S1290" s="165">
        <v>36.1</v>
      </c>
      <c r="T1290" s="165">
        <v>36.1</v>
      </c>
      <c r="U1290" s="165">
        <v>36.1</v>
      </c>
      <c r="V1290" s="165">
        <v>36.1</v>
      </c>
      <c r="W1290" s="165">
        <v>36.1</v>
      </c>
      <c r="X1290" s="165">
        <v>36.1</v>
      </c>
      <c r="Y1290" s="165">
        <v>36.1</v>
      </c>
      <c r="Z1290" s="165">
        <v>36.1</v>
      </c>
      <c r="AA1290" s="165">
        <v>36.1</v>
      </c>
      <c r="AB1290" s="165">
        <v>36.1</v>
      </c>
      <c r="AC1290" s="165">
        <v>36.1</v>
      </c>
      <c r="AD1290" s="165">
        <v>36.1</v>
      </c>
      <c r="AE1290" s="165">
        <v>36.1</v>
      </c>
      <c r="AF1290" s="165">
        <v>36.1</v>
      </c>
      <c r="AG1290" s="165">
        <v>36.1</v>
      </c>
      <c r="AH1290" s="165">
        <v>36.1</v>
      </c>
      <c r="AI1290" s="165">
        <v>36.1</v>
      </c>
      <c r="AJ1290" s="165">
        <v>36.1</v>
      </c>
      <c r="AK1290" s="165">
        <v>36.1</v>
      </c>
      <c r="AL1290" s="165">
        <v>36.1</v>
      </c>
      <c r="AM1290" s="383">
        <f t="shared" si="285"/>
        <v>36.1</v>
      </c>
    </row>
    <row r="1291" spans="1:39" x14ac:dyDescent="0.2">
      <c r="A1291" s="1"/>
      <c r="B1291" s="268" t="s">
        <v>651</v>
      </c>
      <c r="C1291" s="30" t="s">
        <v>63</v>
      </c>
      <c r="D1291" s="268" t="s">
        <v>356</v>
      </c>
      <c r="E1291" s="267"/>
      <c r="F1291" s="165">
        <v>27</v>
      </c>
      <c r="G1291" s="165">
        <v>27</v>
      </c>
      <c r="H1291" s="165">
        <v>27</v>
      </c>
      <c r="I1291" s="165">
        <v>27</v>
      </c>
      <c r="J1291" s="165">
        <v>27</v>
      </c>
      <c r="K1291" s="165">
        <v>27</v>
      </c>
      <c r="L1291" s="165">
        <v>27</v>
      </c>
      <c r="M1291" s="165">
        <v>27</v>
      </c>
      <c r="N1291" s="165">
        <v>27</v>
      </c>
      <c r="O1291" s="165">
        <v>27</v>
      </c>
      <c r="P1291" s="165">
        <v>27</v>
      </c>
      <c r="Q1291" s="165">
        <v>27</v>
      </c>
      <c r="R1291" s="165">
        <v>27</v>
      </c>
      <c r="S1291" s="165">
        <v>27</v>
      </c>
      <c r="T1291" s="165">
        <v>27</v>
      </c>
      <c r="U1291" s="165">
        <v>27</v>
      </c>
      <c r="V1291" s="165">
        <v>27</v>
      </c>
      <c r="W1291" s="165">
        <v>27</v>
      </c>
      <c r="X1291" s="165">
        <v>27</v>
      </c>
      <c r="Y1291" s="165">
        <v>27</v>
      </c>
      <c r="Z1291" s="165">
        <v>27</v>
      </c>
      <c r="AA1291" s="165">
        <v>27</v>
      </c>
      <c r="AB1291" s="165">
        <v>27</v>
      </c>
      <c r="AC1291" s="165">
        <v>27</v>
      </c>
      <c r="AD1291" s="165">
        <v>27</v>
      </c>
      <c r="AE1291" s="165">
        <v>27</v>
      </c>
      <c r="AF1291" s="165">
        <v>27</v>
      </c>
      <c r="AG1291" s="165">
        <v>27</v>
      </c>
      <c r="AH1291" s="165">
        <v>27</v>
      </c>
      <c r="AI1291" s="165">
        <v>27</v>
      </c>
      <c r="AJ1291" s="165">
        <v>27</v>
      </c>
      <c r="AK1291" s="165">
        <v>27</v>
      </c>
      <c r="AL1291" s="165">
        <v>27</v>
      </c>
      <c r="AM1291" s="383">
        <f t="shared" si="285"/>
        <v>27</v>
      </c>
    </row>
    <row r="1292" spans="1:39" x14ac:dyDescent="0.2">
      <c r="A1292" s="1"/>
      <c r="B1292" s="268" t="s">
        <v>652</v>
      </c>
      <c r="C1292" s="30" t="s">
        <v>63</v>
      </c>
      <c r="D1292" s="268" t="s">
        <v>356</v>
      </c>
      <c r="E1292" s="267"/>
      <c r="F1292" s="165">
        <v>7.8</v>
      </c>
      <c r="G1292" s="165">
        <v>7.8</v>
      </c>
      <c r="H1292" s="165">
        <v>7.8</v>
      </c>
      <c r="I1292" s="165">
        <v>7.8</v>
      </c>
      <c r="J1292" s="165">
        <v>7.8</v>
      </c>
      <c r="K1292" s="165">
        <v>7.8</v>
      </c>
      <c r="L1292" s="165">
        <v>7.8</v>
      </c>
      <c r="M1292" s="165">
        <v>7.8</v>
      </c>
      <c r="N1292" s="165">
        <v>7.8</v>
      </c>
      <c r="O1292" s="165">
        <v>7.8</v>
      </c>
      <c r="P1292" s="165">
        <v>7.8</v>
      </c>
      <c r="Q1292" s="165">
        <v>7.8</v>
      </c>
      <c r="R1292" s="165">
        <v>7.8</v>
      </c>
      <c r="S1292" s="165">
        <v>7.8</v>
      </c>
      <c r="T1292" s="165">
        <v>7.8</v>
      </c>
      <c r="U1292" s="165">
        <v>7.8</v>
      </c>
      <c r="V1292" s="165">
        <v>7.8</v>
      </c>
      <c r="W1292" s="165">
        <v>7.8</v>
      </c>
      <c r="X1292" s="165">
        <v>7.8</v>
      </c>
      <c r="Y1292" s="165">
        <v>7.8</v>
      </c>
      <c r="Z1292" s="165">
        <v>7.8</v>
      </c>
      <c r="AA1292" s="165">
        <v>7.8</v>
      </c>
      <c r="AB1292" s="165">
        <v>7.8</v>
      </c>
      <c r="AC1292" s="165">
        <v>7.8</v>
      </c>
      <c r="AD1292" s="165">
        <v>7.8</v>
      </c>
      <c r="AE1292" s="165">
        <v>7.8</v>
      </c>
      <c r="AF1292" s="165">
        <v>7.8</v>
      </c>
      <c r="AG1292" s="165">
        <v>7.8</v>
      </c>
      <c r="AH1292" s="165">
        <v>7.8</v>
      </c>
      <c r="AI1292" s="165">
        <v>7.8</v>
      </c>
      <c r="AJ1292" s="165">
        <v>7.8</v>
      </c>
      <c r="AK1292" s="165">
        <v>7.8</v>
      </c>
      <c r="AL1292" s="165">
        <v>7.8</v>
      </c>
      <c r="AM1292" s="383">
        <f t="shared" si="285"/>
        <v>7.8000000000000043</v>
      </c>
    </row>
    <row r="1293" spans="1:39" x14ac:dyDescent="0.2">
      <c r="A1293" s="1"/>
      <c r="B1293" s="268" t="s">
        <v>653</v>
      </c>
      <c r="C1293" s="30" t="s">
        <v>63</v>
      </c>
      <c r="D1293" s="268" t="s">
        <v>356</v>
      </c>
      <c r="E1293" s="267"/>
      <c r="F1293" s="165">
        <v>31.2</v>
      </c>
      <c r="G1293" s="165">
        <v>31.2</v>
      </c>
      <c r="H1293" s="165">
        <v>31.2</v>
      </c>
      <c r="I1293" s="165">
        <v>31.2</v>
      </c>
      <c r="J1293" s="165">
        <v>31.2</v>
      </c>
      <c r="K1293" s="165">
        <v>31.2</v>
      </c>
      <c r="L1293" s="165">
        <v>31.2</v>
      </c>
      <c r="M1293" s="165">
        <v>31.2</v>
      </c>
      <c r="N1293" s="165">
        <v>31.2</v>
      </c>
      <c r="O1293" s="165">
        <v>31.2</v>
      </c>
      <c r="P1293" s="165">
        <v>31.2</v>
      </c>
      <c r="Q1293" s="165">
        <v>31.2</v>
      </c>
      <c r="R1293" s="165">
        <v>31.2</v>
      </c>
      <c r="S1293" s="165">
        <v>31.2</v>
      </c>
      <c r="T1293" s="165">
        <v>31.2</v>
      </c>
      <c r="U1293" s="165">
        <v>31.2</v>
      </c>
      <c r="V1293" s="165">
        <v>31.2</v>
      </c>
      <c r="W1293" s="165">
        <v>31.2</v>
      </c>
      <c r="X1293" s="165">
        <v>31.2</v>
      </c>
      <c r="Y1293" s="165">
        <v>31.2</v>
      </c>
      <c r="Z1293" s="165">
        <v>31.2</v>
      </c>
      <c r="AA1293" s="165">
        <v>31.2</v>
      </c>
      <c r="AB1293" s="165">
        <v>31.2</v>
      </c>
      <c r="AC1293" s="165">
        <v>31.2</v>
      </c>
      <c r="AD1293" s="165">
        <v>31.2</v>
      </c>
      <c r="AE1293" s="165">
        <v>31.2</v>
      </c>
      <c r="AF1293" s="165">
        <v>31.2</v>
      </c>
      <c r="AG1293" s="165">
        <v>31.2</v>
      </c>
      <c r="AH1293" s="165">
        <v>31.2</v>
      </c>
      <c r="AI1293" s="165">
        <v>31.2</v>
      </c>
      <c r="AJ1293" s="165">
        <v>31.2</v>
      </c>
      <c r="AK1293" s="165">
        <v>31.2</v>
      </c>
      <c r="AL1293" s="165">
        <v>31.2</v>
      </c>
      <c r="AM1293" s="383">
        <f t="shared" si="285"/>
        <v>31.200000000000017</v>
      </c>
    </row>
    <row r="1294" spans="1:39" x14ac:dyDescent="0.2">
      <c r="A1294" s="1"/>
      <c r="B1294" s="268" t="s">
        <v>654</v>
      </c>
      <c r="C1294" s="30" t="s">
        <v>63</v>
      </c>
      <c r="D1294" s="268" t="s">
        <v>356</v>
      </c>
      <c r="E1294" s="267"/>
      <c r="F1294" s="165">
        <v>11.5</v>
      </c>
      <c r="G1294" s="165">
        <v>11.5</v>
      </c>
      <c r="H1294" s="165">
        <v>11.5</v>
      </c>
      <c r="I1294" s="165">
        <v>11.5</v>
      </c>
      <c r="J1294" s="165">
        <v>11.5</v>
      </c>
      <c r="K1294" s="165">
        <v>11.5</v>
      </c>
      <c r="L1294" s="165">
        <v>11.5</v>
      </c>
      <c r="M1294" s="165">
        <v>11.5</v>
      </c>
      <c r="N1294" s="165">
        <v>11.5</v>
      </c>
      <c r="O1294" s="165">
        <v>11.5</v>
      </c>
      <c r="P1294" s="165">
        <v>11.5</v>
      </c>
      <c r="Q1294" s="165">
        <v>11.5</v>
      </c>
      <c r="R1294" s="165">
        <v>11.5</v>
      </c>
      <c r="S1294" s="165">
        <v>11.5</v>
      </c>
      <c r="T1294" s="165">
        <v>11.5</v>
      </c>
      <c r="U1294" s="165">
        <v>11.5</v>
      </c>
      <c r="V1294" s="165">
        <v>11.5</v>
      </c>
      <c r="W1294" s="165">
        <v>11.5</v>
      </c>
      <c r="X1294" s="165">
        <v>11.5</v>
      </c>
      <c r="Y1294" s="165">
        <v>11.5</v>
      </c>
      <c r="Z1294" s="165">
        <v>11.5</v>
      </c>
      <c r="AA1294" s="165">
        <v>11.5</v>
      </c>
      <c r="AB1294" s="165">
        <v>11.5</v>
      </c>
      <c r="AC1294" s="165">
        <v>11.5</v>
      </c>
      <c r="AD1294" s="165">
        <v>11.5</v>
      </c>
      <c r="AE1294" s="165">
        <v>11.5</v>
      </c>
      <c r="AF1294" s="165">
        <v>11.5</v>
      </c>
      <c r="AG1294" s="165">
        <v>11.5</v>
      </c>
      <c r="AH1294" s="165">
        <v>11.5</v>
      </c>
      <c r="AI1294" s="165">
        <v>11.5</v>
      </c>
      <c r="AJ1294" s="165">
        <v>11.5</v>
      </c>
      <c r="AK1294" s="165">
        <v>11.5</v>
      </c>
      <c r="AL1294" s="165">
        <v>11.5</v>
      </c>
      <c r="AM1294" s="383">
        <f t="shared" si="285"/>
        <v>11.5</v>
      </c>
    </row>
    <row r="1295" spans="1:39" x14ac:dyDescent="0.2">
      <c r="A1295" s="1"/>
      <c r="B1295" s="268" t="s">
        <v>655</v>
      </c>
      <c r="C1295" s="30" t="s">
        <v>63</v>
      </c>
      <c r="D1295" s="268" t="s">
        <v>356</v>
      </c>
      <c r="E1295" s="267"/>
      <c r="F1295" s="165">
        <v>31</v>
      </c>
      <c r="G1295" s="165">
        <v>31</v>
      </c>
      <c r="H1295" s="165">
        <v>31</v>
      </c>
      <c r="I1295" s="165">
        <v>31</v>
      </c>
      <c r="J1295" s="165">
        <v>31</v>
      </c>
      <c r="K1295" s="165">
        <v>31</v>
      </c>
      <c r="L1295" s="165">
        <v>31</v>
      </c>
      <c r="M1295" s="165">
        <v>31</v>
      </c>
      <c r="N1295" s="165">
        <v>31</v>
      </c>
      <c r="O1295" s="165">
        <v>31</v>
      </c>
      <c r="P1295" s="165">
        <v>31</v>
      </c>
      <c r="Q1295" s="165">
        <v>31</v>
      </c>
      <c r="R1295" s="165">
        <v>31</v>
      </c>
      <c r="S1295" s="165">
        <v>31</v>
      </c>
      <c r="T1295" s="165">
        <v>31</v>
      </c>
      <c r="U1295" s="165">
        <v>31</v>
      </c>
      <c r="V1295" s="165">
        <v>31</v>
      </c>
      <c r="W1295" s="165">
        <v>31</v>
      </c>
      <c r="X1295" s="165">
        <v>31</v>
      </c>
      <c r="Y1295" s="165">
        <v>31</v>
      </c>
      <c r="Z1295" s="165">
        <v>31</v>
      </c>
      <c r="AA1295" s="165">
        <v>31</v>
      </c>
      <c r="AB1295" s="165">
        <v>31</v>
      </c>
      <c r="AC1295" s="165">
        <v>31</v>
      </c>
      <c r="AD1295" s="165">
        <v>31</v>
      </c>
      <c r="AE1295" s="165">
        <v>31</v>
      </c>
      <c r="AF1295" s="165">
        <v>31</v>
      </c>
      <c r="AG1295" s="165">
        <v>31</v>
      </c>
      <c r="AH1295" s="165">
        <v>31</v>
      </c>
      <c r="AI1295" s="165">
        <v>31</v>
      </c>
      <c r="AJ1295" s="165">
        <v>31</v>
      </c>
      <c r="AK1295" s="165">
        <v>31</v>
      </c>
      <c r="AL1295" s="165">
        <v>31</v>
      </c>
      <c r="AM1295" s="383">
        <f t="shared" si="285"/>
        <v>31</v>
      </c>
    </row>
    <row r="1296" spans="1:39" ht="15" x14ac:dyDescent="0.25">
      <c r="A1296" s="205"/>
      <c r="B1296" s="165" t="s">
        <v>656</v>
      </c>
      <c r="C1296" s="30" t="s">
        <v>63</v>
      </c>
      <c r="D1296" s="139"/>
      <c r="E1296" s="267"/>
      <c r="F1296" s="165">
        <v>13</v>
      </c>
      <c r="G1296" s="165">
        <v>13</v>
      </c>
      <c r="H1296" s="165">
        <v>13</v>
      </c>
      <c r="I1296" s="165">
        <v>13</v>
      </c>
      <c r="J1296" s="165">
        <v>13</v>
      </c>
      <c r="K1296" s="165">
        <v>13</v>
      </c>
      <c r="L1296" s="165">
        <v>13</v>
      </c>
      <c r="M1296" s="165">
        <v>13</v>
      </c>
      <c r="N1296" s="165">
        <v>13</v>
      </c>
      <c r="O1296" s="165">
        <v>13</v>
      </c>
      <c r="P1296" s="165">
        <v>13</v>
      </c>
      <c r="Q1296" s="165">
        <v>13</v>
      </c>
      <c r="R1296" s="165">
        <v>13</v>
      </c>
      <c r="S1296" s="165">
        <v>13</v>
      </c>
      <c r="T1296" s="165">
        <v>13</v>
      </c>
      <c r="U1296" s="165">
        <v>13</v>
      </c>
      <c r="V1296" s="165">
        <v>13</v>
      </c>
      <c r="W1296" s="165">
        <v>13</v>
      </c>
      <c r="X1296" s="165">
        <v>13</v>
      </c>
      <c r="Y1296" s="165">
        <v>13</v>
      </c>
      <c r="Z1296" s="165">
        <v>13</v>
      </c>
      <c r="AA1296" s="165">
        <v>13</v>
      </c>
      <c r="AB1296" s="165">
        <v>13</v>
      </c>
      <c r="AC1296" s="165">
        <v>13</v>
      </c>
      <c r="AD1296" s="165">
        <v>13</v>
      </c>
      <c r="AE1296" s="165">
        <v>13</v>
      </c>
      <c r="AF1296" s="165">
        <v>13</v>
      </c>
      <c r="AG1296" s="165">
        <v>13</v>
      </c>
      <c r="AH1296" s="165">
        <v>13</v>
      </c>
      <c r="AI1296" s="165">
        <v>13</v>
      </c>
      <c r="AJ1296" s="165">
        <v>13</v>
      </c>
      <c r="AK1296" s="165">
        <v>13</v>
      </c>
      <c r="AL1296" s="165">
        <v>13</v>
      </c>
      <c r="AM1296" s="383">
        <f t="shared" si="285"/>
        <v>13</v>
      </c>
    </row>
    <row r="1297" spans="1:39" ht="15" x14ac:dyDescent="0.25">
      <c r="A1297" s="205"/>
      <c r="B1297" s="165" t="s">
        <v>657</v>
      </c>
      <c r="C1297" s="30" t="s">
        <v>63</v>
      </c>
      <c r="D1297" s="139"/>
      <c r="E1297" s="267"/>
      <c r="F1297" s="165">
        <v>5.48</v>
      </c>
      <c r="G1297" s="165">
        <v>5.48</v>
      </c>
      <c r="H1297" s="165">
        <v>5.48</v>
      </c>
      <c r="I1297" s="165">
        <v>5.48</v>
      </c>
      <c r="J1297" s="165">
        <v>5.48</v>
      </c>
      <c r="K1297" s="165">
        <v>5.48</v>
      </c>
      <c r="L1297" s="165">
        <v>5.48</v>
      </c>
      <c r="M1297" s="165">
        <v>5.48</v>
      </c>
      <c r="N1297" s="165">
        <v>5.48</v>
      </c>
      <c r="O1297" s="165">
        <v>5.48</v>
      </c>
      <c r="P1297" s="165">
        <v>5.48</v>
      </c>
      <c r="Q1297" s="165">
        <v>5.48</v>
      </c>
      <c r="R1297" s="165">
        <v>5.48</v>
      </c>
      <c r="S1297" s="165">
        <v>5.48</v>
      </c>
      <c r="T1297" s="165">
        <v>5.48</v>
      </c>
      <c r="U1297" s="165">
        <v>5.48</v>
      </c>
      <c r="V1297" s="165">
        <v>5.48</v>
      </c>
      <c r="W1297" s="165">
        <v>5.48</v>
      </c>
      <c r="X1297" s="165">
        <v>5.48</v>
      </c>
      <c r="Y1297" s="165">
        <v>5.48</v>
      </c>
      <c r="Z1297" s="165">
        <v>5.48</v>
      </c>
      <c r="AA1297" s="165">
        <v>5.48</v>
      </c>
      <c r="AB1297" s="165">
        <v>5.48</v>
      </c>
      <c r="AC1297" s="165">
        <v>5.48</v>
      </c>
      <c r="AD1297" s="165">
        <v>5.48</v>
      </c>
      <c r="AE1297" s="165">
        <v>5.48</v>
      </c>
      <c r="AF1297" s="165">
        <v>5.48</v>
      </c>
      <c r="AG1297" s="165">
        <v>5.48</v>
      </c>
      <c r="AH1297" s="165">
        <v>5.48</v>
      </c>
      <c r="AI1297" s="165">
        <v>5.48</v>
      </c>
      <c r="AJ1297" s="165">
        <v>5.48</v>
      </c>
      <c r="AK1297" s="165">
        <v>5.48</v>
      </c>
      <c r="AL1297" s="165">
        <v>5.48</v>
      </c>
      <c r="AM1297" s="383">
        <f t="shared" si="285"/>
        <v>5.4799999999999995</v>
      </c>
    </row>
    <row r="1298" spans="1:39" ht="15" x14ac:dyDescent="0.25">
      <c r="A1298" s="205"/>
      <c r="B1298" s="165" t="s">
        <v>658</v>
      </c>
      <c r="C1298" s="30" t="s">
        <v>63</v>
      </c>
      <c r="D1298" s="139"/>
      <c r="E1298" s="267"/>
      <c r="F1298" s="165">
        <v>8.6999999999999993</v>
      </c>
      <c r="G1298" s="165">
        <v>8.6999999999999993</v>
      </c>
      <c r="H1298" s="165">
        <v>8.6999999999999993</v>
      </c>
      <c r="I1298" s="165">
        <v>8.6999999999999993</v>
      </c>
      <c r="J1298" s="165">
        <v>8.6999999999999993</v>
      </c>
      <c r="K1298" s="165">
        <v>8.6999999999999993</v>
      </c>
      <c r="L1298" s="165">
        <v>8.6999999999999993</v>
      </c>
      <c r="M1298" s="165">
        <v>8.6999999999999993</v>
      </c>
      <c r="N1298" s="165">
        <v>8.6999999999999993</v>
      </c>
      <c r="O1298" s="165">
        <v>8.6999999999999993</v>
      </c>
      <c r="P1298" s="165">
        <v>8.6999999999999993</v>
      </c>
      <c r="Q1298" s="165">
        <v>8.6999999999999993</v>
      </c>
      <c r="R1298" s="165">
        <v>8.6999999999999993</v>
      </c>
      <c r="S1298" s="165">
        <v>8.6999999999999993</v>
      </c>
      <c r="T1298" s="165">
        <v>8.6999999999999993</v>
      </c>
      <c r="U1298" s="165">
        <v>8.6999999999999993</v>
      </c>
      <c r="V1298" s="165">
        <v>8.6999999999999993</v>
      </c>
      <c r="W1298" s="165">
        <v>8.6999999999999993</v>
      </c>
      <c r="X1298" s="165">
        <v>8.6999999999999993</v>
      </c>
      <c r="Y1298" s="165">
        <v>8.6999999999999993</v>
      </c>
      <c r="Z1298" s="165">
        <v>8.6999999999999993</v>
      </c>
      <c r="AA1298" s="165">
        <v>8.6999999999999993</v>
      </c>
      <c r="AB1298" s="165">
        <v>8.6999999999999993</v>
      </c>
      <c r="AC1298" s="165">
        <v>8.6999999999999993</v>
      </c>
      <c r="AD1298" s="165">
        <v>8.6999999999999993</v>
      </c>
      <c r="AE1298" s="165">
        <v>8.6999999999999993</v>
      </c>
      <c r="AF1298" s="165">
        <v>8.6999999999999993</v>
      </c>
      <c r="AG1298" s="165">
        <v>8.6999999999999993</v>
      </c>
      <c r="AH1298" s="165">
        <v>8.6999999999999993</v>
      </c>
      <c r="AI1298" s="165">
        <v>8.6999999999999993</v>
      </c>
      <c r="AJ1298" s="165">
        <v>8.6999999999999993</v>
      </c>
      <c r="AK1298" s="165">
        <v>8.6999999999999993</v>
      </c>
      <c r="AL1298" s="165">
        <v>8.6999999999999993</v>
      </c>
      <c r="AM1298" s="383">
        <f t="shared" si="285"/>
        <v>8.6999999999999957</v>
      </c>
    </row>
    <row r="1299" spans="1:39" ht="15" x14ac:dyDescent="0.25">
      <c r="A1299" s="205"/>
      <c r="B1299" s="164" t="s">
        <v>659</v>
      </c>
      <c r="C1299" s="211" t="s">
        <v>63</v>
      </c>
      <c r="D1299" s="164"/>
      <c r="E1299" s="138"/>
      <c r="F1299" s="138">
        <f t="shared" ref="F1299:AM1299" si="286">F1287/100*F992+ (F1289/100*F994)/2+(F1294/100*F999)/2</f>
        <v>9.8917857142857102</v>
      </c>
      <c r="G1299" s="138">
        <f t="shared" si="286"/>
        <v>9.8917857142857102</v>
      </c>
      <c r="H1299" s="138">
        <f t="shared" si="286"/>
        <v>9.8917857142857102</v>
      </c>
      <c r="I1299" s="138">
        <f t="shared" si="286"/>
        <v>9.8917857142857102</v>
      </c>
      <c r="J1299" s="138">
        <f t="shared" si="286"/>
        <v>9.8917857142857102</v>
      </c>
      <c r="K1299" s="138">
        <f t="shared" si="286"/>
        <v>9.8917857142857102</v>
      </c>
      <c r="L1299" s="138">
        <f t="shared" si="286"/>
        <v>9.8917857142857102</v>
      </c>
      <c r="M1299" s="138">
        <f t="shared" si="286"/>
        <v>9.8917857142857102</v>
      </c>
      <c r="N1299" s="138">
        <f t="shared" si="286"/>
        <v>9.8917857142857102</v>
      </c>
      <c r="O1299" s="138">
        <f t="shared" si="286"/>
        <v>9.8917857142857102</v>
      </c>
      <c r="P1299" s="138">
        <f t="shared" si="286"/>
        <v>9.8917857142857102</v>
      </c>
      <c r="Q1299" s="138">
        <f t="shared" si="286"/>
        <v>9.8917857142857102</v>
      </c>
      <c r="R1299" s="138">
        <f t="shared" si="286"/>
        <v>9.8917857142857102</v>
      </c>
      <c r="S1299" s="138">
        <f t="shared" si="286"/>
        <v>9.8917857142857102</v>
      </c>
      <c r="T1299" s="138">
        <f t="shared" si="286"/>
        <v>9.8917857142857102</v>
      </c>
      <c r="U1299" s="138">
        <f t="shared" si="286"/>
        <v>9.8917857142857102</v>
      </c>
      <c r="V1299" s="138">
        <f t="shared" si="286"/>
        <v>9.8917857142857102</v>
      </c>
      <c r="W1299" s="138">
        <f t="shared" si="286"/>
        <v>9.8917857142857102</v>
      </c>
      <c r="X1299" s="138">
        <f t="shared" si="286"/>
        <v>9.8917857142857102</v>
      </c>
      <c r="Y1299" s="138">
        <f t="shared" si="286"/>
        <v>9.8917857142857102</v>
      </c>
      <c r="Z1299" s="138">
        <f t="shared" si="286"/>
        <v>9.8917857142857102</v>
      </c>
      <c r="AA1299" s="138">
        <f t="shared" si="286"/>
        <v>9.8917857142857102</v>
      </c>
      <c r="AB1299" s="138">
        <f t="shared" si="286"/>
        <v>9.8917857142857102</v>
      </c>
      <c r="AC1299" s="138">
        <f t="shared" si="286"/>
        <v>9.8917857142857102</v>
      </c>
      <c r="AD1299" s="138">
        <f t="shared" si="286"/>
        <v>9.8917857142857102</v>
      </c>
      <c r="AE1299" s="138">
        <f t="shared" si="286"/>
        <v>9.8917857142857102</v>
      </c>
      <c r="AF1299" s="138">
        <f t="shared" si="286"/>
        <v>9.8917857142857102</v>
      </c>
      <c r="AG1299" s="138">
        <f t="shared" si="286"/>
        <v>9.8917857142857102</v>
      </c>
      <c r="AH1299" s="138">
        <f t="shared" si="286"/>
        <v>9.8917857142857102</v>
      </c>
      <c r="AI1299" s="138">
        <f t="shared" si="286"/>
        <v>9.8917857142857102</v>
      </c>
      <c r="AJ1299" s="138">
        <f t="shared" si="286"/>
        <v>9.8917857142857102</v>
      </c>
      <c r="AK1299" s="138">
        <f t="shared" si="286"/>
        <v>9.8917857142857102</v>
      </c>
      <c r="AL1299" s="138">
        <f t="shared" si="286"/>
        <v>9.8917857142857102</v>
      </c>
      <c r="AM1299" s="132">
        <f t="shared" si="286"/>
        <v>9.8917857142857137</v>
      </c>
    </row>
    <row r="1300" spans="1:39" ht="15" x14ac:dyDescent="0.25">
      <c r="A1300" s="205"/>
      <c r="B1300" s="164" t="s">
        <v>660</v>
      </c>
      <c r="C1300" s="211" t="s">
        <v>63</v>
      </c>
      <c r="D1300" s="164"/>
      <c r="E1300" s="138"/>
      <c r="F1300" s="138">
        <f t="shared" ref="F1300:AM1300" si="287">(F1287/100*F992+F1288/100*F993+F1289/100*F994+F1290/100*F995+F1291/100*F996+F1292/100*F997+F1293/100*F998+F1294/100*F999+F1295/100*F1000)-F1299</f>
        <v>25.951785714285734</v>
      </c>
      <c r="G1300" s="138">
        <f t="shared" si="287"/>
        <v>25.951785714285734</v>
      </c>
      <c r="H1300" s="138">
        <f t="shared" si="287"/>
        <v>25.951785714285734</v>
      </c>
      <c r="I1300" s="138">
        <f t="shared" si="287"/>
        <v>25.951785714285734</v>
      </c>
      <c r="J1300" s="138">
        <f t="shared" si="287"/>
        <v>25.951785714285734</v>
      </c>
      <c r="K1300" s="138">
        <f t="shared" si="287"/>
        <v>25.951785714285734</v>
      </c>
      <c r="L1300" s="138">
        <f t="shared" si="287"/>
        <v>25.951785714285734</v>
      </c>
      <c r="M1300" s="138">
        <f t="shared" si="287"/>
        <v>25.951785714285734</v>
      </c>
      <c r="N1300" s="138">
        <f t="shared" si="287"/>
        <v>25.951785714285734</v>
      </c>
      <c r="O1300" s="138">
        <f t="shared" si="287"/>
        <v>25.951785714285734</v>
      </c>
      <c r="P1300" s="138">
        <f t="shared" si="287"/>
        <v>25.951785714285734</v>
      </c>
      <c r="Q1300" s="138">
        <f t="shared" si="287"/>
        <v>25.951785714285734</v>
      </c>
      <c r="R1300" s="138">
        <f t="shared" si="287"/>
        <v>25.951785714285734</v>
      </c>
      <c r="S1300" s="138">
        <f t="shared" si="287"/>
        <v>25.951785714285734</v>
      </c>
      <c r="T1300" s="138">
        <f t="shared" si="287"/>
        <v>25.951785714285734</v>
      </c>
      <c r="U1300" s="138">
        <f t="shared" si="287"/>
        <v>25.951785714285734</v>
      </c>
      <c r="V1300" s="138">
        <f t="shared" si="287"/>
        <v>25.951785714285734</v>
      </c>
      <c r="W1300" s="138">
        <f t="shared" si="287"/>
        <v>25.951785714285734</v>
      </c>
      <c r="X1300" s="138">
        <f t="shared" si="287"/>
        <v>25.951785714285734</v>
      </c>
      <c r="Y1300" s="138">
        <f t="shared" si="287"/>
        <v>25.951785714285734</v>
      </c>
      <c r="Z1300" s="138">
        <f t="shared" si="287"/>
        <v>25.951785714285734</v>
      </c>
      <c r="AA1300" s="138">
        <f t="shared" si="287"/>
        <v>25.951785714285734</v>
      </c>
      <c r="AB1300" s="138">
        <f t="shared" si="287"/>
        <v>25.951785714285734</v>
      </c>
      <c r="AC1300" s="138">
        <f t="shared" si="287"/>
        <v>25.951785714285734</v>
      </c>
      <c r="AD1300" s="138">
        <f t="shared" si="287"/>
        <v>25.951785714285734</v>
      </c>
      <c r="AE1300" s="138">
        <f t="shared" si="287"/>
        <v>25.951785714285734</v>
      </c>
      <c r="AF1300" s="138">
        <f t="shared" si="287"/>
        <v>25.951785714285734</v>
      </c>
      <c r="AG1300" s="138">
        <f t="shared" si="287"/>
        <v>25.951785714285734</v>
      </c>
      <c r="AH1300" s="138">
        <f t="shared" si="287"/>
        <v>25.951785714285734</v>
      </c>
      <c r="AI1300" s="138">
        <f t="shared" si="287"/>
        <v>25.951785714285734</v>
      </c>
      <c r="AJ1300" s="138">
        <f t="shared" si="287"/>
        <v>25.951785714285734</v>
      </c>
      <c r="AK1300" s="138">
        <f t="shared" si="287"/>
        <v>25.951785714285734</v>
      </c>
      <c r="AL1300" s="138">
        <f t="shared" si="287"/>
        <v>25.951785714285734</v>
      </c>
      <c r="AM1300" s="132">
        <f t="shared" si="287"/>
        <v>25.95178571428573</v>
      </c>
    </row>
    <row r="1301" spans="1:39" ht="15" x14ac:dyDescent="0.25">
      <c r="A1301" s="205"/>
      <c r="B1301" s="164"/>
      <c r="C1301" s="211"/>
      <c r="D1301" s="164"/>
      <c r="E1301" s="138"/>
      <c r="F1301" s="138"/>
      <c r="G1301" s="138"/>
      <c r="H1301" s="138"/>
      <c r="I1301" s="138"/>
      <c r="J1301" s="138"/>
      <c r="K1301" s="138"/>
      <c r="L1301" s="138"/>
      <c r="M1301" s="138"/>
      <c r="N1301" s="138"/>
      <c r="O1301" s="138"/>
      <c r="P1301" s="138"/>
      <c r="Q1301" s="138"/>
      <c r="R1301" s="138"/>
      <c r="S1301" s="138"/>
      <c r="T1301" s="138"/>
      <c r="U1301" s="138"/>
      <c r="V1301" s="138"/>
      <c r="W1301" s="138"/>
      <c r="X1301" s="138"/>
      <c r="Y1301" s="138"/>
      <c r="Z1301" s="138"/>
      <c r="AA1301" s="138"/>
      <c r="AB1301" s="138"/>
      <c r="AC1301" s="138"/>
      <c r="AD1301" s="138"/>
      <c r="AE1301" s="138"/>
      <c r="AF1301" s="138"/>
      <c r="AG1301" s="138"/>
      <c r="AH1301" s="138"/>
      <c r="AI1301" s="138"/>
      <c r="AJ1301" s="138"/>
      <c r="AK1301" s="138"/>
      <c r="AL1301" s="138"/>
      <c r="AM1301" s="107"/>
    </row>
    <row r="1302" spans="1:39" ht="15" x14ac:dyDescent="0.25">
      <c r="A1302" s="69" t="s">
        <v>354</v>
      </c>
      <c r="B1302" s="268" t="s">
        <v>661</v>
      </c>
      <c r="C1302" s="30" t="s">
        <v>63</v>
      </c>
      <c r="D1302" s="268" t="s">
        <v>398</v>
      </c>
      <c r="E1302" s="267"/>
      <c r="F1302" s="165">
        <v>13.7</v>
      </c>
      <c r="G1302" s="165">
        <v>13.7</v>
      </c>
      <c r="H1302" s="165">
        <v>13.7</v>
      </c>
      <c r="I1302" s="165">
        <v>13.7</v>
      </c>
      <c r="J1302" s="165">
        <v>13.7</v>
      </c>
      <c r="K1302" s="165">
        <v>13.7</v>
      </c>
      <c r="L1302" s="165">
        <v>13.7</v>
      </c>
      <c r="M1302" s="165">
        <v>13.7</v>
      </c>
      <c r="N1302" s="165">
        <v>13.7</v>
      </c>
      <c r="O1302" s="165">
        <v>13.7</v>
      </c>
      <c r="P1302" s="165">
        <v>13.7</v>
      </c>
      <c r="Q1302" s="165">
        <v>13.7</v>
      </c>
      <c r="R1302" s="165">
        <v>13.7</v>
      </c>
      <c r="S1302" s="165">
        <v>13.7</v>
      </c>
      <c r="T1302" s="165">
        <v>13.7</v>
      </c>
      <c r="U1302" s="165">
        <v>13.7</v>
      </c>
      <c r="V1302" s="165">
        <v>13.7</v>
      </c>
      <c r="W1302" s="165">
        <v>13.7</v>
      </c>
      <c r="X1302" s="165">
        <v>13.7</v>
      </c>
      <c r="Y1302" s="165">
        <v>13.7</v>
      </c>
      <c r="Z1302" s="165">
        <v>13.7</v>
      </c>
      <c r="AA1302" s="165">
        <v>13.7</v>
      </c>
      <c r="AB1302" s="165">
        <v>13.7</v>
      </c>
      <c r="AC1302" s="165">
        <v>13.7</v>
      </c>
      <c r="AD1302" s="165">
        <v>13.7</v>
      </c>
      <c r="AE1302" s="165">
        <v>13.7</v>
      </c>
      <c r="AF1302" s="165">
        <v>13.7</v>
      </c>
      <c r="AG1302" s="165">
        <v>13.7</v>
      </c>
      <c r="AH1302" s="165">
        <v>13.7</v>
      </c>
      <c r="AI1302" s="165">
        <v>13.7</v>
      </c>
      <c r="AJ1302" s="165">
        <v>13.7</v>
      </c>
      <c r="AK1302" s="165">
        <v>13.7</v>
      </c>
      <c r="AL1302" s="165">
        <v>13.7</v>
      </c>
      <c r="AM1302" s="383">
        <f t="shared" ref="AM1302:AM1310" si="288">AVERAGE(F1302:AL1302)</f>
        <v>13.699999999999992</v>
      </c>
    </row>
    <row r="1303" spans="1:39" x14ac:dyDescent="0.2">
      <c r="A1303" s="1"/>
      <c r="B1303" s="268" t="s">
        <v>662</v>
      </c>
      <c r="C1303" s="30" t="s">
        <v>63</v>
      </c>
      <c r="D1303" s="268" t="s">
        <v>398</v>
      </c>
      <c r="E1303" s="267"/>
      <c r="F1303" s="165">
        <v>49.4</v>
      </c>
      <c r="G1303" s="165">
        <v>49.4</v>
      </c>
      <c r="H1303" s="165">
        <v>49.4</v>
      </c>
      <c r="I1303" s="165">
        <v>49.4</v>
      </c>
      <c r="J1303" s="165">
        <v>49.4</v>
      </c>
      <c r="K1303" s="165">
        <v>49.4</v>
      </c>
      <c r="L1303" s="165">
        <v>49.4</v>
      </c>
      <c r="M1303" s="165">
        <v>49.4</v>
      </c>
      <c r="N1303" s="165">
        <v>49.4</v>
      </c>
      <c r="O1303" s="165">
        <v>49.4</v>
      </c>
      <c r="P1303" s="165">
        <v>49.4</v>
      </c>
      <c r="Q1303" s="165">
        <v>49.4</v>
      </c>
      <c r="R1303" s="165">
        <v>49.4</v>
      </c>
      <c r="S1303" s="165">
        <v>49.4</v>
      </c>
      <c r="T1303" s="165">
        <v>49.4</v>
      </c>
      <c r="U1303" s="165">
        <v>49.4</v>
      </c>
      <c r="V1303" s="165">
        <v>49.4</v>
      </c>
      <c r="W1303" s="165">
        <v>49.4</v>
      </c>
      <c r="X1303" s="165">
        <v>49.4</v>
      </c>
      <c r="Y1303" s="165">
        <v>49.4</v>
      </c>
      <c r="Z1303" s="165">
        <v>49.4</v>
      </c>
      <c r="AA1303" s="165">
        <v>49.4</v>
      </c>
      <c r="AB1303" s="165">
        <v>49.4</v>
      </c>
      <c r="AC1303" s="165">
        <v>49.4</v>
      </c>
      <c r="AD1303" s="165">
        <v>49.4</v>
      </c>
      <c r="AE1303" s="165">
        <v>49.4</v>
      </c>
      <c r="AF1303" s="165">
        <v>49.4</v>
      </c>
      <c r="AG1303" s="165">
        <v>49.4</v>
      </c>
      <c r="AH1303" s="165">
        <v>49.4</v>
      </c>
      <c r="AI1303" s="165">
        <v>49.4</v>
      </c>
      <c r="AJ1303" s="165">
        <v>49.4</v>
      </c>
      <c r="AK1303" s="165">
        <v>49.4</v>
      </c>
      <c r="AL1303" s="165">
        <v>49.4</v>
      </c>
      <c r="AM1303" s="383">
        <f t="shared" si="288"/>
        <v>49.40000000000002</v>
      </c>
    </row>
    <row r="1304" spans="1:39" x14ac:dyDescent="0.2">
      <c r="A1304" s="1"/>
      <c r="B1304" s="268" t="s">
        <v>663</v>
      </c>
      <c r="C1304" s="30" t="s">
        <v>63</v>
      </c>
      <c r="D1304" s="268" t="s">
        <v>398</v>
      </c>
      <c r="E1304" s="267"/>
      <c r="F1304" s="165">
        <v>66.7</v>
      </c>
      <c r="G1304" s="165">
        <v>66.7</v>
      </c>
      <c r="H1304" s="165">
        <v>66.7</v>
      </c>
      <c r="I1304" s="165">
        <v>66.7</v>
      </c>
      <c r="J1304" s="165">
        <v>66.7</v>
      </c>
      <c r="K1304" s="165">
        <v>66.7</v>
      </c>
      <c r="L1304" s="165">
        <v>66.7</v>
      </c>
      <c r="M1304" s="165">
        <v>66.7</v>
      </c>
      <c r="N1304" s="165">
        <v>66.7</v>
      </c>
      <c r="O1304" s="165">
        <v>66.7</v>
      </c>
      <c r="P1304" s="165">
        <v>66.7</v>
      </c>
      <c r="Q1304" s="165">
        <v>66.7</v>
      </c>
      <c r="R1304" s="165">
        <v>66.7</v>
      </c>
      <c r="S1304" s="165">
        <v>66.7</v>
      </c>
      <c r="T1304" s="165">
        <v>66.7</v>
      </c>
      <c r="U1304" s="165">
        <v>66.7</v>
      </c>
      <c r="V1304" s="165">
        <v>66.7</v>
      </c>
      <c r="W1304" s="165">
        <v>66.7</v>
      </c>
      <c r="X1304" s="165">
        <v>66.7</v>
      </c>
      <c r="Y1304" s="165">
        <v>66.7</v>
      </c>
      <c r="Z1304" s="165">
        <v>66.7</v>
      </c>
      <c r="AA1304" s="165">
        <v>66.7</v>
      </c>
      <c r="AB1304" s="165">
        <v>66.7</v>
      </c>
      <c r="AC1304" s="165">
        <v>66.7</v>
      </c>
      <c r="AD1304" s="165">
        <v>66.7</v>
      </c>
      <c r="AE1304" s="165">
        <v>66.7</v>
      </c>
      <c r="AF1304" s="165">
        <v>66.7</v>
      </c>
      <c r="AG1304" s="165">
        <v>66.7</v>
      </c>
      <c r="AH1304" s="165">
        <v>66.7</v>
      </c>
      <c r="AI1304" s="165">
        <v>66.7</v>
      </c>
      <c r="AJ1304" s="165">
        <v>66.7</v>
      </c>
      <c r="AK1304" s="165">
        <v>66.7</v>
      </c>
      <c r="AL1304" s="165">
        <v>66.7</v>
      </c>
      <c r="AM1304" s="383">
        <f t="shared" si="288"/>
        <v>66.700000000000017</v>
      </c>
    </row>
    <row r="1305" spans="1:39" ht="15" x14ac:dyDescent="0.25">
      <c r="A1305" s="69" t="s">
        <v>360</v>
      </c>
      <c r="B1305" s="268" t="s">
        <v>664</v>
      </c>
      <c r="C1305" s="30" t="s">
        <v>63</v>
      </c>
      <c r="D1305" s="268" t="s">
        <v>398</v>
      </c>
      <c r="E1305" s="267"/>
      <c r="F1305" s="165">
        <v>35.4</v>
      </c>
      <c r="G1305" s="165">
        <v>35.4</v>
      </c>
      <c r="H1305" s="165">
        <v>35.4</v>
      </c>
      <c r="I1305" s="165">
        <v>35.4</v>
      </c>
      <c r="J1305" s="165">
        <v>35.4</v>
      </c>
      <c r="K1305" s="165">
        <v>35.4</v>
      </c>
      <c r="L1305" s="165">
        <v>35.4</v>
      </c>
      <c r="M1305" s="165">
        <v>35.4</v>
      </c>
      <c r="N1305" s="165">
        <v>35.4</v>
      </c>
      <c r="O1305" s="165">
        <v>35.4</v>
      </c>
      <c r="P1305" s="165">
        <v>35.4</v>
      </c>
      <c r="Q1305" s="165">
        <v>35.4</v>
      </c>
      <c r="R1305" s="165">
        <v>35.4</v>
      </c>
      <c r="S1305" s="165">
        <v>35.4</v>
      </c>
      <c r="T1305" s="165">
        <v>35.4</v>
      </c>
      <c r="U1305" s="165">
        <v>35.4</v>
      </c>
      <c r="V1305" s="165">
        <v>35.4</v>
      </c>
      <c r="W1305" s="165">
        <v>35.4</v>
      </c>
      <c r="X1305" s="165">
        <v>35.4</v>
      </c>
      <c r="Y1305" s="165">
        <v>35.4</v>
      </c>
      <c r="Z1305" s="165">
        <v>35.4</v>
      </c>
      <c r="AA1305" s="165">
        <v>35.4</v>
      </c>
      <c r="AB1305" s="165">
        <v>35.4</v>
      </c>
      <c r="AC1305" s="165">
        <v>35.4</v>
      </c>
      <c r="AD1305" s="165">
        <v>35.4</v>
      </c>
      <c r="AE1305" s="165">
        <v>35.4</v>
      </c>
      <c r="AF1305" s="165">
        <v>35.4</v>
      </c>
      <c r="AG1305" s="165">
        <v>35.4</v>
      </c>
      <c r="AH1305" s="165">
        <v>35.4</v>
      </c>
      <c r="AI1305" s="165">
        <v>35.4</v>
      </c>
      <c r="AJ1305" s="165">
        <v>35.4</v>
      </c>
      <c r="AK1305" s="165">
        <v>35.4</v>
      </c>
      <c r="AL1305" s="165">
        <v>35.4</v>
      </c>
      <c r="AM1305" s="383">
        <f t="shared" si="288"/>
        <v>35.4</v>
      </c>
    </row>
    <row r="1306" spans="1:39" x14ac:dyDescent="0.2">
      <c r="A1306" s="1"/>
      <c r="B1306" s="268" t="s">
        <v>665</v>
      </c>
      <c r="C1306" s="30" t="s">
        <v>63</v>
      </c>
      <c r="D1306" s="268" t="s">
        <v>398</v>
      </c>
      <c r="E1306" s="267"/>
      <c r="F1306" s="165">
        <v>27</v>
      </c>
      <c r="G1306" s="165">
        <v>27</v>
      </c>
      <c r="H1306" s="165">
        <v>27</v>
      </c>
      <c r="I1306" s="165">
        <v>27</v>
      </c>
      <c r="J1306" s="165">
        <v>27</v>
      </c>
      <c r="K1306" s="165">
        <v>27</v>
      </c>
      <c r="L1306" s="165">
        <v>27</v>
      </c>
      <c r="M1306" s="165">
        <v>27</v>
      </c>
      <c r="N1306" s="165">
        <v>27</v>
      </c>
      <c r="O1306" s="165">
        <v>27</v>
      </c>
      <c r="P1306" s="165">
        <v>27</v>
      </c>
      <c r="Q1306" s="165">
        <v>27</v>
      </c>
      <c r="R1306" s="165">
        <v>27</v>
      </c>
      <c r="S1306" s="165">
        <v>27</v>
      </c>
      <c r="T1306" s="165">
        <v>27</v>
      </c>
      <c r="U1306" s="165">
        <v>27</v>
      </c>
      <c r="V1306" s="165">
        <v>27</v>
      </c>
      <c r="W1306" s="165">
        <v>27</v>
      </c>
      <c r="X1306" s="165">
        <v>27</v>
      </c>
      <c r="Y1306" s="165">
        <v>27</v>
      </c>
      <c r="Z1306" s="165">
        <v>27</v>
      </c>
      <c r="AA1306" s="165">
        <v>27</v>
      </c>
      <c r="AB1306" s="165">
        <v>27</v>
      </c>
      <c r="AC1306" s="165">
        <v>27</v>
      </c>
      <c r="AD1306" s="165">
        <v>27</v>
      </c>
      <c r="AE1306" s="165">
        <v>27</v>
      </c>
      <c r="AF1306" s="165">
        <v>27</v>
      </c>
      <c r="AG1306" s="165">
        <v>27</v>
      </c>
      <c r="AH1306" s="165">
        <v>27</v>
      </c>
      <c r="AI1306" s="165">
        <v>27</v>
      </c>
      <c r="AJ1306" s="165">
        <v>27</v>
      </c>
      <c r="AK1306" s="165">
        <v>27</v>
      </c>
      <c r="AL1306" s="165">
        <v>27</v>
      </c>
      <c r="AM1306" s="383">
        <f t="shared" si="288"/>
        <v>27</v>
      </c>
    </row>
    <row r="1307" spans="1:39" x14ac:dyDescent="0.2">
      <c r="A1307" s="1"/>
      <c r="B1307" s="268" t="s">
        <v>666</v>
      </c>
      <c r="C1307" s="30" t="s">
        <v>63</v>
      </c>
      <c r="D1307" s="268" t="s">
        <v>398</v>
      </c>
      <c r="E1307" s="267"/>
      <c r="F1307" s="165">
        <v>7.8</v>
      </c>
      <c r="G1307" s="165">
        <v>7.8</v>
      </c>
      <c r="H1307" s="165">
        <v>7.8</v>
      </c>
      <c r="I1307" s="165">
        <v>7.8</v>
      </c>
      <c r="J1307" s="165">
        <v>7.8</v>
      </c>
      <c r="K1307" s="165">
        <v>7.8</v>
      </c>
      <c r="L1307" s="165">
        <v>7.8</v>
      </c>
      <c r="M1307" s="165">
        <v>7.8</v>
      </c>
      <c r="N1307" s="165">
        <v>7.8</v>
      </c>
      <c r="O1307" s="165">
        <v>7.8</v>
      </c>
      <c r="P1307" s="165">
        <v>7.8</v>
      </c>
      <c r="Q1307" s="165">
        <v>7.8</v>
      </c>
      <c r="R1307" s="165">
        <v>7.8</v>
      </c>
      <c r="S1307" s="165">
        <v>7.8</v>
      </c>
      <c r="T1307" s="165">
        <v>7.8</v>
      </c>
      <c r="U1307" s="165">
        <v>7.8</v>
      </c>
      <c r="V1307" s="165">
        <v>7.8</v>
      </c>
      <c r="W1307" s="165">
        <v>7.8</v>
      </c>
      <c r="X1307" s="165">
        <v>7.8</v>
      </c>
      <c r="Y1307" s="165">
        <v>7.8</v>
      </c>
      <c r="Z1307" s="165">
        <v>7.8</v>
      </c>
      <c r="AA1307" s="165">
        <v>7.8</v>
      </c>
      <c r="AB1307" s="165">
        <v>7.8</v>
      </c>
      <c r="AC1307" s="165">
        <v>7.8</v>
      </c>
      <c r="AD1307" s="165">
        <v>7.8</v>
      </c>
      <c r="AE1307" s="165">
        <v>7.8</v>
      </c>
      <c r="AF1307" s="165">
        <v>7.8</v>
      </c>
      <c r="AG1307" s="165">
        <v>7.8</v>
      </c>
      <c r="AH1307" s="165">
        <v>7.8</v>
      </c>
      <c r="AI1307" s="165">
        <v>7.8</v>
      </c>
      <c r="AJ1307" s="165">
        <v>7.8</v>
      </c>
      <c r="AK1307" s="165">
        <v>7.8</v>
      </c>
      <c r="AL1307" s="165">
        <v>7.8</v>
      </c>
      <c r="AM1307" s="383">
        <f t="shared" si="288"/>
        <v>7.8000000000000043</v>
      </c>
    </row>
    <row r="1308" spans="1:39" x14ac:dyDescent="0.2">
      <c r="A1308" s="1"/>
      <c r="B1308" s="268" t="s">
        <v>667</v>
      </c>
      <c r="C1308" s="30" t="s">
        <v>63</v>
      </c>
      <c r="D1308" s="268" t="s">
        <v>398</v>
      </c>
      <c r="E1308" s="267"/>
      <c r="F1308" s="165">
        <v>31</v>
      </c>
      <c r="G1308" s="165">
        <v>31</v>
      </c>
      <c r="H1308" s="165">
        <v>31</v>
      </c>
      <c r="I1308" s="165">
        <v>31</v>
      </c>
      <c r="J1308" s="165">
        <v>31</v>
      </c>
      <c r="K1308" s="165">
        <v>31</v>
      </c>
      <c r="L1308" s="165">
        <v>31</v>
      </c>
      <c r="M1308" s="165">
        <v>31</v>
      </c>
      <c r="N1308" s="165">
        <v>31</v>
      </c>
      <c r="O1308" s="165">
        <v>31</v>
      </c>
      <c r="P1308" s="165">
        <v>31</v>
      </c>
      <c r="Q1308" s="165">
        <v>31</v>
      </c>
      <c r="R1308" s="165">
        <v>31</v>
      </c>
      <c r="S1308" s="165">
        <v>31</v>
      </c>
      <c r="T1308" s="165">
        <v>31</v>
      </c>
      <c r="U1308" s="165">
        <v>31</v>
      </c>
      <c r="V1308" s="165">
        <v>31</v>
      </c>
      <c r="W1308" s="165">
        <v>31</v>
      </c>
      <c r="X1308" s="165">
        <v>31</v>
      </c>
      <c r="Y1308" s="165">
        <v>31</v>
      </c>
      <c r="Z1308" s="165">
        <v>31</v>
      </c>
      <c r="AA1308" s="165">
        <v>31</v>
      </c>
      <c r="AB1308" s="165">
        <v>31</v>
      </c>
      <c r="AC1308" s="165">
        <v>31</v>
      </c>
      <c r="AD1308" s="165">
        <v>31</v>
      </c>
      <c r="AE1308" s="165">
        <v>31</v>
      </c>
      <c r="AF1308" s="165">
        <v>31</v>
      </c>
      <c r="AG1308" s="165">
        <v>31</v>
      </c>
      <c r="AH1308" s="165">
        <v>31</v>
      </c>
      <c r="AI1308" s="165">
        <v>31</v>
      </c>
      <c r="AJ1308" s="165">
        <v>31</v>
      </c>
      <c r="AK1308" s="165">
        <v>31</v>
      </c>
      <c r="AL1308" s="165">
        <v>31</v>
      </c>
      <c r="AM1308" s="383">
        <f t="shared" si="288"/>
        <v>31</v>
      </c>
    </row>
    <row r="1309" spans="1:39" x14ac:dyDescent="0.2">
      <c r="A1309" s="1"/>
      <c r="B1309" s="268" t="s">
        <v>668</v>
      </c>
      <c r="C1309" s="30" t="s">
        <v>63</v>
      </c>
      <c r="D1309" s="268" t="s">
        <v>398</v>
      </c>
      <c r="E1309" s="267"/>
      <c r="F1309" s="165">
        <v>14.4</v>
      </c>
      <c r="G1309" s="165">
        <v>14.4</v>
      </c>
      <c r="H1309" s="165">
        <v>14.4</v>
      </c>
      <c r="I1309" s="165">
        <v>14.4</v>
      </c>
      <c r="J1309" s="165">
        <v>14.4</v>
      </c>
      <c r="K1309" s="165">
        <v>14.4</v>
      </c>
      <c r="L1309" s="165">
        <v>14.4</v>
      </c>
      <c r="M1309" s="165">
        <v>14.4</v>
      </c>
      <c r="N1309" s="165">
        <v>14.4</v>
      </c>
      <c r="O1309" s="165">
        <v>14.4</v>
      </c>
      <c r="P1309" s="165">
        <v>14.4</v>
      </c>
      <c r="Q1309" s="165">
        <v>14.4</v>
      </c>
      <c r="R1309" s="165">
        <v>14.4</v>
      </c>
      <c r="S1309" s="165">
        <v>14.4</v>
      </c>
      <c r="T1309" s="165">
        <v>14.4</v>
      </c>
      <c r="U1309" s="165">
        <v>14.4</v>
      </c>
      <c r="V1309" s="165">
        <v>14.4</v>
      </c>
      <c r="W1309" s="165">
        <v>14.4</v>
      </c>
      <c r="X1309" s="165">
        <v>14.4</v>
      </c>
      <c r="Y1309" s="165">
        <v>14.4</v>
      </c>
      <c r="Z1309" s="165">
        <v>14.4</v>
      </c>
      <c r="AA1309" s="165">
        <v>14.4</v>
      </c>
      <c r="AB1309" s="165">
        <v>14.4</v>
      </c>
      <c r="AC1309" s="165">
        <v>14.4</v>
      </c>
      <c r="AD1309" s="165">
        <v>14.4</v>
      </c>
      <c r="AE1309" s="165">
        <v>14.4</v>
      </c>
      <c r="AF1309" s="165">
        <v>14.4</v>
      </c>
      <c r="AG1309" s="165">
        <v>14.4</v>
      </c>
      <c r="AH1309" s="165">
        <v>14.4</v>
      </c>
      <c r="AI1309" s="165">
        <v>14.4</v>
      </c>
      <c r="AJ1309" s="165">
        <v>14.4</v>
      </c>
      <c r="AK1309" s="165">
        <v>14.4</v>
      </c>
      <c r="AL1309" s="165">
        <v>14.4</v>
      </c>
      <c r="AM1309" s="383">
        <f t="shared" si="288"/>
        <v>14.399999999999991</v>
      </c>
    </row>
    <row r="1310" spans="1:39" x14ac:dyDescent="0.2">
      <c r="A1310" s="1"/>
      <c r="B1310" s="268" t="s">
        <v>669</v>
      </c>
      <c r="C1310" s="30" t="s">
        <v>63</v>
      </c>
      <c r="D1310" s="268" t="s">
        <v>398</v>
      </c>
      <c r="E1310" s="267"/>
      <c r="F1310" s="165">
        <v>66.7</v>
      </c>
      <c r="G1310" s="165">
        <v>66.7</v>
      </c>
      <c r="H1310" s="165">
        <v>66.7</v>
      </c>
      <c r="I1310" s="165">
        <v>66.7</v>
      </c>
      <c r="J1310" s="165">
        <v>66.7</v>
      </c>
      <c r="K1310" s="165">
        <v>66.7</v>
      </c>
      <c r="L1310" s="165">
        <v>66.7</v>
      </c>
      <c r="M1310" s="165">
        <v>66.7</v>
      </c>
      <c r="N1310" s="165">
        <v>66.7</v>
      </c>
      <c r="O1310" s="165">
        <v>66.7</v>
      </c>
      <c r="P1310" s="165">
        <v>66.7</v>
      </c>
      <c r="Q1310" s="165">
        <v>66.7</v>
      </c>
      <c r="R1310" s="165">
        <v>66.7</v>
      </c>
      <c r="S1310" s="165">
        <v>66.7</v>
      </c>
      <c r="T1310" s="165">
        <v>66.7</v>
      </c>
      <c r="U1310" s="165">
        <v>66.7</v>
      </c>
      <c r="V1310" s="165">
        <v>66.7</v>
      </c>
      <c r="W1310" s="165">
        <v>66.7</v>
      </c>
      <c r="X1310" s="165">
        <v>66.7</v>
      </c>
      <c r="Y1310" s="165">
        <v>66.7</v>
      </c>
      <c r="Z1310" s="165">
        <v>66.7</v>
      </c>
      <c r="AA1310" s="165">
        <v>66.7</v>
      </c>
      <c r="AB1310" s="165">
        <v>66.7</v>
      </c>
      <c r="AC1310" s="165">
        <v>66.7</v>
      </c>
      <c r="AD1310" s="165">
        <v>66.7</v>
      </c>
      <c r="AE1310" s="165">
        <v>66.7</v>
      </c>
      <c r="AF1310" s="165">
        <v>66.7</v>
      </c>
      <c r="AG1310" s="165">
        <v>66.7</v>
      </c>
      <c r="AH1310" s="165">
        <v>66.7</v>
      </c>
      <c r="AI1310" s="165">
        <v>66.7</v>
      </c>
      <c r="AJ1310" s="165">
        <v>66.7</v>
      </c>
      <c r="AK1310" s="165">
        <v>66.7</v>
      </c>
      <c r="AL1310" s="165">
        <v>66.7</v>
      </c>
      <c r="AM1310" s="383">
        <f t="shared" si="288"/>
        <v>66.700000000000017</v>
      </c>
    </row>
    <row r="1311" spans="1:39" ht="15" x14ac:dyDescent="0.25">
      <c r="A1311" s="205"/>
      <c r="B1311" s="164" t="s">
        <v>670</v>
      </c>
      <c r="C1311" s="211"/>
      <c r="D1311" s="165"/>
      <c r="E1311" s="177"/>
      <c r="F1311" s="177">
        <f t="shared" ref="F1311:AM1311" si="289">F1302/100*F1004+ (F1304/100*F1006)/2+(F1309/100*F1011)/2</f>
        <v>13.748076923076921</v>
      </c>
      <c r="G1311" s="177">
        <f t="shared" si="289"/>
        <v>13.748076923076921</v>
      </c>
      <c r="H1311" s="177">
        <f t="shared" si="289"/>
        <v>13.748076923076921</v>
      </c>
      <c r="I1311" s="177">
        <f t="shared" si="289"/>
        <v>13.748076923076921</v>
      </c>
      <c r="J1311" s="177">
        <f t="shared" si="289"/>
        <v>13.748076923076921</v>
      </c>
      <c r="K1311" s="177">
        <f t="shared" si="289"/>
        <v>13.748076923076921</v>
      </c>
      <c r="L1311" s="177">
        <f t="shared" si="289"/>
        <v>13.748076923076921</v>
      </c>
      <c r="M1311" s="177">
        <f t="shared" si="289"/>
        <v>13.748076923076921</v>
      </c>
      <c r="N1311" s="177">
        <f t="shared" si="289"/>
        <v>13.748076923076921</v>
      </c>
      <c r="O1311" s="177">
        <f t="shared" si="289"/>
        <v>13.748076923076921</v>
      </c>
      <c r="P1311" s="177">
        <f t="shared" si="289"/>
        <v>13.748076923076921</v>
      </c>
      <c r="Q1311" s="177">
        <f t="shared" si="289"/>
        <v>13.748076923076921</v>
      </c>
      <c r="R1311" s="177">
        <f t="shared" si="289"/>
        <v>13.748076923076921</v>
      </c>
      <c r="S1311" s="177">
        <f t="shared" si="289"/>
        <v>13.748076923076921</v>
      </c>
      <c r="T1311" s="177">
        <f t="shared" si="289"/>
        <v>13.748076923076921</v>
      </c>
      <c r="U1311" s="177">
        <f t="shared" si="289"/>
        <v>13.748076923076921</v>
      </c>
      <c r="V1311" s="177">
        <f t="shared" si="289"/>
        <v>13.748076923076921</v>
      </c>
      <c r="W1311" s="177">
        <f t="shared" si="289"/>
        <v>13.748076923076921</v>
      </c>
      <c r="X1311" s="177">
        <f t="shared" si="289"/>
        <v>13.748076923076921</v>
      </c>
      <c r="Y1311" s="177">
        <f t="shared" si="289"/>
        <v>13.748076923076921</v>
      </c>
      <c r="Z1311" s="177">
        <f t="shared" si="289"/>
        <v>13.748076923076921</v>
      </c>
      <c r="AA1311" s="177">
        <f t="shared" si="289"/>
        <v>13.748076923076921</v>
      </c>
      <c r="AB1311" s="177">
        <f t="shared" si="289"/>
        <v>13.748076923076921</v>
      </c>
      <c r="AC1311" s="177">
        <f t="shared" si="289"/>
        <v>13.748076923076921</v>
      </c>
      <c r="AD1311" s="177">
        <f t="shared" si="289"/>
        <v>13.748076923076921</v>
      </c>
      <c r="AE1311" s="177">
        <f t="shared" si="289"/>
        <v>13.748076923076921</v>
      </c>
      <c r="AF1311" s="177">
        <f t="shared" si="289"/>
        <v>13.748076923076921</v>
      </c>
      <c r="AG1311" s="177">
        <f t="shared" si="289"/>
        <v>13.748076923076921</v>
      </c>
      <c r="AH1311" s="177">
        <f t="shared" si="289"/>
        <v>13.748076923076921</v>
      </c>
      <c r="AI1311" s="177">
        <f t="shared" si="289"/>
        <v>13.748076923076921</v>
      </c>
      <c r="AJ1311" s="177">
        <f t="shared" si="289"/>
        <v>13.748076923076921</v>
      </c>
      <c r="AK1311" s="177">
        <f t="shared" si="289"/>
        <v>13.748076923076921</v>
      </c>
      <c r="AL1311" s="177">
        <f t="shared" si="289"/>
        <v>13.748076923076921</v>
      </c>
      <c r="AM1311" s="133">
        <f t="shared" si="289"/>
        <v>13.748076923076924</v>
      </c>
    </row>
    <row r="1312" spans="1:39" ht="15" x14ac:dyDescent="0.25">
      <c r="A1312" s="205"/>
      <c r="B1312" s="164" t="s">
        <v>671</v>
      </c>
      <c r="C1312" s="211"/>
      <c r="D1312" s="165"/>
      <c r="E1312" s="177"/>
      <c r="F1312" s="177">
        <f t="shared" ref="F1312:AM1312" si="290">(F1302/100*F1004+F1303/100*F1005+F1304/100*F1006+F1305/100*F1007+F1306/100*F1008+F1307/100*F1009+F1308/100*F1010+F1309/100*F1011+F1310/100*F1012)-F1311</f>
        <v>33.238461538461543</v>
      </c>
      <c r="G1312" s="177">
        <f t="shared" si="290"/>
        <v>33.238461538461543</v>
      </c>
      <c r="H1312" s="177">
        <f t="shared" si="290"/>
        <v>33.238461538461543</v>
      </c>
      <c r="I1312" s="177">
        <f t="shared" si="290"/>
        <v>33.238461538461543</v>
      </c>
      <c r="J1312" s="177">
        <f t="shared" si="290"/>
        <v>33.238461538461543</v>
      </c>
      <c r="K1312" s="177">
        <f t="shared" si="290"/>
        <v>33.238461538461543</v>
      </c>
      <c r="L1312" s="177">
        <f t="shared" si="290"/>
        <v>33.238461538461543</v>
      </c>
      <c r="M1312" s="177">
        <f t="shared" si="290"/>
        <v>33.238461538461543</v>
      </c>
      <c r="N1312" s="177">
        <f t="shared" si="290"/>
        <v>33.238461538461543</v>
      </c>
      <c r="O1312" s="177">
        <f t="shared" si="290"/>
        <v>33.238461538461543</v>
      </c>
      <c r="P1312" s="177">
        <f t="shared" si="290"/>
        <v>33.238461538461543</v>
      </c>
      <c r="Q1312" s="177">
        <f t="shared" si="290"/>
        <v>33.238461538461543</v>
      </c>
      <c r="R1312" s="177">
        <f t="shared" si="290"/>
        <v>33.238461538461543</v>
      </c>
      <c r="S1312" s="177">
        <f t="shared" si="290"/>
        <v>33.238461538461543</v>
      </c>
      <c r="T1312" s="177">
        <f t="shared" si="290"/>
        <v>33.238461538461543</v>
      </c>
      <c r="U1312" s="177">
        <f t="shared" si="290"/>
        <v>33.238461538461543</v>
      </c>
      <c r="V1312" s="177">
        <f t="shared" si="290"/>
        <v>33.238461538461543</v>
      </c>
      <c r="W1312" s="177">
        <f t="shared" si="290"/>
        <v>33.238461538461543</v>
      </c>
      <c r="X1312" s="177">
        <f t="shared" si="290"/>
        <v>33.238461538461543</v>
      </c>
      <c r="Y1312" s="177">
        <f t="shared" si="290"/>
        <v>33.238461538461543</v>
      </c>
      <c r="Z1312" s="177">
        <f t="shared" si="290"/>
        <v>33.238461538461543</v>
      </c>
      <c r="AA1312" s="177">
        <f t="shared" si="290"/>
        <v>33.238461538461543</v>
      </c>
      <c r="AB1312" s="177">
        <f t="shared" si="290"/>
        <v>33.238461538461543</v>
      </c>
      <c r="AC1312" s="177">
        <f t="shared" si="290"/>
        <v>33.238461538461543</v>
      </c>
      <c r="AD1312" s="177">
        <f t="shared" si="290"/>
        <v>33.238461538461543</v>
      </c>
      <c r="AE1312" s="177">
        <f t="shared" si="290"/>
        <v>33.238461538461543</v>
      </c>
      <c r="AF1312" s="177">
        <f t="shared" si="290"/>
        <v>33.238461538461543</v>
      </c>
      <c r="AG1312" s="177">
        <f t="shared" si="290"/>
        <v>33.238461538461543</v>
      </c>
      <c r="AH1312" s="177">
        <f t="shared" si="290"/>
        <v>33.238461538461543</v>
      </c>
      <c r="AI1312" s="177">
        <f t="shared" si="290"/>
        <v>33.238461538461543</v>
      </c>
      <c r="AJ1312" s="177">
        <f t="shared" si="290"/>
        <v>33.238461538461543</v>
      </c>
      <c r="AK1312" s="177">
        <f t="shared" si="290"/>
        <v>33.238461538461543</v>
      </c>
      <c r="AL1312" s="177">
        <f t="shared" si="290"/>
        <v>33.238461538461543</v>
      </c>
      <c r="AM1312" s="133">
        <f t="shared" si="290"/>
        <v>33.238461538461536</v>
      </c>
    </row>
    <row r="1313" spans="1:39" ht="15" x14ac:dyDescent="0.25">
      <c r="A1313" s="205"/>
      <c r="B1313" s="164"/>
      <c r="C1313" s="211"/>
      <c r="D1313" s="165"/>
      <c r="E1313" s="177"/>
      <c r="F1313" s="177"/>
      <c r="G1313" s="177"/>
      <c r="H1313" s="177"/>
      <c r="I1313" s="177"/>
      <c r="J1313" s="177"/>
      <c r="K1313" s="177"/>
      <c r="L1313" s="177"/>
      <c r="M1313" s="177"/>
      <c r="N1313" s="177"/>
      <c r="O1313" s="177"/>
      <c r="P1313" s="177"/>
      <c r="Q1313" s="177"/>
      <c r="R1313" s="177"/>
      <c r="S1313" s="177"/>
      <c r="T1313" s="177"/>
      <c r="U1313" s="177"/>
      <c r="V1313" s="177"/>
      <c r="W1313" s="177"/>
      <c r="X1313" s="177"/>
      <c r="Y1313" s="177"/>
      <c r="Z1313" s="177"/>
      <c r="AA1313" s="177"/>
      <c r="AB1313" s="177"/>
      <c r="AC1313" s="177"/>
      <c r="AD1313" s="177"/>
      <c r="AE1313" s="177"/>
      <c r="AF1313" s="177"/>
      <c r="AG1313" s="177"/>
      <c r="AH1313" s="177"/>
      <c r="AI1313" s="177"/>
      <c r="AJ1313" s="177"/>
      <c r="AK1313" s="177"/>
      <c r="AL1313" s="177"/>
      <c r="AM1313" s="383"/>
    </row>
    <row r="1314" spans="1:39" ht="15" x14ac:dyDescent="0.25">
      <c r="A1314" s="206"/>
      <c r="B1314" s="168" t="s">
        <v>672</v>
      </c>
      <c r="C1314" s="212" t="s">
        <v>176</v>
      </c>
      <c r="D1314" s="168"/>
      <c r="E1314" s="146"/>
      <c r="F1314" s="146">
        <f t="shared" ref="F1314:AL1314" si="291">(F1260/100)*F890+(F1272/100)*(F891+F892)+(F1284/100)*F893+(F1299/100)*F894</f>
        <v>0</v>
      </c>
      <c r="G1314" s="146">
        <f t="shared" si="291"/>
        <v>0</v>
      </c>
      <c r="H1314" s="146">
        <f t="shared" si="291"/>
        <v>0</v>
      </c>
      <c r="I1314" s="146">
        <f t="shared" si="291"/>
        <v>0</v>
      </c>
      <c r="J1314" s="146">
        <f t="shared" si="291"/>
        <v>34.818677120600682</v>
      </c>
      <c r="K1314" s="146">
        <f t="shared" si="291"/>
        <v>18.265017911852823</v>
      </c>
      <c r="L1314" s="146">
        <f t="shared" si="291"/>
        <v>17.665558916744526</v>
      </c>
      <c r="M1314" s="146">
        <f t="shared" si="291"/>
        <v>0</v>
      </c>
      <c r="N1314" s="146">
        <f t="shared" si="291"/>
        <v>0</v>
      </c>
      <c r="O1314" s="146">
        <f t="shared" si="291"/>
        <v>0</v>
      </c>
      <c r="P1314" s="146">
        <f t="shared" si="291"/>
        <v>53.541186533017438</v>
      </c>
      <c r="Q1314" s="146">
        <f t="shared" si="291"/>
        <v>0</v>
      </c>
      <c r="R1314" s="146">
        <f t="shared" si="291"/>
        <v>116.90165111579483</v>
      </c>
      <c r="S1314" s="146">
        <f t="shared" si="291"/>
        <v>76.094055516111922</v>
      </c>
      <c r="T1314" s="146">
        <f t="shared" si="291"/>
        <v>127.88031797326141</v>
      </c>
      <c r="U1314" s="146">
        <f t="shared" si="291"/>
        <v>0</v>
      </c>
      <c r="V1314" s="146">
        <f t="shared" si="291"/>
        <v>86.385570966313026</v>
      </c>
      <c r="W1314" s="146">
        <f t="shared" si="291"/>
        <v>10.714646086262</v>
      </c>
      <c r="X1314" s="146">
        <f t="shared" si="291"/>
        <v>8.2590254062200312</v>
      </c>
      <c r="Y1314" s="146">
        <f t="shared" si="291"/>
        <v>14.351100082765008</v>
      </c>
      <c r="Z1314" s="146">
        <f t="shared" si="291"/>
        <v>12.509894962201642</v>
      </c>
      <c r="AA1314" s="146">
        <f t="shared" si="291"/>
        <v>23.84050032652711</v>
      </c>
      <c r="AB1314" s="146">
        <f t="shared" si="291"/>
        <v>22.196023388893206</v>
      </c>
      <c r="AC1314" s="146">
        <f t="shared" si="291"/>
        <v>78.48813543504383</v>
      </c>
      <c r="AD1314" s="146">
        <f t="shared" si="291"/>
        <v>0</v>
      </c>
      <c r="AE1314" s="146">
        <f t="shared" si="291"/>
        <v>20.841249317432577</v>
      </c>
      <c r="AF1314" s="146">
        <f t="shared" si="291"/>
        <v>0</v>
      </c>
      <c r="AG1314" s="146">
        <f t="shared" si="291"/>
        <v>28.881648105181306</v>
      </c>
      <c r="AH1314" s="146">
        <f t="shared" si="291"/>
        <v>10.518057002197882</v>
      </c>
      <c r="AI1314" s="146">
        <f t="shared" si="291"/>
        <v>0</v>
      </c>
      <c r="AJ1314" s="146">
        <f t="shared" si="291"/>
        <v>0</v>
      </c>
      <c r="AK1314" s="146">
        <f t="shared" si="291"/>
        <v>0</v>
      </c>
      <c r="AL1314" s="146">
        <f t="shared" si="291"/>
        <v>0</v>
      </c>
      <c r="AM1314" s="379">
        <f>SUM(F1314:AL1314)</f>
        <v>762.1523161664212</v>
      </c>
    </row>
    <row r="1315" spans="1:39" ht="15" x14ac:dyDescent="0.25">
      <c r="A1315" s="206"/>
      <c r="B1315" s="168" t="s">
        <v>465</v>
      </c>
      <c r="C1315" s="212" t="s">
        <v>176</v>
      </c>
      <c r="D1315" s="168"/>
      <c r="E1315" s="146"/>
      <c r="F1315" s="146">
        <f t="shared" ref="F1315:AL1315" si="292">(F1296/100)*F896+(F1297/100)*F897+(F1298/100)*F898</f>
        <v>0</v>
      </c>
      <c r="G1315" s="146">
        <f t="shared" si="292"/>
        <v>0</v>
      </c>
      <c r="H1315" s="146">
        <f t="shared" si="292"/>
        <v>0</v>
      </c>
      <c r="I1315" s="146">
        <f t="shared" si="292"/>
        <v>0</v>
      </c>
      <c r="J1315" s="146">
        <f t="shared" si="292"/>
        <v>160.62359782292421</v>
      </c>
      <c r="K1315" s="146">
        <f t="shared" si="292"/>
        <v>75.87577621050194</v>
      </c>
      <c r="L1315" s="146">
        <f t="shared" si="292"/>
        <v>109.77380280372819</v>
      </c>
      <c r="M1315" s="146">
        <f t="shared" si="292"/>
        <v>0</v>
      </c>
      <c r="N1315" s="146">
        <f t="shared" si="292"/>
        <v>0</v>
      </c>
      <c r="O1315" s="146">
        <f t="shared" si="292"/>
        <v>0</v>
      </c>
      <c r="P1315" s="146">
        <f t="shared" si="292"/>
        <v>260.69970355937761</v>
      </c>
      <c r="Q1315" s="146">
        <f t="shared" si="292"/>
        <v>0</v>
      </c>
      <c r="R1315" s="146">
        <f t="shared" si="292"/>
        <v>387.04832215742562</v>
      </c>
      <c r="S1315" s="146">
        <f t="shared" si="292"/>
        <v>144.47787978817092</v>
      </c>
      <c r="T1315" s="146">
        <f t="shared" si="292"/>
        <v>352.78919559163796</v>
      </c>
      <c r="U1315" s="146">
        <f t="shared" si="292"/>
        <v>0</v>
      </c>
      <c r="V1315" s="146">
        <f t="shared" si="292"/>
        <v>190.4360225330951</v>
      </c>
      <c r="W1315" s="146">
        <f t="shared" si="292"/>
        <v>125.50899907649915</v>
      </c>
      <c r="X1315" s="146">
        <f t="shared" si="292"/>
        <v>61.009432269867474</v>
      </c>
      <c r="Y1315" s="146">
        <f t="shared" si="292"/>
        <v>72.581568256212776</v>
      </c>
      <c r="Z1315" s="146">
        <f t="shared" si="292"/>
        <v>20.668674358522804</v>
      </c>
      <c r="AA1315" s="146">
        <f t="shared" si="292"/>
        <v>70.451126378225283</v>
      </c>
      <c r="AB1315" s="146">
        <f t="shared" si="292"/>
        <v>55.623884326498057</v>
      </c>
      <c r="AC1315" s="146">
        <f t="shared" si="292"/>
        <v>172.19920451890869</v>
      </c>
      <c r="AD1315" s="146">
        <f t="shared" si="292"/>
        <v>0</v>
      </c>
      <c r="AE1315" s="146">
        <f t="shared" si="292"/>
        <v>50.749594900275689</v>
      </c>
      <c r="AF1315" s="146">
        <f t="shared" si="292"/>
        <v>0</v>
      </c>
      <c r="AG1315" s="146">
        <f t="shared" si="292"/>
        <v>47.489301737769544</v>
      </c>
      <c r="AH1315" s="146">
        <f t="shared" si="292"/>
        <v>45.665395504456441</v>
      </c>
      <c r="AI1315" s="146">
        <f t="shared" si="292"/>
        <v>0</v>
      </c>
      <c r="AJ1315" s="146">
        <f t="shared" si="292"/>
        <v>0</v>
      </c>
      <c r="AK1315" s="146">
        <f t="shared" si="292"/>
        <v>0</v>
      </c>
      <c r="AL1315" s="146">
        <f t="shared" si="292"/>
        <v>0</v>
      </c>
      <c r="AM1315" s="379">
        <f>SUM(F1315:AL1315)</f>
        <v>2403.671481794097</v>
      </c>
    </row>
    <row r="1316" spans="1:39" ht="15" x14ac:dyDescent="0.25">
      <c r="A1316" s="206"/>
      <c r="B1316" s="168" t="s">
        <v>673</v>
      </c>
      <c r="C1316" s="212" t="s">
        <v>176</v>
      </c>
      <c r="D1316" s="168"/>
      <c r="E1316" s="146"/>
      <c r="F1316" s="146">
        <f t="shared" ref="F1316:AL1316" si="293">(F1261/100)*F890+(F1273/100)*(F891+F892)+(F1285/100)*F893+(F1300/100)*F894</f>
        <v>0</v>
      </c>
      <c r="G1316" s="146">
        <f t="shared" si="293"/>
        <v>0</v>
      </c>
      <c r="H1316" s="146">
        <f t="shared" si="293"/>
        <v>0</v>
      </c>
      <c r="I1316" s="146">
        <f t="shared" si="293"/>
        <v>0</v>
      </c>
      <c r="J1316" s="146">
        <f t="shared" si="293"/>
        <v>84.887427009566892</v>
      </c>
      <c r="K1316" s="146">
        <f t="shared" si="293"/>
        <v>44.590596564439402</v>
      </c>
      <c r="L1316" s="146">
        <f t="shared" si="293"/>
        <v>42.116353420508823</v>
      </c>
      <c r="M1316" s="146">
        <f t="shared" si="293"/>
        <v>0</v>
      </c>
      <c r="N1316" s="146">
        <f t="shared" si="293"/>
        <v>0</v>
      </c>
      <c r="O1316" s="146">
        <f t="shared" si="293"/>
        <v>0</v>
      </c>
      <c r="P1316" s="146">
        <f t="shared" si="293"/>
        <v>130.22075503936483</v>
      </c>
      <c r="Q1316" s="146">
        <f t="shared" si="293"/>
        <v>0</v>
      </c>
      <c r="R1316" s="146">
        <f t="shared" si="293"/>
        <v>273.9231530235906</v>
      </c>
      <c r="S1316" s="146">
        <f t="shared" si="293"/>
        <v>188.55884574564024</v>
      </c>
      <c r="T1316" s="146">
        <f t="shared" si="293"/>
        <v>314.96300203279418</v>
      </c>
      <c r="U1316" s="146">
        <f t="shared" si="293"/>
        <v>0</v>
      </c>
      <c r="V1316" s="146">
        <f t="shared" si="293"/>
        <v>211.35699282636122</v>
      </c>
      <c r="W1316" s="146">
        <f t="shared" si="293"/>
        <v>25.87664867757902</v>
      </c>
      <c r="X1316" s="146">
        <f t="shared" si="293"/>
        <v>20.537380284530798</v>
      </c>
      <c r="Y1316" s="146">
        <f t="shared" si="293"/>
        <v>34.675093771718437</v>
      </c>
      <c r="Z1316" s="146">
        <f t="shared" si="293"/>
        <v>30.258671977615222</v>
      </c>
      <c r="AA1316" s="146">
        <f t="shared" si="293"/>
        <v>58.510994286579489</v>
      </c>
      <c r="AB1316" s="146">
        <f t="shared" si="293"/>
        <v>53.591824499401476</v>
      </c>
      <c r="AC1316" s="146">
        <f t="shared" si="293"/>
        <v>193.77334588067004</v>
      </c>
      <c r="AD1316" s="146">
        <f t="shared" si="293"/>
        <v>0</v>
      </c>
      <c r="AE1316" s="146">
        <f t="shared" si="293"/>
        <v>49.689056557100123</v>
      </c>
      <c r="AF1316" s="146">
        <f t="shared" si="293"/>
        <v>0</v>
      </c>
      <c r="AG1316" s="146">
        <f t="shared" si="293"/>
        <v>71.247045444720072</v>
      </c>
      <c r="AH1316" s="146">
        <f t="shared" si="293"/>
        <v>25.428601334230642</v>
      </c>
      <c r="AI1316" s="146">
        <f t="shared" si="293"/>
        <v>0</v>
      </c>
      <c r="AJ1316" s="146">
        <f t="shared" si="293"/>
        <v>0</v>
      </c>
      <c r="AK1316" s="146">
        <f t="shared" si="293"/>
        <v>0</v>
      </c>
      <c r="AL1316" s="146">
        <f t="shared" si="293"/>
        <v>0</v>
      </c>
      <c r="AM1316" s="379">
        <f>SUM(F1316:AL1316)</f>
        <v>1854.2057883764116</v>
      </c>
    </row>
    <row r="1317" spans="1:39" ht="15" x14ac:dyDescent="0.25">
      <c r="A1317" s="206"/>
      <c r="B1317" s="169" t="s">
        <v>674</v>
      </c>
      <c r="C1317" s="212" t="s">
        <v>176</v>
      </c>
      <c r="D1317" s="169"/>
      <c r="E1317" s="142"/>
      <c r="F1317" s="142">
        <f t="shared" ref="F1317:AL1317" si="294">SUM(F1314:F1315)</f>
        <v>0</v>
      </c>
      <c r="G1317" s="142">
        <f t="shared" si="294"/>
        <v>0</v>
      </c>
      <c r="H1317" s="142">
        <f t="shared" si="294"/>
        <v>0</v>
      </c>
      <c r="I1317" s="142">
        <f t="shared" si="294"/>
        <v>0</v>
      </c>
      <c r="J1317" s="142">
        <f t="shared" si="294"/>
        <v>195.44227494352489</v>
      </c>
      <c r="K1317" s="142">
        <f t="shared" si="294"/>
        <v>94.140794122354762</v>
      </c>
      <c r="L1317" s="142">
        <f t="shared" si="294"/>
        <v>127.43936172047272</v>
      </c>
      <c r="M1317" s="142">
        <f t="shared" si="294"/>
        <v>0</v>
      </c>
      <c r="N1317" s="142">
        <f t="shared" si="294"/>
        <v>0</v>
      </c>
      <c r="O1317" s="142">
        <f t="shared" si="294"/>
        <v>0</v>
      </c>
      <c r="P1317" s="142">
        <f t="shared" si="294"/>
        <v>314.24089009239503</v>
      </c>
      <c r="Q1317" s="142">
        <f t="shared" si="294"/>
        <v>0</v>
      </c>
      <c r="R1317" s="142">
        <f t="shared" si="294"/>
        <v>503.94997327322045</v>
      </c>
      <c r="S1317" s="142">
        <f t="shared" si="294"/>
        <v>220.57193530428285</v>
      </c>
      <c r="T1317" s="142">
        <f t="shared" si="294"/>
        <v>480.66951356489938</v>
      </c>
      <c r="U1317" s="142">
        <f t="shared" si="294"/>
        <v>0</v>
      </c>
      <c r="V1317" s="142">
        <f t="shared" si="294"/>
        <v>276.8215934994081</v>
      </c>
      <c r="W1317" s="142">
        <f t="shared" si="294"/>
        <v>136.22364516276116</v>
      </c>
      <c r="X1317" s="142">
        <f t="shared" si="294"/>
        <v>69.268457676087507</v>
      </c>
      <c r="Y1317" s="142">
        <f t="shared" si="294"/>
        <v>86.932668338977777</v>
      </c>
      <c r="Z1317" s="142">
        <f t="shared" si="294"/>
        <v>33.178569320724449</v>
      </c>
      <c r="AA1317" s="142">
        <f t="shared" si="294"/>
        <v>94.291626704752389</v>
      </c>
      <c r="AB1317" s="142">
        <f t="shared" si="294"/>
        <v>77.819907715391267</v>
      </c>
      <c r="AC1317" s="142">
        <f t="shared" si="294"/>
        <v>250.68733995395252</v>
      </c>
      <c r="AD1317" s="142">
        <f t="shared" si="294"/>
        <v>0</v>
      </c>
      <c r="AE1317" s="142">
        <f t="shared" si="294"/>
        <v>71.590844217708266</v>
      </c>
      <c r="AF1317" s="142">
        <f t="shared" si="294"/>
        <v>0</v>
      </c>
      <c r="AG1317" s="142">
        <f t="shared" si="294"/>
        <v>76.37094984295085</v>
      </c>
      <c r="AH1317" s="142">
        <f t="shared" si="294"/>
        <v>56.183452506654319</v>
      </c>
      <c r="AI1317" s="142">
        <f t="shared" si="294"/>
        <v>0</v>
      </c>
      <c r="AJ1317" s="142">
        <f t="shared" si="294"/>
        <v>0</v>
      </c>
      <c r="AK1317" s="142">
        <f t="shared" si="294"/>
        <v>0</v>
      </c>
      <c r="AL1317" s="142">
        <f t="shared" si="294"/>
        <v>0</v>
      </c>
      <c r="AM1317" s="379">
        <f>SUM(F1317:AL1317)</f>
        <v>3165.8237979605187</v>
      </c>
    </row>
    <row r="1318" spans="1:39" ht="15" x14ac:dyDescent="0.25">
      <c r="A1318" s="206"/>
      <c r="B1318" s="169" t="s">
        <v>675</v>
      </c>
      <c r="C1318" s="212" t="s">
        <v>176</v>
      </c>
      <c r="D1318" s="169"/>
      <c r="E1318" s="142"/>
      <c r="F1318" s="142">
        <f t="shared" ref="F1318:AL1318" si="295">SUM(F1314:F1316)</f>
        <v>0</v>
      </c>
      <c r="G1318" s="142">
        <f t="shared" si="295"/>
        <v>0</v>
      </c>
      <c r="H1318" s="142">
        <f t="shared" si="295"/>
        <v>0</v>
      </c>
      <c r="I1318" s="142">
        <f t="shared" si="295"/>
        <v>0</v>
      </c>
      <c r="J1318" s="142">
        <f t="shared" si="295"/>
        <v>280.32970195309179</v>
      </c>
      <c r="K1318" s="142">
        <f t="shared" si="295"/>
        <v>138.73139068679416</v>
      </c>
      <c r="L1318" s="142">
        <f t="shared" si="295"/>
        <v>169.55571514098153</v>
      </c>
      <c r="M1318" s="142">
        <f t="shared" si="295"/>
        <v>0</v>
      </c>
      <c r="N1318" s="142">
        <f t="shared" si="295"/>
        <v>0</v>
      </c>
      <c r="O1318" s="142">
        <f t="shared" si="295"/>
        <v>0</v>
      </c>
      <c r="P1318" s="142">
        <f t="shared" si="295"/>
        <v>444.46164513175984</v>
      </c>
      <c r="Q1318" s="142">
        <f t="shared" si="295"/>
        <v>0</v>
      </c>
      <c r="R1318" s="142">
        <f t="shared" si="295"/>
        <v>777.87312629681105</v>
      </c>
      <c r="S1318" s="142">
        <f t="shared" si="295"/>
        <v>409.13078104992309</v>
      </c>
      <c r="T1318" s="142">
        <f t="shared" si="295"/>
        <v>795.63251559769355</v>
      </c>
      <c r="U1318" s="142">
        <f t="shared" si="295"/>
        <v>0</v>
      </c>
      <c r="V1318" s="142">
        <f t="shared" si="295"/>
        <v>488.17858632576929</v>
      </c>
      <c r="W1318" s="142">
        <f t="shared" si="295"/>
        <v>162.10029384034019</v>
      </c>
      <c r="X1318" s="142">
        <f t="shared" si="295"/>
        <v>89.805837960618305</v>
      </c>
      <c r="Y1318" s="142">
        <f t="shared" si="295"/>
        <v>121.60776211069621</v>
      </c>
      <c r="Z1318" s="142">
        <f t="shared" si="295"/>
        <v>63.437241298339671</v>
      </c>
      <c r="AA1318" s="142">
        <f t="shared" si="295"/>
        <v>152.80262099133188</v>
      </c>
      <c r="AB1318" s="142">
        <f t="shared" si="295"/>
        <v>131.41173221479275</v>
      </c>
      <c r="AC1318" s="142">
        <f t="shared" si="295"/>
        <v>444.46068583462255</v>
      </c>
      <c r="AD1318" s="142">
        <f t="shared" si="295"/>
        <v>0</v>
      </c>
      <c r="AE1318" s="142">
        <f t="shared" si="295"/>
        <v>121.2799007748084</v>
      </c>
      <c r="AF1318" s="142">
        <f t="shared" si="295"/>
        <v>0</v>
      </c>
      <c r="AG1318" s="142">
        <f t="shared" si="295"/>
        <v>147.61799528767091</v>
      </c>
      <c r="AH1318" s="142">
        <f t="shared" si="295"/>
        <v>81.612053840884954</v>
      </c>
      <c r="AI1318" s="142">
        <f t="shared" si="295"/>
        <v>0</v>
      </c>
      <c r="AJ1318" s="142">
        <f t="shared" si="295"/>
        <v>0</v>
      </c>
      <c r="AK1318" s="142">
        <f t="shared" si="295"/>
        <v>0</v>
      </c>
      <c r="AL1318" s="142">
        <f t="shared" si="295"/>
        <v>0</v>
      </c>
      <c r="AM1318" s="379">
        <f>SUM(F1318:AL1318)</f>
        <v>5020.0295863369292</v>
      </c>
    </row>
    <row r="1319" spans="1:39" ht="15" x14ac:dyDescent="0.25">
      <c r="A1319" s="206"/>
      <c r="B1319" s="163"/>
      <c r="C1319" s="219"/>
      <c r="D1319" s="141"/>
      <c r="E1319" s="8"/>
      <c r="F1319" s="141"/>
      <c r="G1319" s="141"/>
      <c r="H1319" s="141"/>
      <c r="I1319" s="141"/>
      <c r="J1319" s="141"/>
      <c r="K1319" s="141"/>
      <c r="L1319" s="141"/>
      <c r="M1319" s="141"/>
      <c r="N1319" s="141"/>
      <c r="O1319" s="141"/>
      <c r="P1319" s="141"/>
      <c r="Q1319" s="141"/>
      <c r="R1319" s="141"/>
      <c r="S1319" s="141"/>
      <c r="T1319" s="141"/>
      <c r="U1319" s="141"/>
      <c r="V1319" s="141"/>
      <c r="W1319" s="141"/>
      <c r="X1319" s="141"/>
      <c r="Y1319" s="141"/>
      <c r="Z1319" s="141"/>
      <c r="AA1319" s="141"/>
      <c r="AB1319" s="141"/>
      <c r="AC1319" s="141"/>
      <c r="AD1319" s="141"/>
      <c r="AE1319" s="141"/>
      <c r="AF1319" s="141"/>
      <c r="AG1319" s="141"/>
      <c r="AH1319" s="141"/>
      <c r="AI1319" s="141"/>
      <c r="AJ1319" s="141"/>
      <c r="AK1319" s="141"/>
      <c r="AL1319" s="141"/>
      <c r="AM1319" s="107"/>
    </row>
    <row r="1320" spans="1:39" x14ac:dyDescent="0.2">
      <c r="A1320" s="204"/>
      <c r="B1320" s="183" t="s">
        <v>676</v>
      </c>
      <c r="C1320" s="220"/>
      <c r="D1320" s="139"/>
      <c r="E1320" s="1"/>
      <c r="F1320" s="139"/>
      <c r="G1320" s="139"/>
      <c r="H1320" s="139"/>
      <c r="I1320" s="139"/>
      <c r="J1320" s="139"/>
      <c r="K1320" s="139"/>
      <c r="L1320" s="139"/>
      <c r="M1320" s="139"/>
      <c r="N1320" s="139"/>
      <c r="O1320" s="139"/>
      <c r="P1320" s="139"/>
      <c r="Q1320" s="139"/>
      <c r="R1320" s="139"/>
      <c r="S1320" s="139"/>
      <c r="T1320" s="139"/>
      <c r="U1320" s="139"/>
      <c r="V1320" s="139"/>
      <c r="W1320" s="139"/>
      <c r="X1320" s="139"/>
      <c r="Y1320" s="139"/>
      <c r="Z1320" s="139"/>
      <c r="AA1320" s="139"/>
      <c r="AB1320" s="139"/>
      <c r="AC1320" s="139"/>
      <c r="AD1320" s="139"/>
      <c r="AE1320" s="139"/>
      <c r="AF1320" s="139"/>
      <c r="AG1320" s="139"/>
      <c r="AH1320" s="139"/>
      <c r="AI1320" s="139"/>
      <c r="AJ1320" s="139"/>
      <c r="AK1320" s="139"/>
      <c r="AL1320" s="139"/>
      <c r="AM1320" s="107"/>
    </row>
    <row r="1321" spans="1:39" x14ac:dyDescent="0.2">
      <c r="A1321" s="204"/>
      <c r="B1321" s="190" t="s">
        <v>606</v>
      </c>
      <c r="C1321" s="221" t="s">
        <v>338</v>
      </c>
      <c r="D1321" s="268" t="s">
        <v>677</v>
      </c>
      <c r="E1321" s="267"/>
      <c r="F1321" s="165">
        <v>10.3</v>
      </c>
      <c r="G1321" s="165">
        <v>10.3</v>
      </c>
      <c r="H1321" s="165">
        <v>10.3</v>
      </c>
      <c r="I1321" s="165">
        <v>10.3</v>
      </c>
      <c r="J1321" s="165">
        <v>10.3</v>
      </c>
      <c r="K1321" s="165">
        <v>10.3</v>
      </c>
      <c r="L1321" s="165">
        <v>10.3</v>
      </c>
      <c r="M1321" s="165">
        <v>10.3</v>
      </c>
      <c r="N1321" s="165">
        <v>10.3</v>
      </c>
      <c r="O1321" s="165">
        <v>10.3</v>
      </c>
      <c r="P1321" s="165">
        <v>10.3</v>
      </c>
      <c r="Q1321" s="165">
        <v>10.3</v>
      </c>
      <c r="R1321" s="165">
        <v>10.3</v>
      </c>
      <c r="S1321" s="165">
        <v>10.3</v>
      </c>
      <c r="T1321" s="165">
        <v>10.3</v>
      </c>
      <c r="U1321" s="165">
        <v>10.3</v>
      </c>
      <c r="V1321" s="165">
        <v>10.3</v>
      </c>
      <c r="W1321" s="165">
        <v>10.3</v>
      </c>
      <c r="X1321" s="165">
        <v>10.3</v>
      </c>
      <c r="Y1321" s="165">
        <v>10.3</v>
      </c>
      <c r="Z1321" s="165">
        <v>10.3</v>
      </c>
      <c r="AA1321" s="165">
        <v>10.3</v>
      </c>
      <c r="AB1321" s="165">
        <v>10.3</v>
      </c>
      <c r="AC1321" s="165">
        <v>10.3</v>
      </c>
      <c r="AD1321" s="165">
        <v>10.3</v>
      </c>
      <c r="AE1321" s="165">
        <v>10.3</v>
      </c>
      <c r="AF1321" s="165">
        <v>10.3</v>
      </c>
      <c r="AG1321" s="165">
        <v>10.3</v>
      </c>
      <c r="AH1321" s="165">
        <v>10.3</v>
      </c>
      <c r="AI1321" s="165">
        <v>10.3</v>
      </c>
      <c r="AJ1321" s="165">
        <v>10.3</v>
      </c>
      <c r="AK1321" s="165">
        <v>10.3</v>
      </c>
      <c r="AL1321" s="165">
        <v>10.3</v>
      </c>
      <c r="AM1321" s="383">
        <f t="shared" ref="AM1321:AM1326" si="296">AVERAGE(F1321:AL1321)</f>
        <v>10.300000000000006</v>
      </c>
    </row>
    <row r="1322" spans="1:39" x14ac:dyDescent="0.2">
      <c r="A1322" s="204"/>
      <c r="B1322" s="190" t="s">
        <v>344</v>
      </c>
      <c r="C1322" s="221" t="s">
        <v>338</v>
      </c>
      <c r="D1322" s="268" t="s">
        <v>678</v>
      </c>
      <c r="E1322" s="267"/>
      <c r="F1322" s="178">
        <v>6.7</v>
      </c>
      <c r="G1322" s="178">
        <v>6.7</v>
      </c>
      <c r="H1322" s="178">
        <v>6.7</v>
      </c>
      <c r="I1322" s="178">
        <v>6.7</v>
      </c>
      <c r="J1322" s="178">
        <v>6.7</v>
      </c>
      <c r="K1322" s="178">
        <v>6.7</v>
      </c>
      <c r="L1322" s="178">
        <v>6.7</v>
      </c>
      <c r="M1322" s="178">
        <v>6.7</v>
      </c>
      <c r="N1322" s="178">
        <v>6.7</v>
      </c>
      <c r="O1322" s="178">
        <v>6.7</v>
      </c>
      <c r="P1322" s="178">
        <v>6.7</v>
      </c>
      <c r="Q1322" s="178">
        <v>6.7</v>
      </c>
      <c r="R1322" s="178">
        <v>6.7</v>
      </c>
      <c r="S1322" s="178">
        <v>6.7</v>
      </c>
      <c r="T1322" s="178">
        <v>6.7</v>
      </c>
      <c r="U1322" s="178">
        <v>6.7</v>
      </c>
      <c r="V1322" s="178">
        <v>6.7</v>
      </c>
      <c r="W1322" s="178">
        <v>6.7</v>
      </c>
      <c r="X1322" s="178">
        <v>6.7</v>
      </c>
      <c r="Y1322" s="178">
        <v>6.7</v>
      </c>
      <c r="Z1322" s="178">
        <v>6.7</v>
      </c>
      <c r="AA1322" s="178">
        <v>6.7</v>
      </c>
      <c r="AB1322" s="178">
        <v>6.7</v>
      </c>
      <c r="AC1322" s="178">
        <v>6.7</v>
      </c>
      <c r="AD1322" s="178">
        <v>6.7</v>
      </c>
      <c r="AE1322" s="178">
        <v>6.7</v>
      </c>
      <c r="AF1322" s="178">
        <v>6.7</v>
      </c>
      <c r="AG1322" s="178">
        <v>6.7</v>
      </c>
      <c r="AH1322" s="178">
        <v>6.7</v>
      </c>
      <c r="AI1322" s="178">
        <v>6.7</v>
      </c>
      <c r="AJ1322" s="178">
        <v>6.7</v>
      </c>
      <c r="AK1322" s="178">
        <v>6.7</v>
      </c>
      <c r="AL1322" s="178">
        <v>6.7</v>
      </c>
      <c r="AM1322" s="383">
        <f t="shared" si="296"/>
        <v>6.6999999999999966</v>
      </c>
    </row>
    <row r="1323" spans="1:39" x14ac:dyDescent="0.2">
      <c r="A1323" s="204"/>
      <c r="B1323" s="190" t="s">
        <v>345</v>
      </c>
      <c r="C1323" s="221" t="s">
        <v>338</v>
      </c>
      <c r="D1323" s="268" t="s">
        <v>679</v>
      </c>
      <c r="E1323" s="267"/>
      <c r="F1323" s="178">
        <v>6.7</v>
      </c>
      <c r="G1323" s="178">
        <v>6.7</v>
      </c>
      <c r="H1323" s="178">
        <v>6.7</v>
      </c>
      <c r="I1323" s="178">
        <v>6.7</v>
      </c>
      <c r="J1323" s="178">
        <v>6.7</v>
      </c>
      <c r="K1323" s="178">
        <v>6.7</v>
      </c>
      <c r="L1323" s="178">
        <v>6.7</v>
      </c>
      <c r="M1323" s="178">
        <v>6.7</v>
      </c>
      <c r="N1323" s="178">
        <v>6.7</v>
      </c>
      <c r="O1323" s="178">
        <v>6.7</v>
      </c>
      <c r="P1323" s="178">
        <v>6.7</v>
      </c>
      <c r="Q1323" s="178">
        <v>6.7</v>
      </c>
      <c r="R1323" s="178">
        <v>6.7</v>
      </c>
      <c r="S1323" s="178">
        <v>6.7</v>
      </c>
      <c r="T1323" s="178">
        <v>6.7</v>
      </c>
      <c r="U1323" s="178">
        <v>6.7</v>
      </c>
      <c r="V1323" s="178">
        <v>6.7</v>
      </c>
      <c r="W1323" s="178">
        <v>6.7</v>
      </c>
      <c r="X1323" s="178">
        <v>6.7</v>
      </c>
      <c r="Y1323" s="178">
        <v>6.7</v>
      </c>
      <c r="Z1323" s="178">
        <v>6.7</v>
      </c>
      <c r="AA1323" s="178">
        <v>6.7</v>
      </c>
      <c r="AB1323" s="178">
        <v>6.7</v>
      </c>
      <c r="AC1323" s="178">
        <v>6.7</v>
      </c>
      <c r="AD1323" s="178">
        <v>6.7</v>
      </c>
      <c r="AE1323" s="178">
        <v>6.7</v>
      </c>
      <c r="AF1323" s="178">
        <v>6.7</v>
      </c>
      <c r="AG1323" s="178">
        <v>6.7</v>
      </c>
      <c r="AH1323" s="178">
        <v>6.7</v>
      </c>
      <c r="AI1323" s="178">
        <v>6.7</v>
      </c>
      <c r="AJ1323" s="178">
        <v>6.7</v>
      </c>
      <c r="AK1323" s="178">
        <v>6.7</v>
      </c>
      <c r="AL1323" s="178">
        <v>6.7</v>
      </c>
      <c r="AM1323" s="383">
        <f t="shared" si="296"/>
        <v>6.6999999999999966</v>
      </c>
    </row>
    <row r="1324" spans="1:39" x14ac:dyDescent="0.2">
      <c r="A1324" s="204"/>
      <c r="B1324" s="190" t="s">
        <v>609</v>
      </c>
      <c r="C1324" s="221" t="s">
        <v>338</v>
      </c>
      <c r="D1324" s="268" t="s">
        <v>680</v>
      </c>
      <c r="E1324" s="267"/>
      <c r="F1324" s="178">
        <v>4.5</v>
      </c>
      <c r="G1324" s="178">
        <v>4.5</v>
      </c>
      <c r="H1324" s="178">
        <v>4.5</v>
      </c>
      <c r="I1324" s="178">
        <v>4.5</v>
      </c>
      <c r="J1324" s="178">
        <v>4.5</v>
      </c>
      <c r="K1324" s="178">
        <v>4.5</v>
      </c>
      <c r="L1324" s="178">
        <v>4.5</v>
      </c>
      <c r="M1324" s="178">
        <v>4.5</v>
      </c>
      <c r="N1324" s="178">
        <v>4.5</v>
      </c>
      <c r="O1324" s="178">
        <v>4.5</v>
      </c>
      <c r="P1324" s="178">
        <v>4.5</v>
      </c>
      <c r="Q1324" s="178">
        <v>4.5</v>
      </c>
      <c r="R1324" s="178">
        <v>4.5</v>
      </c>
      <c r="S1324" s="178">
        <v>4.5</v>
      </c>
      <c r="T1324" s="178">
        <v>4.5</v>
      </c>
      <c r="U1324" s="178">
        <v>4.5</v>
      </c>
      <c r="V1324" s="178">
        <v>4.5</v>
      </c>
      <c r="W1324" s="178">
        <v>4.5</v>
      </c>
      <c r="X1324" s="178">
        <v>4.5</v>
      </c>
      <c r="Y1324" s="178">
        <v>4.5</v>
      </c>
      <c r="Z1324" s="178">
        <v>4.5</v>
      </c>
      <c r="AA1324" s="178">
        <v>4.5</v>
      </c>
      <c r="AB1324" s="178">
        <v>4.5</v>
      </c>
      <c r="AC1324" s="178">
        <v>4.5</v>
      </c>
      <c r="AD1324" s="178">
        <v>4.5</v>
      </c>
      <c r="AE1324" s="178">
        <v>4.5</v>
      </c>
      <c r="AF1324" s="178">
        <v>4.5</v>
      </c>
      <c r="AG1324" s="178">
        <v>4.5</v>
      </c>
      <c r="AH1324" s="178">
        <v>4.5</v>
      </c>
      <c r="AI1324" s="178">
        <v>4.5</v>
      </c>
      <c r="AJ1324" s="178">
        <v>4.5</v>
      </c>
      <c r="AK1324" s="178">
        <v>4.5</v>
      </c>
      <c r="AL1324" s="178">
        <v>4.5</v>
      </c>
      <c r="AM1324" s="383">
        <f t="shared" si="296"/>
        <v>4.5</v>
      </c>
    </row>
    <row r="1325" spans="1:39" x14ac:dyDescent="0.2">
      <c r="A1325" s="204"/>
      <c r="B1325" s="190" t="s">
        <v>347</v>
      </c>
      <c r="C1325" s="221" t="s">
        <v>338</v>
      </c>
      <c r="D1325" s="268" t="s">
        <v>681</v>
      </c>
      <c r="E1325" s="267"/>
      <c r="F1325" s="175">
        <v>5.8</v>
      </c>
      <c r="G1325" s="175">
        <v>5.8</v>
      </c>
      <c r="H1325" s="175">
        <v>5.8</v>
      </c>
      <c r="I1325" s="175">
        <v>5.8</v>
      </c>
      <c r="J1325" s="175">
        <v>5.8</v>
      </c>
      <c r="K1325" s="175">
        <v>5.8</v>
      </c>
      <c r="L1325" s="175">
        <v>5.8</v>
      </c>
      <c r="M1325" s="175">
        <v>5.8</v>
      </c>
      <c r="N1325" s="175">
        <v>5.8</v>
      </c>
      <c r="O1325" s="175">
        <v>5.8</v>
      </c>
      <c r="P1325" s="175">
        <v>5.8</v>
      </c>
      <c r="Q1325" s="175">
        <v>5.8</v>
      </c>
      <c r="R1325" s="175">
        <v>5.8</v>
      </c>
      <c r="S1325" s="175">
        <v>5.8</v>
      </c>
      <c r="T1325" s="175">
        <v>5.8</v>
      </c>
      <c r="U1325" s="175">
        <v>5.8</v>
      </c>
      <c r="V1325" s="175">
        <v>5.8</v>
      </c>
      <c r="W1325" s="175">
        <v>5.8</v>
      </c>
      <c r="X1325" s="175">
        <v>5.8</v>
      </c>
      <c r="Y1325" s="175">
        <v>5.8</v>
      </c>
      <c r="Z1325" s="175">
        <v>5.8</v>
      </c>
      <c r="AA1325" s="175">
        <v>5.8</v>
      </c>
      <c r="AB1325" s="175">
        <v>5.8</v>
      </c>
      <c r="AC1325" s="175">
        <v>5.8</v>
      </c>
      <c r="AD1325" s="175">
        <v>5.8</v>
      </c>
      <c r="AE1325" s="175">
        <v>5.8</v>
      </c>
      <c r="AF1325" s="175">
        <v>5.8</v>
      </c>
      <c r="AG1325" s="175">
        <v>5.8</v>
      </c>
      <c r="AH1325" s="175">
        <v>5.8</v>
      </c>
      <c r="AI1325" s="175">
        <v>5.8</v>
      </c>
      <c r="AJ1325" s="175">
        <v>5.8</v>
      </c>
      <c r="AK1325" s="175">
        <v>5.8</v>
      </c>
      <c r="AL1325" s="175">
        <v>5.8</v>
      </c>
      <c r="AM1325" s="383">
        <f t="shared" si="296"/>
        <v>5.8000000000000016</v>
      </c>
    </row>
    <row r="1326" spans="1:39" x14ac:dyDescent="0.2">
      <c r="A1326" s="204"/>
      <c r="B1326" s="190" t="s">
        <v>348</v>
      </c>
      <c r="C1326" s="221" t="s">
        <v>338</v>
      </c>
      <c r="D1326" s="268" t="s">
        <v>398</v>
      </c>
      <c r="E1326" s="267"/>
      <c r="F1326" s="165">
        <v>10.3</v>
      </c>
      <c r="G1326" s="165">
        <v>10.3</v>
      </c>
      <c r="H1326" s="165">
        <v>10.3</v>
      </c>
      <c r="I1326" s="165">
        <v>10.3</v>
      </c>
      <c r="J1326" s="165">
        <v>10.3</v>
      </c>
      <c r="K1326" s="165">
        <v>10.3</v>
      </c>
      <c r="L1326" s="165">
        <v>10.3</v>
      </c>
      <c r="M1326" s="165">
        <v>10.3</v>
      </c>
      <c r="N1326" s="165">
        <v>10.3</v>
      </c>
      <c r="O1326" s="165">
        <v>10.3</v>
      </c>
      <c r="P1326" s="165">
        <v>10.3</v>
      </c>
      <c r="Q1326" s="165">
        <v>10.3</v>
      </c>
      <c r="R1326" s="165">
        <v>10.3</v>
      </c>
      <c r="S1326" s="165">
        <v>10.3</v>
      </c>
      <c r="T1326" s="165">
        <v>10.3</v>
      </c>
      <c r="U1326" s="165">
        <v>10.3</v>
      </c>
      <c r="V1326" s="165">
        <v>10.3</v>
      </c>
      <c r="W1326" s="165">
        <v>10.3</v>
      </c>
      <c r="X1326" s="165">
        <v>10.3</v>
      </c>
      <c r="Y1326" s="165">
        <v>10.3</v>
      </c>
      <c r="Z1326" s="165">
        <v>10.3</v>
      </c>
      <c r="AA1326" s="165">
        <v>10.3</v>
      </c>
      <c r="AB1326" s="165">
        <v>10.3</v>
      </c>
      <c r="AC1326" s="165">
        <v>10.3</v>
      </c>
      <c r="AD1326" s="165">
        <v>10.3</v>
      </c>
      <c r="AE1326" s="165">
        <v>10.3</v>
      </c>
      <c r="AF1326" s="165">
        <v>10.3</v>
      </c>
      <c r="AG1326" s="165">
        <v>10.3</v>
      </c>
      <c r="AH1326" s="165">
        <v>10.3</v>
      </c>
      <c r="AI1326" s="165">
        <v>10.3</v>
      </c>
      <c r="AJ1326" s="165">
        <v>10.3</v>
      </c>
      <c r="AK1326" s="165">
        <v>10.3</v>
      </c>
      <c r="AL1326" s="165">
        <v>10.3</v>
      </c>
      <c r="AM1326" s="383">
        <f t="shared" si="296"/>
        <v>10.300000000000006</v>
      </c>
    </row>
    <row r="1327" spans="1:39" x14ac:dyDescent="0.2">
      <c r="A1327" s="1"/>
      <c r="B1327" s="1"/>
      <c r="C1327" s="3"/>
      <c r="D1327" s="1"/>
      <c r="E1327" s="1"/>
      <c r="F1327" s="8"/>
      <c r="G1327" s="8"/>
      <c r="H1327" s="8"/>
      <c r="I1327" s="8"/>
      <c r="J1327" s="8"/>
      <c r="K1327" s="8"/>
      <c r="L1327" s="8"/>
      <c r="M1327" s="8"/>
      <c r="N1327" s="8"/>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107"/>
    </row>
    <row r="1328" spans="1:39" x14ac:dyDescent="0.2">
      <c r="A1328" s="204"/>
      <c r="B1328" s="183" t="s">
        <v>682</v>
      </c>
      <c r="C1328" s="220"/>
      <c r="D1328" s="139"/>
      <c r="E1328" s="1"/>
      <c r="F1328" s="139"/>
      <c r="G1328" s="139"/>
      <c r="H1328" s="139"/>
      <c r="I1328" s="139"/>
      <c r="J1328" s="139"/>
      <c r="K1328" s="139"/>
      <c r="L1328" s="139"/>
      <c r="M1328" s="139"/>
      <c r="N1328" s="139"/>
      <c r="O1328" s="139"/>
      <c r="P1328" s="139"/>
      <c r="Q1328" s="139"/>
      <c r="R1328" s="139"/>
      <c r="S1328" s="139"/>
      <c r="T1328" s="139"/>
      <c r="U1328" s="139"/>
      <c r="V1328" s="139"/>
      <c r="W1328" s="139"/>
      <c r="X1328" s="139"/>
      <c r="Y1328" s="139"/>
      <c r="Z1328" s="139"/>
      <c r="AA1328" s="139"/>
      <c r="AB1328" s="139"/>
      <c r="AC1328" s="139"/>
      <c r="AD1328" s="139"/>
      <c r="AE1328" s="139"/>
      <c r="AF1328" s="139"/>
      <c r="AG1328" s="139"/>
      <c r="AH1328" s="139"/>
      <c r="AI1328" s="139"/>
      <c r="AJ1328" s="139"/>
      <c r="AK1328" s="139"/>
      <c r="AL1328" s="139"/>
      <c r="AM1328" s="107"/>
    </row>
    <row r="1329" spans="1:39" x14ac:dyDescent="0.2">
      <c r="A1329" s="202"/>
      <c r="B1329" s="189" t="s">
        <v>606</v>
      </c>
      <c r="C1329" s="219" t="s">
        <v>176</v>
      </c>
      <c r="D1329" s="141"/>
      <c r="E1329" s="142"/>
      <c r="F1329" s="142">
        <f t="shared" ref="F1329:AL1329" si="297">F1321*F1114</f>
        <v>0</v>
      </c>
      <c r="G1329" s="142">
        <f t="shared" si="297"/>
        <v>0</v>
      </c>
      <c r="H1329" s="142">
        <f t="shared" si="297"/>
        <v>0</v>
      </c>
      <c r="I1329" s="142">
        <f t="shared" si="297"/>
        <v>0</v>
      </c>
      <c r="J1329" s="142">
        <f t="shared" si="297"/>
        <v>1336.7036489106413</v>
      </c>
      <c r="K1329" s="142">
        <f t="shared" si="297"/>
        <v>675.00019032313287</v>
      </c>
      <c r="L1329" s="142">
        <f t="shared" si="297"/>
        <v>740.8193207379677</v>
      </c>
      <c r="M1329" s="142">
        <f t="shared" si="297"/>
        <v>0</v>
      </c>
      <c r="N1329" s="142">
        <f t="shared" si="297"/>
        <v>0</v>
      </c>
      <c r="O1329" s="142">
        <f t="shared" si="297"/>
        <v>0</v>
      </c>
      <c r="P1329" s="142">
        <f t="shared" si="297"/>
        <v>2321.0220489431745</v>
      </c>
      <c r="Q1329" s="142">
        <f t="shared" si="297"/>
        <v>0</v>
      </c>
      <c r="R1329" s="142">
        <f t="shared" si="297"/>
        <v>1434.947187482933</v>
      </c>
      <c r="S1329" s="142">
        <f t="shared" si="297"/>
        <v>1618.2051048347039</v>
      </c>
      <c r="T1329" s="142">
        <f t="shared" si="297"/>
        <v>2921.6679845110543</v>
      </c>
      <c r="U1329" s="142">
        <f t="shared" si="297"/>
        <v>0</v>
      </c>
      <c r="V1329" s="142">
        <f t="shared" si="297"/>
        <v>4673.9123107471105</v>
      </c>
      <c r="W1329" s="142">
        <f t="shared" si="297"/>
        <v>766.88581854357165</v>
      </c>
      <c r="X1329" s="142">
        <f t="shared" si="297"/>
        <v>367.53870335262997</v>
      </c>
      <c r="Y1329" s="142">
        <f t="shared" si="297"/>
        <v>502.55285194256169</v>
      </c>
      <c r="Z1329" s="142">
        <f t="shared" si="297"/>
        <v>215.96523788964492</v>
      </c>
      <c r="AA1329" s="142">
        <f t="shared" si="297"/>
        <v>600.12574453207412</v>
      </c>
      <c r="AB1329" s="142">
        <f t="shared" si="297"/>
        <v>954.11067561043706</v>
      </c>
      <c r="AC1329" s="142">
        <f t="shared" si="297"/>
        <v>2448.3114170811909</v>
      </c>
      <c r="AD1329" s="142">
        <f t="shared" si="297"/>
        <v>0</v>
      </c>
      <c r="AE1329" s="142">
        <f t="shared" si="297"/>
        <v>794.0980922600545</v>
      </c>
      <c r="AF1329" s="142">
        <f t="shared" si="297"/>
        <v>0</v>
      </c>
      <c r="AG1329" s="142">
        <f t="shared" si="297"/>
        <v>707.56371273618936</v>
      </c>
      <c r="AH1329" s="142">
        <f t="shared" si="297"/>
        <v>941.53745966548263</v>
      </c>
      <c r="AI1329" s="142">
        <f t="shared" si="297"/>
        <v>0</v>
      </c>
      <c r="AJ1329" s="142">
        <f t="shared" si="297"/>
        <v>0</v>
      </c>
      <c r="AK1329" s="142">
        <f t="shared" si="297"/>
        <v>0</v>
      </c>
      <c r="AL1329" s="142">
        <f t="shared" si="297"/>
        <v>0</v>
      </c>
      <c r="AM1329" s="379">
        <f t="shared" ref="AM1329:AM1335" si="298">SUM(F1329:AL1329)</f>
        <v>24020.967510104554</v>
      </c>
    </row>
    <row r="1330" spans="1:39" x14ac:dyDescent="0.2">
      <c r="A1330" s="202"/>
      <c r="B1330" s="189" t="s">
        <v>344</v>
      </c>
      <c r="C1330" s="219" t="s">
        <v>176</v>
      </c>
      <c r="D1330" s="141"/>
      <c r="E1330" s="142"/>
      <c r="F1330" s="142">
        <f t="shared" ref="F1330:AL1330" si="299">F1322*F1115</f>
        <v>0</v>
      </c>
      <c r="G1330" s="142">
        <f t="shared" si="299"/>
        <v>0</v>
      </c>
      <c r="H1330" s="142">
        <f t="shared" si="299"/>
        <v>0</v>
      </c>
      <c r="I1330" s="142">
        <f t="shared" si="299"/>
        <v>0</v>
      </c>
      <c r="J1330" s="142">
        <f t="shared" si="299"/>
        <v>0.71197510539894016</v>
      </c>
      <c r="K1330" s="142">
        <f t="shared" si="299"/>
        <v>0.37884668421535583</v>
      </c>
      <c r="L1330" s="142">
        <f t="shared" si="299"/>
        <v>0.25093511572940047</v>
      </c>
      <c r="M1330" s="142">
        <f t="shared" si="299"/>
        <v>0</v>
      </c>
      <c r="N1330" s="142">
        <f t="shared" si="299"/>
        <v>0</v>
      </c>
      <c r="O1330" s="142">
        <f t="shared" si="299"/>
        <v>0</v>
      </c>
      <c r="P1330" s="142">
        <f t="shared" si="299"/>
        <v>1.8017286556212693</v>
      </c>
      <c r="Q1330" s="142">
        <f t="shared" si="299"/>
        <v>0</v>
      </c>
      <c r="R1330" s="142">
        <f t="shared" si="299"/>
        <v>2.7621086608150116</v>
      </c>
      <c r="S1330" s="142">
        <f t="shared" si="299"/>
        <v>37.427358403098893</v>
      </c>
      <c r="T1330" s="142">
        <f t="shared" si="299"/>
        <v>51.598796205262616</v>
      </c>
      <c r="U1330" s="142">
        <f t="shared" si="299"/>
        <v>0</v>
      </c>
      <c r="V1330" s="142">
        <f t="shared" si="299"/>
        <v>19.339702032574316</v>
      </c>
      <c r="W1330" s="142">
        <f t="shared" si="299"/>
        <v>0.88911103113642953</v>
      </c>
      <c r="X1330" s="142">
        <f t="shared" si="299"/>
        <v>3.9324775769801645</v>
      </c>
      <c r="Y1330" s="142">
        <f t="shared" si="299"/>
        <v>6.7368516286956268</v>
      </c>
      <c r="Z1330" s="142">
        <f t="shared" si="299"/>
        <v>9.8064745236626916</v>
      </c>
      <c r="AA1330" s="142">
        <f t="shared" si="299"/>
        <v>29.505151624128303</v>
      </c>
      <c r="AB1330" s="142">
        <f t="shared" si="299"/>
        <v>14.137163614632264</v>
      </c>
      <c r="AC1330" s="142">
        <f t="shared" si="299"/>
        <v>25.802253992342361</v>
      </c>
      <c r="AD1330" s="142">
        <f t="shared" si="299"/>
        <v>0</v>
      </c>
      <c r="AE1330" s="142">
        <f t="shared" si="299"/>
        <v>2.7494285334186133</v>
      </c>
      <c r="AF1330" s="142">
        <f t="shared" si="299"/>
        <v>0</v>
      </c>
      <c r="AG1330" s="142">
        <f t="shared" si="299"/>
        <v>13.234275105841478</v>
      </c>
      <c r="AH1330" s="142">
        <f t="shared" si="299"/>
        <v>1.4107407949682682</v>
      </c>
      <c r="AI1330" s="142">
        <f t="shared" si="299"/>
        <v>0</v>
      </c>
      <c r="AJ1330" s="142">
        <f t="shared" si="299"/>
        <v>0</v>
      </c>
      <c r="AK1330" s="142">
        <f t="shared" si="299"/>
        <v>0</v>
      </c>
      <c r="AL1330" s="142">
        <f t="shared" si="299"/>
        <v>0</v>
      </c>
      <c r="AM1330" s="379">
        <f t="shared" si="298"/>
        <v>222.47537928852199</v>
      </c>
    </row>
    <row r="1331" spans="1:39" x14ac:dyDescent="0.2">
      <c r="A1331" s="202"/>
      <c r="B1331" s="189" t="s">
        <v>345</v>
      </c>
      <c r="C1331" s="219" t="s">
        <v>176</v>
      </c>
      <c r="D1331" s="141"/>
      <c r="E1331" s="142"/>
      <c r="F1331" s="142">
        <f t="shared" ref="F1331:AL1331" si="300">F1323*F1116</f>
        <v>0</v>
      </c>
      <c r="G1331" s="142">
        <f t="shared" si="300"/>
        <v>0</v>
      </c>
      <c r="H1331" s="142">
        <f t="shared" si="300"/>
        <v>0</v>
      </c>
      <c r="I1331" s="142">
        <f t="shared" si="300"/>
        <v>0</v>
      </c>
      <c r="J1331" s="142">
        <f t="shared" si="300"/>
        <v>12.111147825346174</v>
      </c>
      <c r="K1331" s="142">
        <f t="shared" si="300"/>
        <v>9.3342955722925378</v>
      </c>
      <c r="L1331" s="142">
        <f t="shared" si="300"/>
        <v>6.8207112463421744</v>
      </c>
      <c r="M1331" s="142">
        <f t="shared" si="300"/>
        <v>0</v>
      </c>
      <c r="N1331" s="142">
        <f t="shared" si="300"/>
        <v>0</v>
      </c>
      <c r="O1331" s="142">
        <f t="shared" si="300"/>
        <v>0</v>
      </c>
      <c r="P1331" s="142">
        <f t="shared" si="300"/>
        <v>77.317630818513635</v>
      </c>
      <c r="Q1331" s="142">
        <f t="shared" si="300"/>
        <v>0</v>
      </c>
      <c r="R1331" s="142">
        <f t="shared" si="300"/>
        <v>7.602872178674061</v>
      </c>
      <c r="S1331" s="142">
        <f t="shared" si="300"/>
        <v>35.626723662007471</v>
      </c>
      <c r="T1331" s="142">
        <f t="shared" si="300"/>
        <v>66.738318975731971</v>
      </c>
      <c r="U1331" s="142">
        <f t="shared" si="300"/>
        <v>0</v>
      </c>
      <c r="V1331" s="142">
        <f t="shared" si="300"/>
        <v>243.49064080163691</v>
      </c>
      <c r="W1331" s="142">
        <f t="shared" si="300"/>
        <v>6.8895264546123238</v>
      </c>
      <c r="X1331" s="142">
        <f t="shared" si="300"/>
        <v>14.164725872971244</v>
      </c>
      <c r="Y1331" s="142">
        <f t="shared" si="300"/>
        <v>10.898676212771242</v>
      </c>
      <c r="Z1331" s="142">
        <f t="shared" si="300"/>
        <v>303.28160849812508</v>
      </c>
      <c r="AA1331" s="142">
        <f t="shared" si="300"/>
        <v>79.798858054487397</v>
      </c>
      <c r="AB1331" s="142">
        <f t="shared" si="300"/>
        <v>238.5829348358842</v>
      </c>
      <c r="AC1331" s="142">
        <f t="shared" si="300"/>
        <v>300.49176516070963</v>
      </c>
      <c r="AD1331" s="142">
        <f t="shared" si="300"/>
        <v>0</v>
      </c>
      <c r="AE1331" s="142">
        <f t="shared" si="300"/>
        <v>186.91097739584296</v>
      </c>
      <c r="AF1331" s="142">
        <f t="shared" si="300"/>
        <v>0</v>
      </c>
      <c r="AG1331" s="142">
        <f t="shared" si="300"/>
        <v>99.032848075741867</v>
      </c>
      <c r="AH1331" s="142">
        <f t="shared" si="300"/>
        <v>17.797041718565929</v>
      </c>
      <c r="AI1331" s="142">
        <f t="shared" si="300"/>
        <v>0</v>
      </c>
      <c r="AJ1331" s="142">
        <f t="shared" si="300"/>
        <v>0</v>
      </c>
      <c r="AK1331" s="142">
        <f t="shared" si="300"/>
        <v>0</v>
      </c>
      <c r="AL1331" s="142">
        <f t="shared" si="300"/>
        <v>0</v>
      </c>
      <c r="AM1331" s="379">
        <f t="shared" si="298"/>
        <v>1716.8913033602566</v>
      </c>
    </row>
    <row r="1332" spans="1:39" x14ac:dyDescent="0.2">
      <c r="A1332" s="202"/>
      <c r="B1332" s="189" t="s">
        <v>609</v>
      </c>
      <c r="C1332" s="219" t="s">
        <v>176</v>
      </c>
      <c r="D1332" s="141"/>
      <c r="E1332" s="142"/>
      <c r="F1332" s="142">
        <f t="shared" ref="F1332:AL1332" si="301">F1324*F1117</f>
        <v>0</v>
      </c>
      <c r="G1332" s="142">
        <f t="shared" si="301"/>
        <v>0</v>
      </c>
      <c r="H1332" s="142">
        <f t="shared" si="301"/>
        <v>0</v>
      </c>
      <c r="I1332" s="142">
        <f t="shared" si="301"/>
        <v>0</v>
      </c>
      <c r="J1332" s="142">
        <f t="shared" si="301"/>
        <v>16.224556172202938</v>
      </c>
      <c r="K1332" s="142">
        <f t="shared" si="301"/>
        <v>8.1746670558810628</v>
      </c>
      <c r="L1332" s="142">
        <f t="shared" si="301"/>
        <v>22.443745554633445</v>
      </c>
      <c r="M1332" s="142">
        <f t="shared" si="301"/>
        <v>0</v>
      </c>
      <c r="N1332" s="142">
        <f t="shared" si="301"/>
        <v>0</v>
      </c>
      <c r="O1332" s="142">
        <f t="shared" si="301"/>
        <v>0</v>
      </c>
      <c r="P1332" s="142">
        <f t="shared" si="301"/>
        <v>16.612047851254534</v>
      </c>
      <c r="Q1332" s="142">
        <f t="shared" si="301"/>
        <v>0</v>
      </c>
      <c r="R1332" s="142">
        <f t="shared" si="301"/>
        <v>416.53099016579449</v>
      </c>
      <c r="S1332" s="142">
        <f t="shared" si="301"/>
        <v>45.210906656011701</v>
      </c>
      <c r="T1332" s="142">
        <f t="shared" si="301"/>
        <v>118.12399089886657</v>
      </c>
      <c r="U1332" s="142">
        <f t="shared" si="301"/>
        <v>0</v>
      </c>
      <c r="V1332" s="142">
        <f t="shared" si="301"/>
        <v>40.467440280621744</v>
      </c>
      <c r="W1332" s="142">
        <f t="shared" si="301"/>
        <v>8.957256273829751</v>
      </c>
      <c r="X1332" s="142">
        <f t="shared" si="301"/>
        <v>2.8911559493698538</v>
      </c>
      <c r="Y1332" s="142">
        <f t="shared" si="301"/>
        <v>17.738067365319946</v>
      </c>
      <c r="Z1332" s="142">
        <f t="shared" si="301"/>
        <v>3.8235974577376419</v>
      </c>
      <c r="AA1332" s="142">
        <f t="shared" si="301"/>
        <v>12.776605152886448</v>
      </c>
      <c r="AB1332" s="142">
        <f t="shared" si="301"/>
        <v>20.078899760503091</v>
      </c>
      <c r="AC1332" s="142">
        <f t="shared" si="301"/>
        <v>43.445458400990105</v>
      </c>
      <c r="AD1332" s="142">
        <f t="shared" si="301"/>
        <v>0</v>
      </c>
      <c r="AE1332" s="142">
        <f t="shared" si="301"/>
        <v>29.169416967007379</v>
      </c>
      <c r="AF1332" s="142">
        <f t="shared" si="301"/>
        <v>0</v>
      </c>
      <c r="AG1332" s="142">
        <f t="shared" si="301"/>
        <v>17.095053701851775</v>
      </c>
      <c r="AH1332" s="142">
        <f t="shared" si="301"/>
        <v>8.0953254221889246</v>
      </c>
      <c r="AI1332" s="142">
        <f t="shared" si="301"/>
        <v>0</v>
      </c>
      <c r="AJ1332" s="142">
        <f t="shared" si="301"/>
        <v>0</v>
      </c>
      <c r="AK1332" s="142">
        <f t="shared" si="301"/>
        <v>0</v>
      </c>
      <c r="AL1332" s="142">
        <f t="shared" si="301"/>
        <v>0</v>
      </c>
      <c r="AM1332" s="379">
        <f t="shared" si="298"/>
        <v>847.85918108695114</v>
      </c>
    </row>
    <row r="1333" spans="1:39" x14ac:dyDescent="0.2">
      <c r="A1333" s="202"/>
      <c r="B1333" s="189" t="s">
        <v>347</v>
      </c>
      <c r="C1333" s="219" t="s">
        <v>176</v>
      </c>
      <c r="D1333" s="141"/>
      <c r="E1333" s="142"/>
      <c r="F1333" s="142">
        <f t="shared" ref="F1333:AL1333" si="302">F1325*F1118</f>
        <v>0</v>
      </c>
      <c r="G1333" s="142">
        <f t="shared" si="302"/>
        <v>0</v>
      </c>
      <c r="H1333" s="142">
        <f t="shared" si="302"/>
        <v>0</v>
      </c>
      <c r="I1333" s="142">
        <f t="shared" si="302"/>
        <v>0</v>
      </c>
      <c r="J1333" s="142">
        <f t="shared" si="302"/>
        <v>26.249628027327187</v>
      </c>
      <c r="K1333" s="142">
        <f t="shared" si="302"/>
        <v>11.61877960886463</v>
      </c>
      <c r="L1333" s="142">
        <f t="shared" si="302"/>
        <v>9.8651667788100461</v>
      </c>
      <c r="M1333" s="142">
        <f t="shared" si="302"/>
        <v>0</v>
      </c>
      <c r="N1333" s="142">
        <f t="shared" si="302"/>
        <v>0</v>
      </c>
      <c r="O1333" s="142">
        <f t="shared" si="302"/>
        <v>0</v>
      </c>
      <c r="P1333" s="142">
        <f t="shared" si="302"/>
        <v>15.543848013980947</v>
      </c>
      <c r="Q1333" s="142">
        <f t="shared" si="302"/>
        <v>0</v>
      </c>
      <c r="R1333" s="142">
        <f t="shared" si="302"/>
        <v>366.21774268100722</v>
      </c>
      <c r="S1333" s="142">
        <f t="shared" si="302"/>
        <v>164.33775029876048</v>
      </c>
      <c r="T1333" s="142">
        <f t="shared" si="302"/>
        <v>285.8747416604196</v>
      </c>
      <c r="U1333" s="142">
        <f t="shared" si="302"/>
        <v>0</v>
      </c>
      <c r="V1333" s="142">
        <f t="shared" si="302"/>
        <v>67.409315120908644</v>
      </c>
      <c r="W1333" s="142">
        <f t="shared" si="302"/>
        <v>4.2867456459751168</v>
      </c>
      <c r="X1333" s="142">
        <f t="shared" si="302"/>
        <v>25.040342764770813</v>
      </c>
      <c r="Y1333" s="142">
        <f t="shared" si="302"/>
        <v>30.990035518629156</v>
      </c>
      <c r="Z1333" s="142">
        <f t="shared" si="302"/>
        <v>14.001947569330245</v>
      </c>
      <c r="AA1333" s="142">
        <f t="shared" si="302"/>
        <v>70.883758332891475</v>
      </c>
      <c r="AB1333" s="142">
        <f t="shared" si="302"/>
        <v>20.21512534595405</v>
      </c>
      <c r="AC1333" s="142">
        <f t="shared" si="302"/>
        <v>116.36281274047694</v>
      </c>
      <c r="AD1333" s="142">
        <f t="shared" si="302"/>
        <v>0</v>
      </c>
      <c r="AE1333" s="142">
        <f t="shared" si="302"/>
        <v>21.885971384502994</v>
      </c>
      <c r="AF1333" s="142">
        <f t="shared" si="302"/>
        <v>0</v>
      </c>
      <c r="AG1333" s="142">
        <f t="shared" si="302"/>
        <v>44.917784328062673</v>
      </c>
      <c r="AH1333" s="142">
        <f t="shared" si="302"/>
        <v>44.445029051217254</v>
      </c>
      <c r="AI1333" s="142">
        <f t="shared" si="302"/>
        <v>0</v>
      </c>
      <c r="AJ1333" s="142">
        <f t="shared" si="302"/>
        <v>0</v>
      </c>
      <c r="AK1333" s="142">
        <f t="shared" si="302"/>
        <v>0</v>
      </c>
      <c r="AL1333" s="142">
        <f t="shared" si="302"/>
        <v>0</v>
      </c>
      <c r="AM1333" s="379">
        <f t="shared" si="298"/>
        <v>1340.1465248718894</v>
      </c>
    </row>
    <row r="1334" spans="1:39" x14ac:dyDescent="0.2">
      <c r="A1334" s="202"/>
      <c r="B1334" s="189" t="s">
        <v>348</v>
      </c>
      <c r="C1334" s="219" t="s">
        <v>176</v>
      </c>
      <c r="D1334" s="141"/>
      <c r="E1334" s="142"/>
      <c r="F1334" s="142">
        <f t="shared" ref="F1334:AL1334" si="303">F1326*F1119</f>
        <v>0</v>
      </c>
      <c r="G1334" s="142">
        <f t="shared" si="303"/>
        <v>0</v>
      </c>
      <c r="H1334" s="142">
        <f t="shared" si="303"/>
        <v>0</v>
      </c>
      <c r="I1334" s="142">
        <f t="shared" si="303"/>
        <v>0</v>
      </c>
      <c r="J1334" s="142">
        <f t="shared" si="303"/>
        <v>110.64061236880735</v>
      </c>
      <c r="K1334" s="142">
        <f t="shared" si="303"/>
        <v>23.700847318923604</v>
      </c>
      <c r="L1334" s="142">
        <f t="shared" si="303"/>
        <v>25.423309946026244</v>
      </c>
      <c r="M1334" s="142">
        <f t="shared" si="303"/>
        <v>0</v>
      </c>
      <c r="N1334" s="142">
        <f t="shared" si="303"/>
        <v>0</v>
      </c>
      <c r="O1334" s="142">
        <f t="shared" si="303"/>
        <v>0</v>
      </c>
      <c r="P1334" s="142">
        <f t="shared" si="303"/>
        <v>113.07646050077285</v>
      </c>
      <c r="Q1334" s="142">
        <f t="shared" si="303"/>
        <v>0</v>
      </c>
      <c r="R1334" s="142">
        <f t="shared" si="303"/>
        <v>48.176703702278566</v>
      </c>
      <c r="S1334" s="142">
        <f t="shared" si="303"/>
        <v>100.47209460370667</v>
      </c>
      <c r="T1334" s="142">
        <f t="shared" si="303"/>
        <v>87.829479022500593</v>
      </c>
      <c r="U1334" s="142">
        <f t="shared" si="303"/>
        <v>0</v>
      </c>
      <c r="V1334" s="142">
        <f t="shared" si="303"/>
        <v>155.38814864276347</v>
      </c>
      <c r="W1334" s="142">
        <f t="shared" si="303"/>
        <v>42.268432407837508</v>
      </c>
      <c r="X1334" s="142">
        <f t="shared" si="303"/>
        <v>6.1018279016483721</v>
      </c>
      <c r="Y1334" s="142">
        <f t="shared" si="303"/>
        <v>82.434183552162835</v>
      </c>
      <c r="Z1334" s="142">
        <f t="shared" si="303"/>
        <v>10.66255524053685</v>
      </c>
      <c r="AA1334" s="142">
        <f t="shared" si="303"/>
        <v>129.38509894194431</v>
      </c>
      <c r="AB1334" s="142">
        <f t="shared" si="303"/>
        <v>27.0610883886451</v>
      </c>
      <c r="AC1334" s="142">
        <f t="shared" si="303"/>
        <v>265.55545296902142</v>
      </c>
      <c r="AD1334" s="142">
        <f t="shared" si="303"/>
        <v>0</v>
      </c>
      <c r="AE1334" s="142">
        <f t="shared" si="303"/>
        <v>20.930174229937698</v>
      </c>
      <c r="AF1334" s="142">
        <f t="shared" si="303"/>
        <v>0</v>
      </c>
      <c r="AG1334" s="142">
        <f t="shared" si="303"/>
        <v>41.682943689595085</v>
      </c>
      <c r="AH1334" s="142">
        <f t="shared" si="303"/>
        <v>19.670255296428923</v>
      </c>
      <c r="AI1334" s="142">
        <f t="shared" si="303"/>
        <v>0</v>
      </c>
      <c r="AJ1334" s="142">
        <f t="shared" si="303"/>
        <v>0</v>
      </c>
      <c r="AK1334" s="142">
        <f t="shared" si="303"/>
        <v>0</v>
      </c>
      <c r="AL1334" s="142">
        <f t="shared" si="303"/>
        <v>0</v>
      </c>
      <c r="AM1334" s="379">
        <f t="shared" si="298"/>
        <v>1310.4596687235373</v>
      </c>
    </row>
    <row r="1335" spans="1:39" x14ac:dyDescent="0.2">
      <c r="A1335" s="202"/>
      <c r="B1335" s="189" t="s">
        <v>683</v>
      </c>
      <c r="C1335" s="219" t="s">
        <v>176</v>
      </c>
      <c r="D1335" s="141"/>
      <c r="E1335" s="142"/>
      <c r="F1335" s="142">
        <f t="shared" ref="F1335:AL1335" si="304">SUM(F1329:F1333)</f>
        <v>0</v>
      </c>
      <c r="G1335" s="142">
        <f t="shared" si="304"/>
        <v>0</v>
      </c>
      <c r="H1335" s="142">
        <f t="shared" si="304"/>
        <v>0</v>
      </c>
      <c r="I1335" s="142">
        <f t="shared" si="304"/>
        <v>0</v>
      </c>
      <c r="J1335" s="142">
        <f t="shared" si="304"/>
        <v>1392.0009560409167</v>
      </c>
      <c r="K1335" s="142">
        <f t="shared" si="304"/>
        <v>704.50677924438639</v>
      </c>
      <c r="L1335" s="142">
        <f t="shared" si="304"/>
        <v>780.19987943348269</v>
      </c>
      <c r="M1335" s="142">
        <f t="shared" si="304"/>
        <v>0</v>
      </c>
      <c r="N1335" s="142">
        <f t="shared" si="304"/>
        <v>0</v>
      </c>
      <c r="O1335" s="142">
        <f t="shared" si="304"/>
        <v>0</v>
      </c>
      <c r="P1335" s="142">
        <f t="shared" si="304"/>
        <v>2432.2973042825447</v>
      </c>
      <c r="Q1335" s="142">
        <f t="shared" si="304"/>
        <v>0</v>
      </c>
      <c r="R1335" s="142">
        <f t="shared" si="304"/>
        <v>2228.0609011692241</v>
      </c>
      <c r="S1335" s="142">
        <f t="shared" si="304"/>
        <v>1900.8078438545824</v>
      </c>
      <c r="T1335" s="142">
        <f t="shared" si="304"/>
        <v>3444.0038322513351</v>
      </c>
      <c r="U1335" s="142">
        <f t="shared" si="304"/>
        <v>0</v>
      </c>
      <c r="V1335" s="142">
        <f t="shared" si="304"/>
        <v>5044.6194089828523</v>
      </c>
      <c r="W1335" s="142">
        <f t="shared" si="304"/>
        <v>787.90845794912525</v>
      </c>
      <c r="X1335" s="142">
        <f t="shared" si="304"/>
        <v>413.56740551672203</v>
      </c>
      <c r="Y1335" s="142">
        <f t="shared" si="304"/>
        <v>568.91648266797756</v>
      </c>
      <c r="Z1335" s="142">
        <f t="shared" si="304"/>
        <v>546.87886593850055</v>
      </c>
      <c r="AA1335" s="142">
        <f t="shared" si="304"/>
        <v>793.0901176964677</v>
      </c>
      <c r="AB1335" s="142">
        <f t="shared" si="304"/>
        <v>1247.1247991674106</v>
      </c>
      <c r="AC1335" s="142">
        <f t="shared" si="304"/>
        <v>2934.4137073757097</v>
      </c>
      <c r="AD1335" s="142">
        <f t="shared" si="304"/>
        <v>0</v>
      </c>
      <c r="AE1335" s="142">
        <f t="shared" si="304"/>
        <v>1034.8138865408264</v>
      </c>
      <c r="AF1335" s="142">
        <f t="shared" si="304"/>
        <v>0</v>
      </c>
      <c r="AG1335" s="142">
        <f t="shared" si="304"/>
        <v>881.84367394768708</v>
      </c>
      <c r="AH1335" s="142">
        <f t="shared" si="304"/>
        <v>1013.285596652423</v>
      </c>
      <c r="AI1335" s="142">
        <f t="shared" si="304"/>
        <v>0</v>
      </c>
      <c r="AJ1335" s="142">
        <f t="shared" si="304"/>
        <v>0</v>
      </c>
      <c r="AK1335" s="142">
        <f t="shared" si="304"/>
        <v>0</v>
      </c>
      <c r="AL1335" s="142">
        <f t="shared" si="304"/>
        <v>0</v>
      </c>
      <c r="AM1335" s="379">
        <f t="shared" si="298"/>
        <v>28148.339898712169</v>
      </c>
    </row>
    <row r="1336" spans="1:39" x14ac:dyDescent="0.2">
      <c r="A1336" s="1"/>
      <c r="B1336" s="1"/>
      <c r="C1336" s="3"/>
      <c r="D1336" s="1"/>
      <c r="E1336" s="1"/>
      <c r="F1336" s="8"/>
      <c r="G1336" s="8"/>
      <c r="H1336" s="8"/>
      <c r="I1336" s="8"/>
      <c r="J1336" s="8"/>
      <c r="K1336" s="8"/>
      <c r="L1336" s="8"/>
      <c r="M1336" s="8"/>
      <c r="N1336" s="8"/>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107"/>
    </row>
    <row r="1337" spans="1:39" x14ac:dyDescent="0.2">
      <c r="A1337" s="204"/>
      <c r="B1337" s="183" t="s">
        <v>684</v>
      </c>
      <c r="C1337" s="220"/>
      <c r="D1337" s="139"/>
      <c r="E1337" s="1"/>
      <c r="F1337" s="139"/>
      <c r="G1337" s="139"/>
      <c r="H1337" s="139"/>
      <c r="I1337" s="139"/>
      <c r="J1337" s="139"/>
      <c r="K1337" s="139"/>
      <c r="L1337" s="139"/>
      <c r="M1337" s="139"/>
      <c r="N1337" s="139"/>
      <c r="O1337" s="139"/>
      <c r="P1337" s="139"/>
      <c r="Q1337" s="139"/>
      <c r="R1337" s="139"/>
      <c r="S1337" s="139"/>
      <c r="T1337" s="139"/>
      <c r="U1337" s="139"/>
      <c r="V1337" s="139"/>
      <c r="W1337" s="139"/>
      <c r="X1337" s="139"/>
      <c r="Y1337" s="139"/>
      <c r="Z1337" s="139"/>
      <c r="AA1337" s="139"/>
      <c r="AB1337" s="139"/>
      <c r="AC1337" s="139"/>
      <c r="AD1337" s="139"/>
      <c r="AE1337" s="139"/>
      <c r="AF1337" s="139"/>
      <c r="AG1337" s="139"/>
      <c r="AH1337" s="139"/>
      <c r="AI1337" s="139"/>
      <c r="AJ1337" s="139"/>
      <c r="AK1337" s="139"/>
      <c r="AL1337" s="139"/>
      <c r="AM1337" s="107"/>
    </row>
    <row r="1338" spans="1:39" ht="15" x14ac:dyDescent="0.25">
      <c r="A1338" s="206" t="s">
        <v>606</v>
      </c>
      <c r="B1338" s="184" t="s">
        <v>685</v>
      </c>
      <c r="C1338" s="222" t="s">
        <v>338</v>
      </c>
      <c r="D1338" s="268" t="s">
        <v>681</v>
      </c>
      <c r="E1338" s="31"/>
      <c r="F1338" s="179">
        <v>18.72</v>
      </c>
      <c r="G1338" s="179">
        <v>18.72</v>
      </c>
      <c r="H1338" s="179">
        <v>18.72</v>
      </c>
      <c r="I1338" s="179">
        <v>18.72</v>
      </c>
      <c r="J1338" s="179">
        <v>18.72</v>
      </c>
      <c r="K1338" s="179">
        <v>18.72</v>
      </c>
      <c r="L1338" s="179">
        <v>18.72</v>
      </c>
      <c r="M1338" s="179">
        <v>18.72</v>
      </c>
      <c r="N1338" s="179">
        <v>18.72</v>
      </c>
      <c r="O1338" s="179">
        <v>18.72</v>
      </c>
      <c r="P1338" s="179">
        <v>18.72</v>
      </c>
      <c r="Q1338" s="179">
        <v>18.72</v>
      </c>
      <c r="R1338" s="179">
        <v>18.72</v>
      </c>
      <c r="S1338" s="179">
        <v>18.72</v>
      </c>
      <c r="T1338" s="179">
        <v>18.72</v>
      </c>
      <c r="U1338" s="179">
        <v>18.72</v>
      </c>
      <c r="V1338" s="179">
        <v>18.72</v>
      </c>
      <c r="W1338" s="179">
        <v>18.72</v>
      </c>
      <c r="X1338" s="179">
        <v>18.72</v>
      </c>
      <c r="Y1338" s="179">
        <v>18.72</v>
      </c>
      <c r="Z1338" s="179">
        <v>18.72</v>
      </c>
      <c r="AA1338" s="179">
        <v>18.72</v>
      </c>
      <c r="AB1338" s="179">
        <v>18.72</v>
      </c>
      <c r="AC1338" s="179">
        <v>18.72</v>
      </c>
      <c r="AD1338" s="179">
        <v>18.72</v>
      </c>
      <c r="AE1338" s="179">
        <v>18.72</v>
      </c>
      <c r="AF1338" s="179">
        <v>18.72</v>
      </c>
      <c r="AG1338" s="179">
        <v>18.72</v>
      </c>
      <c r="AH1338" s="179">
        <v>18.72</v>
      </c>
      <c r="AI1338" s="179">
        <v>18.72</v>
      </c>
      <c r="AJ1338" s="179">
        <v>18.72</v>
      </c>
      <c r="AK1338" s="179">
        <v>18.72</v>
      </c>
      <c r="AL1338" s="179">
        <v>18.72</v>
      </c>
      <c r="AM1338" s="383">
        <f t="shared" ref="AM1338:AM1355" si="305">AVERAGE(F1338:AL1338)</f>
        <v>18.720000000000013</v>
      </c>
    </row>
    <row r="1339" spans="1:39" ht="15" x14ac:dyDescent="0.25">
      <c r="A1339" s="206"/>
      <c r="B1339" s="184" t="s">
        <v>686</v>
      </c>
      <c r="C1339" s="222" t="s">
        <v>338</v>
      </c>
      <c r="D1339" s="268" t="s">
        <v>681</v>
      </c>
      <c r="E1339" s="31"/>
      <c r="F1339" s="180">
        <v>7.7027027027027026</v>
      </c>
      <c r="G1339" s="180">
        <v>7.7027027027027026</v>
      </c>
      <c r="H1339" s="180">
        <v>7.7027027027027026</v>
      </c>
      <c r="I1339" s="180">
        <v>7.7027027027027026</v>
      </c>
      <c r="J1339" s="180">
        <v>7.7027027027027026</v>
      </c>
      <c r="K1339" s="180">
        <v>7.7027027027027026</v>
      </c>
      <c r="L1339" s="180">
        <v>7.7027027027027026</v>
      </c>
      <c r="M1339" s="180">
        <v>7.7027027027027026</v>
      </c>
      <c r="N1339" s="180">
        <v>7.7027027027027026</v>
      </c>
      <c r="O1339" s="180">
        <v>7.7027027027027026</v>
      </c>
      <c r="P1339" s="180">
        <v>7.7027027027027026</v>
      </c>
      <c r="Q1339" s="180">
        <v>7.7027027027027026</v>
      </c>
      <c r="R1339" s="180">
        <v>7.7027027027027026</v>
      </c>
      <c r="S1339" s="180">
        <v>7.7027027027027026</v>
      </c>
      <c r="T1339" s="180">
        <v>7.7027027027027026</v>
      </c>
      <c r="U1339" s="180">
        <v>7.7027027027027026</v>
      </c>
      <c r="V1339" s="180">
        <v>7.7027027027027026</v>
      </c>
      <c r="W1339" s="180">
        <v>7.7027027027027026</v>
      </c>
      <c r="X1339" s="180">
        <v>7.7027027027027026</v>
      </c>
      <c r="Y1339" s="180">
        <v>7.7027027027027026</v>
      </c>
      <c r="Z1339" s="180">
        <v>7.7027027027027026</v>
      </c>
      <c r="AA1339" s="180">
        <v>7.7027027027027026</v>
      </c>
      <c r="AB1339" s="180">
        <v>7.7027027027027026</v>
      </c>
      <c r="AC1339" s="180">
        <v>7.7027027027027026</v>
      </c>
      <c r="AD1339" s="180">
        <v>7.7027027027027026</v>
      </c>
      <c r="AE1339" s="180">
        <v>7.7027027027027026</v>
      </c>
      <c r="AF1339" s="180">
        <v>7.7027027027027026</v>
      </c>
      <c r="AG1339" s="180">
        <v>7.7027027027027026</v>
      </c>
      <c r="AH1339" s="180">
        <v>7.7027027027027026</v>
      </c>
      <c r="AI1339" s="180">
        <v>7.7027027027027026</v>
      </c>
      <c r="AJ1339" s="180">
        <v>7.7027027027027026</v>
      </c>
      <c r="AK1339" s="180">
        <v>7.7027027027027026</v>
      </c>
      <c r="AL1339" s="180">
        <v>7.7027027027027026</v>
      </c>
      <c r="AM1339" s="383">
        <f t="shared" si="305"/>
        <v>7.7027027027027071</v>
      </c>
    </row>
    <row r="1340" spans="1:39" ht="15" x14ac:dyDescent="0.25">
      <c r="A1340" s="206"/>
      <c r="B1340" s="184" t="s">
        <v>687</v>
      </c>
      <c r="C1340" s="222" t="s">
        <v>338</v>
      </c>
      <c r="D1340" s="268" t="s">
        <v>681</v>
      </c>
      <c r="E1340" s="31"/>
      <c r="F1340" s="179">
        <v>10.315398886827458</v>
      </c>
      <c r="G1340" s="179">
        <v>10.315398886827458</v>
      </c>
      <c r="H1340" s="179">
        <v>10.315398886827458</v>
      </c>
      <c r="I1340" s="179">
        <v>10.315398886827458</v>
      </c>
      <c r="J1340" s="179">
        <v>10.315398886827458</v>
      </c>
      <c r="K1340" s="179">
        <v>10.315398886827458</v>
      </c>
      <c r="L1340" s="179">
        <v>10.315398886827458</v>
      </c>
      <c r="M1340" s="179">
        <v>10.315398886827458</v>
      </c>
      <c r="N1340" s="179">
        <v>10.315398886827458</v>
      </c>
      <c r="O1340" s="179">
        <v>10.315398886827458</v>
      </c>
      <c r="P1340" s="179">
        <v>10.315398886827458</v>
      </c>
      <c r="Q1340" s="179">
        <v>10.315398886827458</v>
      </c>
      <c r="R1340" s="179">
        <v>10.315398886827458</v>
      </c>
      <c r="S1340" s="179">
        <v>10.315398886827458</v>
      </c>
      <c r="T1340" s="179">
        <v>10.315398886827458</v>
      </c>
      <c r="U1340" s="179">
        <v>10.315398886827458</v>
      </c>
      <c r="V1340" s="179">
        <v>10.315398886827458</v>
      </c>
      <c r="W1340" s="179">
        <v>10.315398886827458</v>
      </c>
      <c r="X1340" s="179">
        <v>10.315398886827458</v>
      </c>
      <c r="Y1340" s="179">
        <v>10.315398886827458</v>
      </c>
      <c r="Z1340" s="179">
        <v>10.315398886827458</v>
      </c>
      <c r="AA1340" s="179">
        <v>10.315398886827458</v>
      </c>
      <c r="AB1340" s="179">
        <v>10.315398886827458</v>
      </c>
      <c r="AC1340" s="179">
        <v>10.315398886827458</v>
      </c>
      <c r="AD1340" s="179">
        <v>10.315398886827458</v>
      </c>
      <c r="AE1340" s="179">
        <v>10.315398886827458</v>
      </c>
      <c r="AF1340" s="179">
        <v>10.315398886827458</v>
      </c>
      <c r="AG1340" s="179">
        <v>10.315398886827458</v>
      </c>
      <c r="AH1340" s="179">
        <v>10.315398886827458</v>
      </c>
      <c r="AI1340" s="179">
        <v>10.315398886827458</v>
      </c>
      <c r="AJ1340" s="179">
        <v>10.315398886827458</v>
      </c>
      <c r="AK1340" s="179">
        <v>10.315398886827458</v>
      </c>
      <c r="AL1340" s="179">
        <v>10.315398886827458</v>
      </c>
      <c r="AM1340" s="383">
        <f t="shared" si="305"/>
        <v>10.315398886827456</v>
      </c>
    </row>
    <row r="1341" spans="1:39" ht="15" x14ac:dyDescent="0.25">
      <c r="A1341" s="206"/>
      <c r="B1341" s="184"/>
      <c r="C1341" s="222"/>
      <c r="D1341" s="147"/>
      <c r="E1341" s="8"/>
      <c r="F1341" s="147"/>
      <c r="G1341" s="147"/>
      <c r="H1341" s="147"/>
      <c r="I1341" s="147"/>
      <c r="J1341" s="147"/>
      <c r="K1341" s="147"/>
      <c r="L1341" s="147"/>
      <c r="M1341" s="147"/>
      <c r="N1341" s="147"/>
      <c r="O1341" s="147"/>
      <c r="P1341" s="147"/>
      <c r="Q1341" s="147"/>
      <c r="R1341" s="147"/>
      <c r="S1341" s="147"/>
      <c r="T1341" s="147"/>
      <c r="U1341" s="147"/>
      <c r="V1341" s="147"/>
      <c r="W1341" s="147"/>
      <c r="X1341" s="147"/>
      <c r="Y1341" s="147"/>
      <c r="Z1341" s="147"/>
      <c r="AA1341" s="147"/>
      <c r="AB1341" s="147"/>
      <c r="AC1341" s="147"/>
      <c r="AD1341" s="147"/>
      <c r="AE1341" s="147"/>
      <c r="AF1341" s="147"/>
      <c r="AG1341" s="147"/>
      <c r="AH1341" s="147"/>
      <c r="AI1341" s="147"/>
      <c r="AJ1341" s="147"/>
      <c r="AK1341" s="147"/>
      <c r="AL1341" s="147"/>
      <c r="AM1341" s="383"/>
    </row>
    <row r="1342" spans="1:39" ht="15" x14ac:dyDescent="0.25">
      <c r="A1342" s="206" t="s">
        <v>607</v>
      </c>
      <c r="B1342" s="184" t="s">
        <v>685</v>
      </c>
      <c r="C1342" s="222" t="s">
        <v>338</v>
      </c>
      <c r="D1342" s="268" t="s">
        <v>681</v>
      </c>
      <c r="E1342" s="31"/>
      <c r="F1342" s="180">
        <v>11.686746987951807</v>
      </c>
      <c r="G1342" s="180">
        <v>11.686746987951807</v>
      </c>
      <c r="H1342" s="180">
        <v>11.686746987951807</v>
      </c>
      <c r="I1342" s="180">
        <v>11.686746987951807</v>
      </c>
      <c r="J1342" s="180">
        <v>11.686746987951807</v>
      </c>
      <c r="K1342" s="180">
        <v>11.686746987951807</v>
      </c>
      <c r="L1342" s="180">
        <v>11.686746987951807</v>
      </c>
      <c r="M1342" s="180">
        <v>11.686746987951807</v>
      </c>
      <c r="N1342" s="180">
        <v>11.686746987951807</v>
      </c>
      <c r="O1342" s="180">
        <v>11.686746987951807</v>
      </c>
      <c r="P1342" s="180">
        <v>11.686746987951807</v>
      </c>
      <c r="Q1342" s="180">
        <v>11.686746987951807</v>
      </c>
      <c r="R1342" s="180">
        <v>11.686746987951807</v>
      </c>
      <c r="S1342" s="180">
        <v>11.686746987951807</v>
      </c>
      <c r="T1342" s="180">
        <v>11.686746987951807</v>
      </c>
      <c r="U1342" s="180">
        <v>11.686746987951807</v>
      </c>
      <c r="V1342" s="180">
        <v>11.686746987951807</v>
      </c>
      <c r="W1342" s="180">
        <v>11.686746987951807</v>
      </c>
      <c r="X1342" s="180">
        <v>11.686746987951807</v>
      </c>
      <c r="Y1342" s="180">
        <v>11.686746987951807</v>
      </c>
      <c r="Z1342" s="180">
        <v>11.686746987951807</v>
      </c>
      <c r="AA1342" s="180">
        <v>11.686746987951807</v>
      </c>
      <c r="AB1342" s="180">
        <v>11.686746987951807</v>
      </c>
      <c r="AC1342" s="180">
        <v>11.686746987951807</v>
      </c>
      <c r="AD1342" s="180">
        <v>11.686746987951807</v>
      </c>
      <c r="AE1342" s="180">
        <v>11.686746987951807</v>
      </c>
      <c r="AF1342" s="180">
        <v>11.686746987951807</v>
      </c>
      <c r="AG1342" s="180">
        <v>11.686746987951807</v>
      </c>
      <c r="AH1342" s="180">
        <v>11.686746987951807</v>
      </c>
      <c r="AI1342" s="180">
        <v>11.686746987951807</v>
      </c>
      <c r="AJ1342" s="180">
        <v>11.686746987951807</v>
      </c>
      <c r="AK1342" s="180">
        <v>11.686746987951807</v>
      </c>
      <c r="AL1342" s="180">
        <v>11.686746987951807</v>
      </c>
      <c r="AM1342" s="383">
        <f t="shared" si="305"/>
        <v>11.6867469879518</v>
      </c>
    </row>
    <row r="1343" spans="1:39" ht="15" x14ac:dyDescent="0.25">
      <c r="A1343" s="206"/>
      <c r="B1343" s="184" t="s">
        <v>687</v>
      </c>
      <c r="C1343" s="222" t="s">
        <v>338</v>
      </c>
      <c r="D1343" s="268" t="s">
        <v>681</v>
      </c>
      <c r="E1343" s="31"/>
      <c r="F1343" s="180">
        <v>10.76923076923077</v>
      </c>
      <c r="G1343" s="180">
        <v>10.76923076923077</v>
      </c>
      <c r="H1343" s="180">
        <v>10.76923076923077</v>
      </c>
      <c r="I1343" s="180">
        <v>10.76923076923077</v>
      </c>
      <c r="J1343" s="180">
        <v>10.76923076923077</v>
      </c>
      <c r="K1343" s="180">
        <v>10.76923076923077</v>
      </c>
      <c r="L1343" s="180">
        <v>10.76923076923077</v>
      </c>
      <c r="M1343" s="180">
        <v>10.76923076923077</v>
      </c>
      <c r="N1343" s="180">
        <v>10.76923076923077</v>
      </c>
      <c r="O1343" s="180">
        <v>10.76923076923077</v>
      </c>
      <c r="P1343" s="180">
        <v>10.76923076923077</v>
      </c>
      <c r="Q1343" s="180">
        <v>10.76923076923077</v>
      </c>
      <c r="R1343" s="180">
        <v>10.76923076923077</v>
      </c>
      <c r="S1343" s="180">
        <v>10.76923076923077</v>
      </c>
      <c r="T1343" s="180">
        <v>10.76923076923077</v>
      </c>
      <c r="U1343" s="180">
        <v>10.76923076923077</v>
      </c>
      <c r="V1343" s="180">
        <v>10.76923076923077</v>
      </c>
      <c r="W1343" s="180">
        <v>10.76923076923077</v>
      </c>
      <c r="X1343" s="180">
        <v>10.76923076923077</v>
      </c>
      <c r="Y1343" s="180">
        <v>10.76923076923077</v>
      </c>
      <c r="Z1343" s="180">
        <v>10.76923076923077</v>
      </c>
      <c r="AA1343" s="180">
        <v>10.76923076923077</v>
      </c>
      <c r="AB1343" s="180">
        <v>10.76923076923077</v>
      </c>
      <c r="AC1343" s="180">
        <v>10.76923076923077</v>
      </c>
      <c r="AD1343" s="180">
        <v>10.76923076923077</v>
      </c>
      <c r="AE1343" s="180">
        <v>10.76923076923077</v>
      </c>
      <c r="AF1343" s="180">
        <v>10.76923076923077</v>
      </c>
      <c r="AG1343" s="180">
        <v>10.76923076923077</v>
      </c>
      <c r="AH1343" s="180">
        <v>10.76923076923077</v>
      </c>
      <c r="AI1343" s="180">
        <v>10.76923076923077</v>
      </c>
      <c r="AJ1343" s="180">
        <v>10.76923076923077</v>
      </c>
      <c r="AK1343" s="180">
        <v>10.76923076923077</v>
      </c>
      <c r="AL1343" s="180">
        <v>10.76923076923077</v>
      </c>
      <c r="AM1343" s="383">
        <f t="shared" si="305"/>
        <v>10.769230769230772</v>
      </c>
    </row>
    <row r="1344" spans="1:39" ht="15" x14ac:dyDescent="0.25">
      <c r="A1344" s="206"/>
      <c r="B1344" s="184"/>
      <c r="C1344" s="222"/>
      <c r="D1344" s="147"/>
      <c r="E1344" s="8"/>
      <c r="F1344" s="147"/>
      <c r="G1344" s="147"/>
      <c r="H1344" s="147"/>
      <c r="I1344" s="147"/>
      <c r="J1344" s="147"/>
      <c r="K1344" s="147"/>
      <c r="L1344" s="147"/>
      <c r="M1344" s="147"/>
      <c r="N1344" s="147"/>
      <c r="O1344" s="147"/>
      <c r="P1344" s="147"/>
      <c r="Q1344" s="147"/>
      <c r="R1344" s="147"/>
      <c r="S1344" s="147"/>
      <c r="T1344" s="147"/>
      <c r="U1344" s="147"/>
      <c r="V1344" s="147"/>
      <c r="W1344" s="147"/>
      <c r="X1344" s="147"/>
      <c r="Y1344" s="147"/>
      <c r="Z1344" s="147"/>
      <c r="AA1344" s="147"/>
      <c r="AB1344" s="147"/>
      <c r="AC1344" s="147"/>
      <c r="AD1344" s="147"/>
      <c r="AE1344" s="147"/>
      <c r="AF1344" s="147"/>
      <c r="AG1344" s="147"/>
      <c r="AH1344" s="147"/>
      <c r="AI1344" s="147"/>
      <c r="AJ1344" s="147"/>
      <c r="AK1344" s="147"/>
      <c r="AL1344" s="147"/>
      <c r="AM1344" s="383"/>
    </row>
    <row r="1345" spans="1:39" ht="15" x14ac:dyDescent="0.25">
      <c r="A1345" s="206" t="s">
        <v>608</v>
      </c>
      <c r="B1345" s="184" t="s">
        <v>685</v>
      </c>
      <c r="C1345" s="222" t="s">
        <v>338</v>
      </c>
      <c r="D1345" s="268" t="s">
        <v>681</v>
      </c>
      <c r="E1345" s="31"/>
      <c r="F1345" s="180">
        <v>11.686746987951807</v>
      </c>
      <c r="G1345" s="180">
        <v>11.686746987951807</v>
      </c>
      <c r="H1345" s="180">
        <v>11.686746987951807</v>
      </c>
      <c r="I1345" s="180">
        <v>11.686746987951807</v>
      </c>
      <c r="J1345" s="180">
        <v>11.686746987951807</v>
      </c>
      <c r="K1345" s="180">
        <v>11.686746987951807</v>
      </c>
      <c r="L1345" s="180">
        <v>11.686746987951807</v>
      </c>
      <c r="M1345" s="180">
        <v>11.686746987951807</v>
      </c>
      <c r="N1345" s="180">
        <v>11.686746987951807</v>
      </c>
      <c r="O1345" s="180">
        <v>11.686746987951807</v>
      </c>
      <c r="P1345" s="180">
        <v>11.686746987951807</v>
      </c>
      <c r="Q1345" s="180">
        <v>11.686746987951807</v>
      </c>
      <c r="R1345" s="180">
        <v>11.686746987951807</v>
      </c>
      <c r="S1345" s="180">
        <v>11.686746987951807</v>
      </c>
      <c r="T1345" s="180">
        <v>11.686746987951807</v>
      </c>
      <c r="U1345" s="180">
        <v>11.686746987951807</v>
      </c>
      <c r="V1345" s="180">
        <v>11.686746987951807</v>
      </c>
      <c r="W1345" s="180">
        <v>11.686746987951807</v>
      </c>
      <c r="X1345" s="180">
        <v>11.686746987951807</v>
      </c>
      <c r="Y1345" s="180">
        <v>11.686746987951807</v>
      </c>
      <c r="Z1345" s="180">
        <v>11.686746987951807</v>
      </c>
      <c r="AA1345" s="180">
        <v>11.686746987951807</v>
      </c>
      <c r="AB1345" s="180">
        <v>11.686746987951807</v>
      </c>
      <c r="AC1345" s="180">
        <v>11.686746987951807</v>
      </c>
      <c r="AD1345" s="180">
        <v>11.686746987951807</v>
      </c>
      <c r="AE1345" s="180">
        <v>11.686746987951807</v>
      </c>
      <c r="AF1345" s="180">
        <v>11.686746987951807</v>
      </c>
      <c r="AG1345" s="180">
        <v>11.686746987951807</v>
      </c>
      <c r="AH1345" s="180">
        <v>11.686746987951807</v>
      </c>
      <c r="AI1345" s="180">
        <v>11.686746987951807</v>
      </c>
      <c r="AJ1345" s="180">
        <v>11.686746987951807</v>
      </c>
      <c r="AK1345" s="180">
        <v>11.686746987951807</v>
      </c>
      <c r="AL1345" s="180">
        <v>11.686746987951807</v>
      </c>
      <c r="AM1345" s="383">
        <f t="shared" si="305"/>
        <v>11.6867469879518</v>
      </c>
    </row>
    <row r="1346" spans="1:39" ht="15" x14ac:dyDescent="0.25">
      <c r="A1346" s="206"/>
      <c r="B1346" s="184" t="s">
        <v>687</v>
      </c>
      <c r="C1346" s="222" t="s">
        <v>338</v>
      </c>
      <c r="D1346" s="268" t="s">
        <v>681</v>
      </c>
      <c r="E1346" s="31"/>
      <c r="F1346" s="180">
        <v>10.76923076923077</v>
      </c>
      <c r="G1346" s="180">
        <v>10.76923076923077</v>
      </c>
      <c r="H1346" s="180">
        <v>10.76923076923077</v>
      </c>
      <c r="I1346" s="180">
        <v>10.76923076923077</v>
      </c>
      <c r="J1346" s="180">
        <v>10.76923076923077</v>
      </c>
      <c r="K1346" s="180">
        <v>10.76923076923077</v>
      </c>
      <c r="L1346" s="180">
        <v>10.76923076923077</v>
      </c>
      <c r="M1346" s="180">
        <v>10.76923076923077</v>
      </c>
      <c r="N1346" s="180">
        <v>10.76923076923077</v>
      </c>
      <c r="O1346" s="180">
        <v>10.76923076923077</v>
      </c>
      <c r="P1346" s="180">
        <v>10.76923076923077</v>
      </c>
      <c r="Q1346" s="180">
        <v>10.76923076923077</v>
      </c>
      <c r="R1346" s="180">
        <v>10.76923076923077</v>
      </c>
      <c r="S1346" s="180">
        <v>10.76923076923077</v>
      </c>
      <c r="T1346" s="180">
        <v>10.76923076923077</v>
      </c>
      <c r="U1346" s="180">
        <v>10.76923076923077</v>
      </c>
      <c r="V1346" s="180">
        <v>10.76923076923077</v>
      </c>
      <c r="W1346" s="180">
        <v>10.76923076923077</v>
      </c>
      <c r="X1346" s="180">
        <v>10.76923076923077</v>
      </c>
      <c r="Y1346" s="180">
        <v>10.76923076923077</v>
      </c>
      <c r="Z1346" s="180">
        <v>10.76923076923077</v>
      </c>
      <c r="AA1346" s="180">
        <v>10.76923076923077</v>
      </c>
      <c r="AB1346" s="180">
        <v>10.76923076923077</v>
      </c>
      <c r="AC1346" s="180">
        <v>10.76923076923077</v>
      </c>
      <c r="AD1346" s="180">
        <v>10.76923076923077</v>
      </c>
      <c r="AE1346" s="180">
        <v>10.76923076923077</v>
      </c>
      <c r="AF1346" s="180">
        <v>10.76923076923077</v>
      </c>
      <c r="AG1346" s="180">
        <v>10.76923076923077</v>
      </c>
      <c r="AH1346" s="180">
        <v>10.76923076923077</v>
      </c>
      <c r="AI1346" s="180">
        <v>10.76923076923077</v>
      </c>
      <c r="AJ1346" s="180">
        <v>10.76923076923077</v>
      </c>
      <c r="AK1346" s="180">
        <v>10.76923076923077</v>
      </c>
      <c r="AL1346" s="180">
        <v>10.76923076923077</v>
      </c>
      <c r="AM1346" s="383">
        <f t="shared" si="305"/>
        <v>10.769230769230772</v>
      </c>
    </row>
    <row r="1347" spans="1:39" ht="15" x14ac:dyDescent="0.25">
      <c r="A1347" s="206"/>
      <c r="B1347" s="184"/>
      <c r="C1347" s="222"/>
      <c r="D1347" s="147"/>
      <c r="E1347" s="8"/>
      <c r="F1347" s="147"/>
      <c r="G1347" s="147"/>
      <c r="H1347" s="147"/>
      <c r="I1347" s="147"/>
      <c r="J1347" s="147"/>
      <c r="K1347" s="147"/>
      <c r="L1347" s="147"/>
      <c r="M1347" s="147"/>
      <c r="N1347" s="147"/>
      <c r="O1347" s="147"/>
      <c r="P1347" s="147"/>
      <c r="Q1347" s="147"/>
      <c r="R1347" s="147"/>
      <c r="S1347" s="147"/>
      <c r="T1347" s="147"/>
      <c r="U1347" s="147"/>
      <c r="V1347" s="147"/>
      <c r="W1347" s="147"/>
      <c r="X1347" s="147"/>
      <c r="Y1347" s="147"/>
      <c r="Z1347" s="147"/>
      <c r="AA1347" s="147"/>
      <c r="AB1347" s="147"/>
      <c r="AC1347" s="147"/>
      <c r="AD1347" s="147"/>
      <c r="AE1347" s="147"/>
      <c r="AF1347" s="147"/>
      <c r="AG1347" s="147"/>
      <c r="AH1347" s="147"/>
      <c r="AI1347" s="147"/>
      <c r="AJ1347" s="147"/>
      <c r="AK1347" s="147"/>
      <c r="AL1347" s="147"/>
      <c r="AM1347" s="383"/>
    </row>
    <row r="1348" spans="1:39" ht="15" x14ac:dyDescent="0.25">
      <c r="A1348" s="206" t="s">
        <v>609</v>
      </c>
      <c r="B1348" s="184" t="s">
        <v>685</v>
      </c>
      <c r="C1348" s="222" t="s">
        <v>338</v>
      </c>
      <c r="D1348" s="268" t="s">
        <v>681</v>
      </c>
      <c r="E1348" s="31"/>
      <c r="F1348" s="179">
        <v>22.8</v>
      </c>
      <c r="G1348" s="179">
        <v>22.8</v>
      </c>
      <c r="H1348" s="179">
        <v>22.8</v>
      </c>
      <c r="I1348" s="179">
        <v>22.8</v>
      </c>
      <c r="J1348" s="179">
        <v>22.8</v>
      </c>
      <c r="K1348" s="179">
        <v>22.8</v>
      </c>
      <c r="L1348" s="179">
        <v>22.8</v>
      </c>
      <c r="M1348" s="179">
        <v>22.8</v>
      </c>
      <c r="N1348" s="179">
        <v>22.8</v>
      </c>
      <c r="O1348" s="179">
        <v>22.8</v>
      </c>
      <c r="P1348" s="179">
        <v>22.8</v>
      </c>
      <c r="Q1348" s="179">
        <v>22.8</v>
      </c>
      <c r="R1348" s="179">
        <v>22.8</v>
      </c>
      <c r="S1348" s="179">
        <v>22.8</v>
      </c>
      <c r="T1348" s="179">
        <v>22.8</v>
      </c>
      <c r="U1348" s="179">
        <v>22.8</v>
      </c>
      <c r="V1348" s="179">
        <v>22.8</v>
      </c>
      <c r="W1348" s="179">
        <v>22.8</v>
      </c>
      <c r="X1348" s="179">
        <v>22.8</v>
      </c>
      <c r="Y1348" s="179">
        <v>22.8</v>
      </c>
      <c r="Z1348" s="179">
        <v>22.8</v>
      </c>
      <c r="AA1348" s="179">
        <v>22.8</v>
      </c>
      <c r="AB1348" s="179">
        <v>22.8</v>
      </c>
      <c r="AC1348" s="179">
        <v>22.8</v>
      </c>
      <c r="AD1348" s="179">
        <v>22.8</v>
      </c>
      <c r="AE1348" s="179">
        <v>22.8</v>
      </c>
      <c r="AF1348" s="179">
        <v>22.8</v>
      </c>
      <c r="AG1348" s="179">
        <v>22.8</v>
      </c>
      <c r="AH1348" s="179">
        <v>22.8</v>
      </c>
      <c r="AI1348" s="179">
        <v>22.8</v>
      </c>
      <c r="AJ1348" s="179">
        <v>22.8</v>
      </c>
      <c r="AK1348" s="179">
        <v>22.8</v>
      </c>
      <c r="AL1348" s="179">
        <v>22.8</v>
      </c>
      <c r="AM1348" s="383">
        <f t="shared" si="305"/>
        <v>22.799999999999994</v>
      </c>
    </row>
    <row r="1349" spans="1:39" ht="15" x14ac:dyDescent="0.25">
      <c r="A1349" s="206"/>
      <c r="B1349" s="184" t="s">
        <v>688</v>
      </c>
      <c r="C1349" s="222" t="s">
        <v>338</v>
      </c>
      <c r="D1349" s="268" t="s">
        <v>681</v>
      </c>
      <c r="E1349" s="31"/>
      <c r="F1349" s="179">
        <v>4.4623655913978491</v>
      </c>
      <c r="G1349" s="179">
        <v>4.4623655913978491</v>
      </c>
      <c r="H1349" s="179">
        <v>4.4623655913978491</v>
      </c>
      <c r="I1349" s="179">
        <v>4.4623655913978491</v>
      </c>
      <c r="J1349" s="179">
        <v>4.4623655913978491</v>
      </c>
      <c r="K1349" s="179">
        <v>4.4623655913978491</v>
      </c>
      <c r="L1349" s="179">
        <v>4.4623655913978491</v>
      </c>
      <c r="M1349" s="179">
        <v>4.4623655913978491</v>
      </c>
      <c r="N1349" s="179">
        <v>4.4623655913978491</v>
      </c>
      <c r="O1349" s="179">
        <v>4.4623655913978491</v>
      </c>
      <c r="P1349" s="179">
        <v>4.4623655913978491</v>
      </c>
      <c r="Q1349" s="179">
        <v>4.4623655913978491</v>
      </c>
      <c r="R1349" s="179">
        <v>4.4623655913978491</v>
      </c>
      <c r="S1349" s="179">
        <v>4.4623655913978491</v>
      </c>
      <c r="T1349" s="179">
        <v>4.4623655913978491</v>
      </c>
      <c r="U1349" s="179">
        <v>4.4623655913978491</v>
      </c>
      <c r="V1349" s="179">
        <v>4.4623655913978491</v>
      </c>
      <c r="W1349" s="179">
        <v>4.4623655913978491</v>
      </c>
      <c r="X1349" s="179">
        <v>4.4623655913978491</v>
      </c>
      <c r="Y1349" s="179">
        <v>4.4623655913978491</v>
      </c>
      <c r="Z1349" s="179">
        <v>4.4623655913978491</v>
      </c>
      <c r="AA1349" s="179">
        <v>4.4623655913978491</v>
      </c>
      <c r="AB1349" s="179">
        <v>4.4623655913978491</v>
      </c>
      <c r="AC1349" s="179">
        <v>4.4623655913978491</v>
      </c>
      <c r="AD1349" s="179">
        <v>4.4623655913978491</v>
      </c>
      <c r="AE1349" s="179">
        <v>4.4623655913978491</v>
      </c>
      <c r="AF1349" s="179">
        <v>4.4623655913978491</v>
      </c>
      <c r="AG1349" s="179">
        <v>4.4623655913978491</v>
      </c>
      <c r="AH1349" s="179">
        <v>4.4623655913978491</v>
      </c>
      <c r="AI1349" s="179">
        <v>4.4623655913978491</v>
      </c>
      <c r="AJ1349" s="179">
        <v>4.4623655913978491</v>
      </c>
      <c r="AK1349" s="179">
        <v>4.4623655913978491</v>
      </c>
      <c r="AL1349" s="179">
        <v>4.4623655913978491</v>
      </c>
      <c r="AM1349" s="383">
        <f t="shared" si="305"/>
        <v>4.4623655913978517</v>
      </c>
    </row>
    <row r="1350" spans="1:39" x14ac:dyDescent="0.2">
      <c r="A1350" s="202"/>
      <c r="B1350" s="147"/>
      <c r="C1350" s="222"/>
      <c r="D1350" s="147"/>
      <c r="E1350" s="8"/>
      <c r="F1350" s="147"/>
      <c r="G1350" s="147"/>
      <c r="H1350" s="147"/>
      <c r="I1350" s="147"/>
      <c r="J1350" s="147"/>
      <c r="K1350" s="147"/>
      <c r="L1350" s="147"/>
      <c r="M1350" s="147"/>
      <c r="N1350" s="147"/>
      <c r="O1350" s="147"/>
      <c r="P1350" s="147"/>
      <c r="Q1350" s="147"/>
      <c r="R1350" s="147"/>
      <c r="S1350" s="147"/>
      <c r="T1350" s="147"/>
      <c r="U1350" s="147"/>
      <c r="V1350" s="147"/>
      <c r="W1350" s="147"/>
      <c r="X1350" s="147"/>
      <c r="Y1350" s="147"/>
      <c r="Z1350" s="147"/>
      <c r="AA1350" s="147"/>
      <c r="AB1350" s="147"/>
      <c r="AC1350" s="147"/>
      <c r="AD1350" s="147"/>
      <c r="AE1350" s="147"/>
      <c r="AF1350" s="147"/>
      <c r="AG1350" s="147"/>
      <c r="AH1350" s="147"/>
      <c r="AI1350" s="147"/>
      <c r="AJ1350" s="147"/>
      <c r="AK1350" s="147"/>
      <c r="AL1350" s="147"/>
      <c r="AM1350" s="383"/>
    </row>
    <row r="1351" spans="1:39" ht="15" x14ac:dyDescent="0.25">
      <c r="A1351" s="206" t="s">
        <v>689</v>
      </c>
      <c r="B1351" s="184" t="s">
        <v>685</v>
      </c>
      <c r="C1351" s="222" t="s">
        <v>338</v>
      </c>
      <c r="D1351" s="268" t="s">
        <v>681</v>
      </c>
      <c r="E1351" s="31"/>
      <c r="F1351" s="179">
        <v>9.1666666666666661</v>
      </c>
      <c r="G1351" s="179">
        <v>9.1666666666666661</v>
      </c>
      <c r="H1351" s="179">
        <v>9.1666666666666661</v>
      </c>
      <c r="I1351" s="179">
        <v>9.1666666666666661</v>
      </c>
      <c r="J1351" s="179">
        <v>9.1666666666666661</v>
      </c>
      <c r="K1351" s="179">
        <v>9.1666666666666661</v>
      </c>
      <c r="L1351" s="179">
        <v>9.1666666666666661</v>
      </c>
      <c r="M1351" s="179">
        <v>9.1666666666666661</v>
      </c>
      <c r="N1351" s="179">
        <v>9.1666666666666661</v>
      </c>
      <c r="O1351" s="179">
        <v>9.1666666666666661</v>
      </c>
      <c r="P1351" s="179">
        <v>9.1666666666666661</v>
      </c>
      <c r="Q1351" s="179">
        <v>9.1666666666666661</v>
      </c>
      <c r="R1351" s="179">
        <v>9.1666666666666661</v>
      </c>
      <c r="S1351" s="179">
        <v>9.1666666666666661</v>
      </c>
      <c r="T1351" s="179">
        <v>9.1666666666666661</v>
      </c>
      <c r="U1351" s="179">
        <v>9.1666666666666661</v>
      </c>
      <c r="V1351" s="179">
        <v>9.1666666666666661</v>
      </c>
      <c r="W1351" s="179">
        <v>9.1666666666666661</v>
      </c>
      <c r="X1351" s="179">
        <v>9.1666666666666661</v>
      </c>
      <c r="Y1351" s="179">
        <v>9.1666666666666661</v>
      </c>
      <c r="Z1351" s="179">
        <v>9.1666666666666661</v>
      </c>
      <c r="AA1351" s="179">
        <v>9.1666666666666661</v>
      </c>
      <c r="AB1351" s="179">
        <v>9.1666666666666661</v>
      </c>
      <c r="AC1351" s="179">
        <v>9.1666666666666661</v>
      </c>
      <c r="AD1351" s="179">
        <v>9.1666666666666661</v>
      </c>
      <c r="AE1351" s="179">
        <v>9.1666666666666661</v>
      </c>
      <c r="AF1351" s="179">
        <v>9.1666666666666661</v>
      </c>
      <c r="AG1351" s="179">
        <v>9.1666666666666661</v>
      </c>
      <c r="AH1351" s="179">
        <v>9.1666666666666661</v>
      </c>
      <c r="AI1351" s="179">
        <v>9.1666666666666661</v>
      </c>
      <c r="AJ1351" s="179">
        <v>9.1666666666666661</v>
      </c>
      <c r="AK1351" s="179">
        <v>9.1666666666666661</v>
      </c>
      <c r="AL1351" s="179">
        <v>9.1666666666666661</v>
      </c>
      <c r="AM1351" s="383">
        <f t="shared" si="305"/>
        <v>9.1666666666666661</v>
      </c>
    </row>
    <row r="1352" spans="1:39" x14ac:dyDescent="0.2">
      <c r="A1352" s="202"/>
      <c r="B1352" s="184" t="s">
        <v>688</v>
      </c>
      <c r="C1352" s="222" t="s">
        <v>338</v>
      </c>
      <c r="D1352" s="268" t="s">
        <v>681</v>
      </c>
      <c r="E1352" s="31"/>
      <c r="F1352" s="179">
        <v>5.7692307692307692</v>
      </c>
      <c r="G1352" s="179">
        <v>5.7692307692307692</v>
      </c>
      <c r="H1352" s="179">
        <v>5.7692307692307692</v>
      </c>
      <c r="I1352" s="179">
        <v>5.7692307692307692</v>
      </c>
      <c r="J1352" s="179">
        <v>5.7692307692307692</v>
      </c>
      <c r="K1352" s="179">
        <v>5.7692307692307692</v>
      </c>
      <c r="L1352" s="179">
        <v>5.7692307692307692</v>
      </c>
      <c r="M1352" s="179">
        <v>5.7692307692307692</v>
      </c>
      <c r="N1352" s="179">
        <v>5.7692307692307692</v>
      </c>
      <c r="O1352" s="179">
        <v>5.7692307692307692</v>
      </c>
      <c r="P1352" s="179">
        <v>5.7692307692307692</v>
      </c>
      <c r="Q1352" s="179">
        <v>5.7692307692307692</v>
      </c>
      <c r="R1352" s="179">
        <v>5.7692307692307692</v>
      </c>
      <c r="S1352" s="179">
        <v>5.7692307692307692</v>
      </c>
      <c r="T1352" s="179">
        <v>5.7692307692307692</v>
      </c>
      <c r="U1352" s="179">
        <v>5.7692307692307692</v>
      </c>
      <c r="V1352" s="179">
        <v>5.7692307692307692</v>
      </c>
      <c r="W1352" s="179">
        <v>5.7692307692307692</v>
      </c>
      <c r="X1352" s="179">
        <v>5.7692307692307692</v>
      </c>
      <c r="Y1352" s="179">
        <v>5.7692307692307692</v>
      </c>
      <c r="Z1352" s="179">
        <v>5.7692307692307692</v>
      </c>
      <c r="AA1352" s="179">
        <v>5.7692307692307692</v>
      </c>
      <c r="AB1352" s="179">
        <v>5.7692307692307692</v>
      </c>
      <c r="AC1352" s="179">
        <v>5.7692307692307692</v>
      </c>
      <c r="AD1352" s="179">
        <v>5.7692307692307692</v>
      </c>
      <c r="AE1352" s="179">
        <v>5.7692307692307692</v>
      </c>
      <c r="AF1352" s="179">
        <v>5.7692307692307692</v>
      </c>
      <c r="AG1352" s="179">
        <v>5.7692307692307692</v>
      </c>
      <c r="AH1352" s="179">
        <v>5.7692307692307692</v>
      </c>
      <c r="AI1352" s="179">
        <v>5.7692307692307692</v>
      </c>
      <c r="AJ1352" s="179">
        <v>5.7692307692307692</v>
      </c>
      <c r="AK1352" s="179">
        <v>5.7692307692307692</v>
      </c>
      <c r="AL1352" s="179">
        <v>5.7692307692307692</v>
      </c>
      <c r="AM1352" s="383">
        <f t="shared" si="305"/>
        <v>5.7692307692307709</v>
      </c>
    </row>
    <row r="1353" spans="1:39" x14ac:dyDescent="0.2">
      <c r="A1353" s="202"/>
      <c r="B1353" s="184"/>
      <c r="C1353" s="222"/>
      <c r="D1353" s="268"/>
      <c r="E1353" s="31"/>
      <c r="F1353" s="179"/>
      <c r="G1353" s="179"/>
      <c r="H1353" s="179"/>
      <c r="I1353" s="179"/>
      <c r="J1353" s="179"/>
      <c r="K1353" s="179"/>
      <c r="L1353" s="179"/>
      <c r="M1353" s="179"/>
      <c r="N1353" s="179"/>
      <c r="O1353" s="179"/>
      <c r="P1353" s="179"/>
      <c r="Q1353" s="179"/>
      <c r="R1353" s="179"/>
      <c r="S1353" s="179"/>
      <c r="T1353" s="179"/>
      <c r="U1353" s="179"/>
      <c r="V1353" s="179"/>
      <c r="W1353" s="179"/>
      <c r="X1353" s="179"/>
      <c r="Y1353" s="179"/>
      <c r="Z1353" s="179"/>
      <c r="AA1353" s="179"/>
      <c r="AB1353" s="179"/>
      <c r="AC1353" s="179"/>
      <c r="AD1353" s="179"/>
      <c r="AE1353" s="179"/>
      <c r="AF1353" s="179"/>
      <c r="AG1353" s="179"/>
      <c r="AH1353" s="179"/>
      <c r="AI1353" s="179"/>
      <c r="AJ1353" s="179"/>
      <c r="AK1353" s="179"/>
      <c r="AL1353" s="179"/>
      <c r="AM1353" s="383"/>
    </row>
    <row r="1354" spans="1:39" ht="15" x14ac:dyDescent="0.25">
      <c r="A1354" s="206" t="s">
        <v>690</v>
      </c>
      <c r="B1354" s="184" t="s">
        <v>685</v>
      </c>
      <c r="C1354" s="222" t="s">
        <v>338</v>
      </c>
      <c r="D1354" s="268" t="s">
        <v>691</v>
      </c>
      <c r="E1354" s="31"/>
      <c r="F1354" s="179">
        <v>18.72</v>
      </c>
      <c r="G1354" s="179">
        <v>18.72</v>
      </c>
      <c r="H1354" s="179">
        <v>18.72</v>
      </c>
      <c r="I1354" s="179">
        <v>18.72</v>
      </c>
      <c r="J1354" s="179">
        <v>18.72</v>
      </c>
      <c r="K1354" s="179">
        <v>18.72</v>
      </c>
      <c r="L1354" s="179">
        <v>18.72</v>
      </c>
      <c r="M1354" s="179">
        <v>18.72</v>
      </c>
      <c r="N1354" s="179">
        <v>18.72</v>
      </c>
      <c r="O1354" s="179">
        <v>18.72</v>
      </c>
      <c r="P1354" s="179">
        <v>18.72</v>
      </c>
      <c r="Q1354" s="179">
        <v>18.72</v>
      </c>
      <c r="R1354" s="179">
        <v>18.72</v>
      </c>
      <c r="S1354" s="179">
        <v>18.72</v>
      </c>
      <c r="T1354" s="179">
        <v>18.72</v>
      </c>
      <c r="U1354" s="179">
        <v>18.72</v>
      </c>
      <c r="V1354" s="179">
        <v>18.72</v>
      </c>
      <c r="W1354" s="179">
        <v>18.72</v>
      </c>
      <c r="X1354" s="179">
        <v>18.72</v>
      </c>
      <c r="Y1354" s="179">
        <v>18.72</v>
      </c>
      <c r="Z1354" s="179">
        <v>18.72</v>
      </c>
      <c r="AA1354" s="179">
        <v>18.72</v>
      </c>
      <c r="AB1354" s="179">
        <v>18.72</v>
      </c>
      <c r="AC1354" s="179">
        <v>18.72</v>
      </c>
      <c r="AD1354" s="179">
        <v>18.72</v>
      </c>
      <c r="AE1354" s="179">
        <v>18.72</v>
      </c>
      <c r="AF1354" s="179">
        <v>18.72</v>
      </c>
      <c r="AG1354" s="179">
        <v>18.72</v>
      </c>
      <c r="AH1354" s="179">
        <v>18.72</v>
      </c>
      <c r="AI1354" s="179">
        <v>18.72</v>
      </c>
      <c r="AJ1354" s="179">
        <v>18.72</v>
      </c>
      <c r="AK1354" s="179">
        <v>18.72</v>
      </c>
      <c r="AL1354" s="179">
        <v>18.72</v>
      </c>
      <c r="AM1354" s="383">
        <f t="shared" si="305"/>
        <v>18.720000000000013</v>
      </c>
    </row>
    <row r="1355" spans="1:39" x14ac:dyDescent="0.2">
      <c r="A1355" s="202"/>
      <c r="B1355" s="184" t="s">
        <v>688</v>
      </c>
      <c r="C1355" s="222" t="s">
        <v>338</v>
      </c>
      <c r="D1355" s="268" t="s">
        <v>691</v>
      </c>
      <c r="E1355" s="31"/>
      <c r="F1355" s="179">
        <v>10.315398886827458</v>
      </c>
      <c r="G1355" s="179">
        <v>10.315398886827458</v>
      </c>
      <c r="H1355" s="179">
        <v>10.315398886827458</v>
      </c>
      <c r="I1355" s="179">
        <v>10.315398886827458</v>
      </c>
      <c r="J1355" s="179">
        <v>10.315398886827458</v>
      </c>
      <c r="K1355" s="179">
        <v>10.315398886827458</v>
      </c>
      <c r="L1355" s="179">
        <v>10.315398886827458</v>
      </c>
      <c r="M1355" s="179">
        <v>10.315398886827458</v>
      </c>
      <c r="N1355" s="179">
        <v>10.315398886827458</v>
      </c>
      <c r="O1355" s="179">
        <v>10.315398886827458</v>
      </c>
      <c r="P1355" s="179">
        <v>10.315398886827458</v>
      </c>
      <c r="Q1355" s="179">
        <v>10.315398886827458</v>
      </c>
      <c r="R1355" s="179">
        <v>10.315398886827458</v>
      </c>
      <c r="S1355" s="179">
        <v>10.315398886827458</v>
      </c>
      <c r="T1355" s="179">
        <v>10.315398886827458</v>
      </c>
      <c r="U1355" s="179">
        <v>10.315398886827458</v>
      </c>
      <c r="V1355" s="179">
        <v>10.315398886827458</v>
      </c>
      <c r="W1355" s="179">
        <v>10.315398886827458</v>
      </c>
      <c r="X1355" s="179">
        <v>10.315398886827458</v>
      </c>
      <c r="Y1355" s="179">
        <v>10.315398886827458</v>
      </c>
      <c r="Z1355" s="179">
        <v>10.315398886827458</v>
      </c>
      <c r="AA1355" s="179">
        <v>10.315398886827458</v>
      </c>
      <c r="AB1355" s="179">
        <v>10.315398886827458</v>
      </c>
      <c r="AC1355" s="179">
        <v>10.315398886827458</v>
      </c>
      <c r="AD1355" s="179">
        <v>10.315398886827458</v>
      </c>
      <c r="AE1355" s="179">
        <v>10.315398886827458</v>
      </c>
      <c r="AF1355" s="179">
        <v>10.315398886827458</v>
      </c>
      <c r="AG1355" s="179">
        <v>10.315398886827458</v>
      </c>
      <c r="AH1355" s="179">
        <v>10.315398886827458</v>
      </c>
      <c r="AI1355" s="179">
        <v>10.315398886827458</v>
      </c>
      <c r="AJ1355" s="179">
        <v>10.315398886827458</v>
      </c>
      <c r="AK1355" s="179">
        <v>10.315398886827458</v>
      </c>
      <c r="AL1355" s="179">
        <v>10.315398886827458</v>
      </c>
      <c r="AM1355" s="383">
        <f t="shared" si="305"/>
        <v>10.315398886827456</v>
      </c>
    </row>
    <row r="1356" spans="1:39" x14ac:dyDescent="0.2">
      <c r="A1356" s="202"/>
      <c r="B1356" s="185"/>
      <c r="C1356" s="219"/>
      <c r="D1356" s="141"/>
      <c r="E1356" s="8"/>
      <c r="F1356" s="176"/>
      <c r="G1356" s="176"/>
      <c r="H1356" s="176"/>
      <c r="I1356" s="176"/>
      <c r="J1356" s="176"/>
      <c r="K1356" s="176"/>
      <c r="L1356" s="176"/>
      <c r="M1356" s="176"/>
      <c r="N1356" s="176"/>
      <c r="O1356" s="176"/>
      <c r="P1356" s="176"/>
      <c r="Q1356" s="176"/>
      <c r="R1356" s="176"/>
      <c r="S1356" s="176"/>
      <c r="T1356" s="176"/>
      <c r="U1356" s="176"/>
      <c r="V1356" s="176"/>
      <c r="W1356" s="176"/>
      <c r="X1356" s="176"/>
      <c r="Y1356" s="176"/>
      <c r="Z1356" s="176"/>
      <c r="AA1356" s="176"/>
      <c r="AB1356" s="176"/>
      <c r="AC1356" s="176"/>
      <c r="AD1356" s="176"/>
      <c r="AE1356" s="176"/>
      <c r="AF1356" s="176"/>
      <c r="AG1356" s="176"/>
      <c r="AH1356" s="176"/>
      <c r="AI1356" s="176"/>
      <c r="AJ1356" s="176"/>
      <c r="AK1356" s="176"/>
      <c r="AL1356" s="176"/>
      <c r="AM1356" s="107"/>
    </row>
    <row r="1357" spans="1:39" x14ac:dyDescent="0.2">
      <c r="A1357" s="204"/>
      <c r="B1357" s="183" t="s">
        <v>692</v>
      </c>
      <c r="C1357" s="220"/>
      <c r="D1357" s="139"/>
      <c r="E1357" s="1"/>
      <c r="F1357" s="155"/>
      <c r="G1357" s="155"/>
      <c r="H1357" s="155"/>
      <c r="I1357" s="155"/>
      <c r="J1357" s="155"/>
      <c r="K1357" s="155"/>
      <c r="L1357" s="155"/>
      <c r="M1357" s="155"/>
      <c r="N1357" s="155"/>
      <c r="O1357" s="155"/>
      <c r="P1357" s="155"/>
      <c r="Q1357" s="155"/>
      <c r="R1357" s="155"/>
      <c r="S1357" s="155"/>
      <c r="T1357" s="155"/>
      <c r="U1357" s="155"/>
      <c r="V1357" s="155"/>
      <c r="W1357" s="155"/>
      <c r="X1357" s="155"/>
      <c r="Y1357" s="155"/>
      <c r="Z1357" s="155"/>
      <c r="AA1357" s="155"/>
      <c r="AB1357" s="155"/>
      <c r="AC1357" s="155"/>
      <c r="AD1357" s="155"/>
      <c r="AE1357" s="155"/>
      <c r="AF1357" s="155"/>
      <c r="AG1357" s="155"/>
      <c r="AH1357" s="155"/>
      <c r="AI1357" s="155"/>
      <c r="AJ1357" s="155"/>
      <c r="AK1357" s="155"/>
      <c r="AL1357" s="155"/>
      <c r="AM1357" s="107"/>
    </row>
    <row r="1358" spans="1:39" ht="15" x14ac:dyDescent="0.25">
      <c r="A1358" s="206" t="s">
        <v>606</v>
      </c>
      <c r="B1358" s="185" t="s">
        <v>693</v>
      </c>
      <c r="C1358" s="219" t="s">
        <v>83</v>
      </c>
      <c r="D1358" s="141"/>
      <c r="E1358" s="142"/>
      <c r="F1358" s="142">
        <f t="shared" ref="F1358:AL1358" si="306">F1338*((F1114*(F1124/100)*(F1125+F1126)/100)-(F1114*(F1124/100)*((F1125+F1126)/100)*((F1128/100)+(F1128/100)*(F1132/100)+(F1129/100)+(F1129/100)*(F1133/100))))</f>
        <v>0</v>
      </c>
      <c r="G1358" s="142">
        <f t="shared" si="306"/>
        <v>0</v>
      </c>
      <c r="H1358" s="142">
        <f t="shared" si="306"/>
        <v>0</v>
      </c>
      <c r="I1358" s="142">
        <f t="shared" si="306"/>
        <v>0</v>
      </c>
      <c r="J1358" s="142">
        <f t="shared" si="306"/>
        <v>419.57926701766485</v>
      </c>
      <c r="K1358" s="142">
        <f t="shared" si="306"/>
        <v>238.64127854642103</v>
      </c>
      <c r="L1358" s="142">
        <f t="shared" si="306"/>
        <v>235.62045522294989</v>
      </c>
      <c r="M1358" s="142">
        <f t="shared" si="306"/>
        <v>0</v>
      </c>
      <c r="N1358" s="142">
        <f t="shared" si="306"/>
        <v>0</v>
      </c>
      <c r="O1358" s="142">
        <f t="shared" si="306"/>
        <v>0</v>
      </c>
      <c r="P1358" s="142">
        <f t="shared" si="306"/>
        <v>795.12993329952371</v>
      </c>
      <c r="Q1358" s="142">
        <f t="shared" si="306"/>
        <v>0</v>
      </c>
      <c r="R1358" s="142">
        <f t="shared" si="306"/>
        <v>414.35322839116986</v>
      </c>
      <c r="S1358" s="142">
        <f t="shared" si="306"/>
        <v>586.21906417507671</v>
      </c>
      <c r="T1358" s="142">
        <f t="shared" si="306"/>
        <v>1006.3115933518043</v>
      </c>
      <c r="U1358" s="142">
        <f t="shared" si="306"/>
        <v>0</v>
      </c>
      <c r="V1358" s="142">
        <f t="shared" si="306"/>
        <v>1416.8900772277204</v>
      </c>
      <c r="W1358" s="142">
        <f t="shared" si="306"/>
        <v>237.6944006240854</v>
      </c>
      <c r="X1358" s="142">
        <f t="shared" si="306"/>
        <v>116.67195770707552</v>
      </c>
      <c r="Y1358" s="142">
        <f t="shared" si="306"/>
        <v>156.32888055212382</v>
      </c>
      <c r="Z1358" s="142">
        <f t="shared" si="306"/>
        <v>85.33525449917164</v>
      </c>
      <c r="AA1358" s="142">
        <f t="shared" si="306"/>
        <v>185.06518918747904</v>
      </c>
      <c r="AB1358" s="142">
        <f t="shared" si="306"/>
        <v>373.51291163407495</v>
      </c>
      <c r="AC1358" s="142">
        <f t="shared" si="306"/>
        <v>964.2841206741474</v>
      </c>
      <c r="AD1358" s="142">
        <f t="shared" si="306"/>
        <v>0</v>
      </c>
      <c r="AE1358" s="142">
        <f t="shared" si="306"/>
        <v>305.96940015027411</v>
      </c>
      <c r="AF1358" s="142">
        <f t="shared" si="306"/>
        <v>0</v>
      </c>
      <c r="AG1358" s="142">
        <f t="shared" si="306"/>
        <v>273.6962591087389</v>
      </c>
      <c r="AH1358" s="142">
        <f t="shared" si="306"/>
        <v>295.05515205401122</v>
      </c>
      <c r="AI1358" s="142">
        <f t="shared" si="306"/>
        <v>0</v>
      </c>
      <c r="AJ1358" s="142">
        <f t="shared" si="306"/>
        <v>0</v>
      </c>
      <c r="AK1358" s="142">
        <f t="shared" si="306"/>
        <v>0</v>
      </c>
      <c r="AL1358" s="142">
        <f t="shared" si="306"/>
        <v>0</v>
      </c>
      <c r="AM1358" s="379">
        <f t="shared" ref="AM1358:AM1384" si="307">SUM(F1358:AL1358)</f>
        <v>8106.3584234235122</v>
      </c>
    </row>
    <row r="1359" spans="1:39" ht="15" x14ac:dyDescent="0.25">
      <c r="A1359" s="206"/>
      <c r="B1359" s="185" t="s">
        <v>694</v>
      </c>
      <c r="C1359" s="219" t="s">
        <v>83</v>
      </c>
      <c r="D1359" s="141"/>
      <c r="E1359" s="142"/>
      <c r="F1359" s="142">
        <f t="shared" ref="F1359:AL1359" si="308">F1338*((F1114*(F1124/100)*(F1127/100))-(F1114*(F1124/100)*(F1127/100)*((F1130/100)+(F1130/100)*(F1134/100))))</f>
        <v>0</v>
      </c>
      <c r="G1359" s="142">
        <f t="shared" si="308"/>
        <v>0</v>
      </c>
      <c r="H1359" s="142">
        <f t="shared" si="308"/>
        <v>0</v>
      </c>
      <c r="I1359" s="142">
        <f t="shared" si="308"/>
        <v>0</v>
      </c>
      <c r="J1359" s="142">
        <f t="shared" si="308"/>
        <v>51.300713729620746</v>
      </c>
      <c r="K1359" s="142">
        <f t="shared" si="308"/>
        <v>65.489680065804279</v>
      </c>
      <c r="L1359" s="142">
        <f t="shared" si="308"/>
        <v>34.351203568345667</v>
      </c>
      <c r="M1359" s="142">
        <f t="shared" si="308"/>
        <v>0</v>
      </c>
      <c r="N1359" s="142">
        <f t="shared" si="308"/>
        <v>0</v>
      </c>
      <c r="O1359" s="142">
        <f t="shared" si="308"/>
        <v>0</v>
      </c>
      <c r="P1359" s="142">
        <f t="shared" si="308"/>
        <v>351.48426010441744</v>
      </c>
      <c r="Q1359" s="142">
        <f t="shared" si="308"/>
        <v>0</v>
      </c>
      <c r="R1359" s="142">
        <f t="shared" si="308"/>
        <v>162.84930072712632</v>
      </c>
      <c r="S1359" s="142">
        <f t="shared" si="308"/>
        <v>101.07537152450595</v>
      </c>
      <c r="T1359" s="142">
        <f t="shared" si="308"/>
        <v>211.0018910281423</v>
      </c>
      <c r="U1359" s="142">
        <f t="shared" si="308"/>
        <v>0</v>
      </c>
      <c r="V1359" s="142">
        <f t="shared" si="308"/>
        <v>421.24514806249869</v>
      </c>
      <c r="W1359" s="142">
        <f t="shared" si="308"/>
        <v>212.64358240276684</v>
      </c>
      <c r="X1359" s="142">
        <f t="shared" si="308"/>
        <v>70.38823701779684</v>
      </c>
      <c r="Y1359" s="142">
        <f t="shared" si="308"/>
        <v>77.682481303175265</v>
      </c>
      <c r="Z1359" s="142">
        <f t="shared" si="308"/>
        <v>29.198048514359989</v>
      </c>
      <c r="AA1359" s="142">
        <f t="shared" si="308"/>
        <v>85.34807580474903</v>
      </c>
      <c r="AB1359" s="142">
        <f t="shared" si="308"/>
        <v>45.970927842040723</v>
      </c>
      <c r="AC1359" s="142">
        <f t="shared" si="308"/>
        <v>166.48551079024176</v>
      </c>
      <c r="AD1359" s="142">
        <f t="shared" si="308"/>
        <v>0</v>
      </c>
      <c r="AE1359" s="142">
        <f t="shared" si="308"/>
        <v>65.632951701584417</v>
      </c>
      <c r="AF1359" s="142">
        <f t="shared" si="308"/>
        <v>0</v>
      </c>
      <c r="AG1359" s="142">
        <f t="shared" si="308"/>
        <v>56.143862346331069</v>
      </c>
      <c r="AH1359" s="142">
        <f t="shared" si="308"/>
        <v>96.97402545761669</v>
      </c>
      <c r="AI1359" s="142">
        <f t="shared" si="308"/>
        <v>0</v>
      </c>
      <c r="AJ1359" s="142">
        <f t="shared" si="308"/>
        <v>0</v>
      </c>
      <c r="AK1359" s="142">
        <f t="shared" si="308"/>
        <v>0</v>
      </c>
      <c r="AL1359" s="142">
        <f t="shared" si="308"/>
        <v>0</v>
      </c>
      <c r="AM1359" s="379">
        <f t="shared" si="307"/>
        <v>2305.2652719911239</v>
      </c>
    </row>
    <row r="1360" spans="1:39" ht="15" x14ac:dyDescent="0.25">
      <c r="A1360" s="206"/>
      <c r="B1360" s="185" t="s">
        <v>695</v>
      </c>
      <c r="C1360" s="219" t="s">
        <v>83</v>
      </c>
      <c r="D1360" s="141"/>
      <c r="E1360" s="142"/>
      <c r="F1360" s="142">
        <f t="shared" ref="F1360:AL1360" si="309">F1340*F1210</f>
        <v>0</v>
      </c>
      <c r="G1360" s="142">
        <f t="shared" si="309"/>
        <v>0</v>
      </c>
      <c r="H1360" s="142">
        <f t="shared" si="309"/>
        <v>0</v>
      </c>
      <c r="I1360" s="142">
        <f t="shared" si="309"/>
        <v>0</v>
      </c>
      <c r="J1360" s="142">
        <f t="shared" si="309"/>
        <v>714.85453256049766</v>
      </c>
      <c r="K1360" s="142">
        <f t="shared" si="309"/>
        <v>305.00800608137769</v>
      </c>
      <c r="L1360" s="142">
        <f t="shared" si="309"/>
        <v>388.80121776928706</v>
      </c>
      <c r="M1360" s="142">
        <f t="shared" si="309"/>
        <v>0</v>
      </c>
      <c r="N1360" s="142">
        <f t="shared" si="309"/>
        <v>0</v>
      </c>
      <c r="O1360" s="142">
        <f t="shared" si="309"/>
        <v>0</v>
      </c>
      <c r="P1360" s="142">
        <f t="shared" si="309"/>
        <v>989.64072810244295</v>
      </c>
      <c r="Q1360" s="142">
        <f t="shared" si="309"/>
        <v>0</v>
      </c>
      <c r="R1360" s="142">
        <f t="shared" si="309"/>
        <v>732.37903781582247</v>
      </c>
      <c r="S1360" s="142">
        <f t="shared" si="309"/>
        <v>754.33261007121007</v>
      </c>
      <c r="T1360" s="142">
        <f t="shared" si="309"/>
        <v>1398.5538165531848</v>
      </c>
      <c r="U1360" s="142">
        <f t="shared" si="309"/>
        <v>0</v>
      </c>
      <c r="V1360" s="142">
        <f t="shared" si="309"/>
        <v>2387.8728435459443</v>
      </c>
      <c r="W1360" s="142">
        <f t="shared" si="309"/>
        <v>287.79750864011766</v>
      </c>
      <c r="X1360" s="142">
        <f t="shared" si="309"/>
        <v>156.57031519343639</v>
      </c>
      <c r="Y1360" s="142">
        <f t="shared" si="309"/>
        <v>230.26039030250732</v>
      </c>
      <c r="Z1360" s="142">
        <f t="shared" si="309"/>
        <v>82.256106709523706</v>
      </c>
      <c r="AA1360" s="142">
        <f t="shared" si="309"/>
        <v>281.79138094218393</v>
      </c>
      <c r="AB1360" s="142">
        <f t="shared" si="309"/>
        <v>424.06649568797826</v>
      </c>
      <c r="AC1360" s="142">
        <f t="shared" si="309"/>
        <v>1048.6466272477151</v>
      </c>
      <c r="AD1360" s="142">
        <f t="shared" si="309"/>
        <v>0</v>
      </c>
      <c r="AE1360" s="142">
        <f t="shared" si="309"/>
        <v>339.46731766991127</v>
      </c>
      <c r="AF1360" s="142">
        <f t="shared" si="309"/>
        <v>0</v>
      </c>
      <c r="AG1360" s="142">
        <f t="shared" si="309"/>
        <v>302.92492140443841</v>
      </c>
      <c r="AH1360" s="142">
        <f t="shared" si="309"/>
        <v>462.34400559787787</v>
      </c>
      <c r="AI1360" s="142">
        <f t="shared" si="309"/>
        <v>0</v>
      </c>
      <c r="AJ1360" s="142">
        <f t="shared" si="309"/>
        <v>0</v>
      </c>
      <c r="AK1360" s="142">
        <f t="shared" si="309"/>
        <v>0</v>
      </c>
      <c r="AL1360" s="142">
        <f t="shared" si="309"/>
        <v>0</v>
      </c>
      <c r="AM1360" s="379">
        <f t="shared" si="307"/>
        <v>11287.567861895455</v>
      </c>
    </row>
    <row r="1361" spans="1:39" ht="15" x14ac:dyDescent="0.25">
      <c r="A1361" s="206"/>
      <c r="B1361" s="185"/>
      <c r="C1361" s="219"/>
      <c r="D1361" s="141"/>
      <c r="E1361" s="176"/>
      <c r="F1361" s="176"/>
      <c r="G1361" s="176"/>
      <c r="H1361" s="176"/>
      <c r="I1361" s="176"/>
      <c r="J1361" s="176"/>
      <c r="K1361" s="176"/>
      <c r="L1361" s="176"/>
      <c r="M1361" s="176"/>
      <c r="N1361" s="176"/>
      <c r="O1361" s="176"/>
      <c r="P1361" s="176"/>
      <c r="Q1361" s="176"/>
      <c r="R1361" s="176"/>
      <c r="S1361" s="176"/>
      <c r="T1361" s="176"/>
      <c r="U1361" s="176"/>
      <c r="V1361" s="176"/>
      <c r="W1361" s="176"/>
      <c r="X1361" s="176"/>
      <c r="Y1361" s="176"/>
      <c r="Z1361" s="176"/>
      <c r="AA1361" s="176"/>
      <c r="AB1361" s="176"/>
      <c r="AC1361" s="176"/>
      <c r="AD1361" s="176"/>
      <c r="AE1361" s="176"/>
      <c r="AF1361" s="176"/>
      <c r="AG1361" s="176"/>
      <c r="AH1361" s="176"/>
      <c r="AI1361" s="176"/>
      <c r="AJ1361" s="176"/>
      <c r="AK1361" s="176"/>
      <c r="AL1361" s="176"/>
      <c r="AM1361" s="379"/>
    </row>
    <row r="1362" spans="1:39" ht="15" x14ac:dyDescent="0.25">
      <c r="A1362" s="206" t="s">
        <v>607</v>
      </c>
      <c r="B1362" s="185" t="s">
        <v>696</v>
      </c>
      <c r="C1362" s="219" t="s">
        <v>83</v>
      </c>
      <c r="D1362" s="141"/>
      <c r="E1362" s="142"/>
      <c r="F1362" s="142">
        <f t="shared" ref="F1362:AL1362" si="310">F1342*F1214</f>
        <v>0</v>
      </c>
      <c r="G1362" s="142">
        <f t="shared" si="310"/>
        <v>0</v>
      </c>
      <c r="H1362" s="142">
        <f t="shared" si="310"/>
        <v>0</v>
      </c>
      <c r="I1362" s="142">
        <f t="shared" si="310"/>
        <v>0</v>
      </c>
      <c r="J1362" s="142">
        <f t="shared" si="310"/>
        <v>0.34753907773014742</v>
      </c>
      <c r="K1362" s="142">
        <f t="shared" si="310"/>
        <v>0.18492785244162996</v>
      </c>
      <c r="L1362" s="142">
        <f t="shared" si="310"/>
        <v>0.12248989891554915</v>
      </c>
      <c r="M1362" s="142">
        <f t="shared" si="310"/>
        <v>0</v>
      </c>
      <c r="N1362" s="142">
        <f t="shared" si="310"/>
        <v>0</v>
      </c>
      <c r="O1362" s="142">
        <f t="shared" si="310"/>
        <v>0</v>
      </c>
      <c r="P1362" s="142">
        <f t="shared" si="310"/>
        <v>0.94230489021663044</v>
      </c>
      <c r="Q1362" s="142">
        <f t="shared" si="310"/>
        <v>0</v>
      </c>
      <c r="R1362" s="142">
        <f t="shared" si="310"/>
        <v>1.7335008733586816</v>
      </c>
      <c r="S1362" s="142">
        <f t="shared" si="310"/>
        <v>16.964588448035165</v>
      </c>
      <c r="T1362" s="142">
        <f t="shared" si="310"/>
        <v>23.388034298563849</v>
      </c>
      <c r="U1362" s="142">
        <f t="shared" si="310"/>
        <v>0</v>
      </c>
      <c r="V1362" s="142">
        <f t="shared" si="310"/>
        <v>12.529743232211294</v>
      </c>
      <c r="W1362" s="142">
        <f t="shared" si="310"/>
        <v>0.46500546570732915</v>
      </c>
      <c r="X1362" s="142">
        <f t="shared" si="310"/>
        <v>2.0566875261124706</v>
      </c>
      <c r="Y1362" s="142">
        <f t="shared" si="310"/>
        <v>3.5233764055302745</v>
      </c>
      <c r="Z1362" s="142">
        <f t="shared" si="310"/>
        <v>4.4449518084691979</v>
      </c>
      <c r="AA1362" s="142">
        <f t="shared" si="310"/>
        <v>15.431207454716496</v>
      </c>
      <c r="AB1362" s="142">
        <f t="shared" si="310"/>
        <v>11.423101050810416</v>
      </c>
      <c r="AC1362" s="142">
        <f t="shared" si="310"/>
        <v>20.281205272791226</v>
      </c>
      <c r="AD1362" s="142">
        <f t="shared" si="310"/>
        <v>0</v>
      </c>
      <c r="AE1362" s="142">
        <f t="shared" si="310"/>
        <v>1.8553823320886753</v>
      </c>
      <c r="AF1362" s="142">
        <f t="shared" si="310"/>
        <v>0</v>
      </c>
      <c r="AG1362" s="142">
        <f t="shared" si="310"/>
        <v>9.8823773453428885</v>
      </c>
      <c r="AH1362" s="142">
        <f t="shared" si="310"/>
        <v>0.98466469517939637</v>
      </c>
      <c r="AI1362" s="142">
        <f t="shared" si="310"/>
        <v>0</v>
      </c>
      <c r="AJ1362" s="142">
        <f t="shared" si="310"/>
        <v>0</v>
      </c>
      <c r="AK1362" s="142">
        <f t="shared" si="310"/>
        <v>0</v>
      </c>
      <c r="AL1362" s="142">
        <f t="shared" si="310"/>
        <v>0</v>
      </c>
      <c r="AM1362" s="379">
        <f t="shared" si="307"/>
        <v>126.56108792822131</v>
      </c>
    </row>
    <row r="1363" spans="1:39" ht="15" x14ac:dyDescent="0.25">
      <c r="A1363" s="206"/>
      <c r="B1363" s="185" t="s">
        <v>695</v>
      </c>
      <c r="C1363" s="219" t="s">
        <v>83</v>
      </c>
      <c r="D1363" s="141"/>
      <c r="E1363" s="142"/>
      <c r="F1363" s="142">
        <f t="shared" ref="F1363:AL1363" si="311">F1343*F1215</f>
        <v>0</v>
      </c>
      <c r="G1363" s="142">
        <f t="shared" si="311"/>
        <v>0</v>
      </c>
      <c r="H1363" s="142">
        <f t="shared" si="311"/>
        <v>0</v>
      </c>
      <c r="I1363" s="142">
        <f t="shared" si="311"/>
        <v>0</v>
      </c>
      <c r="J1363" s="142">
        <f t="shared" si="311"/>
        <v>0.63419678285830761</v>
      </c>
      <c r="K1363" s="142">
        <f t="shared" si="311"/>
        <v>0.337460322002817</v>
      </c>
      <c r="L1363" s="142">
        <f t="shared" si="311"/>
        <v>0.22352220168230588</v>
      </c>
      <c r="M1363" s="142">
        <f t="shared" si="311"/>
        <v>0</v>
      </c>
      <c r="N1363" s="142">
        <f t="shared" si="311"/>
        <v>0</v>
      </c>
      <c r="O1363" s="142">
        <f t="shared" si="311"/>
        <v>0</v>
      </c>
      <c r="P1363" s="142">
        <f t="shared" si="311"/>
        <v>1.5335733528850795</v>
      </c>
      <c r="Q1363" s="142">
        <f t="shared" si="311"/>
        <v>0</v>
      </c>
      <c r="R1363" s="142">
        <f t="shared" si="311"/>
        <v>2.0229688523436389</v>
      </c>
      <c r="S1363" s="142">
        <f t="shared" si="311"/>
        <v>34.820399233263494</v>
      </c>
      <c r="T1363" s="142">
        <f t="shared" si="311"/>
        <v>48.004741998416961</v>
      </c>
      <c r="U1363" s="142">
        <f t="shared" si="311"/>
        <v>0</v>
      </c>
      <c r="V1363" s="142">
        <f t="shared" si="311"/>
        <v>13.719152518243508</v>
      </c>
      <c r="W1363" s="142">
        <f t="shared" si="311"/>
        <v>0.7567826491813433</v>
      </c>
      <c r="X1363" s="142">
        <f t="shared" si="311"/>
        <v>3.3471981499874355</v>
      </c>
      <c r="Y1363" s="142">
        <f t="shared" si="311"/>
        <v>5.7341909437220906</v>
      </c>
      <c r="Z1363" s="142">
        <f t="shared" si="311"/>
        <v>9.1234159329954174</v>
      </c>
      <c r="AA1363" s="142">
        <f t="shared" si="311"/>
        <v>25.113833962969643</v>
      </c>
      <c r="AB1363" s="142">
        <f t="shared" si="311"/>
        <v>7.4579854084627568</v>
      </c>
      <c r="AC1363" s="142">
        <f t="shared" si="311"/>
        <v>14.256222319806113</v>
      </c>
      <c r="AD1363" s="142">
        <f t="shared" si="311"/>
        <v>0</v>
      </c>
      <c r="AE1363" s="142">
        <f t="shared" si="311"/>
        <v>1.866256364475835</v>
      </c>
      <c r="AF1363" s="142">
        <f t="shared" si="311"/>
        <v>0</v>
      </c>
      <c r="AG1363" s="142">
        <f t="shared" si="311"/>
        <v>7.9027125752383132</v>
      </c>
      <c r="AH1363" s="142">
        <f t="shared" si="311"/>
        <v>0.92049644253838825</v>
      </c>
      <c r="AI1363" s="142">
        <f t="shared" si="311"/>
        <v>0</v>
      </c>
      <c r="AJ1363" s="142">
        <f t="shared" si="311"/>
        <v>0</v>
      </c>
      <c r="AK1363" s="142">
        <f t="shared" si="311"/>
        <v>0</v>
      </c>
      <c r="AL1363" s="142">
        <f t="shared" si="311"/>
        <v>0</v>
      </c>
      <c r="AM1363" s="379">
        <f t="shared" si="307"/>
        <v>177.77511001107345</v>
      </c>
    </row>
    <row r="1364" spans="1:39" ht="15" x14ac:dyDescent="0.25">
      <c r="A1364" s="206"/>
      <c r="B1364" s="185"/>
      <c r="C1364" s="219"/>
      <c r="D1364" s="141"/>
      <c r="E1364" s="142"/>
      <c r="F1364" s="142"/>
      <c r="G1364" s="142"/>
      <c r="H1364" s="142"/>
      <c r="I1364" s="142"/>
      <c r="J1364" s="142"/>
      <c r="K1364" s="142"/>
      <c r="L1364" s="142"/>
      <c r="M1364" s="142"/>
      <c r="N1364" s="142"/>
      <c r="O1364" s="142"/>
      <c r="P1364" s="142"/>
      <c r="Q1364" s="142"/>
      <c r="R1364" s="142"/>
      <c r="S1364" s="142"/>
      <c r="T1364" s="142"/>
      <c r="U1364" s="142"/>
      <c r="V1364" s="142"/>
      <c r="W1364" s="142"/>
      <c r="X1364" s="142"/>
      <c r="Y1364" s="142"/>
      <c r="Z1364" s="142"/>
      <c r="AA1364" s="142"/>
      <c r="AB1364" s="142"/>
      <c r="AC1364" s="142"/>
      <c r="AD1364" s="142"/>
      <c r="AE1364" s="142"/>
      <c r="AF1364" s="142"/>
      <c r="AG1364" s="142"/>
      <c r="AH1364" s="142"/>
      <c r="AI1364" s="142"/>
      <c r="AJ1364" s="142"/>
      <c r="AK1364" s="142"/>
      <c r="AL1364" s="142"/>
      <c r="AM1364" s="379"/>
    </row>
    <row r="1365" spans="1:39" ht="15" x14ac:dyDescent="0.25">
      <c r="A1365" s="206" t="s">
        <v>608</v>
      </c>
      <c r="B1365" s="185" t="s">
        <v>696</v>
      </c>
      <c r="C1365" s="219" t="s">
        <v>83</v>
      </c>
      <c r="D1365" s="141"/>
      <c r="E1365" s="142"/>
      <c r="F1365" s="142">
        <f t="shared" ref="F1365:AL1365" si="312">F1345*F1219</f>
        <v>0</v>
      </c>
      <c r="G1365" s="142">
        <f t="shared" si="312"/>
        <v>0</v>
      </c>
      <c r="H1365" s="142">
        <f t="shared" si="312"/>
        <v>0</v>
      </c>
      <c r="I1365" s="142">
        <f t="shared" si="312"/>
        <v>0</v>
      </c>
      <c r="J1365" s="142">
        <f t="shared" si="312"/>
        <v>5.9118599984135836</v>
      </c>
      <c r="K1365" s="142">
        <f t="shared" si="312"/>
        <v>9.7636814922786055</v>
      </c>
      <c r="L1365" s="142">
        <f t="shared" si="312"/>
        <v>3.329419354752809</v>
      </c>
      <c r="M1365" s="142">
        <f t="shared" si="312"/>
        <v>0</v>
      </c>
      <c r="N1365" s="142">
        <f t="shared" si="312"/>
        <v>0</v>
      </c>
      <c r="O1365" s="142">
        <f t="shared" si="312"/>
        <v>0</v>
      </c>
      <c r="P1365" s="142">
        <f t="shared" si="312"/>
        <v>40.437155391263452</v>
      </c>
      <c r="Q1365" s="142">
        <f t="shared" si="312"/>
        <v>0</v>
      </c>
      <c r="R1365" s="142">
        <f t="shared" si="312"/>
        <v>7.952611078593498</v>
      </c>
      <c r="S1365" s="142">
        <f t="shared" si="312"/>
        <v>43.94936636088044</v>
      </c>
      <c r="T1365" s="142">
        <f t="shared" si="312"/>
        <v>80.097813201351158</v>
      </c>
      <c r="U1365" s="142">
        <f t="shared" si="312"/>
        <v>0</v>
      </c>
      <c r="V1365" s="142">
        <f t="shared" si="312"/>
        <v>226.97308272990284</v>
      </c>
      <c r="W1365" s="142">
        <f t="shared" si="312"/>
        <v>3.6032254075569803</v>
      </c>
      <c r="X1365" s="142">
        <f t="shared" si="312"/>
        <v>15.804070287170742</v>
      </c>
      <c r="Y1365" s="142">
        <f t="shared" si="312"/>
        <v>12.160026706370854</v>
      </c>
      <c r="Z1365" s="142">
        <f t="shared" si="312"/>
        <v>137.46756093806547</v>
      </c>
      <c r="AA1365" s="142">
        <f t="shared" si="312"/>
        <v>89.034321796199833</v>
      </c>
      <c r="AB1365" s="142">
        <f t="shared" si="312"/>
        <v>240.03320767710295</v>
      </c>
      <c r="AC1365" s="142">
        <f t="shared" si="312"/>
        <v>288.91493805457208</v>
      </c>
      <c r="AD1365" s="142">
        <f t="shared" si="312"/>
        <v>0</v>
      </c>
      <c r="AE1365" s="142">
        <f t="shared" si="312"/>
        <v>151.7249929173488</v>
      </c>
      <c r="AF1365" s="142">
        <f t="shared" si="312"/>
        <v>0</v>
      </c>
      <c r="AG1365" s="142">
        <f t="shared" si="312"/>
        <v>85.137098533878444</v>
      </c>
      <c r="AH1365" s="142">
        <f t="shared" si="312"/>
        <v>15.715377840388779</v>
      </c>
      <c r="AI1365" s="142">
        <f t="shared" si="312"/>
        <v>0</v>
      </c>
      <c r="AJ1365" s="142">
        <f t="shared" si="312"/>
        <v>0</v>
      </c>
      <c r="AK1365" s="142">
        <f t="shared" si="312"/>
        <v>0</v>
      </c>
      <c r="AL1365" s="142">
        <f t="shared" si="312"/>
        <v>0</v>
      </c>
      <c r="AM1365" s="379">
        <f t="shared" si="307"/>
        <v>1458.0098097660914</v>
      </c>
    </row>
    <row r="1366" spans="1:39" ht="15" x14ac:dyDescent="0.25">
      <c r="A1366" s="206"/>
      <c r="B1366" s="185" t="s">
        <v>695</v>
      </c>
      <c r="C1366" s="219" t="s">
        <v>83</v>
      </c>
      <c r="D1366" s="141"/>
      <c r="E1366" s="142"/>
      <c r="F1366" s="142">
        <f t="shared" ref="F1366:AL1366" si="313">F1346*F1220</f>
        <v>0</v>
      </c>
      <c r="G1366" s="142">
        <f t="shared" si="313"/>
        <v>0</v>
      </c>
      <c r="H1366" s="142">
        <f t="shared" si="313"/>
        <v>0</v>
      </c>
      <c r="I1366" s="142">
        <f t="shared" si="313"/>
        <v>0</v>
      </c>
      <c r="J1366" s="142">
        <f t="shared" si="313"/>
        <v>10.788089259458207</v>
      </c>
      <c r="K1366" s="142">
        <f t="shared" si="313"/>
        <v>2.4019923139005095</v>
      </c>
      <c r="L1366" s="142">
        <f t="shared" si="313"/>
        <v>6.0755960376056786</v>
      </c>
      <c r="M1366" s="142">
        <f t="shared" si="313"/>
        <v>0</v>
      </c>
      <c r="N1366" s="142">
        <f t="shared" si="313"/>
        <v>0</v>
      </c>
      <c r="O1366" s="142">
        <f t="shared" si="313"/>
        <v>0</v>
      </c>
      <c r="P1366" s="142">
        <f t="shared" si="313"/>
        <v>65.810275016463436</v>
      </c>
      <c r="Q1366" s="142">
        <f t="shared" si="313"/>
        <v>0</v>
      </c>
      <c r="R1366" s="142">
        <f t="shared" si="313"/>
        <v>1.9564454966426432</v>
      </c>
      <c r="S1366" s="142">
        <f t="shared" si="313"/>
        <v>1.5787542473657221</v>
      </c>
      <c r="T1366" s="142">
        <f t="shared" si="313"/>
        <v>5.4906332140646912</v>
      </c>
      <c r="U1366" s="142">
        <f t="shared" si="313"/>
        <v>0</v>
      </c>
      <c r="V1366" s="142">
        <f t="shared" si="313"/>
        <v>94.130037109995541</v>
      </c>
      <c r="W1366" s="142">
        <f t="shared" si="313"/>
        <v>5.8641428340645776</v>
      </c>
      <c r="X1366" s="142">
        <f t="shared" si="313"/>
        <v>2.5234656410281766</v>
      </c>
      <c r="Y1366" s="142">
        <f t="shared" si="313"/>
        <v>1.941614345541181</v>
      </c>
      <c r="Z1366" s="142">
        <f t="shared" si="313"/>
        <v>282.15688038343262</v>
      </c>
      <c r="AA1366" s="142">
        <f t="shared" si="313"/>
        <v>14.216277695711149</v>
      </c>
      <c r="AB1366" s="142">
        <f t="shared" si="313"/>
        <v>72.209326880798187</v>
      </c>
      <c r="AC1366" s="142">
        <f t="shared" si="313"/>
        <v>106.16545057403563</v>
      </c>
      <c r="AD1366" s="142">
        <f t="shared" si="313"/>
        <v>0</v>
      </c>
      <c r="AE1366" s="142">
        <f t="shared" si="313"/>
        <v>97.812127801106215</v>
      </c>
      <c r="AF1366" s="142">
        <f t="shared" si="313"/>
        <v>0</v>
      </c>
      <c r="AG1366" s="142">
        <f t="shared" si="313"/>
        <v>46.434584376901249</v>
      </c>
      <c r="AH1366" s="142">
        <f t="shared" si="313"/>
        <v>7.8728882395025233</v>
      </c>
      <c r="AI1366" s="142">
        <f t="shared" si="313"/>
        <v>0</v>
      </c>
      <c r="AJ1366" s="142">
        <f t="shared" si="313"/>
        <v>0</v>
      </c>
      <c r="AK1366" s="142">
        <f t="shared" si="313"/>
        <v>0</v>
      </c>
      <c r="AL1366" s="142">
        <f t="shared" si="313"/>
        <v>0</v>
      </c>
      <c r="AM1366" s="379">
        <f t="shared" si="307"/>
        <v>825.42858146761796</v>
      </c>
    </row>
    <row r="1367" spans="1:39" ht="15" x14ac:dyDescent="0.25">
      <c r="A1367" s="206"/>
      <c r="B1367" s="185"/>
      <c r="C1367" s="219"/>
      <c r="D1367" s="141"/>
      <c r="E1367" s="142"/>
      <c r="F1367" s="142"/>
      <c r="G1367" s="142"/>
      <c r="H1367" s="142"/>
      <c r="I1367" s="142"/>
      <c r="J1367" s="142"/>
      <c r="K1367" s="142"/>
      <c r="L1367" s="142"/>
      <c r="M1367" s="142"/>
      <c r="N1367" s="142"/>
      <c r="O1367" s="142"/>
      <c r="P1367" s="142"/>
      <c r="Q1367" s="142"/>
      <c r="R1367" s="142"/>
      <c r="S1367" s="142"/>
      <c r="T1367" s="142"/>
      <c r="U1367" s="142"/>
      <c r="V1367" s="142"/>
      <c r="W1367" s="142"/>
      <c r="X1367" s="142"/>
      <c r="Y1367" s="142"/>
      <c r="Z1367" s="142"/>
      <c r="AA1367" s="142"/>
      <c r="AB1367" s="142"/>
      <c r="AC1367" s="142"/>
      <c r="AD1367" s="142"/>
      <c r="AE1367" s="142"/>
      <c r="AF1367" s="142"/>
      <c r="AG1367" s="142"/>
      <c r="AH1367" s="142"/>
      <c r="AI1367" s="142"/>
      <c r="AJ1367" s="142"/>
      <c r="AK1367" s="142"/>
      <c r="AL1367" s="142"/>
      <c r="AM1367" s="379"/>
    </row>
    <row r="1368" spans="1:39" ht="15" x14ac:dyDescent="0.25">
      <c r="A1368" s="206" t="s">
        <v>609</v>
      </c>
      <c r="B1368" s="185" t="s">
        <v>697</v>
      </c>
      <c r="C1368" s="219" t="s">
        <v>83</v>
      </c>
      <c r="D1368" s="141"/>
      <c r="E1368" s="142"/>
      <c r="F1368" s="142">
        <f t="shared" ref="F1368:AL1368" si="314">F1348*((F1117*(F1166/100)*(F1167+F1168)/100)-(F1117*(F1166/100)*(F1167+F1168)/100*((F1170/100)+(F1170/100)*(F1174/100)+(F1171/100)+(F1171/100)*(F1175/100))))</f>
        <v>0</v>
      </c>
      <c r="G1368" s="142">
        <f t="shared" si="314"/>
        <v>0</v>
      </c>
      <c r="H1368" s="142">
        <f t="shared" si="314"/>
        <v>0</v>
      </c>
      <c r="I1368" s="142">
        <f t="shared" si="314"/>
        <v>0</v>
      </c>
      <c r="J1368" s="142">
        <f t="shared" si="314"/>
        <v>12.421416368279067</v>
      </c>
      <c r="K1368" s="142">
        <f t="shared" si="314"/>
        <v>8.3446303734845131</v>
      </c>
      <c r="L1368" s="142">
        <f t="shared" si="314"/>
        <v>17.182787956655819</v>
      </c>
      <c r="M1368" s="142">
        <f t="shared" si="314"/>
        <v>0</v>
      </c>
      <c r="N1368" s="142">
        <f t="shared" si="314"/>
        <v>0</v>
      </c>
      <c r="O1368" s="142">
        <f t="shared" si="314"/>
        <v>0</v>
      </c>
      <c r="P1368" s="142">
        <f t="shared" si="314"/>
        <v>12.718077517814223</v>
      </c>
      <c r="Q1368" s="142">
        <f t="shared" si="314"/>
        <v>0</v>
      </c>
      <c r="R1368" s="142">
        <f t="shared" si="314"/>
        <v>106.29782009086509</v>
      </c>
      <c r="S1368" s="142">
        <f t="shared" si="314"/>
        <v>32.973489737333388</v>
      </c>
      <c r="T1368" s="142">
        <f t="shared" si="314"/>
        <v>88.444230638284466</v>
      </c>
      <c r="U1368" s="142">
        <f t="shared" si="314"/>
        <v>0</v>
      </c>
      <c r="V1368" s="142">
        <f t="shared" si="314"/>
        <v>26.66625258480196</v>
      </c>
      <c r="W1368" s="142">
        <f t="shared" si="314"/>
        <v>6.857618076803905</v>
      </c>
      <c r="X1368" s="142">
        <f t="shared" si="314"/>
        <v>2.9512673219193126</v>
      </c>
      <c r="Y1368" s="142">
        <f t="shared" si="314"/>
        <v>18.106867801677087</v>
      </c>
      <c r="Z1368" s="142">
        <f t="shared" si="314"/>
        <v>9.7577391420673649E-8</v>
      </c>
      <c r="AA1368" s="142">
        <f t="shared" si="314"/>
        <v>13.042249513035856</v>
      </c>
      <c r="AB1368" s="142">
        <f t="shared" si="314"/>
        <v>15.419339369197928</v>
      </c>
      <c r="AC1368" s="142">
        <f t="shared" si="314"/>
        <v>34.809982335689327</v>
      </c>
      <c r="AD1368" s="142">
        <f t="shared" si="314"/>
        <v>0</v>
      </c>
      <c r="AE1368" s="142">
        <f t="shared" si="314"/>
        <v>15.240044231489822</v>
      </c>
      <c r="AF1368" s="142">
        <f t="shared" si="314"/>
        <v>0</v>
      </c>
      <c r="AG1368" s="142">
        <f t="shared" si="314"/>
        <v>10.779648740958748</v>
      </c>
      <c r="AH1368" s="142">
        <f t="shared" si="314"/>
        <v>5.6188192291597252</v>
      </c>
      <c r="AI1368" s="142">
        <f t="shared" si="314"/>
        <v>0</v>
      </c>
      <c r="AJ1368" s="142">
        <f t="shared" si="314"/>
        <v>0</v>
      </c>
      <c r="AK1368" s="142">
        <f t="shared" si="314"/>
        <v>0</v>
      </c>
      <c r="AL1368" s="142">
        <f t="shared" si="314"/>
        <v>0</v>
      </c>
      <c r="AM1368" s="379">
        <f t="shared" si="307"/>
        <v>427.87454198502769</v>
      </c>
    </row>
    <row r="1369" spans="1:39" ht="15" x14ac:dyDescent="0.25">
      <c r="A1369" s="206"/>
      <c r="B1369" s="185" t="s">
        <v>698</v>
      </c>
      <c r="C1369" s="219" t="s">
        <v>83</v>
      </c>
      <c r="D1369" s="141"/>
      <c r="E1369" s="142"/>
      <c r="F1369" s="142">
        <f t="shared" ref="F1369:AL1369" si="315">F1349*((F1117*(F1166/100)*(F1169/100))-(F1117*(F1166/100)*(F1169/100)*((F1172/100)+(F1172/100)*(F1176/100))))</f>
        <v>0</v>
      </c>
      <c r="G1369" s="142">
        <f t="shared" si="315"/>
        <v>0</v>
      </c>
      <c r="H1369" s="142">
        <f t="shared" si="315"/>
        <v>0</v>
      </c>
      <c r="I1369" s="142">
        <f t="shared" si="315"/>
        <v>0</v>
      </c>
      <c r="J1369" s="142">
        <f t="shared" si="315"/>
        <v>8.1605950857607663</v>
      </c>
      <c r="K1369" s="142">
        <f t="shared" si="315"/>
        <v>3.5242952769991946</v>
      </c>
      <c r="L1369" s="142">
        <f t="shared" si="315"/>
        <v>11.288710626981569</v>
      </c>
      <c r="M1369" s="142">
        <f t="shared" si="315"/>
        <v>0</v>
      </c>
      <c r="N1369" s="142">
        <f t="shared" si="315"/>
        <v>0</v>
      </c>
      <c r="O1369" s="142">
        <f t="shared" si="315"/>
        <v>0</v>
      </c>
      <c r="P1369" s="142">
        <f t="shared" si="315"/>
        <v>8.3554948819881201</v>
      </c>
      <c r="Q1369" s="142">
        <f t="shared" si="315"/>
        <v>0</v>
      </c>
      <c r="R1369" s="142">
        <f t="shared" si="315"/>
        <v>269.36476886401266</v>
      </c>
      <c r="S1369" s="142">
        <f t="shared" si="315"/>
        <v>23.201766731004785</v>
      </c>
      <c r="T1369" s="142">
        <f t="shared" si="315"/>
        <v>59.974287480441411</v>
      </c>
      <c r="U1369" s="142">
        <f t="shared" si="315"/>
        <v>0</v>
      </c>
      <c r="V1369" s="142">
        <f t="shared" si="315"/>
        <v>21.569274117317462</v>
      </c>
      <c r="W1369" s="142">
        <f t="shared" si="315"/>
        <v>4.505302995921026</v>
      </c>
      <c r="X1369" s="142">
        <f t="shared" si="315"/>
        <v>1.246446758966393</v>
      </c>
      <c r="Y1369" s="142">
        <f t="shared" si="315"/>
        <v>7.6473068091154035</v>
      </c>
      <c r="Z1369" s="142">
        <f t="shared" si="315"/>
        <v>2.7474077811730631</v>
      </c>
      <c r="AA1369" s="142">
        <f t="shared" si="315"/>
        <v>5.5083013031101524</v>
      </c>
      <c r="AB1369" s="142">
        <f t="shared" si="315"/>
        <v>10.085994251065568</v>
      </c>
      <c r="AC1369" s="142">
        <f t="shared" si="315"/>
        <v>21.416135109890867</v>
      </c>
      <c r="AD1369" s="142">
        <f t="shared" si="315"/>
        <v>0</v>
      </c>
      <c r="AE1369" s="142">
        <f t="shared" si="315"/>
        <v>16.668377385815973</v>
      </c>
      <c r="AF1369" s="142">
        <f t="shared" si="315"/>
        <v>0</v>
      </c>
      <c r="AG1369" s="142">
        <f t="shared" si="315"/>
        <v>9.2483416537467491</v>
      </c>
      <c r="AH1369" s="142">
        <f t="shared" si="315"/>
        <v>4.2347697684223009</v>
      </c>
      <c r="AI1369" s="142">
        <f t="shared" si="315"/>
        <v>0</v>
      </c>
      <c r="AJ1369" s="142">
        <f t="shared" si="315"/>
        <v>0</v>
      </c>
      <c r="AK1369" s="142">
        <f t="shared" si="315"/>
        <v>0</v>
      </c>
      <c r="AL1369" s="142">
        <f t="shared" si="315"/>
        <v>0</v>
      </c>
      <c r="AM1369" s="379">
        <f t="shared" si="307"/>
        <v>488.74757688173349</v>
      </c>
    </row>
    <row r="1370" spans="1:39" x14ac:dyDescent="0.2">
      <c r="A1370" s="202"/>
      <c r="B1370" s="141"/>
      <c r="C1370" s="219"/>
      <c r="D1370" s="141"/>
      <c r="E1370" s="142"/>
      <c r="F1370" s="142"/>
      <c r="G1370" s="142"/>
      <c r="H1370" s="142"/>
      <c r="I1370" s="142"/>
      <c r="J1370" s="142"/>
      <c r="K1370" s="142"/>
      <c r="L1370" s="142"/>
      <c r="M1370" s="142"/>
      <c r="N1370" s="142"/>
      <c r="O1370" s="142"/>
      <c r="P1370" s="142"/>
      <c r="Q1370" s="142"/>
      <c r="R1370" s="142"/>
      <c r="S1370" s="142"/>
      <c r="T1370" s="142"/>
      <c r="U1370" s="142"/>
      <c r="V1370" s="142"/>
      <c r="W1370" s="142"/>
      <c r="X1370" s="142"/>
      <c r="Y1370" s="142"/>
      <c r="Z1370" s="142"/>
      <c r="AA1370" s="142"/>
      <c r="AB1370" s="142"/>
      <c r="AC1370" s="142"/>
      <c r="AD1370" s="142"/>
      <c r="AE1370" s="142"/>
      <c r="AF1370" s="142"/>
      <c r="AG1370" s="142"/>
      <c r="AH1370" s="142"/>
      <c r="AI1370" s="142"/>
      <c r="AJ1370" s="142"/>
      <c r="AK1370" s="142"/>
      <c r="AL1370" s="142"/>
      <c r="AM1370" s="379"/>
    </row>
    <row r="1371" spans="1:39" ht="15" x14ac:dyDescent="0.25">
      <c r="A1371" s="206" t="s">
        <v>689</v>
      </c>
      <c r="B1371" s="185" t="s">
        <v>693</v>
      </c>
      <c r="C1371" s="219" t="s">
        <v>83</v>
      </c>
      <c r="D1371" s="141"/>
      <c r="E1371" s="142"/>
      <c r="F1371" s="142">
        <f t="shared" ref="F1371:AL1371" si="316">F1351*((F1118*(F1180/100)*(F1181+F1182)/100)-(F1118*(F1180/100)*(F1181+F1182)/100*((F1184/100)+(F1184/100)*(F1188/100)+(F1185/100)+(F1185/100)*(F1189/100))))</f>
        <v>0</v>
      </c>
      <c r="G1371" s="142">
        <f t="shared" si="316"/>
        <v>0</v>
      </c>
      <c r="H1371" s="142">
        <f t="shared" si="316"/>
        <v>0</v>
      </c>
      <c r="I1371" s="142">
        <f t="shared" si="316"/>
        <v>0</v>
      </c>
      <c r="J1371" s="142">
        <f t="shared" si="316"/>
        <v>1.1284322965970091</v>
      </c>
      <c r="K1371" s="142">
        <f t="shared" si="316"/>
        <v>0.49947397898501228</v>
      </c>
      <c r="L1371" s="142">
        <f t="shared" si="316"/>
        <v>0.42408878300812425</v>
      </c>
      <c r="M1371" s="142">
        <f t="shared" si="316"/>
        <v>0</v>
      </c>
      <c r="N1371" s="142">
        <f t="shared" si="316"/>
        <v>0</v>
      </c>
      <c r="O1371" s="142">
        <f t="shared" si="316"/>
        <v>0</v>
      </c>
      <c r="P1371" s="142">
        <f t="shared" si="316"/>
        <v>0.66820680636354801</v>
      </c>
      <c r="Q1371" s="142">
        <f t="shared" si="316"/>
        <v>0</v>
      </c>
      <c r="R1371" s="142">
        <f t="shared" si="316"/>
        <v>15.743153693373683</v>
      </c>
      <c r="S1371" s="142">
        <f t="shared" si="316"/>
        <v>7.0646343938344396</v>
      </c>
      <c r="T1371" s="142">
        <f t="shared" si="316"/>
        <v>12.289328097720508</v>
      </c>
      <c r="U1371" s="142">
        <f t="shared" si="316"/>
        <v>0</v>
      </c>
      <c r="V1371" s="142">
        <f t="shared" si="316"/>
        <v>2.8978257594632959</v>
      </c>
      <c r="W1371" s="142">
        <f t="shared" si="316"/>
        <v>0.18428079168127845</v>
      </c>
      <c r="X1371" s="142">
        <f t="shared" si="316"/>
        <v>1.0764469296178345</v>
      </c>
      <c r="Y1371" s="142">
        <f t="shared" si="316"/>
        <v>1.3322153333183948</v>
      </c>
      <c r="Z1371" s="142">
        <f t="shared" si="316"/>
        <v>0.6019228095743443</v>
      </c>
      <c r="AA1371" s="142">
        <f t="shared" si="316"/>
        <v>3.0471868829432949</v>
      </c>
      <c r="AB1371" s="142">
        <f t="shared" si="316"/>
        <v>0.86901804080360745</v>
      </c>
      <c r="AC1371" s="142">
        <f t="shared" si="316"/>
        <v>11.830408817986054</v>
      </c>
      <c r="AD1371" s="142">
        <f t="shared" si="316"/>
        <v>0</v>
      </c>
      <c r="AE1371" s="142">
        <f t="shared" si="316"/>
        <v>0.94084521605260374</v>
      </c>
      <c r="AF1371" s="142">
        <f t="shared" si="316"/>
        <v>0</v>
      </c>
      <c r="AG1371" s="142">
        <f t="shared" si="316"/>
        <v>1.9309484490445925</v>
      </c>
      <c r="AH1371" s="142">
        <f t="shared" si="316"/>
        <v>1.9106254059057086</v>
      </c>
      <c r="AI1371" s="142">
        <f t="shared" si="316"/>
        <v>0</v>
      </c>
      <c r="AJ1371" s="142">
        <f t="shared" si="316"/>
        <v>0</v>
      </c>
      <c r="AK1371" s="142">
        <f t="shared" si="316"/>
        <v>0</v>
      </c>
      <c r="AL1371" s="142">
        <f t="shared" si="316"/>
        <v>0</v>
      </c>
      <c r="AM1371" s="379">
        <f t="shared" si="307"/>
        <v>64.439042486273337</v>
      </c>
    </row>
    <row r="1372" spans="1:39" x14ac:dyDescent="0.2">
      <c r="A1372" s="202"/>
      <c r="B1372" s="185" t="s">
        <v>694</v>
      </c>
      <c r="C1372" s="219" t="s">
        <v>83</v>
      </c>
      <c r="D1372" s="141"/>
      <c r="E1372" s="142"/>
      <c r="F1372" s="142">
        <f t="shared" ref="F1372:AL1372" si="317">F1352*((F1118*(F1180/100)*(F1183/100))-(F1118*(F1180/100)*(F1183/100)*((F1186/100)+(F1186/100)*(F1190/100))))</f>
        <v>0</v>
      </c>
      <c r="G1372" s="142">
        <f t="shared" si="317"/>
        <v>0</v>
      </c>
      <c r="H1372" s="142">
        <f t="shared" si="317"/>
        <v>0</v>
      </c>
      <c r="I1372" s="142">
        <f t="shared" si="317"/>
        <v>0</v>
      </c>
      <c r="J1372" s="142">
        <f t="shared" si="317"/>
        <v>15.027825011069128</v>
      </c>
      <c r="K1372" s="142">
        <f t="shared" si="317"/>
        <v>6.6517128022699312</v>
      </c>
      <c r="L1372" s="142">
        <f t="shared" si="317"/>
        <v>5.6477752714298308</v>
      </c>
      <c r="M1372" s="142">
        <f t="shared" si="317"/>
        <v>0</v>
      </c>
      <c r="N1372" s="142">
        <f t="shared" si="317"/>
        <v>0</v>
      </c>
      <c r="O1372" s="142">
        <f t="shared" si="317"/>
        <v>0</v>
      </c>
      <c r="P1372" s="142">
        <f t="shared" si="317"/>
        <v>8.8988014500464878</v>
      </c>
      <c r="Q1372" s="142">
        <f t="shared" si="317"/>
        <v>0</v>
      </c>
      <c r="R1372" s="142">
        <f t="shared" si="317"/>
        <v>209.65844343506666</v>
      </c>
      <c r="S1372" s="142">
        <f t="shared" si="317"/>
        <v>94.082817159600395</v>
      </c>
      <c r="T1372" s="142">
        <f t="shared" si="317"/>
        <v>163.66234174004094</v>
      </c>
      <c r="U1372" s="142">
        <f t="shared" si="317"/>
        <v>0</v>
      </c>
      <c r="V1372" s="142">
        <f t="shared" si="317"/>
        <v>38.591609401033466</v>
      </c>
      <c r="W1372" s="142">
        <f t="shared" si="317"/>
        <v>2.4541476689731216</v>
      </c>
      <c r="X1372" s="142">
        <f t="shared" si="317"/>
        <v>14.335513207822123</v>
      </c>
      <c r="Y1372" s="142">
        <f t="shared" si="317"/>
        <v>17.741692582308037</v>
      </c>
      <c r="Z1372" s="142">
        <f t="shared" si="317"/>
        <v>8.0160685578859656</v>
      </c>
      <c r="AA1372" s="142">
        <f t="shared" si="317"/>
        <v>40.58071661985646</v>
      </c>
      <c r="AB1372" s="142">
        <f t="shared" si="317"/>
        <v>11.573092234281024</v>
      </c>
      <c r="AC1372" s="142">
        <f t="shared" si="317"/>
        <v>56.513614476952135</v>
      </c>
      <c r="AD1372" s="142">
        <f t="shared" si="317"/>
        <v>0</v>
      </c>
      <c r="AE1372" s="142">
        <f t="shared" si="317"/>
        <v>12.529646051409848</v>
      </c>
      <c r="AF1372" s="142">
        <f t="shared" si="317"/>
        <v>0</v>
      </c>
      <c r="AG1372" s="142">
        <f t="shared" si="317"/>
        <v>25.715282596170226</v>
      </c>
      <c r="AH1372" s="142">
        <f t="shared" si="317"/>
        <v>25.444631767667204</v>
      </c>
      <c r="AI1372" s="142">
        <f t="shared" si="317"/>
        <v>0</v>
      </c>
      <c r="AJ1372" s="142">
        <f t="shared" si="317"/>
        <v>0</v>
      </c>
      <c r="AK1372" s="142">
        <f t="shared" si="317"/>
        <v>0</v>
      </c>
      <c r="AL1372" s="142">
        <f t="shared" si="317"/>
        <v>0</v>
      </c>
      <c r="AM1372" s="379">
        <f t="shared" si="307"/>
        <v>757.1257320338832</v>
      </c>
    </row>
    <row r="1373" spans="1:39" x14ac:dyDescent="0.2">
      <c r="A1373" s="202"/>
      <c r="B1373" s="185"/>
      <c r="C1373" s="219"/>
      <c r="D1373" s="141"/>
      <c r="E1373" s="142"/>
      <c r="F1373" s="142"/>
      <c r="G1373" s="142"/>
      <c r="H1373" s="142"/>
      <c r="I1373" s="142"/>
      <c r="J1373" s="142"/>
      <c r="K1373" s="142"/>
      <c r="L1373" s="142"/>
      <c r="M1373" s="142"/>
      <c r="N1373" s="142"/>
      <c r="O1373" s="142"/>
      <c r="P1373" s="142"/>
      <c r="Q1373" s="142"/>
      <c r="R1373" s="142"/>
      <c r="S1373" s="142"/>
      <c r="T1373" s="142"/>
      <c r="U1373" s="142"/>
      <c r="V1373" s="142"/>
      <c r="W1373" s="142"/>
      <c r="X1373" s="142"/>
      <c r="Y1373" s="142"/>
      <c r="Z1373" s="142"/>
      <c r="AA1373" s="142"/>
      <c r="AB1373" s="142"/>
      <c r="AC1373" s="142"/>
      <c r="AD1373" s="142"/>
      <c r="AE1373" s="142"/>
      <c r="AF1373" s="142"/>
      <c r="AG1373" s="142"/>
      <c r="AH1373" s="142"/>
      <c r="AI1373" s="142"/>
      <c r="AJ1373" s="142"/>
      <c r="AK1373" s="142"/>
      <c r="AL1373" s="142"/>
      <c r="AM1373" s="379"/>
    </row>
    <row r="1374" spans="1:39" ht="15" x14ac:dyDescent="0.25">
      <c r="A1374" s="206" t="s">
        <v>690</v>
      </c>
      <c r="B1374" s="185" t="s">
        <v>693</v>
      </c>
      <c r="C1374" s="219" t="s">
        <v>83</v>
      </c>
      <c r="D1374" s="141"/>
      <c r="E1374" s="142"/>
      <c r="F1374" s="142">
        <f t="shared" ref="F1374:AL1374" si="318">F1354*((F1119*(F1194/100)*(F1195+F1196)/100)-(F1119*(F1194/100)*(F1195+F1196)/100*((F1198/100)+(F1198/100)*(F1202/100)+(F1199/100)+(F1199/100)*(F1203/100))))</f>
        <v>0</v>
      </c>
      <c r="G1374" s="142">
        <f t="shared" si="318"/>
        <v>0</v>
      </c>
      <c r="H1374" s="142">
        <f t="shared" si="318"/>
        <v>0</v>
      </c>
      <c r="I1374" s="142">
        <f t="shared" si="318"/>
        <v>0</v>
      </c>
      <c r="J1374" s="142">
        <f t="shared" si="318"/>
        <v>27.650167392766281</v>
      </c>
      <c r="K1374" s="142">
        <f t="shared" si="318"/>
        <v>6.6712904963455379</v>
      </c>
      <c r="L1374" s="142">
        <f t="shared" si="318"/>
        <v>6.4377942140786049</v>
      </c>
      <c r="M1374" s="142">
        <f t="shared" si="318"/>
        <v>0</v>
      </c>
      <c r="N1374" s="142">
        <f t="shared" si="318"/>
        <v>0</v>
      </c>
      <c r="O1374" s="142">
        <f t="shared" si="318"/>
        <v>0</v>
      </c>
      <c r="P1374" s="142">
        <f t="shared" si="318"/>
        <v>30.841489940934636</v>
      </c>
      <c r="Q1374" s="142">
        <f t="shared" si="318"/>
        <v>0</v>
      </c>
      <c r="R1374" s="142">
        <f t="shared" si="318"/>
        <v>11.075827904214927</v>
      </c>
      <c r="S1374" s="142">
        <f t="shared" si="318"/>
        <v>28.978515576763897</v>
      </c>
      <c r="T1374" s="142">
        <f t="shared" si="318"/>
        <v>24.084976604896728</v>
      </c>
      <c r="U1374" s="142">
        <f t="shared" si="318"/>
        <v>0</v>
      </c>
      <c r="V1374" s="142">
        <f t="shared" si="318"/>
        <v>37.504018025338546</v>
      </c>
      <c r="W1374" s="142">
        <f t="shared" si="318"/>
        <v>10.430585652234571</v>
      </c>
      <c r="X1374" s="142">
        <f t="shared" si="318"/>
        <v>1.5421537295528367</v>
      </c>
      <c r="Y1374" s="142">
        <f t="shared" si="318"/>
        <v>20.415927964345901</v>
      </c>
      <c r="Z1374" s="142">
        <f t="shared" si="318"/>
        <v>3.3543643815341082</v>
      </c>
      <c r="AA1374" s="142">
        <f t="shared" si="318"/>
        <v>31.766622908980413</v>
      </c>
      <c r="AB1374" s="142">
        <f t="shared" si="318"/>
        <v>8.434443461940921</v>
      </c>
      <c r="AC1374" s="142">
        <f t="shared" si="318"/>
        <v>83.271787774581696</v>
      </c>
      <c r="AD1374" s="142">
        <f t="shared" si="318"/>
        <v>0</v>
      </c>
      <c r="AE1374" s="142">
        <f t="shared" si="318"/>
        <v>6.4206795264823171</v>
      </c>
      <c r="AF1374" s="142">
        <f t="shared" si="318"/>
        <v>0</v>
      </c>
      <c r="AG1374" s="142">
        <f t="shared" si="318"/>
        <v>12.837072640596599</v>
      </c>
      <c r="AH1374" s="142">
        <f t="shared" si="318"/>
        <v>4.9077214272483589</v>
      </c>
      <c r="AI1374" s="142">
        <f t="shared" si="318"/>
        <v>0</v>
      </c>
      <c r="AJ1374" s="142">
        <f t="shared" si="318"/>
        <v>0</v>
      </c>
      <c r="AK1374" s="142">
        <f t="shared" si="318"/>
        <v>0</v>
      </c>
      <c r="AL1374" s="142">
        <f t="shared" si="318"/>
        <v>0</v>
      </c>
      <c r="AM1374" s="379">
        <f t="shared" si="307"/>
        <v>356.62543962283701</v>
      </c>
    </row>
    <row r="1375" spans="1:39" x14ac:dyDescent="0.2">
      <c r="A1375" s="202"/>
      <c r="B1375" s="185" t="s">
        <v>694</v>
      </c>
      <c r="C1375" s="219" t="s">
        <v>83</v>
      </c>
      <c r="D1375" s="141"/>
      <c r="E1375" s="142"/>
      <c r="F1375" s="142">
        <f t="shared" ref="F1375:AL1375" si="319">F1355*((F1119*(F1194/100)*(F1197/100))-(F1119*(F1194/100)*(F1197/100)*((F1200/100)+(F1200/100)*(F1204/100))))</f>
        <v>0</v>
      </c>
      <c r="G1375" s="142">
        <f t="shared" si="319"/>
        <v>0</v>
      </c>
      <c r="H1375" s="142">
        <f t="shared" si="319"/>
        <v>0</v>
      </c>
      <c r="I1375" s="142">
        <f t="shared" si="319"/>
        <v>0</v>
      </c>
      <c r="J1375" s="142">
        <f t="shared" si="319"/>
        <v>2.0727481375267787</v>
      </c>
      <c r="K1375" s="142">
        <f t="shared" si="319"/>
        <v>1.1224746329416677</v>
      </c>
      <c r="L1375" s="142">
        <f t="shared" si="319"/>
        <v>0.57544714396404606</v>
      </c>
      <c r="M1375" s="142">
        <f t="shared" si="319"/>
        <v>0</v>
      </c>
      <c r="N1375" s="142">
        <f t="shared" si="319"/>
        <v>0</v>
      </c>
      <c r="O1375" s="142">
        <f t="shared" si="319"/>
        <v>0</v>
      </c>
      <c r="P1375" s="142">
        <f t="shared" si="319"/>
        <v>8.3587725962954149</v>
      </c>
      <c r="Q1375" s="142">
        <f t="shared" si="319"/>
        <v>0</v>
      </c>
      <c r="R1375" s="142">
        <f t="shared" si="319"/>
        <v>2.668890473562771</v>
      </c>
      <c r="S1375" s="142">
        <f t="shared" si="319"/>
        <v>3.0633803681548346</v>
      </c>
      <c r="T1375" s="142">
        <f t="shared" si="319"/>
        <v>3.0962746818570359</v>
      </c>
      <c r="U1375" s="142">
        <f t="shared" si="319"/>
        <v>0</v>
      </c>
      <c r="V1375" s="142">
        <f t="shared" si="319"/>
        <v>6.8362184626999234</v>
      </c>
      <c r="W1375" s="142">
        <f t="shared" si="319"/>
        <v>5.7211245701831457</v>
      </c>
      <c r="X1375" s="142">
        <f t="shared" si="319"/>
        <v>0.57042775997653827</v>
      </c>
      <c r="Y1375" s="142">
        <f t="shared" si="319"/>
        <v>6.2200285370117472</v>
      </c>
      <c r="Z1375" s="142">
        <f t="shared" si="319"/>
        <v>0.70367959377165845</v>
      </c>
      <c r="AA1375" s="142">
        <f t="shared" si="319"/>
        <v>8.9821318896926439</v>
      </c>
      <c r="AB1375" s="142">
        <f t="shared" si="319"/>
        <v>0.63646344160729584</v>
      </c>
      <c r="AC1375" s="142">
        <f t="shared" si="319"/>
        <v>8.8147235795265555</v>
      </c>
      <c r="AD1375" s="142">
        <f t="shared" si="319"/>
        <v>0</v>
      </c>
      <c r="AE1375" s="142">
        <f t="shared" si="319"/>
        <v>0.844431287165752</v>
      </c>
      <c r="AF1375" s="142">
        <f t="shared" si="319"/>
        <v>0</v>
      </c>
      <c r="AG1375" s="142">
        <f t="shared" si="319"/>
        <v>1.6145028077567993</v>
      </c>
      <c r="AH1375" s="142">
        <f t="shared" si="319"/>
        <v>0.98894355853402083</v>
      </c>
      <c r="AI1375" s="142">
        <f t="shared" si="319"/>
        <v>0</v>
      </c>
      <c r="AJ1375" s="142">
        <f t="shared" si="319"/>
        <v>0</v>
      </c>
      <c r="AK1375" s="142">
        <f t="shared" si="319"/>
        <v>0</v>
      </c>
      <c r="AL1375" s="142">
        <f t="shared" si="319"/>
        <v>0</v>
      </c>
      <c r="AM1375" s="379">
        <f t="shared" si="307"/>
        <v>62.890663522228635</v>
      </c>
    </row>
    <row r="1376" spans="1:39" x14ac:dyDescent="0.2">
      <c r="A1376" s="202"/>
      <c r="B1376" s="185" t="s">
        <v>695</v>
      </c>
      <c r="C1376" s="219" t="s">
        <v>83</v>
      </c>
      <c r="D1376" s="141"/>
      <c r="E1376" s="142"/>
      <c r="F1376" s="142">
        <f t="shared" ref="F1376:AL1376" si="320">F1356*F1235</f>
        <v>0</v>
      </c>
      <c r="G1376" s="142">
        <f t="shared" si="320"/>
        <v>0</v>
      </c>
      <c r="H1376" s="142">
        <f t="shared" si="320"/>
        <v>0</v>
      </c>
      <c r="I1376" s="142">
        <f t="shared" si="320"/>
        <v>0</v>
      </c>
      <c r="J1376" s="142">
        <f t="shared" si="320"/>
        <v>0</v>
      </c>
      <c r="K1376" s="142">
        <f t="shared" si="320"/>
        <v>0</v>
      </c>
      <c r="L1376" s="142">
        <f t="shared" si="320"/>
        <v>0</v>
      </c>
      <c r="M1376" s="142">
        <f t="shared" si="320"/>
        <v>0</v>
      </c>
      <c r="N1376" s="142">
        <f t="shared" si="320"/>
        <v>0</v>
      </c>
      <c r="O1376" s="142">
        <f t="shared" si="320"/>
        <v>0</v>
      </c>
      <c r="P1376" s="142">
        <f t="shared" si="320"/>
        <v>0</v>
      </c>
      <c r="Q1376" s="142">
        <f t="shared" si="320"/>
        <v>0</v>
      </c>
      <c r="R1376" s="142">
        <f t="shared" si="320"/>
        <v>0</v>
      </c>
      <c r="S1376" s="142">
        <f t="shared" si="320"/>
        <v>0</v>
      </c>
      <c r="T1376" s="142">
        <f t="shared" si="320"/>
        <v>0</v>
      </c>
      <c r="U1376" s="142">
        <f t="shared" si="320"/>
        <v>0</v>
      </c>
      <c r="V1376" s="142">
        <f t="shared" si="320"/>
        <v>0</v>
      </c>
      <c r="W1376" s="142">
        <f t="shared" si="320"/>
        <v>0</v>
      </c>
      <c r="X1376" s="142">
        <f t="shared" si="320"/>
        <v>0</v>
      </c>
      <c r="Y1376" s="142">
        <f t="shared" si="320"/>
        <v>0</v>
      </c>
      <c r="Z1376" s="142">
        <f t="shared" si="320"/>
        <v>0</v>
      </c>
      <c r="AA1376" s="142">
        <f t="shared" si="320"/>
        <v>0</v>
      </c>
      <c r="AB1376" s="142">
        <f t="shared" si="320"/>
        <v>0</v>
      </c>
      <c r="AC1376" s="142">
        <f t="shared" si="320"/>
        <v>0</v>
      </c>
      <c r="AD1376" s="142">
        <f t="shared" si="320"/>
        <v>0</v>
      </c>
      <c r="AE1376" s="142">
        <f t="shared" si="320"/>
        <v>0</v>
      </c>
      <c r="AF1376" s="142">
        <f t="shared" si="320"/>
        <v>0</v>
      </c>
      <c r="AG1376" s="142">
        <f t="shared" si="320"/>
        <v>0</v>
      </c>
      <c r="AH1376" s="142">
        <f t="shared" si="320"/>
        <v>0</v>
      </c>
      <c r="AI1376" s="142">
        <f t="shared" si="320"/>
        <v>0</v>
      </c>
      <c r="AJ1376" s="142">
        <f t="shared" si="320"/>
        <v>0</v>
      </c>
      <c r="AK1376" s="142">
        <f t="shared" si="320"/>
        <v>0</v>
      </c>
      <c r="AL1376" s="142">
        <f t="shared" si="320"/>
        <v>0</v>
      </c>
      <c r="AM1376" s="379">
        <f t="shared" si="307"/>
        <v>0</v>
      </c>
    </row>
    <row r="1377" spans="1:39" ht="15" x14ac:dyDescent="0.25">
      <c r="A1377" s="206"/>
      <c r="B1377" s="185"/>
      <c r="C1377" s="219"/>
      <c r="D1377" s="141"/>
      <c r="E1377" s="176"/>
      <c r="F1377" s="176"/>
      <c r="G1377" s="176"/>
      <c r="H1377" s="176"/>
      <c r="I1377" s="176"/>
      <c r="J1377" s="176"/>
      <c r="K1377" s="176"/>
      <c r="L1377" s="176"/>
      <c r="M1377" s="176"/>
      <c r="N1377" s="176"/>
      <c r="O1377" s="176"/>
      <c r="P1377" s="176"/>
      <c r="Q1377" s="176"/>
      <c r="R1377" s="176"/>
      <c r="S1377" s="176"/>
      <c r="T1377" s="176"/>
      <c r="U1377" s="176"/>
      <c r="V1377" s="176"/>
      <c r="W1377" s="176"/>
      <c r="X1377" s="176"/>
      <c r="Y1377" s="176"/>
      <c r="Z1377" s="176"/>
      <c r="AA1377" s="176"/>
      <c r="AB1377" s="176"/>
      <c r="AC1377" s="176"/>
      <c r="AD1377" s="176"/>
      <c r="AE1377" s="176"/>
      <c r="AF1377" s="176"/>
      <c r="AG1377" s="176"/>
      <c r="AH1377" s="176"/>
      <c r="AI1377" s="176"/>
      <c r="AJ1377" s="176"/>
      <c r="AK1377" s="176"/>
      <c r="AL1377" s="176"/>
      <c r="AM1377" s="379"/>
    </row>
    <row r="1378" spans="1:39" ht="15" x14ac:dyDescent="0.25">
      <c r="A1378" s="206"/>
      <c r="B1378" s="163" t="s">
        <v>692</v>
      </c>
      <c r="C1378" s="219" t="s">
        <v>83</v>
      </c>
      <c r="D1378" s="141"/>
      <c r="E1378" s="176"/>
      <c r="F1378" s="176"/>
      <c r="G1378" s="176"/>
      <c r="H1378" s="176"/>
      <c r="I1378" s="176"/>
      <c r="J1378" s="176"/>
      <c r="K1378" s="176"/>
      <c r="L1378" s="176"/>
      <c r="M1378" s="176"/>
      <c r="N1378" s="176"/>
      <c r="O1378" s="176"/>
      <c r="P1378" s="176"/>
      <c r="Q1378" s="176"/>
      <c r="R1378" s="176"/>
      <c r="S1378" s="176"/>
      <c r="T1378" s="176"/>
      <c r="U1378" s="176"/>
      <c r="V1378" s="176"/>
      <c r="W1378" s="176"/>
      <c r="X1378" s="176"/>
      <c r="Y1378" s="176"/>
      <c r="Z1378" s="176"/>
      <c r="AA1378" s="176"/>
      <c r="AB1378" s="176"/>
      <c r="AC1378" s="176"/>
      <c r="AD1378" s="176"/>
      <c r="AE1378" s="176"/>
      <c r="AF1378" s="176"/>
      <c r="AG1378" s="176"/>
      <c r="AH1378" s="176"/>
      <c r="AI1378" s="176"/>
      <c r="AJ1378" s="176"/>
      <c r="AK1378" s="176"/>
      <c r="AL1378" s="176"/>
      <c r="AM1378" s="379"/>
    </row>
    <row r="1379" spans="1:39" ht="15" x14ac:dyDescent="0.25">
      <c r="A1379" s="206"/>
      <c r="B1379" s="185" t="s">
        <v>699</v>
      </c>
      <c r="C1379" s="219" t="s">
        <v>83</v>
      </c>
      <c r="D1379" s="141"/>
      <c r="E1379" s="142"/>
      <c r="F1379" s="142">
        <f>F1358+F1359+F1362+F1365+F1368+F1369+F1371+F1372+F1374+F1375</f>
        <v>0</v>
      </c>
      <c r="G1379" s="142">
        <f t="shared" ref="G1379:AL1379" si="321">G1358+G1359+G1362+G1365+G1368+G1369+G1371+G1372+G1374+G1375</f>
        <v>0</v>
      </c>
      <c r="H1379" s="142">
        <f t="shared" si="321"/>
        <v>0</v>
      </c>
      <c r="I1379" s="142">
        <f t="shared" si="321"/>
        <v>0</v>
      </c>
      <c r="J1379" s="142">
        <f t="shared" si="321"/>
        <v>543.60056411542837</v>
      </c>
      <c r="K1379" s="142">
        <f t="shared" si="321"/>
        <v>340.89344551797126</v>
      </c>
      <c r="L1379" s="142">
        <f t="shared" si="321"/>
        <v>314.98017204108197</v>
      </c>
      <c r="M1379" s="142">
        <f t="shared" si="321"/>
        <v>0</v>
      </c>
      <c r="N1379" s="142">
        <f t="shared" si="321"/>
        <v>0</v>
      </c>
      <c r="O1379" s="142">
        <f t="shared" si="321"/>
        <v>0</v>
      </c>
      <c r="P1379" s="142">
        <f t="shared" si="321"/>
        <v>1257.8344968788635</v>
      </c>
      <c r="Q1379" s="142">
        <f t="shared" si="321"/>
        <v>0</v>
      </c>
      <c r="R1379" s="142">
        <f t="shared" si="321"/>
        <v>1201.6975455313441</v>
      </c>
      <c r="S1379" s="142">
        <f t="shared" si="321"/>
        <v>937.57299447519006</v>
      </c>
      <c r="T1379" s="142">
        <f t="shared" si="321"/>
        <v>1672.350771123103</v>
      </c>
      <c r="U1379" s="142">
        <f t="shared" si="321"/>
        <v>0</v>
      </c>
      <c r="V1379" s="142">
        <f t="shared" si="321"/>
        <v>2211.7032496029879</v>
      </c>
      <c r="W1379" s="142">
        <f t="shared" si="321"/>
        <v>484.55927365591361</v>
      </c>
      <c r="X1379" s="142">
        <f t="shared" si="321"/>
        <v>226.6432082460106</v>
      </c>
      <c r="Y1379" s="142">
        <f t="shared" si="321"/>
        <v>321.15880399497672</v>
      </c>
      <c r="Z1379" s="142">
        <f t="shared" si="321"/>
        <v>271.86925898158279</v>
      </c>
      <c r="AA1379" s="142">
        <f t="shared" si="321"/>
        <v>477.80600336076327</v>
      </c>
      <c r="AB1379" s="142">
        <f t="shared" si="321"/>
        <v>717.95849900292535</v>
      </c>
      <c r="AC1379" s="142">
        <f t="shared" si="321"/>
        <v>1656.6224268863791</v>
      </c>
      <c r="AD1379" s="142">
        <f t="shared" si="321"/>
        <v>0</v>
      </c>
      <c r="AE1379" s="142">
        <f t="shared" si="321"/>
        <v>577.82675079971227</v>
      </c>
      <c r="AF1379" s="142">
        <f t="shared" si="321"/>
        <v>0</v>
      </c>
      <c r="AG1379" s="142">
        <f t="shared" si="321"/>
        <v>486.98539422256499</v>
      </c>
      <c r="AH1379" s="142">
        <f t="shared" si="321"/>
        <v>451.83473120413339</v>
      </c>
      <c r="AI1379" s="142">
        <f t="shared" si="321"/>
        <v>0</v>
      </c>
      <c r="AJ1379" s="142">
        <f t="shared" si="321"/>
        <v>0</v>
      </c>
      <c r="AK1379" s="142">
        <f t="shared" si="321"/>
        <v>0</v>
      </c>
      <c r="AL1379" s="142">
        <f t="shared" si="321"/>
        <v>0</v>
      </c>
      <c r="AM1379" s="379">
        <f t="shared" si="307"/>
        <v>14153.89758964093</v>
      </c>
    </row>
    <row r="1380" spans="1:39" ht="15" x14ac:dyDescent="0.25">
      <c r="A1380" s="206"/>
      <c r="B1380" s="185" t="s">
        <v>700</v>
      </c>
      <c r="C1380" s="219" t="s">
        <v>83</v>
      </c>
      <c r="D1380" s="141"/>
      <c r="E1380" s="142"/>
      <c r="F1380" s="142">
        <f>F1360+F1363+F1366+F1376</f>
        <v>0</v>
      </c>
      <c r="G1380" s="142">
        <f t="shared" ref="G1380:AL1380" si="322">G1360+G1363+G1366+G1376</f>
        <v>0</v>
      </c>
      <c r="H1380" s="142">
        <f t="shared" si="322"/>
        <v>0</v>
      </c>
      <c r="I1380" s="142">
        <f t="shared" si="322"/>
        <v>0</v>
      </c>
      <c r="J1380" s="142">
        <f t="shared" si="322"/>
        <v>726.27681860281416</v>
      </c>
      <c r="K1380" s="142">
        <f t="shared" si="322"/>
        <v>307.74745871728101</v>
      </c>
      <c r="L1380" s="142">
        <f t="shared" si="322"/>
        <v>395.10033600857508</v>
      </c>
      <c r="M1380" s="142">
        <f t="shared" si="322"/>
        <v>0</v>
      </c>
      <c r="N1380" s="142">
        <f t="shared" si="322"/>
        <v>0</v>
      </c>
      <c r="O1380" s="142">
        <f t="shared" si="322"/>
        <v>0</v>
      </c>
      <c r="P1380" s="142">
        <f t="shared" si="322"/>
        <v>1056.9845764717916</v>
      </c>
      <c r="Q1380" s="142">
        <f t="shared" si="322"/>
        <v>0</v>
      </c>
      <c r="R1380" s="142">
        <f t="shared" si="322"/>
        <v>736.3584521648088</v>
      </c>
      <c r="S1380" s="142">
        <f t="shared" si="322"/>
        <v>790.73176355183932</v>
      </c>
      <c r="T1380" s="142">
        <f t="shared" si="322"/>
        <v>1452.0491917656664</v>
      </c>
      <c r="U1380" s="142">
        <f t="shared" si="322"/>
        <v>0</v>
      </c>
      <c r="V1380" s="142">
        <f t="shared" si="322"/>
        <v>2495.7220331741833</v>
      </c>
      <c r="W1380" s="142">
        <f t="shared" si="322"/>
        <v>294.41843412336357</v>
      </c>
      <c r="X1380" s="142">
        <f t="shared" si="322"/>
        <v>162.44097898445199</v>
      </c>
      <c r="Y1380" s="142">
        <f t="shared" si="322"/>
        <v>237.9361955917706</v>
      </c>
      <c r="Z1380" s="142">
        <f t="shared" si="322"/>
        <v>373.53640302595176</v>
      </c>
      <c r="AA1380" s="142">
        <f t="shared" si="322"/>
        <v>321.12149260086471</v>
      </c>
      <c r="AB1380" s="142">
        <f t="shared" si="322"/>
        <v>503.73380797723922</v>
      </c>
      <c r="AC1380" s="142">
        <f t="shared" si="322"/>
        <v>1169.0683001415568</v>
      </c>
      <c r="AD1380" s="142">
        <f t="shared" si="322"/>
        <v>0</v>
      </c>
      <c r="AE1380" s="142">
        <f t="shared" si="322"/>
        <v>439.1457018354933</v>
      </c>
      <c r="AF1380" s="142">
        <f t="shared" si="322"/>
        <v>0</v>
      </c>
      <c r="AG1380" s="142">
        <f t="shared" si="322"/>
        <v>357.26221835657793</v>
      </c>
      <c r="AH1380" s="142">
        <f t="shared" si="322"/>
        <v>471.13739027991875</v>
      </c>
      <c r="AI1380" s="142">
        <f t="shared" si="322"/>
        <v>0</v>
      </c>
      <c r="AJ1380" s="142">
        <f t="shared" si="322"/>
        <v>0</v>
      </c>
      <c r="AK1380" s="142">
        <f t="shared" si="322"/>
        <v>0</v>
      </c>
      <c r="AL1380" s="142">
        <f t="shared" si="322"/>
        <v>0</v>
      </c>
      <c r="AM1380" s="379">
        <f t="shared" si="307"/>
        <v>12290.771553374148</v>
      </c>
    </row>
    <row r="1381" spans="1:39" ht="15" x14ac:dyDescent="0.25">
      <c r="A1381" s="206"/>
      <c r="B1381" s="141"/>
      <c r="C1381" s="219"/>
      <c r="D1381" s="141"/>
      <c r="E1381" s="141"/>
      <c r="F1381" s="141"/>
      <c r="G1381" s="141"/>
      <c r="H1381" s="141"/>
      <c r="I1381" s="141"/>
      <c r="J1381" s="141"/>
      <c r="K1381" s="141"/>
      <c r="L1381" s="141"/>
      <c r="M1381" s="141"/>
      <c r="N1381" s="141"/>
      <c r="O1381" s="141"/>
      <c r="P1381" s="141"/>
      <c r="Q1381" s="141"/>
      <c r="R1381" s="141"/>
      <c r="S1381" s="141"/>
      <c r="T1381" s="141"/>
      <c r="U1381" s="141"/>
      <c r="V1381" s="141"/>
      <c r="W1381" s="141"/>
      <c r="X1381" s="141"/>
      <c r="Y1381" s="141"/>
      <c r="Z1381" s="141"/>
      <c r="AA1381" s="141"/>
      <c r="AB1381" s="141"/>
      <c r="AC1381" s="141"/>
      <c r="AD1381" s="141"/>
      <c r="AE1381" s="141"/>
      <c r="AF1381" s="141"/>
      <c r="AG1381" s="141"/>
      <c r="AH1381" s="141"/>
      <c r="AI1381" s="141"/>
      <c r="AJ1381" s="141"/>
      <c r="AK1381" s="141"/>
      <c r="AL1381" s="141"/>
      <c r="AM1381" s="379"/>
    </row>
    <row r="1382" spans="1:39" ht="15" x14ac:dyDescent="0.25">
      <c r="A1382" s="206"/>
      <c r="B1382" s="163" t="s">
        <v>701</v>
      </c>
      <c r="C1382" s="219"/>
      <c r="D1382" s="141"/>
      <c r="E1382" s="141"/>
      <c r="F1382" s="141"/>
      <c r="G1382" s="141"/>
      <c r="H1382" s="141"/>
      <c r="I1382" s="141"/>
      <c r="J1382" s="141"/>
      <c r="K1382" s="141"/>
      <c r="L1382" s="141"/>
      <c r="M1382" s="141"/>
      <c r="N1382" s="141"/>
      <c r="O1382" s="141"/>
      <c r="P1382" s="141"/>
      <c r="Q1382" s="141"/>
      <c r="R1382" s="141"/>
      <c r="S1382" s="141"/>
      <c r="T1382" s="141"/>
      <c r="U1382" s="141"/>
      <c r="V1382" s="141"/>
      <c r="W1382" s="141"/>
      <c r="X1382" s="141"/>
      <c r="Y1382" s="141"/>
      <c r="Z1382" s="141"/>
      <c r="AA1382" s="141"/>
      <c r="AB1382" s="141"/>
      <c r="AC1382" s="141"/>
      <c r="AD1382" s="141"/>
      <c r="AE1382" s="141"/>
      <c r="AF1382" s="141"/>
      <c r="AG1382" s="141"/>
      <c r="AH1382" s="141"/>
      <c r="AI1382" s="141"/>
      <c r="AJ1382" s="141"/>
      <c r="AK1382" s="141"/>
      <c r="AL1382" s="141"/>
      <c r="AM1382" s="379"/>
    </row>
    <row r="1383" spans="1:39" ht="15" x14ac:dyDescent="0.25">
      <c r="A1383" s="206"/>
      <c r="B1383" s="141" t="s">
        <v>610</v>
      </c>
      <c r="C1383" s="219" t="s">
        <v>83</v>
      </c>
      <c r="D1383" s="141"/>
      <c r="E1383" s="142"/>
      <c r="F1383" s="142">
        <f t="shared" ref="F1383:AL1383" si="323">F1379+F1380*(F22/(F22+F20))</f>
        <v>0</v>
      </c>
      <c r="G1383" s="142">
        <f t="shared" si="323"/>
        <v>0</v>
      </c>
      <c r="H1383" s="142">
        <f t="shared" si="323"/>
        <v>0</v>
      </c>
      <c r="I1383" s="142">
        <f t="shared" si="323"/>
        <v>0</v>
      </c>
      <c r="J1383" s="142">
        <f t="shared" si="323"/>
        <v>719.67596190891231</v>
      </c>
      <c r="K1383" s="142">
        <f t="shared" si="323"/>
        <v>410.991231333168</v>
      </c>
      <c r="L1383" s="142">
        <f t="shared" si="323"/>
        <v>482.99180474997365</v>
      </c>
      <c r="M1383" s="142">
        <f t="shared" si="323"/>
        <v>0</v>
      </c>
      <c r="N1383" s="142">
        <f t="shared" si="323"/>
        <v>0</v>
      </c>
      <c r="O1383" s="142">
        <f t="shared" si="323"/>
        <v>0</v>
      </c>
      <c r="P1383" s="142">
        <f t="shared" si="323"/>
        <v>1423.4999544327034</v>
      </c>
      <c r="Q1383" s="142">
        <f t="shared" si="323"/>
        <v>0</v>
      </c>
      <c r="R1383" s="142">
        <f t="shared" si="323"/>
        <v>1733.7754711376997</v>
      </c>
      <c r="S1383" s="142">
        <f t="shared" si="323"/>
        <v>1372.7648152859695</v>
      </c>
      <c r="T1383" s="142">
        <f t="shared" si="323"/>
        <v>2503.5910064307736</v>
      </c>
      <c r="U1383" s="142">
        <f t="shared" si="323"/>
        <v>0</v>
      </c>
      <c r="V1383" s="142">
        <f t="shared" si="323"/>
        <v>2866.0293997178901</v>
      </c>
      <c r="W1383" s="142">
        <f t="shared" si="323"/>
        <v>517.2835545576138</v>
      </c>
      <c r="X1383" s="142">
        <f t="shared" si="323"/>
        <v>231.54432805392165</v>
      </c>
      <c r="Y1383" s="142">
        <f t="shared" si="323"/>
        <v>362.89101456008507</v>
      </c>
      <c r="Z1383" s="142">
        <f t="shared" si="323"/>
        <v>355.512872337148</v>
      </c>
      <c r="AA1383" s="142">
        <f t="shared" si="323"/>
        <v>541.72536326538295</v>
      </c>
      <c r="AB1383" s="142">
        <f t="shared" si="323"/>
        <v>900.00725215079615</v>
      </c>
      <c r="AC1383" s="142">
        <f t="shared" si="323"/>
        <v>2169.2956220585379</v>
      </c>
      <c r="AD1383" s="142">
        <f t="shared" si="323"/>
        <v>0</v>
      </c>
      <c r="AE1383" s="142">
        <f t="shared" si="323"/>
        <v>689.00724748278992</v>
      </c>
      <c r="AF1383" s="142">
        <f t="shared" si="323"/>
        <v>0</v>
      </c>
      <c r="AG1383" s="142">
        <f t="shared" si="323"/>
        <v>623.29906678709483</v>
      </c>
      <c r="AH1383" s="142">
        <f t="shared" si="323"/>
        <v>554.96682752439528</v>
      </c>
      <c r="AI1383" s="142">
        <f t="shared" si="323"/>
        <v>0</v>
      </c>
      <c r="AJ1383" s="142">
        <f t="shared" si="323"/>
        <v>0</v>
      </c>
      <c r="AK1383" s="142">
        <f t="shared" si="323"/>
        <v>0</v>
      </c>
      <c r="AL1383" s="142">
        <f t="shared" si="323"/>
        <v>0</v>
      </c>
      <c r="AM1383" s="379">
        <f t="shared" si="307"/>
        <v>18458.852793774859</v>
      </c>
    </row>
    <row r="1384" spans="1:39" ht="15" x14ac:dyDescent="0.25">
      <c r="A1384" s="206"/>
      <c r="B1384" s="141" t="s">
        <v>611</v>
      </c>
      <c r="C1384" s="219" t="s">
        <v>83</v>
      </c>
      <c r="D1384" s="141"/>
      <c r="E1384" s="142"/>
      <c r="F1384" s="142">
        <f t="shared" ref="F1384:AL1384" si="324">F1380*(F20/(F22+F20))</f>
        <v>0</v>
      </c>
      <c r="G1384" s="142">
        <f t="shared" si="324"/>
        <v>0</v>
      </c>
      <c r="H1384" s="142">
        <f t="shared" si="324"/>
        <v>0</v>
      </c>
      <c r="I1384" s="142">
        <f t="shared" si="324"/>
        <v>0</v>
      </c>
      <c r="J1384" s="142">
        <f t="shared" si="324"/>
        <v>550.20142080933022</v>
      </c>
      <c r="K1384" s="142">
        <f t="shared" si="324"/>
        <v>237.64967290208432</v>
      </c>
      <c r="L1384" s="142">
        <f t="shared" si="324"/>
        <v>227.08870329968343</v>
      </c>
      <c r="M1384" s="142">
        <f t="shared" si="324"/>
        <v>0</v>
      </c>
      <c r="N1384" s="142">
        <f t="shared" si="324"/>
        <v>0</v>
      </c>
      <c r="O1384" s="142">
        <f t="shared" si="324"/>
        <v>0</v>
      </c>
      <c r="P1384" s="142">
        <f t="shared" si="324"/>
        <v>891.31911891795153</v>
      </c>
      <c r="Q1384" s="142">
        <f t="shared" si="324"/>
        <v>0</v>
      </c>
      <c r="R1384" s="142">
        <f t="shared" si="324"/>
        <v>204.280526558453</v>
      </c>
      <c r="S1384" s="142">
        <f t="shared" si="324"/>
        <v>355.53994274106009</v>
      </c>
      <c r="T1384" s="142">
        <f t="shared" si="324"/>
        <v>620.80895645799615</v>
      </c>
      <c r="U1384" s="142">
        <f t="shared" si="324"/>
        <v>0</v>
      </c>
      <c r="V1384" s="142">
        <f t="shared" si="324"/>
        <v>1841.395883059281</v>
      </c>
      <c r="W1384" s="142">
        <f t="shared" si="324"/>
        <v>261.69415322166338</v>
      </c>
      <c r="X1384" s="142">
        <f t="shared" si="324"/>
        <v>157.53985917654094</v>
      </c>
      <c r="Y1384" s="142">
        <f t="shared" si="324"/>
        <v>196.20398502666222</v>
      </c>
      <c r="Z1384" s="142">
        <f t="shared" si="324"/>
        <v>289.89278967038655</v>
      </c>
      <c r="AA1384" s="142">
        <f t="shared" si="324"/>
        <v>257.20213269624497</v>
      </c>
      <c r="AB1384" s="142">
        <f t="shared" si="324"/>
        <v>321.68505482936843</v>
      </c>
      <c r="AC1384" s="142">
        <f t="shared" si="324"/>
        <v>656.39510496939806</v>
      </c>
      <c r="AD1384" s="142">
        <f t="shared" si="324"/>
        <v>0</v>
      </c>
      <c r="AE1384" s="142">
        <f t="shared" si="324"/>
        <v>327.96520515241559</v>
      </c>
      <c r="AF1384" s="142">
        <f t="shared" si="324"/>
        <v>0</v>
      </c>
      <c r="AG1384" s="142">
        <f t="shared" si="324"/>
        <v>220.94854579204807</v>
      </c>
      <c r="AH1384" s="142">
        <f t="shared" si="324"/>
        <v>368.00529395965691</v>
      </c>
      <c r="AI1384" s="142">
        <f t="shared" si="324"/>
        <v>0</v>
      </c>
      <c r="AJ1384" s="142">
        <f t="shared" si="324"/>
        <v>0</v>
      </c>
      <c r="AK1384" s="142">
        <f t="shared" si="324"/>
        <v>0</v>
      </c>
      <c r="AL1384" s="142">
        <f t="shared" si="324"/>
        <v>0</v>
      </c>
      <c r="AM1384" s="379">
        <f t="shared" si="307"/>
        <v>7985.8163492402246</v>
      </c>
    </row>
    <row r="1385" spans="1:39" x14ac:dyDescent="0.2">
      <c r="A1385" s="202"/>
      <c r="B1385" s="141"/>
      <c r="C1385" s="219"/>
      <c r="D1385" s="141"/>
      <c r="E1385" s="8"/>
      <c r="F1385" s="141"/>
      <c r="G1385" s="141"/>
      <c r="H1385" s="141"/>
      <c r="I1385" s="141"/>
      <c r="J1385" s="141"/>
      <c r="K1385" s="141"/>
      <c r="L1385" s="141"/>
      <c r="M1385" s="141"/>
      <c r="N1385" s="141"/>
      <c r="O1385" s="141"/>
      <c r="P1385" s="141"/>
      <c r="Q1385" s="141"/>
      <c r="R1385" s="141"/>
      <c r="S1385" s="141"/>
      <c r="T1385" s="141"/>
      <c r="U1385" s="141"/>
      <c r="V1385" s="141"/>
      <c r="W1385" s="141"/>
      <c r="X1385" s="141"/>
      <c r="Y1385" s="141"/>
      <c r="Z1385" s="141"/>
      <c r="AA1385" s="141"/>
      <c r="AB1385" s="141"/>
      <c r="AC1385" s="141"/>
      <c r="AD1385" s="141"/>
      <c r="AE1385" s="141"/>
      <c r="AF1385" s="141"/>
      <c r="AG1385" s="141"/>
      <c r="AH1385" s="141"/>
      <c r="AI1385" s="141"/>
      <c r="AJ1385" s="141"/>
      <c r="AK1385" s="141"/>
      <c r="AL1385" s="141"/>
      <c r="AM1385" s="107"/>
    </row>
    <row r="1386" spans="1:39" x14ac:dyDescent="0.2">
      <c r="A1386" s="202"/>
      <c r="B1386" s="163" t="s">
        <v>702</v>
      </c>
      <c r="C1386" s="219"/>
      <c r="D1386" s="141"/>
      <c r="E1386" s="8"/>
      <c r="F1386" s="141"/>
      <c r="G1386" s="141"/>
      <c r="H1386" s="141"/>
      <c r="I1386" s="141"/>
      <c r="J1386" s="141"/>
      <c r="K1386" s="141"/>
      <c r="L1386" s="141"/>
      <c r="M1386" s="141"/>
      <c r="N1386" s="141"/>
      <c r="O1386" s="141"/>
      <c r="P1386" s="141"/>
      <c r="Q1386" s="141"/>
      <c r="R1386" s="141"/>
      <c r="S1386" s="141"/>
      <c r="T1386" s="141"/>
      <c r="U1386" s="141"/>
      <c r="V1386" s="141"/>
      <c r="W1386" s="141"/>
      <c r="X1386" s="141"/>
      <c r="Y1386" s="141"/>
      <c r="Z1386" s="141"/>
      <c r="AA1386" s="141"/>
      <c r="AB1386" s="141"/>
      <c r="AC1386" s="141"/>
      <c r="AD1386" s="141"/>
      <c r="AE1386" s="141"/>
      <c r="AF1386" s="141"/>
      <c r="AG1386" s="141"/>
      <c r="AH1386" s="141"/>
      <c r="AI1386" s="141"/>
      <c r="AJ1386" s="141"/>
      <c r="AK1386" s="141"/>
      <c r="AL1386" s="141"/>
      <c r="AM1386" s="107"/>
    </row>
    <row r="1387" spans="1:39" x14ac:dyDescent="0.2">
      <c r="A1387" s="91"/>
      <c r="B1387" s="90" t="s">
        <v>703</v>
      </c>
      <c r="C1387" s="89" t="s">
        <v>704</v>
      </c>
      <c r="D1387" s="374" t="s">
        <v>1124</v>
      </c>
      <c r="E1387" s="106"/>
      <c r="F1387" s="96">
        <v>0.52</v>
      </c>
      <c r="G1387" s="96">
        <v>0.46</v>
      </c>
      <c r="H1387" s="96">
        <v>0.46</v>
      </c>
      <c r="I1387" s="96">
        <v>0.46</v>
      </c>
      <c r="J1387" s="96">
        <v>0.46</v>
      </c>
      <c r="K1387" s="96">
        <v>0.46</v>
      </c>
      <c r="L1387" s="96">
        <v>0.46</v>
      </c>
      <c r="M1387" s="96">
        <v>0.46</v>
      </c>
      <c r="N1387" s="96">
        <v>0.46</v>
      </c>
      <c r="O1387" s="96">
        <v>0.46</v>
      </c>
      <c r="P1387" s="96">
        <v>0.46</v>
      </c>
      <c r="Q1387" s="96">
        <v>0.46</v>
      </c>
      <c r="R1387" s="96">
        <v>0.46</v>
      </c>
      <c r="S1387" s="96">
        <v>0.46</v>
      </c>
      <c r="T1387" s="96">
        <v>0.46</v>
      </c>
      <c r="U1387" s="96">
        <v>0.46</v>
      </c>
      <c r="V1387" s="96">
        <v>0.46</v>
      </c>
      <c r="W1387" s="96">
        <v>0.46</v>
      </c>
      <c r="X1387" s="96">
        <v>0.46</v>
      </c>
      <c r="Y1387" s="96">
        <v>0.46</v>
      </c>
      <c r="Z1387" s="96">
        <v>0.46</v>
      </c>
      <c r="AA1387" s="96">
        <v>0.46</v>
      </c>
      <c r="AB1387" s="96">
        <v>0.46</v>
      </c>
      <c r="AC1387" s="96">
        <v>0.46</v>
      </c>
      <c r="AD1387" s="96">
        <v>0.46</v>
      </c>
      <c r="AE1387" s="96">
        <v>0.46</v>
      </c>
      <c r="AF1387" s="96">
        <v>0.46</v>
      </c>
      <c r="AG1387" s="96">
        <v>0.46</v>
      </c>
      <c r="AH1387" s="96">
        <v>0.46</v>
      </c>
      <c r="AI1387" s="96">
        <v>0.46</v>
      </c>
      <c r="AJ1387" s="96">
        <v>0.46</v>
      </c>
      <c r="AK1387" s="96">
        <v>0.46</v>
      </c>
      <c r="AL1387" s="96">
        <v>0.46</v>
      </c>
      <c r="AM1387" s="383">
        <f t="shared" ref="AM1387:AM1395" si="325">AVERAGE(F1387:AL1387)</f>
        <v>0.46181818181818218</v>
      </c>
    </row>
    <row r="1388" spans="1:39" x14ac:dyDescent="0.2">
      <c r="A1388" s="8"/>
      <c r="B1388" s="90" t="s">
        <v>705</v>
      </c>
      <c r="C1388" s="89" t="s">
        <v>704</v>
      </c>
      <c r="D1388" s="374" t="s">
        <v>1124</v>
      </c>
      <c r="E1388" s="106"/>
      <c r="F1388" s="96">
        <v>0.15</v>
      </c>
      <c r="G1388" s="96">
        <v>0.26</v>
      </c>
      <c r="H1388" s="96">
        <v>0.26</v>
      </c>
      <c r="I1388" s="96">
        <v>0.26</v>
      </c>
      <c r="J1388" s="96">
        <v>0.26</v>
      </c>
      <c r="K1388" s="96">
        <v>0.26</v>
      </c>
      <c r="L1388" s="96">
        <v>0.26</v>
      </c>
      <c r="M1388" s="96">
        <v>0.26</v>
      </c>
      <c r="N1388" s="96">
        <v>0.26</v>
      </c>
      <c r="O1388" s="96">
        <v>0.26</v>
      </c>
      <c r="P1388" s="96">
        <v>0.26</v>
      </c>
      <c r="Q1388" s="96">
        <v>0.26</v>
      </c>
      <c r="R1388" s="96">
        <v>0.26</v>
      </c>
      <c r="S1388" s="96">
        <v>0.26</v>
      </c>
      <c r="T1388" s="96">
        <v>0.26</v>
      </c>
      <c r="U1388" s="96">
        <v>0.26</v>
      </c>
      <c r="V1388" s="96">
        <v>0.26</v>
      </c>
      <c r="W1388" s="96">
        <v>0.26</v>
      </c>
      <c r="X1388" s="96">
        <v>0.26</v>
      </c>
      <c r="Y1388" s="96">
        <v>0.26</v>
      </c>
      <c r="Z1388" s="96">
        <v>0.26</v>
      </c>
      <c r="AA1388" s="96">
        <v>0.26</v>
      </c>
      <c r="AB1388" s="96">
        <v>0.26</v>
      </c>
      <c r="AC1388" s="96">
        <v>0.26</v>
      </c>
      <c r="AD1388" s="96">
        <v>0.26</v>
      </c>
      <c r="AE1388" s="96">
        <v>0.26</v>
      </c>
      <c r="AF1388" s="96">
        <v>0.26</v>
      </c>
      <c r="AG1388" s="96">
        <v>0.26</v>
      </c>
      <c r="AH1388" s="96">
        <v>0.26</v>
      </c>
      <c r="AI1388" s="96">
        <v>0.26</v>
      </c>
      <c r="AJ1388" s="96">
        <v>0.26</v>
      </c>
      <c r="AK1388" s="96">
        <v>0.26</v>
      </c>
      <c r="AL1388" s="96">
        <v>0.26</v>
      </c>
      <c r="AM1388" s="383">
        <f t="shared" si="325"/>
        <v>0.25666666666666654</v>
      </c>
    </row>
    <row r="1389" spans="1:39" ht="15" x14ac:dyDescent="0.25">
      <c r="A1389" s="8"/>
      <c r="B1389" s="90" t="s">
        <v>706</v>
      </c>
      <c r="C1389" s="89" t="s">
        <v>1125</v>
      </c>
      <c r="D1389" s="374" t="s">
        <v>1124</v>
      </c>
      <c r="E1389" s="106"/>
      <c r="F1389" s="96">
        <v>0.61</v>
      </c>
      <c r="G1389" s="96">
        <v>0.61</v>
      </c>
      <c r="H1389" s="96">
        <v>0.61</v>
      </c>
      <c r="I1389" s="96">
        <v>0.61</v>
      </c>
      <c r="J1389" s="96">
        <v>0.61</v>
      </c>
      <c r="K1389" s="96">
        <v>0.61</v>
      </c>
      <c r="L1389" s="96">
        <v>0.61</v>
      </c>
      <c r="M1389" s="96">
        <v>0.61</v>
      </c>
      <c r="N1389" s="96">
        <v>0.61</v>
      </c>
      <c r="O1389" s="96">
        <v>0.61</v>
      </c>
      <c r="P1389" s="96">
        <v>0.61</v>
      </c>
      <c r="Q1389" s="96">
        <v>0.61</v>
      </c>
      <c r="R1389" s="96">
        <v>0.61</v>
      </c>
      <c r="S1389" s="96">
        <v>0.61</v>
      </c>
      <c r="T1389" s="96">
        <v>0.61</v>
      </c>
      <c r="U1389" s="96">
        <v>0.61</v>
      </c>
      <c r="V1389" s="96">
        <v>0.61</v>
      </c>
      <c r="W1389" s="96">
        <v>0.61</v>
      </c>
      <c r="X1389" s="96">
        <v>0.61</v>
      </c>
      <c r="Y1389" s="96">
        <v>0.61</v>
      </c>
      <c r="Z1389" s="96">
        <v>0.61</v>
      </c>
      <c r="AA1389" s="96">
        <v>0.61</v>
      </c>
      <c r="AB1389" s="96">
        <v>0.61</v>
      </c>
      <c r="AC1389" s="96">
        <v>0.61</v>
      </c>
      <c r="AD1389" s="96">
        <v>0.61</v>
      </c>
      <c r="AE1389" s="96">
        <v>0.61</v>
      </c>
      <c r="AF1389" s="96">
        <v>0.61</v>
      </c>
      <c r="AG1389" s="96">
        <v>0.61</v>
      </c>
      <c r="AH1389" s="96">
        <v>0.61</v>
      </c>
      <c r="AI1389" s="96">
        <v>0.61</v>
      </c>
      <c r="AJ1389" s="96">
        <v>0.61</v>
      </c>
      <c r="AK1389" s="96">
        <v>0.61</v>
      </c>
      <c r="AL1389" s="96">
        <v>0.61</v>
      </c>
      <c r="AM1389" s="383">
        <f t="shared" si="325"/>
        <v>0.60999999999999976</v>
      </c>
    </row>
    <row r="1390" spans="1:39" ht="15" x14ac:dyDescent="0.25">
      <c r="A1390" s="8"/>
      <c r="B1390" s="90" t="s">
        <v>707</v>
      </c>
      <c r="C1390" s="89" t="s">
        <v>1125</v>
      </c>
      <c r="D1390" s="374" t="s">
        <v>1124</v>
      </c>
      <c r="E1390" s="106"/>
      <c r="F1390" s="96">
        <v>0.53</v>
      </c>
      <c r="G1390" s="96">
        <v>0.15</v>
      </c>
      <c r="H1390" s="96">
        <v>0.15</v>
      </c>
      <c r="I1390" s="96">
        <v>0.15</v>
      </c>
      <c r="J1390" s="96">
        <v>0.15</v>
      </c>
      <c r="K1390" s="96">
        <v>0.15</v>
      </c>
      <c r="L1390" s="96">
        <v>0.15</v>
      </c>
      <c r="M1390" s="96">
        <v>0.15</v>
      </c>
      <c r="N1390" s="96">
        <v>0.15</v>
      </c>
      <c r="O1390" s="96">
        <v>0.15</v>
      </c>
      <c r="P1390" s="96">
        <v>0.15</v>
      </c>
      <c r="Q1390" s="96">
        <v>0.15</v>
      </c>
      <c r="R1390" s="96">
        <v>0.15</v>
      </c>
      <c r="S1390" s="96">
        <v>0.15</v>
      </c>
      <c r="T1390" s="96">
        <v>0.15</v>
      </c>
      <c r="U1390" s="96">
        <v>0.15</v>
      </c>
      <c r="V1390" s="96">
        <v>0.15</v>
      </c>
      <c r="W1390" s="96">
        <v>0.15</v>
      </c>
      <c r="X1390" s="96">
        <v>0.15</v>
      </c>
      <c r="Y1390" s="96">
        <v>0.15</v>
      </c>
      <c r="Z1390" s="96">
        <v>0.15</v>
      </c>
      <c r="AA1390" s="96">
        <v>0.15</v>
      </c>
      <c r="AB1390" s="96">
        <v>0.15</v>
      </c>
      <c r="AC1390" s="96">
        <v>0.15</v>
      </c>
      <c r="AD1390" s="96">
        <v>0.15</v>
      </c>
      <c r="AE1390" s="96">
        <v>0.15</v>
      </c>
      <c r="AF1390" s="96">
        <v>0.15</v>
      </c>
      <c r="AG1390" s="96">
        <v>0.15</v>
      </c>
      <c r="AH1390" s="96">
        <v>0.15</v>
      </c>
      <c r="AI1390" s="96">
        <v>0.15</v>
      </c>
      <c r="AJ1390" s="96">
        <v>0.15</v>
      </c>
      <c r="AK1390" s="96">
        <v>0.15</v>
      </c>
      <c r="AL1390" s="96">
        <v>0.15</v>
      </c>
      <c r="AM1390" s="383">
        <f t="shared" si="325"/>
        <v>0.16151515151515158</v>
      </c>
    </row>
    <row r="1391" spans="1:39" ht="15" x14ac:dyDescent="0.25">
      <c r="A1391" s="8"/>
      <c r="B1391" s="90" t="s">
        <v>708</v>
      </c>
      <c r="C1391" s="89" t="s">
        <v>1125</v>
      </c>
      <c r="D1391" s="374" t="s">
        <v>1124</v>
      </c>
      <c r="E1391" s="106"/>
      <c r="F1391" s="96">
        <v>0.15</v>
      </c>
      <c r="G1391" s="96">
        <v>0.1</v>
      </c>
      <c r="H1391" s="96">
        <v>0.1</v>
      </c>
      <c r="I1391" s="96">
        <v>0.1</v>
      </c>
      <c r="J1391" s="96">
        <v>0.1</v>
      </c>
      <c r="K1391" s="96">
        <v>0.1</v>
      </c>
      <c r="L1391" s="96">
        <v>0.1</v>
      </c>
      <c r="M1391" s="96">
        <v>0.1</v>
      </c>
      <c r="N1391" s="96">
        <v>0.1</v>
      </c>
      <c r="O1391" s="96">
        <v>0.1</v>
      </c>
      <c r="P1391" s="96">
        <v>0.1</v>
      </c>
      <c r="Q1391" s="96">
        <v>0.1</v>
      </c>
      <c r="R1391" s="96">
        <v>0.1</v>
      </c>
      <c r="S1391" s="96">
        <v>0.1</v>
      </c>
      <c r="T1391" s="96">
        <v>0.1</v>
      </c>
      <c r="U1391" s="96">
        <v>0.1</v>
      </c>
      <c r="V1391" s="96">
        <v>0.1</v>
      </c>
      <c r="W1391" s="96">
        <v>0.1</v>
      </c>
      <c r="X1391" s="96">
        <v>0.1</v>
      </c>
      <c r="Y1391" s="96">
        <v>0.1</v>
      </c>
      <c r="Z1391" s="96">
        <v>0.1</v>
      </c>
      <c r="AA1391" s="96">
        <v>0.1</v>
      </c>
      <c r="AB1391" s="96">
        <v>0.1</v>
      </c>
      <c r="AC1391" s="96">
        <v>0.1</v>
      </c>
      <c r="AD1391" s="96">
        <v>0.1</v>
      </c>
      <c r="AE1391" s="96">
        <v>0.1</v>
      </c>
      <c r="AF1391" s="96">
        <v>0.1</v>
      </c>
      <c r="AG1391" s="96">
        <v>0.1</v>
      </c>
      <c r="AH1391" s="96">
        <v>0.1</v>
      </c>
      <c r="AI1391" s="96">
        <v>0.1</v>
      </c>
      <c r="AJ1391" s="96">
        <v>0.1</v>
      </c>
      <c r="AK1391" s="96">
        <v>0.1</v>
      </c>
      <c r="AL1391" s="96">
        <v>0.1</v>
      </c>
      <c r="AM1391" s="383">
        <f t="shared" si="325"/>
        <v>0.10151515151515157</v>
      </c>
    </row>
    <row r="1392" spans="1:39" ht="15" x14ac:dyDescent="0.25">
      <c r="A1392" s="8"/>
      <c r="B1392" s="90" t="s">
        <v>709</v>
      </c>
      <c r="C1392" s="89" t="s">
        <v>1125</v>
      </c>
      <c r="D1392" s="374" t="s">
        <v>1124</v>
      </c>
      <c r="E1392" s="106"/>
      <c r="F1392" s="96">
        <v>0.15</v>
      </c>
      <c r="G1392" s="96">
        <v>0.2</v>
      </c>
      <c r="H1392" s="96">
        <v>0.2</v>
      </c>
      <c r="I1392" s="96">
        <v>0.2</v>
      </c>
      <c r="J1392" s="96">
        <v>0.2</v>
      </c>
      <c r="K1392" s="96">
        <v>0.2</v>
      </c>
      <c r="L1392" s="96">
        <v>0.2</v>
      </c>
      <c r="M1392" s="96">
        <v>0.2</v>
      </c>
      <c r="N1392" s="96">
        <v>0.2</v>
      </c>
      <c r="O1392" s="96">
        <v>0.2</v>
      </c>
      <c r="P1392" s="96">
        <v>0.2</v>
      </c>
      <c r="Q1392" s="96">
        <v>0.2</v>
      </c>
      <c r="R1392" s="96">
        <v>0.2</v>
      </c>
      <c r="S1392" s="96">
        <v>0.2</v>
      </c>
      <c r="T1392" s="96">
        <v>0.2</v>
      </c>
      <c r="U1392" s="96">
        <v>0.2</v>
      </c>
      <c r="V1392" s="96">
        <v>0.2</v>
      </c>
      <c r="W1392" s="96">
        <v>0.2</v>
      </c>
      <c r="X1392" s="96">
        <v>0.2</v>
      </c>
      <c r="Y1392" s="96">
        <v>0.2</v>
      </c>
      <c r="Z1392" s="96">
        <v>0.2</v>
      </c>
      <c r="AA1392" s="96">
        <v>0.2</v>
      </c>
      <c r="AB1392" s="96">
        <v>0.2</v>
      </c>
      <c r="AC1392" s="96">
        <v>0.2</v>
      </c>
      <c r="AD1392" s="96">
        <v>0.2</v>
      </c>
      <c r="AE1392" s="96">
        <v>0.2</v>
      </c>
      <c r="AF1392" s="96">
        <v>0.2</v>
      </c>
      <c r="AG1392" s="96">
        <v>0.2</v>
      </c>
      <c r="AH1392" s="96">
        <v>0.2</v>
      </c>
      <c r="AI1392" s="96">
        <v>0.2</v>
      </c>
      <c r="AJ1392" s="96">
        <v>0.2</v>
      </c>
      <c r="AK1392" s="96">
        <v>0.2</v>
      </c>
      <c r="AL1392" s="96">
        <v>0.2</v>
      </c>
      <c r="AM1392" s="383">
        <f t="shared" si="325"/>
        <v>0.1984848484848486</v>
      </c>
    </row>
    <row r="1393" spans="1:39" ht="15" x14ac:dyDescent="0.25">
      <c r="A1393" s="8"/>
      <c r="B1393" s="90" t="s">
        <v>710</v>
      </c>
      <c r="C1393" s="89" t="s">
        <v>1125</v>
      </c>
      <c r="D1393" s="374" t="s">
        <v>1124</v>
      </c>
      <c r="E1393" s="106"/>
      <c r="F1393" s="96">
        <v>0.52</v>
      </c>
      <c r="G1393" s="96">
        <v>0.52</v>
      </c>
      <c r="H1393" s="96">
        <v>0.52</v>
      </c>
      <c r="I1393" s="96">
        <v>0.52</v>
      </c>
      <c r="J1393" s="96">
        <v>0.52</v>
      </c>
      <c r="K1393" s="96">
        <v>0.52</v>
      </c>
      <c r="L1393" s="96">
        <v>0.52</v>
      </c>
      <c r="M1393" s="96">
        <v>0.52</v>
      </c>
      <c r="N1393" s="96">
        <v>0.52</v>
      </c>
      <c r="O1393" s="96">
        <v>0.52</v>
      </c>
      <c r="P1393" s="96">
        <v>0.52</v>
      </c>
      <c r="Q1393" s="96">
        <v>0.52</v>
      </c>
      <c r="R1393" s="96">
        <v>0.52</v>
      </c>
      <c r="S1393" s="96">
        <v>0.52</v>
      </c>
      <c r="T1393" s="96">
        <v>0.52</v>
      </c>
      <c r="U1393" s="96">
        <v>0.52</v>
      </c>
      <c r="V1393" s="96">
        <v>0.52</v>
      </c>
      <c r="W1393" s="96">
        <v>0.52</v>
      </c>
      <c r="X1393" s="96">
        <v>0.52</v>
      </c>
      <c r="Y1393" s="96">
        <v>0.52</v>
      </c>
      <c r="Z1393" s="96">
        <v>0.52</v>
      </c>
      <c r="AA1393" s="96">
        <v>0.52</v>
      </c>
      <c r="AB1393" s="96">
        <v>0.52</v>
      </c>
      <c r="AC1393" s="96">
        <v>0.52</v>
      </c>
      <c r="AD1393" s="96">
        <v>0.52</v>
      </c>
      <c r="AE1393" s="96">
        <v>0.52</v>
      </c>
      <c r="AF1393" s="96">
        <v>0.52</v>
      </c>
      <c r="AG1393" s="96">
        <v>0.52</v>
      </c>
      <c r="AH1393" s="96">
        <v>0.52</v>
      </c>
      <c r="AI1393" s="96">
        <v>0.52</v>
      </c>
      <c r="AJ1393" s="96">
        <v>0.52</v>
      </c>
      <c r="AK1393" s="96">
        <v>0.52</v>
      </c>
      <c r="AL1393" s="96">
        <v>0.52</v>
      </c>
      <c r="AM1393" s="383">
        <f t="shared" si="325"/>
        <v>0.51999999999999968</v>
      </c>
    </row>
    <row r="1394" spans="1:39" ht="15" x14ac:dyDescent="0.25">
      <c r="A1394" s="8"/>
      <c r="B1394" s="147" t="s">
        <v>711</v>
      </c>
      <c r="C1394" s="89" t="s">
        <v>1125</v>
      </c>
      <c r="D1394" s="268" t="s">
        <v>712</v>
      </c>
      <c r="E1394" s="31"/>
      <c r="F1394" s="19">
        <v>0.46</v>
      </c>
      <c r="G1394" s="19">
        <v>0.46</v>
      </c>
      <c r="H1394" s="19">
        <v>0.46</v>
      </c>
      <c r="I1394" s="19">
        <v>0.46</v>
      </c>
      <c r="J1394" s="19">
        <v>0.46</v>
      </c>
      <c r="K1394" s="19">
        <v>0.46</v>
      </c>
      <c r="L1394" s="19">
        <v>0.46</v>
      </c>
      <c r="M1394" s="19">
        <v>0.46</v>
      </c>
      <c r="N1394" s="19">
        <v>0.46</v>
      </c>
      <c r="O1394" s="19">
        <v>0.46</v>
      </c>
      <c r="P1394" s="19">
        <v>0.46</v>
      </c>
      <c r="Q1394" s="19">
        <v>0.46</v>
      </c>
      <c r="R1394" s="19">
        <v>0.46</v>
      </c>
      <c r="S1394" s="19">
        <v>0.46</v>
      </c>
      <c r="T1394" s="19">
        <v>0.46</v>
      </c>
      <c r="U1394" s="19">
        <v>0.46</v>
      </c>
      <c r="V1394" s="19">
        <v>0.46</v>
      </c>
      <c r="W1394" s="19">
        <v>0.46</v>
      </c>
      <c r="X1394" s="19">
        <v>0.46</v>
      </c>
      <c r="Y1394" s="19">
        <v>0.46</v>
      </c>
      <c r="Z1394" s="19">
        <v>0.46</v>
      </c>
      <c r="AA1394" s="19">
        <v>0.46</v>
      </c>
      <c r="AB1394" s="19">
        <v>0.46</v>
      </c>
      <c r="AC1394" s="19">
        <v>0.46</v>
      </c>
      <c r="AD1394" s="19">
        <v>0.46</v>
      </c>
      <c r="AE1394" s="19">
        <v>0.46</v>
      </c>
      <c r="AF1394" s="19">
        <v>0.46</v>
      </c>
      <c r="AG1394" s="19">
        <v>0.46</v>
      </c>
      <c r="AH1394" s="19">
        <v>0.46</v>
      </c>
      <c r="AI1394" s="19">
        <v>0.46</v>
      </c>
      <c r="AJ1394" s="19">
        <v>0.46</v>
      </c>
      <c r="AK1394" s="19">
        <v>0.46</v>
      </c>
      <c r="AL1394" s="19">
        <v>0.46</v>
      </c>
      <c r="AM1394" s="383">
        <f t="shared" si="325"/>
        <v>0.46000000000000041</v>
      </c>
    </row>
    <row r="1395" spans="1:39" ht="15" x14ac:dyDescent="0.25">
      <c r="A1395" s="8"/>
      <c r="B1395" s="147" t="s">
        <v>713</v>
      </c>
      <c r="C1395" s="89" t="s">
        <v>1125</v>
      </c>
      <c r="D1395" s="268" t="s">
        <v>712</v>
      </c>
      <c r="E1395" s="31"/>
      <c r="F1395" s="19">
        <v>0.26</v>
      </c>
      <c r="G1395" s="19">
        <v>0.26</v>
      </c>
      <c r="H1395" s="19">
        <v>0.26</v>
      </c>
      <c r="I1395" s="19">
        <v>0.26</v>
      </c>
      <c r="J1395" s="19">
        <v>0.26</v>
      </c>
      <c r="K1395" s="19">
        <v>0.26</v>
      </c>
      <c r="L1395" s="19">
        <v>0.26</v>
      </c>
      <c r="M1395" s="19">
        <v>0.26</v>
      </c>
      <c r="N1395" s="19">
        <v>0.26</v>
      </c>
      <c r="O1395" s="19">
        <v>0.26</v>
      </c>
      <c r="P1395" s="19">
        <v>0.26</v>
      </c>
      <c r="Q1395" s="19">
        <v>0.26</v>
      </c>
      <c r="R1395" s="19">
        <v>0.26</v>
      </c>
      <c r="S1395" s="19">
        <v>0.26</v>
      </c>
      <c r="T1395" s="19">
        <v>0.26</v>
      </c>
      <c r="U1395" s="19">
        <v>0.26</v>
      </c>
      <c r="V1395" s="19">
        <v>0.26</v>
      </c>
      <c r="W1395" s="19">
        <v>0.26</v>
      </c>
      <c r="X1395" s="19">
        <v>0.26</v>
      </c>
      <c r="Y1395" s="19">
        <v>0.26</v>
      </c>
      <c r="Z1395" s="19">
        <v>0.26</v>
      </c>
      <c r="AA1395" s="19">
        <v>0.26</v>
      </c>
      <c r="AB1395" s="19">
        <v>0.26</v>
      </c>
      <c r="AC1395" s="19">
        <v>0.26</v>
      </c>
      <c r="AD1395" s="19">
        <v>0.26</v>
      </c>
      <c r="AE1395" s="19">
        <v>0.26</v>
      </c>
      <c r="AF1395" s="19">
        <v>0.26</v>
      </c>
      <c r="AG1395" s="19">
        <v>0.26</v>
      </c>
      <c r="AH1395" s="19">
        <v>0.26</v>
      </c>
      <c r="AI1395" s="19">
        <v>0.26</v>
      </c>
      <c r="AJ1395" s="19">
        <v>0.26</v>
      </c>
      <c r="AK1395" s="19">
        <v>0.26</v>
      </c>
      <c r="AL1395" s="19">
        <v>0.26</v>
      </c>
      <c r="AM1395" s="383">
        <f t="shared" si="325"/>
        <v>0.25999999999999984</v>
      </c>
    </row>
    <row r="1396" spans="1:39" x14ac:dyDescent="0.2">
      <c r="A1396" s="8"/>
      <c r="B1396" s="8"/>
      <c r="C1396" s="22"/>
      <c r="D1396" s="8"/>
      <c r="E1396" s="8"/>
      <c r="F1396" s="141"/>
      <c r="G1396" s="141"/>
      <c r="H1396" s="141"/>
      <c r="I1396" s="141"/>
      <c r="J1396" s="141"/>
      <c r="K1396" s="141"/>
      <c r="L1396" s="141"/>
      <c r="M1396" s="141"/>
      <c r="N1396" s="141"/>
      <c r="O1396" s="141"/>
      <c r="P1396" s="141"/>
      <c r="Q1396" s="141"/>
      <c r="R1396" s="141"/>
      <c r="S1396" s="141"/>
      <c r="T1396" s="141"/>
      <c r="U1396" s="141"/>
      <c r="V1396" s="141"/>
      <c r="W1396" s="141"/>
      <c r="X1396" s="141"/>
      <c r="Y1396" s="141"/>
      <c r="Z1396" s="141"/>
      <c r="AA1396" s="141"/>
      <c r="AB1396" s="141"/>
      <c r="AC1396" s="141"/>
      <c r="AD1396" s="141"/>
      <c r="AE1396" s="141"/>
      <c r="AF1396" s="141"/>
      <c r="AG1396" s="141"/>
      <c r="AH1396" s="141"/>
      <c r="AI1396" s="141"/>
      <c r="AJ1396" s="141"/>
      <c r="AK1396" s="141"/>
      <c r="AL1396" s="141"/>
      <c r="AM1396" s="107"/>
    </row>
    <row r="1397" spans="1:39" x14ac:dyDescent="0.2">
      <c r="A1397" s="204"/>
      <c r="B1397" s="166" t="s">
        <v>714</v>
      </c>
      <c r="C1397" s="220"/>
      <c r="D1397" s="139"/>
      <c r="E1397" s="1"/>
      <c r="F1397" s="8"/>
      <c r="G1397" s="8"/>
      <c r="H1397" s="8"/>
      <c r="I1397" s="8"/>
      <c r="J1397" s="8"/>
      <c r="K1397" s="8"/>
      <c r="L1397" s="8"/>
      <c r="M1397" s="8"/>
      <c r="N1397" s="8"/>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107"/>
    </row>
    <row r="1398" spans="1:39" x14ac:dyDescent="0.2">
      <c r="A1398" s="8"/>
      <c r="B1398" s="185" t="s">
        <v>715</v>
      </c>
      <c r="C1398" s="22" t="s">
        <v>83</v>
      </c>
      <c r="D1398" s="8"/>
      <c r="E1398" s="25"/>
      <c r="F1398" s="25">
        <f>F1358*F1387+F1359*F1388+F1362*F1389+F1365*F1389+F1368*F1390+F1369*F1391+F1371*F1394+F1372*F1392+F1374*F1393*F1388+F1375*F1388</f>
        <v>0</v>
      </c>
      <c r="G1398" s="25">
        <f>G1358*G1387+G1359*G1388+G1362*G1389+G1365*G1389+G1368*G1390+G1369*G1391+G1371*G1394+G1372*G1392+G1374*G1393*G1388+G1375*G1388</f>
        <v>0</v>
      </c>
      <c r="H1398" s="25">
        <f>H1358*H1387+H1359*H1388+H1362*H1389+H1365*H1389+H1368*H1390+H1369*H1391+H1371*H1394+H1372*H1392+H1374*H1393*H1388+H1375*H1388</f>
        <v>0</v>
      </c>
      <c r="I1398" s="25">
        <f t="shared" ref="I1398:AL1398" si="326">I1358*I1387+I1359*I1388+I1362*I1389+I1365*I1389+I1368*I1390+I1369*I1391+I1371*I1394+I1372*I1392+I1374*I1393*I1388+I1375*I1388</f>
        <v>0</v>
      </c>
      <c r="J1398" s="25">
        <f t="shared" si="326"/>
        <v>220.64401480400028</v>
      </c>
      <c r="K1398" s="25">
        <f t="shared" si="326"/>
        <v>137.22898320292259</v>
      </c>
      <c r="L1398" s="25">
        <f t="shared" si="326"/>
        <v>125.47331816090484</v>
      </c>
      <c r="M1398" s="25">
        <f t="shared" si="326"/>
        <v>0</v>
      </c>
      <c r="N1398" s="25">
        <f t="shared" si="326"/>
        <v>0</v>
      </c>
      <c r="O1398" s="25">
        <f t="shared" si="326"/>
        <v>0</v>
      </c>
      <c r="P1398" s="25">
        <f t="shared" si="326"/>
        <v>493.56059456849096</v>
      </c>
      <c r="Q1398" s="25">
        <f t="shared" si="326"/>
        <v>0</v>
      </c>
      <c r="R1398" s="25">
        <f t="shared" si="326"/>
        <v>333.09788428145424</v>
      </c>
      <c r="S1398" s="25">
        <f t="shared" si="326"/>
        <v>367.14474813882862</v>
      </c>
      <c r="T1398" s="25">
        <f t="shared" si="326"/>
        <v>642.6011344551066</v>
      </c>
      <c r="U1398" s="25">
        <f t="shared" si="326"/>
        <v>0</v>
      </c>
      <c r="V1398" s="25">
        <f t="shared" si="326"/>
        <v>929.44604492423025</v>
      </c>
      <c r="W1398" s="25">
        <f t="shared" si="326"/>
        <v>172.06085582200035</v>
      </c>
      <c r="X1398" s="25">
        <f t="shared" si="326"/>
        <v>87.151517841187299</v>
      </c>
      <c r="Y1398" s="25">
        <f t="shared" si="326"/>
        <v>113.69496539241599</v>
      </c>
      <c r="Z1398" s="25">
        <f t="shared" si="326"/>
        <v>136.20364821423806</v>
      </c>
      <c r="AA1398" s="25">
        <f t="shared" si="326"/>
        <v>189.69967813453994</v>
      </c>
      <c r="AB1398" s="25">
        <f t="shared" si="326"/>
        <v>344.49841324161667</v>
      </c>
      <c r="AC1398" s="25">
        <f t="shared" si="326"/>
        <v>713.12457139606909</v>
      </c>
      <c r="AD1398" s="25">
        <f t="shared" si="326"/>
        <v>0</v>
      </c>
      <c r="AE1398" s="25">
        <f t="shared" si="326"/>
        <v>259.47371080330959</v>
      </c>
      <c r="AF1398" s="25">
        <f t="shared" si="326"/>
        <v>0</v>
      </c>
      <c r="AG1398" s="25">
        <f t="shared" si="326"/>
        <v>209.18798091972945</v>
      </c>
      <c r="AH1398" s="25">
        <f t="shared" si="326"/>
        <v>179.28040567417122</v>
      </c>
      <c r="AI1398" s="25">
        <f t="shared" si="326"/>
        <v>0</v>
      </c>
      <c r="AJ1398" s="25">
        <f t="shared" si="326"/>
        <v>0</v>
      </c>
      <c r="AK1398" s="25">
        <f t="shared" si="326"/>
        <v>0</v>
      </c>
      <c r="AL1398" s="25">
        <f t="shared" si="326"/>
        <v>0</v>
      </c>
      <c r="AM1398" s="379">
        <f>SUM(F1398:AL1398)</f>
        <v>5653.5724699752172</v>
      </c>
    </row>
    <row r="1399" spans="1:39" x14ac:dyDescent="0.2">
      <c r="A1399" s="8"/>
      <c r="B1399" s="185" t="s">
        <v>716</v>
      </c>
      <c r="C1399" s="22" t="s">
        <v>83</v>
      </c>
      <c r="D1399" s="8"/>
      <c r="E1399" s="25"/>
      <c r="F1399" s="25">
        <f>F1360*F1388+F1363*F1395+F1366*F1395+F1376*F1395</f>
        <v>0</v>
      </c>
      <c r="G1399" s="25">
        <f>G1360*G1388+G1363*G1395+G1366*G1395+G1376*G1395</f>
        <v>0</v>
      </c>
      <c r="H1399" s="25">
        <f>H1360*H1388+H1363*H1395+H1366*H1395+H1376*H1395</f>
        <v>0</v>
      </c>
      <c r="I1399" s="25">
        <f t="shared" ref="I1399:AL1399" si="327">I1360*I1388+I1363*I1395+I1366*I1395+I1376*I1395</f>
        <v>0</v>
      </c>
      <c r="J1399" s="25">
        <f t="shared" si="327"/>
        <v>188.83197283673167</v>
      </c>
      <c r="K1399" s="25">
        <f t="shared" si="327"/>
        <v>80.014339266493067</v>
      </c>
      <c r="L1399" s="25">
        <f t="shared" si="327"/>
        <v>102.72608736222952</v>
      </c>
      <c r="M1399" s="25">
        <f t="shared" si="327"/>
        <v>0</v>
      </c>
      <c r="N1399" s="25">
        <f t="shared" si="327"/>
        <v>0</v>
      </c>
      <c r="O1399" s="25">
        <f t="shared" si="327"/>
        <v>0</v>
      </c>
      <c r="P1399" s="25">
        <f t="shared" si="327"/>
        <v>274.8159898826658</v>
      </c>
      <c r="Q1399" s="25">
        <f t="shared" si="327"/>
        <v>0</v>
      </c>
      <c r="R1399" s="25">
        <f t="shared" si="327"/>
        <v>191.45319756285031</v>
      </c>
      <c r="S1399" s="25">
        <f t="shared" si="327"/>
        <v>205.59025852347821</v>
      </c>
      <c r="T1399" s="25">
        <f t="shared" si="327"/>
        <v>377.53278985907332</v>
      </c>
      <c r="U1399" s="25">
        <f t="shared" si="327"/>
        <v>0</v>
      </c>
      <c r="V1399" s="25">
        <f t="shared" si="327"/>
        <v>648.88772862528776</v>
      </c>
      <c r="W1399" s="25">
        <f t="shared" si="327"/>
        <v>76.548792872074543</v>
      </c>
      <c r="X1399" s="25">
        <f t="shared" si="327"/>
        <v>42.234654535957517</v>
      </c>
      <c r="Y1399" s="25">
        <f t="shared" si="327"/>
        <v>61.863410853860351</v>
      </c>
      <c r="Z1399" s="25">
        <f t="shared" si="327"/>
        <v>97.119464786747443</v>
      </c>
      <c r="AA1399" s="25">
        <f t="shared" si="327"/>
        <v>83.491588076224829</v>
      </c>
      <c r="AB1399" s="25">
        <f t="shared" si="327"/>
        <v>130.97079007408217</v>
      </c>
      <c r="AC1399" s="25">
        <f t="shared" si="327"/>
        <v>303.95775803680476</v>
      </c>
      <c r="AD1399" s="25">
        <f t="shared" si="327"/>
        <v>0</v>
      </c>
      <c r="AE1399" s="25">
        <f t="shared" si="327"/>
        <v>114.17788247722827</v>
      </c>
      <c r="AF1399" s="25">
        <f t="shared" si="327"/>
        <v>0</v>
      </c>
      <c r="AG1399" s="25">
        <f t="shared" si="327"/>
        <v>92.888176772710281</v>
      </c>
      <c r="AH1399" s="25">
        <f t="shared" si="327"/>
        <v>122.49572147277888</v>
      </c>
      <c r="AI1399" s="25">
        <f t="shared" si="327"/>
        <v>0</v>
      </c>
      <c r="AJ1399" s="25">
        <f t="shared" si="327"/>
        <v>0</v>
      </c>
      <c r="AK1399" s="25">
        <f t="shared" si="327"/>
        <v>0</v>
      </c>
      <c r="AL1399" s="25">
        <f t="shared" si="327"/>
        <v>0</v>
      </c>
      <c r="AM1399" s="379">
        <f>SUM(F1399:AL1399)</f>
        <v>3195.6006038772784</v>
      </c>
    </row>
    <row r="1400" spans="1:39" x14ac:dyDescent="0.2">
      <c r="A1400" s="8"/>
      <c r="B1400" s="8"/>
      <c r="C1400" s="22"/>
      <c r="D1400" s="8"/>
      <c r="E1400" s="8"/>
      <c r="F1400" s="8"/>
      <c r="G1400" s="8"/>
      <c r="H1400" s="8"/>
      <c r="I1400" s="8"/>
      <c r="J1400" s="8"/>
      <c r="K1400" s="8"/>
      <c r="L1400" s="8"/>
      <c r="M1400" s="8"/>
      <c r="N1400" s="8"/>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107"/>
    </row>
    <row r="1401" spans="1:39" x14ac:dyDescent="0.2">
      <c r="A1401" s="8"/>
      <c r="B1401" s="163" t="s">
        <v>717</v>
      </c>
      <c r="C1401" s="22" t="s">
        <v>83</v>
      </c>
      <c r="D1401" s="8"/>
      <c r="E1401" s="25"/>
      <c r="F1401" s="25">
        <f t="shared" ref="F1401:AL1401" si="328">F1398+F1399*(F22/(F22+F20))</f>
        <v>0</v>
      </c>
      <c r="G1401" s="25">
        <f t="shared" si="328"/>
        <v>0</v>
      </c>
      <c r="H1401" s="25">
        <f t="shared" si="328"/>
        <v>0</v>
      </c>
      <c r="I1401" s="25">
        <f t="shared" si="328"/>
        <v>0</v>
      </c>
      <c r="J1401" s="25">
        <f t="shared" si="328"/>
        <v>266.42361823030609</v>
      </c>
      <c r="K1401" s="25">
        <f t="shared" si="328"/>
        <v>155.45440751487374</v>
      </c>
      <c r="L1401" s="25">
        <f t="shared" si="328"/>
        <v>169.15634266521667</v>
      </c>
      <c r="M1401" s="25">
        <f t="shared" si="328"/>
        <v>0</v>
      </c>
      <c r="N1401" s="25">
        <f t="shared" si="328"/>
        <v>0</v>
      </c>
      <c r="O1401" s="25">
        <f t="shared" si="328"/>
        <v>0</v>
      </c>
      <c r="P1401" s="25">
        <f t="shared" si="328"/>
        <v>536.63361353248933</v>
      </c>
      <c r="Q1401" s="25">
        <f t="shared" si="328"/>
        <v>0</v>
      </c>
      <c r="R1401" s="25">
        <f t="shared" si="328"/>
        <v>471.43814493910679</v>
      </c>
      <c r="S1401" s="25">
        <f t="shared" si="328"/>
        <v>480.29462154963124</v>
      </c>
      <c r="T1401" s="25">
        <f t="shared" si="328"/>
        <v>858.72359563510099</v>
      </c>
      <c r="U1401" s="25">
        <f t="shared" si="328"/>
        <v>0</v>
      </c>
      <c r="V1401" s="25">
        <f t="shared" si="328"/>
        <v>1099.5708439541049</v>
      </c>
      <c r="W1401" s="25">
        <f t="shared" si="328"/>
        <v>180.56916885644239</v>
      </c>
      <c r="X1401" s="25">
        <f t="shared" si="328"/>
        <v>88.425808991244168</v>
      </c>
      <c r="Y1401" s="25">
        <f t="shared" si="328"/>
        <v>124.54534013934416</v>
      </c>
      <c r="Z1401" s="25">
        <f t="shared" si="328"/>
        <v>157.95098768668501</v>
      </c>
      <c r="AA1401" s="25">
        <f t="shared" si="328"/>
        <v>206.31871170974108</v>
      </c>
      <c r="AB1401" s="25">
        <f t="shared" si="328"/>
        <v>391.83108906006305</v>
      </c>
      <c r="AC1401" s="25">
        <f t="shared" si="328"/>
        <v>846.41960214083042</v>
      </c>
      <c r="AD1401" s="25">
        <f t="shared" si="328"/>
        <v>0</v>
      </c>
      <c r="AE1401" s="25">
        <f t="shared" si="328"/>
        <v>288.38063994090976</v>
      </c>
      <c r="AF1401" s="25">
        <f t="shared" si="328"/>
        <v>0</v>
      </c>
      <c r="AG1401" s="25">
        <f t="shared" si="328"/>
        <v>244.62953578650723</v>
      </c>
      <c r="AH1401" s="25">
        <f t="shared" si="328"/>
        <v>206.0947507174393</v>
      </c>
      <c r="AI1401" s="25">
        <f t="shared" si="328"/>
        <v>0</v>
      </c>
      <c r="AJ1401" s="25">
        <f t="shared" si="328"/>
        <v>0</v>
      </c>
      <c r="AK1401" s="25">
        <f t="shared" si="328"/>
        <v>0</v>
      </c>
      <c r="AL1401" s="25">
        <f t="shared" si="328"/>
        <v>0</v>
      </c>
      <c r="AM1401" s="379">
        <f>SUM(F1401:AL1401)</f>
        <v>6772.8608230500377</v>
      </c>
    </row>
    <row r="1402" spans="1:39" x14ac:dyDescent="0.2">
      <c r="A1402" s="8"/>
      <c r="B1402" s="163" t="s">
        <v>718</v>
      </c>
      <c r="C1402" s="22" t="s">
        <v>83</v>
      </c>
      <c r="D1402" s="8"/>
      <c r="E1402" s="25"/>
      <c r="F1402" s="25">
        <f t="shared" ref="F1402:AL1402" si="329">F1399*(F20/(F22+F20))</f>
        <v>0</v>
      </c>
      <c r="G1402" s="25">
        <f t="shared" si="329"/>
        <v>0</v>
      </c>
      <c r="H1402" s="25">
        <f t="shared" si="329"/>
        <v>0</v>
      </c>
      <c r="I1402" s="25">
        <f t="shared" si="329"/>
        <v>0</v>
      </c>
      <c r="J1402" s="25">
        <f t="shared" si="329"/>
        <v>143.05236941042585</v>
      </c>
      <c r="K1402" s="25">
        <f t="shared" si="329"/>
        <v>61.78891495454193</v>
      </c>
      <c r="L1402" s="25">
        <f t="shared" si="329"/>
        <v>59.04306285791769</v>
      </c>
      <c r="M1402" s="25">
        <f t="shared" si="329"/>
        <v>0</v>
      </c>
      <c r="N1402" s="25">
        <f t="shared" si="329"/>
        <v>0</v>
      </c>
      <c r="O1402" s="25">
        <f t="shared" si="329"/>
        <v>0</v>
      </c>
      <c r="P1402" s="25">
        <f t="shared" si="329"/>
        <v>231.7429709186674</v>
      </c>
      <c r="Q1402" s="25">
        <f t="shared" si="329"/>
        <v>0</v>
      </c>
      <c r="R1402" s="25">
        <f t="shared" si="329"/>
        <v>53.112936905197785</v>
      </c>
      <c r="S1402" s="25">
        <f t="shared" si="329"/>
        <v>92.440385112675614</v>
      </c>
      <c r="T1402" s="25">
        <f t="shared" si="329"/>
        <v>161.41032867907902</v>
      </c>
      <c r="U1402" s="25">
        <f t="shared" si="329"/>
        <v>0</v>
      </c>
      <c r="V1402" s="25">
        <f t="shared" si="329"/>
        <v>478.76292959541314</v>
      </c>
      <c r="W1402" s="25">
        <f t="shared" si="329"/>
        <v>68.040479837632503</v>
      </c>
      <c r="X1402" s="25">
        <f t="shared" si="329"/>
        <v>40.960363385900642</v>
      </c>
      <c r="Y1402" s="25">
        <f t="shared" si="329"/>
        <v>51.013036106932176</v>
      </c>
      <c r="Z1402" s="25">
        <f t="shared" si="329"/>
        <v>75.37212531430049</v>
      </c>
      <c r="AA1402" s="25">
        <f t="shared" si="329"/>
        <v>66.8725545010237</v>
      </c>
      <c r="AB1402" s="25">
        <f t="shared" si="329"/>
        <v>83.638114255635784</v>
      </c>
      <c r="AC1402" s="25">
        <f t="shared" si="329"/>
        <v>170.66272729204348</v>
      </c>
      <c r="AD1402" s="25">
        <f t="shared" si="329"/>
        <v>0</v>
      </c>
      <c r="AE1402" s="25">
        <f t="shared" si="329"/>
        <v>85.270953339628065</v>
      </c>
      <c r="AF1402" s="25">
        <f t="shared" si="329"/>
        <v>0</v>
      </c>
      <c r="AG1402" s="25">
        <f t="shared" si="329"/>
        <v>57.446621905932503</v>
      </c>
      <c r="AH1402" s="25">
        <f t="shared" si="329"/>
        <v>95.681376429510806</v>
      </c>
      <c r="AI1402" s="25">
        <f t="shared" si="329"/>
        <v>0</v>
      </c>
      <c r="AJ1402" s="25">
        <f t="shared" si="329"/>
        <v>0</v>
      </c>
      <c r="AK1402" s="25">
        <f t="shared" si="329"/>
        <v>0</v>
      </c>
      <c r="AL1402" s="25">
        <f t="shared" si="329"/>
        <v>0</v>
      </c>
      <c r="AM1402" s="379">
        <f>SUM(F1402:AL1402)</f>
        <v>2076.3122508024585</v>
      </c>
    </row>
    <row r="1404" spans="1:39" ht="23.25" x14ac:dyDescent="0.35">
      <c r="A1404" s="388"/>
      <c r="B1404" s="375" t="s">
        <v>1127</v>
      </c>
      <c r="C1404" s="388"/>
      <c r="D1404" s="388"/>
    </row>
    <row r="1405" spans="1:39" x14ac:dyDescent="0.2">
      <c r="B1405" s="374" t="s">
        <v>1038</v>
      </c>
      <c r="C1405" s="374" t="s">
        <v>1039</v>
      </c>
      <c r="D1405" s="374" t="s">
        <v>1126</v>
      </c>
      <c r="F1405" s="393">
        <v>1339</v>
      </c>
      <c r="G1405" s="393">
        <v>1339</v>
      </c>
      <c r="H1405" s="393">
        <v>1339</v>
      </c>
      <c r="I1405" s="393">
        <v>1339</v>
      </c>
      <c r="J1405" s="393">
        <v>1339</v>
      </c>
      <c r="K1405" s="393">
        <v>1339</v>
      </c>
      <c r="L1405" s="393">
        <v>1339</v>
      </c>
      <c r="M1405" s="393">
        <v>1339</v>
      </c>
      <c r="N1405" s="393">
        <v>1339</v>
      </c>
      <c r="O1405" s="393">
        <v>1339</v>
      </c>
      <c r="P1405" s="393">
        <v>1339</v>
      </c>
      <c r="Q1405" s="393">
        <v>1339</v>
      </c>
      <c r="R1405" s="393">
        <v>1339</v>
      </c>
      <c r="S1405" s="393">
        <v>1339</v>
      </c>
      <c r="T1405" s="393">
        <v>1339</v>
      </c>
      <c r="U1405" s="393">
        <v>1339</v>
      </c>
      <c r="V1405" s="393">
        <v>1339</v>
      </c>
      <c r="W1405" s="393">
        <v>1339</v>
      </c>
      <c r="X1405" s="393">
        <v>1339</v>
      </c>
      <c r="Y1405" s="393">
        <v>1339</v>
      </c>
      <c r="Z1405" s="393">
        <v>1339</v>
      </c>
      <c r="AA1405" s="393">
        <v>1339</v>
      </c>
      <c r="AB1405" s="393">
        <v>1339</v>
      </c>
      <c r="AC1405" s="393">
        <v>1339</v>
      </c>
      <c r="AD1405" s="393">
        <v>1339</v>
      </c>
      <c r="AE1405" s="393">
        <v>1339</v>
      </c>
      <c r="AF1405" s="393">
        <v>1339</v>
      </c>
      <c r="AG1405" s="393">
        <v>1339</v>
      </c>
      <c r="AH1405" s="393">
        <v>1339</v>
      </c>
      <c r="AI1405" s="393">
        <v>1339</v>
      </c>
      <c r="AJ1405" s="393">
        <v>1339</v>
      </c>
      <c r="AK1405" s="393">
        <v>1339</v>
      </c>
      <c r="AL1405" s="393">
        <v>1339</v>
      </c>
    </row>
    <row r="1406" spans="1:39" x14ac:dyDescent="0.2">
      <c r="B1406" s="374" t="s">
        <v>1027</v>
      </c>
      <c r="C1406" s="374" t="s">
        <v>1028</v>
      </c>
      <c r="D1406" s="374" t="s">
        <v>1126</v>
      </c>
      <c r="F1406" s="393">
        <v>1118</v>
      </c>
      <c r="G1406" s="393">
        <v>1118</v>
      </c>
      <c r="H1406" s="393">
        <v>1118</v>
      </c>
      <c r="I1406" s="393">
        <v>1118</v>
      </c>
      <c r="J1406" s="393">
        <v>1118</v>
      </c>
      <c r="K1406" s="393">
        <v>1118</v>
      </c>
      <c r="L1406" s="393">
        <v>1118</v>
      </c>
      <c r="M1406" s="393">
        <v>1118</v>
      </c>
      <c r="N1406" s="393">
        <v>1118</v>
      </c>
      <c r="O1406" s="393">
        <v>1118</v>
      </c>
      <c r="P1406" s="393">
        <v>1118</v>
      </c>
      <c r="Q1406" s="393">
        <v>1118</v>
      </c>
      <c r="R1406" s="393">
        <v>1118</v>
      </c>
      <c r="S1406" s="393">
        <v>1118</v>
      </c>
      <c r="T1406" s="393">
        <v>1118</v>
      </c>
      <c r="U1406" s="393">
        <v>1118</v>
      </c>
      <c r="V1406" s="393">
        <v>1118</v>
      </c>
      <c r="W1406" s="393">
        <v>1118</v>
      </c>
      <c r="X1406" s="393">
        <v>1118</v>
      </c>
      <c r="Y1406" s="393">
        <v>1118</v>
      </c>
      <c r="Z1406" s="393">
        <v>1118</v>
      </c>
      <c r="AA1406" s="393">
        <v>1118</v>
      </c>
      <c r="AB1406" s="393">
        <v>1118</v>
      </c>
      <c r="AC1406" s="393">
        <v>1118</v>
      </c>
      <c r="AD1406" s="393">
        <v>1118</v>
      </c>
      <c r="AE1406" s="393">
        <v>1118</v>
      </c>
      <c r="AF1406" s="393">
        <v>1118</v>
      </c>
      <c r="AG1406" s="393">
        <v>1118</v>
      </c>
      <c r="AH1406" s="393">
        <v>1118</v>
      </c>
      <c r="AI1406" s="393">
        <v>1118</v>
      </c>
      <c r="AJ1406" s="393">
        <v>1118</v>
      </c>
      <c r="AK1406" s="393">
        <v>1118</v>
      </c>
      <c r="AL1406" s="393">
        <v>1118</v>
      </c>
    </row>
    <row r="1407" spans="1:39" x14ac:dyDescent="0.2">
      <c r="B1407" s="374" t="s">
        <v>1029</v>
      </c>
      <c r="C1407" s="374" t="s">
        <v>1030</v>
      </c>
      <c r="D1407" s="374" t="s">
        <v>1126</v>
      </c>
      <c r="F1407" s="393">
        <v>460</v>
      </c>
      <c r="G1407" s="393">
        <v>460</v>
      </c>
      <c r="H1407" s="393">
        <v>460</v>
      </c>
      <c r="I1407" s="393">
        <v>460</v>
      </c>
      <c r="J1407" s="393">
        <v>460</v>
      </c>
      <c r="K1407" s="393">
        <v>460</v>
      </c>
      <c r="L1407" s="393">
        <v>460</v>
      </c>
      <c r="M1407" s="393">
        <v>460</v>
      </c>
      <c r="N1407" s="393">
        <v>460</v>
      </c>
      <c r="O1407" s="393">
        <v>460</v>
      </c>
      <c r="P1407" s="393">
        <v>460</v>
      </c>
      <c r="Q1407" s="393">
        <v>460</v>
      </c>
      <c r="R1407" s="393">
        <v>460</v>
      </c>
      <c r="S1407" s="393">
        <v>460</v>
      </c>
      <c r="T1407" s="393">
        <v>460</v>
      </c>
      <c r="U1407" s="393">
        <v>460</v>
      </c>
      <c r="V1407" s="393">
        <v>460</v>
      </c>
      <c r="W1407" s="393">
        <v>460</v>
      </c>
      <c r="X1407" s="393">
        <v>460</v>
      </c>
      <c r="Y1407" s="393">
        <v>460</v>
      </c>
      <c r="Z1407" s="393">
        <v>460</v>
      </c>
      <c r="AA1407" s="393">
        <v>460</v>
      </c>
      <c r="AB1407" s="393">
        <v>460</v>
      </c>
      <c r="AC1407" s="393">
        <v>460</v>
      </c>
      <c r="AD1407" s="393">
        <v>460</v>
      </c>
      <c r="AE1407" s="393">
        <v>460</v>
      </c>
      <c r="AF1407" s="393">
        <v>460</v>
      </c>
      <c r="AG1407" s="393">
        <v>460</v>
      </c>
      <c r="AH1407" s="393">
        <v>460</v>
      </c>
      <c r="AI1407" s="393">
        <v>460</v>
      </c>
      <c r="AJ1407" s="393">
        <v>460</v>
      </c>
      <c r="AK1407" s="393">
        <v>460</v>
      </c>
      <c r="AL1407" s="393">
        <v>460</v>
      </c>
    </row>
    <row r="1408" spans="1:39" x14ac:dyDescent="0.2">
      <c r="B1408" s="374" t="s">
        <v>1054</v>
      </c>
      <c r="C1408" s="374" t="s">
        <v>1051</v>
      </c>
      <c r="D1408" s="374" t="s">
        <v>1126</v>
      </c>
      <c r="F1408" s="393">
        <v>26</v>
      </c>
      <c r="G1408" s="393">
        <v>26</v>
      </c>
      <c r="H1408" s="393">
        <v>26</v>
      </c>
      <c r="I1408" s="393">
        <v>26</v>
      </c>
      <c r="J1408" s="393">
        <v>26</v>
      </c>
      <c r="K1408" s="393">
        <v>26</v>
      </c>
      <c r="L1408" s="393">
        <v>26</v>
      </c>
      <c r="M1408" s="393">
        <v>26</v>
      </c>
      <c r="N1408" s="393">
        <v>26</v>
      </c>
      <c r="O1408" s="393">
        <v>26</v>
      </c>
      <c r="P1408" s="393">
        <v>26</v>
      </c>
      <c r="Q1408" s="393">
        <v>26</v>
      </c>
      <c r="R1408" s="393">
        <v>26</v>
      </c>
      <c r="S1408" s="393">
        <v>26</v>
      </c>
      <c r="T1408" s="393">
        <v>26</v>
      </c>
      <c r="U1408" s="393">
        <v>26</v>
      </c>
      <c r="V1408" s="393">
        <v>26</v>
      </c>
      <c r="W1408" s="393">
        <v>26</v>
      </c>
      <c r="X1408" s="393">
        <v>26</v>
      </c>
      <c r="Y1408" s="393">
        <v>26</v>
      </c>
      <c r="Z1408" s="393">
        <v>26</v>
      </c>
      <c r="AA1408" s="393">
        <v>26</v>
      </c>
      <c r="AB1408" s="393">
        <v>26</v>
      </c>
      <c r="AC1408" s="393">
        <v>26</v>
      </c>
      <c r="AD1408" s="393">
        <v>26</v>
      </c>
      <c r="AE1408" s="393">
        <v>26</v>
      </c>
      <c r="AF1408" s="393">
        <v>26</v>
      </c>
      <c r="AG1408" s="393">
        <v>26</v>
      </c>
      <c r="AH1408" s="393">
        <v>26</v>
      </c>
      <c r="AI1408" s="393">
        <v>26</v>
      </c>
      <c r="AJ1408" s="393">
        <v>26</v>
      </c>
      <c r="AK1408" s="393">
        <v>26</v>
      </c>
      <c r="AL1408" s="393">
        <v>26</v>
      </c>
      <c r="AM1408" s="393">
        <v>26</v>
      </c>
    </row>
    <row r="1409" spans="2:38" x14ac:dyDescent="0.2">
      <c r="B1409" s="374" t="s">
        <v>1036</v>
      </c>
      <c r="C1409" s="374" t="s">
        <v>1037</v>
      </c>
      <c r="D1409" s="374" t="s">
        <v>1126</v>
      </c>
      <c r="F1409" s="393">
        <v>77</v>
      </c>
      <c r="G1409" s="393">
        <v>77</v>
      </c>
      <c r="H1409" s="393">
        <v>77</v>
      </c>
      <c r="I1409" s="393">
        <v>77</v>
      </c>
      <c r="J1409" s="393">
        <v>77</v>
      </c>
      <c r="K1409" s="393">
        <v>77</v>
      </c>
      <c r="L1409" s="393">
        <v>77</v>
      </c>
      <c r="M1409" s="393">
        <v>77</v>
      </c>
      <c r="N1409" s="393">
        <v>77</v>
      </c>
      <c r="O1409" s="393">
        <v>77</v>
      </c>
      <c r="P1409" s="393">
        <v>77</v>
      </c>
      <c r="Q1409" s="393">
        <v>77</v>
      </c>
      <c r="R1409" s="393">
        <v>77</v>
      </c>
      <c r="S1409" s="393">
        <v>77</v>
      </c>
      <c r="T1409" s="393">
        <v>77</v>
      </c>
      <c r="U1409" s="393">
        <v>77</v>
      </c>
      <c r="V1409" s="393">
        <v>77</v>
      </c>
      <c r="W1409" s="393">
        <v>77</v>
      </c>
      <c r="X1409" s="393">
        <v>77</v>
      </c>
      <c r="Y1409" s="393">
        <v>77</v>
      </c>
      <c r="Z1409" s="393">
        <v>77</v>
      </c>
      <c r="AA1409" s="393">
        <v>77</v>
      </c>
      <c r="AB1409" s="393">
        <v>77</v>
      </c>
      <c r="AC1409" s="393">
        <v>77</v>
      </c>
      <c r="AD1409" s="393">
        <v>77</v>
      </c>
      <c r="AE1409" s="393">
        <v>77</v>
      </c>
      <c r="AF1409" s="393">
        <v>77</v>
      </c>
      <c r="AG1409" s="393">
        <v>77</v>
      </c>
      <c r="AH1409" s="393">
        <v>77</v>
      </c>
      <c r="AI1409" s="393">
        <v>77</v>
      </c>
      <c r="AJ1409" s="393">
        <v>77</v>
      </c>
      <c r="AK1409" s="393">
        <v>77</v>
      </c>
      <c r="AL1409" s="393">
        <v>77</v>
      </c>
    </row>
    <row r="1410" spans="2:38" x14ac:dyDescent="0.2">
      <c r="B1410" s="374" t="s">
        <v>1041</v>
      </c>
      <c r="C1410" s="374" t="s">
        <v>1042</v>
      </c>
      <c r="D1410" s="374" t="s">
        <v>1126</v>
      </c>
      <c r="F1410" s="393">
        <v>55</v>
      </c>
      <c r="G1410" s="393">
        <v>55</v>
      </c>
      <c r="H1410" s="393">
        <v>55</v>
      </c>
      <c r="I1410" s="393">
        <v>55</v>
      </c>
      <c r="J1410" s="393">
        <v>55</v>
      </c>
      <c r="K1410" s="393">
        <v>55</v>
      </c>
      <c r="L1410" s="393">
        <v>55</v>
      </c>
      <c r="M1410" s="393">
        <v>55</v>
      </c>
      <c r="N1410" s="393">
        <v>55</v>
      </c>
      <c r="O1410" s="393">
        <v>55</v>
      </c>
      <c r="P1410" s="393">
        <v>55</v>
      </c>
      <c r="Q1410" s="393">
        <v>55</v>
      </c>
      <c r="R1410" s="393">
        <v>55</v>
      </c>
      <c r="S1410" s="393">
        <v>55</v>
      </c>
      <c r="T1410" s="393">
        <v>55</v>
      </c>
      <c r="U1410" s="393">
        <v>55</v>
      </c>
      <c r="V1410" s="393">
        <v>55</v>
      </c>
      <c r="W1410" s="393">
        <v>55</v>
      </c>
      <c r="X1410" s="393">
        <v>55</v>
      </c>
      <c r="Y1410" s="393">
        <v>55</v>
      </c>
      <c r="Z1410" s="393">
        <v>55</v>
      </c>
      <c r="AA1410" s="393">
        <v>55</v>
      </c>
      <c r="AB1410" s="393">
        <v>55</v>
      </c>
      <c r="AC1410" s="393">
        <v>55</v>
      </c>
      <c r="AD1410" s="393">
        <v>55</v>
      </c>
      <c r="AE1410" s="393">
        <v>55</v>
      </c>
      <c r="AF1410" s="393">
        <v>55</v>
      </c>
      <c r="AG1410" s="393">
        <v>55</v>
      </c>
      <c r="AH1410" s="393">
        <v>55</v>
      </c>
      <c r="AI1410" s="393">
        <v>55</v>
      </c>
      <c r="AJ1410" s="393">
        <v>55</v>
      </c>
      <c r="AK1410" s="393">
        <v>55</v>
      </c>
      <c r="AL1410" s="393">
        <v>55</v>
      </c>
    </row>
    <row r="1411" spans="2:38" x14ac:dyDescent="0.2">
      <c r="B1411" s="374" t="s">
        <v>1031</v>
      </c>
      <c r="C1411" s="374" t="s">
        <v>1032</v>
      </c>
      <c r="D1411" s="374" t="s">
        <v>1126</v>
      </c>
      <c r="F1411" s="393">
        <v>56</v>
      </c>
      <c r="G1411" s="393">
        <v>56</v>
      </c>
      <c r="H1411" s="393">
        <v>56</v>
      </c>
      <c r="I1411" s="393">
        <v>56</v>
      </c>
      <c r="J1411" s="393">
        <v>56</v>
      </c>
      <c r="K1411" s="393">
        <v>56</v>
      </c>
      <c r="L1411" s="393">
        <v>56</v>
      </c>
      <c r="M1411" s="393">
        <v>56</v>
      </c>
      <c r="N1411" s="393">
        <v>56</v>
      </c>
      <c r="O1411" s="393">
        <v>56</v>
      </c>
      <c r="P1411" s="393">
        <v>56</v>
      </c>
      <c r="Q1411" s="393">
        <v>56</v>
      </c>
      <c r="R1411" s="393">
        <v>56</v>
      </c>
      <c r="S1411" s="393">
        <v>56</v>
      </c>
      <c r="T1411" s="393">
        <v>56</v>
      </c>
      <c r="U1411" s="393">
        <v>56</v>
      </c>
      <c r="V1411" s="393">
        <v>56</v>
      </c>
      <c r="W1411" s="393">
        <v>56</v>
      </c>
      <c r="X1411" s="393">
        <v>56</v>
      </c>
      <c r="Y1411" s="393">
        <v>56</v>
      </c>
      <c r="Z1411" s="393">
        <v>56</v>
      </c>
      <c r="AA1411" s="393">
        <v>56</v>
      </c>
      <c r="AB1411" s="393">
        <v>56</v>
      </c>
      <c r="AC1411" s="393">
        <v>56</v>
      </c>
      <c r="AD1411" s="393">
        <v>56</v>
      </c>
      <c r="AE1411" s="393">
        <v>56</v>
      </c>
      <c r="AF1411" s="393">
        <v>56</v>
      </c>
      <c r="AG1411" s="393">
        <v>56</v>
      </c>
      <c r="AH1411" s="393">
        <v>56</v>
      </c>
      <c r="AI1411" s="393">
        <v>56</v>
      </c>
      <c r="AJ1411" s="393">
        <v>56</v>
      </c>
      <c r="AK1411" s="393">
        <v>56</v>
      </c>
      <c r="AL1411" s="393">
        <v>56</v>
      </c>
    </row>
  </sheetData>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4"/>
  <dimension ref="A1:AK164"/>
  <sheetViews>
    <sheetView zoomScale="90" zoomScaleNormal="90" workbookViewId="0">
      <pane xSplit="2" ySplit="2" topLeftCell="C3" activePane="bottomRight" state="frozen"/>
      <selection pane="topRight" activeCell="C1" sqref="C1"/>
      <selection pane="bottomLeft" activeCell="A3" sqref="A3"/>
      <selection pane="bottomRight" activeCell="AJ1" sqref="AJ1:AJ1048576"/>
    </sheetView>
  </sheetViews>
  <sheetFormatPr defaultColWidth="11.42578125" defaultRowHeight="15" x14ac:dyDescent="0.25"/>
  <cols>
    <col min="1" max="1" width="39.140625" customWidth="1"/>
    <col min="21" max="21" width="12.5703125" customWidth="1"/>
  </cols>
  <sheetData>
    <row r="1" spans="1:37" x14ac:dyDescent="0.25">
      <c r="A1" s="7" t="s">
        <v>724</v>
      </c>
      <c r="C1" s="52">
        <v>2014</v>
      </c>
      <c r="D1" s="52">
        <v>2014</v>
      </c>
      <c r="E1" s="52">
        <v>2014</v>
      </c>
      <c r="F1" s="52">
        <v>2014</v>
      </c>
      <c r="G1" s="52">
        <v>2014</v>
      </c>
      <c r="H1" s="52">
        <v>2014</v>
      </c>
      <c r="I1" s="52">
        <v>2014</v>
      </c>
      <c r="J1" s="52">
        <v>2014</v>
      </c>
      <c r="K1" s="52">
        <v>2014</v>
      </c>
      <c r="L1" s="52">
        <v>2014</v>
      </c>
      <c r="M1" s="52">
        <v>2014</v>
      </c>
      <c r="N1" s="52">
        <v>2014</v>
      </c>
      <c r="O1" s="52">
        <v>2014</v>
      </c>
      <c r="P1" s="52">
        <v>2014</v>
      </c>
      <c r="Q1" s="52">
        <v>2014</v>
      </c>
      <c r="R1" s="52">
        <v>2014</v>
      </c>
      <c r="S1" s="52">
        <v>2014</v>
      </c>
      <c r="T1" s="52">
        <v>2014</v>
      </c>
      <c r="U1" s="52">
        <v>2014</v>
      </c>
      <c r="V1" s="52">
        <v>2014</v>
      </c>
      <c r="W1" s="52">
        <v>2014</v>
      </c>
      <c r="X1" s="52">
        <v>2014</v>
      </c>
      <c r="Y1" s="52">
        <v>2014</v>
      </c>
      <c r="Z1" s="52">
        <v>2014</v>
      </c>
      <c r="AA1" s="52">
        <v>2014</v>
      </c>
      <c r="AB1" s="52">
        <v>2014</v>
      </c>
      <c r="AC1" s="52">
        <v>2014</v>
      </c>
      <c r="AD1" s="52">
        <v>2014</v>
      </c>
      <c r="AE1" s="52">
        <v>2014</v>
      </c>
      <c r="AF1" s="52">
        <v>2014</v>
      </c>
      <c r="AG1" s="52">
        <v>2014</v>
      </c>
      <c r="AH1" s="52">
        <v>2014</v>
      </c>
      <c r="AI1" s="52">
        <v>2014</v>
      </c>
      <c r="AJ1" s="236"/>
      <c r="AK1" s="237">
        <v>2014</v>
      </c>
    </row>
    <row r="2" spans="1:37" ht="141.75" customHeight="1" x14ac:dyDescent="0.25">
      <c r="A2" s="238"/>
      <c r="B2" s="238"/>
      <c r="C2" s="148" t="s">
        <v>2</v>
      </c>
      <c r="D2" s="52" t="s">
        <v>3</v>
      </c>
      <c r="E2" s="52" t="s">
        <v>4</v>
      </c>
      <c r="F2" s="52" t="s">
        <v>5</v>
      </c>
      <c r="G2" s="52" t="s">
        <v>6</v>
      </c>
      <c r="H2" s="52" t="s">
        <v>7</v>
      </c>
      <c r="I2" s="52" t="s">
        <v>8</v>
      </c>
      <c r="J2" s="52" t="s">
        <v>9</v>
      </c>
      <c r="K2" s="52" t="s">
        <v>10</v>
      </c>
      <c r="L2" s="52" t="s">
        <v>11</v>
      </c>
      <c r="M2" s="52" t="s">
        <v>12</v>
      </c>
      <c r="N2" s="52" t="s">
        <v>13</v>
      </c>
      <c r="O2" s="52" t="s">
        <v>14</v>
      </c>
      <c r="P2" s="52" t="s">
        <v>15</v>
      </c>
      <c r="Q2" s="52" t="s">
        <v>16</v>
      </c>
      <c r="R2" s="52" t="s">
        <v>17</v>
      </c>
      <c r="S2" s="52" t="s">
        <v>18</v>
      </c>
      <c r="T2" s="52" t="s">
        <v>19</v>
      </c>
      <c r="U2" s="52" t="s">
        <v>20</v>
      </c>
      <c r="V2" s="52" t="s">
        <v>21</v>
      </c>
      <c r="W2" s="52" t="s">
        <v>22</v>
      </c>
      <c r="X2" s="149" t="s">
        <v>23</v>
      </c>
      <c r="Y2" s="52" t="s">
        <v>24</v>
      </c>
      <c r="Z2" s="52" t="s">
        <v>25</v>
      </c>
      <c r="AA2" s="52" t="s">
        <v>26</v>
      </c>
      <c r="AB2" s="52" t="s">
        <v>725</v>
      </c>
      <c r="AC2" s="52" t="s">
        <v>28</v>
      </c>
      <c r="AD2" s="52" t="s">
        <v>29</v>
      </c>
      <c r="AE2" s="52" t="s">
        <v>30</v>
      </c>
      <c r="AF2" s="52" t="s">
        <v>31</v>
      </c>
      <c r="AG2" s="52" t="s">
        <v>32</v>
      </c>
      <c r="AH2" s="52" t="s">
        <v>33</v>
      </c>
      <c r="AI2" s="52" t="s">
        <v>726</v>
      </c>
      <c r="AJ2" s="239"/>
      <c r="AK2" s="264" t="s">
        <v>727</v>
      </c>
    </row>
    <row r="3" spans="1:37" x14ac:dyDescent="0.25">
      <c r="A3" s="240"/>
      <c r="B3" s="240"/>
      <c r="C3" s="134"/>
      <c r="D3" s="134"/>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239"/>
      <c r="AK3" s="237"/>
    </row>
    <row r="4" spans="1:37" ht="15.75" x14ac:dyDescent="0.25">
      <c r="A4" s="241" t="s">
        <v>728</v>
      </c>
      <c r="B4" s="242"/>
      <c r="C4" s="242"/>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s="242"/>
      <c r="AG4" s="242"/>
      <c r="AH4" s="242"/>
      <c r="AI4" s="242"/>
      <c r="AJ4" s="236"/>
      <c r="AK4" s="243"/>
    </row>
    <row r="5" spans="1:37" x14ac:dyDescent="0.25">
      <c r="A5" s="21" t="s">
        <v>729</v>
      </c>
      <c r="B5" s="236" t="s">
        <v>730</v>
      </c>
      <c r="C5" s="244">
        <v>12055.2845724</v>
      </c>
      <c r="D5" s="244">
        <v>6027.8325087200001</v>
      </c>
      <c r="E5" s="244">
        <v>5966.8518296899992</v>
      </c>
      <c r="F5" s="244">
        <v>19467.959861109997</v>
      </c>
      <c r="G5" s="244">
        <v>11757.77676244</v>
      </c>
      <c r="H5" s="244">
        <v>6328.7799221599998</v>
      </c>
      <c r="I5" s="244">
        <v>6050.8520292599997</v>
      </c>
      <c r="J5" s="244">
        <v>12456.57540541</v>
      </c>
      <c r="K5" s="244">
        <v>26930.00220975</v>
      </c>
      <c r="L5" s="244">
        <v>15060.428095189998</v>
      </c>
      <c r="M5" s="244">
        <v>29060.569926160002</v>
      </c>
      <c r="N5" s="244">
        <v>8312.7089633200012</v>
      </c>
      <c r="O5" s="244">
        <v>27504.868594849999</v>
      </c>
      <c r="P5" s="244">
        <v>19715.695025090001</v>
      </c>
      <c r="Q5" s="244">
        <v>31603.83463669</v>
      </c>
      <c r="R5" s="244">
        <v>40658.195824560004</v>
      </c>
      <c r="S5" s="244">
        <v>51818.564501379988</v>
      </c>
      <c r="T5" s="244">
        <v>10924.65037363</v>
      </c>
      <c r="U5" s="244">
        <v>11132.26236248</v>
      </c>
      <c r="V5" s="244">
        <v>8982.1229225499992</v>
      </c>
      <c r="W5" s="244">
        <v>12695.192860129999</v>
      </c>
      <c r="X5" s="244">
        <v>20010.032621640003</v>
      </c>
      <c r="Y5" s="244">
        <v>13941.35205524</v>
      </c>
      <c r="Z5" s="244">
        <v>38803.109241389997</v>
      </c>
      <c r="AA5" s="244">
        <v>10137.247731699999</v>
      </c>
      <c r="AB5" s="244">
        <v>12196.794074220001</v>
      </c>
      <c r="AC5" s="244">
        <v>9361.6240621600009</v>
      </c>
      <c r="AD5" s="244">
        <v>14437.399435539999</v>
      </c>
      <c r="AE5" s="244">
        <v>11674.157339240001</v>
      </c>
      <c r="AF5" s="244">
        <v>8854.2343394700001</v>
      </c>
      <c r="AG5" s="244">
        <v>10313.566616439999</v>
      </c>
      <c r="AH5" s="244">
        <v>12090.268519000001</v>
      </c>
      <c r="AI5" s="244">
        <v>4167.2998658400002</v>
      </c>
      <c r="AJ5" s="236"/>
      <c r="AK5" s="245">
        <f>C5+D5+E5+F5+G5+H5+I5+J5+K5+L5+M5+N5+O5+P5+Q5+R5+S5+T5+U5+V5+W5+X5+Y5+Z5+AA5+AB5+AC5+AD5+AE5+AF5+AG5+AH5+AI5</f>
        <v>540498.09508885012</v>
      </c>
    </row>
    <row r="6" spans="1:37" x14ac:dyDescent="0.25">
      <c r="A6" s="246" t="s">
        <v>38</v>
      </c>
      <c r="B6" s="247" t="s">
        <v>731</v>
      </c>
      <c r="C6" s="248">
        <f>pvar!F5</f>
        <v>13.77</v>
      </c>
      <c r="D6" s="248">
        <f>pvar!G5</f>
        <v>0.71</v>
      </c>
      <c r="E6" s="248">
        <f>pvar!H5</f>
        <v>0.5</v>
      </c>
      <c r="F6" s="248">
        <f>pvar!I5</f>
        <v>2.16</v>
      </c>
      <c r="G6" s="248">
        <f>pvar!J5</f>
        <v>1.1100000000000001</v>
      </c>
      <c r="H6" s="248">
        <f>pvar!K5</f>
        <v>1.35</v>
      </c>
      <c r="I6" s="248">
        <f>pvar!L5</f>
        <v>0.55000000000000004</v>
      </c>
      <c r="J6" s="248">
        <f>pvar!M5</f>
        <v>4.4000000000000004</v>
      </c>
      <c r="K6" s="248">
        <f>pvar!N5</f>
        <v>1.61</v>
      </c>
      <c r="L6" s="248">
        <f>pvar!O5</f>
        <v>0.78</v>
      </c>
      <c r="M6" s="248">
        <f>pvar!P5</f>
        <v>2.82</v>
      </c>
      <c r="N6" s="248">
        <f>pvar!Q5</f>
        <v>2.17</v>
      </c>
      <c r="O6" s="248">
        <f>pvar!R5</f>
        <v>4.0999999999999996</v>
      </c>
      <c r="P6" s="248">
        <f>pvar!S5</f>
        <v>2.08</v>
      </c>
      <c r="Q6" s="248">
        <f>pvar!T5</f>
        <v>4.2</v>
      </c>
      <c r="R6" s="248">
        <f>pvar!U5</f>
        <v>3.03</v>
      </c>
      <c r="S6" s="248">
        <f>pvar!V5</f>
        <v>3.66</v>
      </c>
      <c r="T6" s="248">
        <f>pvar!W5</f>
        <v>1.08</v>
      </c>
      <c r="U6" s="248">
        <f>pvar!X5</f>
        <v>1.52</v>
      </c>
      <c r="V6" s="248">
        <f>pvar!Y5</f>
        <v>2.93</v>
      </c>
      <c r="W6" s="248">
        <f>pvar!Z5</f>
        <v>0.38</v>
      </c>
      <c r="X6" s="248">
        <f>pvar!AA5</f>
        <v>2.64</v>
      </c>
      <c r="Y6" s="248">
        <f>pvar!AB5</f>
        <v>0.43</v>
      </c>
      <c r="Z6" s="248">
        <f>pvar!AC5</f>
        <v>3.91</v>
      </c>
      <c r="AA6" s="248">
        <f>pvar!AD5</f>
        <v>1.9</v>
      </c>
      <c r="AB6" s="248">
        <f>pvar!AE5</f>
        <v>1.07</v>
      </c>
      <c r="AC6" s="248">
        <f>pvar!AF5</f>
        <v>0.52</v>
      </c>
      <c r="AD6" s="248">
        <f>pvar!AG5</f>
        <v>0.72</v>
      </c>
      <c r="AE6" s="248">
        <f>pvar!AH5</f>
        <v>0.44</v>
      </c>
      <c r="AF6" s="248">
        <f>pvar!AI5</f>
        <v>3.01</v>
      </c>
      <c r="AG6" s="248">
        <f>pvar!AJ5</f>
        <v>2.58</v>
      </c>
      <c r="AH6" s="248">
        <f>pvar!AK5</f>
        <v>2.33</v>
      </c>
      <c r="AI6" s="248">
        <f>pvar!AL5</f>
        <v>0.59</v>
      </c>
      <c r="AJ6" s="236"/>
      <c r="AK6" s="245">
        <f>SUM(C6:AI6)</f>
        <v>75.050000000000011</v>
      </c>
    </row>
    <row r="7" spans="1:37" x14ac:dyDescent="0.25">
      <c r="A7" s="8" t="s">
        <v>732</v>
      </c>
      <c r="B7" s="236" t="s">
        <v>733</v>
      </c>
      <c r="C7" s="249">
        <f>C8*C6</f>
        <v>92.259</v>
      </c>
      <c r="D7" s="249">
        <f t="shared" ref="D7:AI7" si="0">D8*D6</f>
        <v>4.7569999999999997</v>
      </c>
      <c r="E7" s="249">
        <f t="shared" si="0"/>
        <v>3.35</v>
      </c>
      <c r="F7" s="249">
        <f t="shared" si="0"/>
        <v>14.472000000000001</v>
      </c>
      <c r="G7" s="249">
        <f t="shared" si="0"/>
        <v>7.4370000000000012</v>
      </c>
      <c r="H7" s="249">
        <f t="shared" si="0"/>
        <v>9.0450000000000017</v>
      </c>
      <c r="I7" s="249">
        <f t="shared" si="0"/>
        <v>3.6850000000000005</v>
      </c>
      <c r="J7" s="249">
        <f t="shared" si="0"/>
        <v>29.480000000000004</v>
      </c>
      <c r="K7" s="249">
        <f t="shared" si="0"/>
        <v>10.787000000000001</v>
      </c>
      <c r="L7" s="249">
        <f t="shared" si="0"/>
        <v>5.226</v>
      </c>
      <c r="M7" s="249">
        <f t="shared" si="0"/>
        <v>18.893999999999998</v>
      </c>
      <c r="N7" s="249">
        <f t="shared" si="0"/>
        <v>14.539</v>
      </c>
      <c r="O7" s="249">
        <f t="shared" si="0"/>
        <v>27.47</v>
      </c>
      <c r="P7" s="249">
        <f t="shared" si="0"/>
        <v>13.936000000000002</v>
      </c>
      <c r="Q7" s="249">
        <f t="shared" si="0"/>
        <v>28.14</v>
      </c>
      <c r="R7" s="249">
        <f t="shared" si="0"/>
        <v>20.300999999999998</v>
      </c>
      <c r="S7" s="249">
        <f t="shared" si="0"/>
        <v>24.522000000000002</v>
      </c>
      <c r="T7" s="249">
        <f t="shared" si="0"/>
        <v>7.2360000000000007</v>
      </c>
      <c r="U7" s="249">
        <f t="shared" si="0"/>
        <v>10.184000000000001</v>
      </c>
      <c r="V7" s="249">
        <f t="shared" si="0"/>
        <v>19.631</v>
      </c>
      <c r="W7" s="249">
        <f t="shared" si="0"/>
        <v>2.5460000000000003</v>
      </c>
      <c r="X7" s="249">
        <f t="shared" si="0"/>
        <v>17.688000000000002</v>
      </c>
      <c r="Y7" s="249">
        <f t="shared" si="0"/>
        <v>2.8810000000000002</v>
      </c>
      <c r="Z7" s="249">
        <f t="shared" si="0"/>
        <v>26.197000000000003</v>
      </c>
      <c r="AA7" s="249">
        <f t="shared" si="0"/>
        <v>12.73</v>
      </c>
      <c r="AB7" s="249">
        <f t="shared" si="0"/>
        <v>7.1690000000000005</v>
      </c>
      <c r="AC7" s="249">
        <f t="shared" si="0"/>
        <v>3.4840000000000004</v>
      </c>
      <c r="AD7" s="249">
        <f t="shared" si="0"/>
        <v>4.8239999999999998</v>
      </c>
      <c r="AE7" s="249">
        <f t="shared" si="0"/>
        <v>2.948</v>
      </c>
      <c r="AF7" s="249">
        <f t="shared" si="0"/>
        <v>20.166999999999998</v>
      </c>
      <c r="AG7" s="249">
        <f t="shared" si="0"/>
        <v>17.286000000000001</v>
      </c>
      <c r="AH7" s="249">
        <f t="shared" si="0"/>
        <v>15.611000000000001</v>
      </c>
      <c r="AI7" s="249">
        <f t="shared" si="0"/>
        <v>3.9529999999999998</v>
      </c>
      <c r="AJ7" s="236"/>
      <c r="AK7" s="245">
        <f>SUM(C7:AI7)</f>
        <v>502.83499999999992</v>
      </c>
    </row>
    <row r="8" spans="1:37" x14ac:dyDescent="0.25">
      <c r="A8" s="8"/>
      <c r="B8" s="22" t="s">
        <v>734</v>
      </c>
      <c r="C8" s="250">
        <f>pvar!F8</f>
        <v>6.7</v>
      </c>
      <c r="D8" s="250">
        <f>pvar!G8</f>
        <v>6.7</v>
      </c>
      <c r="E8" s="250">
        <f>pvar!H8</f>
        <v>6.7</v>
      </c>
      <c r="F8" s="250">
        <f>pvar!I8</f>
        <v>6.7</v>
      </c>
      <c r="G8" s="250">
        <f>pvar!J8</f>
        <v>6.7</v>
      </c>
      <c r="H8" s="250">
        <f>pvar!K8</f>
        <v>6.7</v>
      </c>
      <c r="I8" s="250">
        <f>pvar!L8</f>
        <v>6.7</v>
      </c>
      <c r="J8" s="250">
        <f>pvar!M8</f>
        <v>6.7</v>
      </c>
      <c r="K8" s="250">
        <f>pvar!N8</f>
        <v>6.7</v>
      </c>
      <c r="L8" s="250">
        <f>pvar!O8</f>
        <v>6.7</v>
      </c>
      <c r="M8" s="250">
        <f>pvar!P8</f>
        <v>6.7</v>
      </c>
      <c r="N8" s="250">
        <f>pvar!Q8</f>
        <v>6.7</v>
      </c>
      <c r="O8" s="250">
        <f>pvar!R8</f>
        <v>6.7</v>
      </c>
      <c r="P8" s="250">
        <f>pvar!S8</f>
        <v>6.7</v>
      </c>
      <c r="Q8" s="250">
        <f>pvar!T8</f>
        <v>6.7</v>
      </c>
      <c r="R8" s="250">
        <f>pvar!U8</f>
        <v>6.7</v>
      </c>
      <c r="S8" s="250">
        <f>pvar!V8</f>
        <v>6.7</v>
      </c>
      <c r="T8" s="250">
        <f>pvar!W8</f>
        <v>6.7</v>
      </c>
      <c r="U8" s="250">
        <f>pvar!X8</f>
        <v>6.7</v>
      </c>
      <c r="V8" s="250">
        <f>pvar!Y8</f>
        <v>6.7</v>
      </c>
      <c r="W8" s="250">
        <f>pvar!Z8</f>
        <v>6.7</v>
      </c>
      <c r="X8" s="250">
        <f>pvar!AA8</f>
        <v>6.7</v>
      </c>
      <c r="Y8" s="250">
        <f>pvar!AB8</f>
        <v>6.7</v>
      </c>
      <c r="Z8" s="250">
        <f>pvar!AC8</f>
        <v>6.7</v>
      </c>
      <c r="AA8" s="250">
        <f>pvar!AD8</f>
        <v>6.7</v>
      </c>
      <c r="AB8" s="250">
        <f>pvar!AE8</f>
        <v>6.7</v>
      </c>
      <c r="AC8" s="250">
        <f>pvar!AF8</f>
        <v>6.7</v>
      </c>
      <c r="AD8" s="250">
        <f>pvar!AG8</f>
        <v>6.7</v>
      </c>
      <c r="AE8" s="250">
        <f>pvar!AH8</f>
        <v>6.7</v>
      </c>
      <c r="AF8" s="250">
        <f>pvar!AI8</f>
        <v>6.7</v>
      </c>
      <c r="AG8" s="250">
        <f>pvar!AJ8</f>
        <v>6.7</v>
      </c>
      <c r="AH8" s="250">
        <f>pvar!AK8</f>
        <v>6.7</v>
      </c>
      <c r="AI8" s="250">
        <f>pvar!AL8</f>
        <v>6.7</v>
      </c>
      <c r="AJ8" s="250"/>
      <c r="AK8" s="251"/>
    </row>
    <row r="9" spans="1:37" x14ac:dyDescent="0.25">
      <c r="A9" s="236" t="s">
        <v>735</v>
      </c>
      <c r="B9" s="8" t="s">
        <v>77</v>
      </c>
      <c r="C9" s="249">
        <f>pvar!F9*C6</f>
        <v>30.982499999999998</v>
      </c>
      <c r="D9" s="249">
        <f>pvar!G9*D6</f>
        <v>1.5974999999999999</v>
      </c>
      <c r="E9" s="249">
        <f>pvar!H9*E6</f>
        <v>1.125</v>
      </c>
      <c r="F9" s="249">
        <f>pvar!I9*F6</f>
        <v>4.8600000000000003</v>
      </c>
      <c r="G9" s="249">
        <f>pvar!J9*G6</f>
        <v>2.4975000000000001</v>
      </c>
      <c r="H9" s="249">
        <f>pvar!K9*H6</f>
        <v>3.0375000000000001</v>
      </c>
      <c r="I9" s="249">
        <f>pvar!L9*I6</f>
        <v>1.2375</v>
      </c>
      <c r="J9" s="249">
        <f>pvar!M9*J6</f>
        <v>9.9</v>
      </c>
      <c r="K9" s="249">
        <f>pvar!N9*K6</f>
        <v>3.6225000000000001</v>
      </c>
      <c r="L9" s="249">
        <f>pvar!O9*L6</f>
        <v>1.7550000000000001</v>
      </c>
      <c r="M9" s="249">
        <f>pvar!P9*M6</f>
        <v>6.3449999999999998</v>
      </c>
      <c r="N9" s="249">
        <f>pvar!Q9*N6</f>
        <v>4.8825000000000003</v>
      </c>
      <c r="O9" s="249">
        <f>pvar!R9*O6</f>
        <v>9.2249999999999996</v>
      </c>
      <c r="P9" s="249">
        <f>pvar!S9*P6</f>
        <v>4.68</v>
      </c>
      <c r="Q9" s="249">
        <f>pvar!T9*Q6</f>
        <v>9.4500000000000011</v>
      </c>
      <c r="R9" s="249">
        <f>pvar!U9*R6</f>
        <v>6.8174999999999999</v>
      </c>
      <c r="S9" s="249">
        <f>pvar!V9*S6</f>
        <v>8.2349999999999994</v>
      </c>
      <c r="T9" s="249">
        <f>pvar!W9*T6</f>
        <v>2.4300000000000002</v>
      </c>
      <c r="U9" s="249">
        <f>pvar!X9*U6</f>
        <v>3.42</v>
      </c>
      <c r="V9" s="249">
        <f>pvar!Y9*V6</f>
        <v>6.5925000000000002</v>
      </c>
      <c r="W9" s="249">
        <f>pvar!Z9*W6</f>
        <v>0.85499999999999998</v>
      </c>
      <c r="X9" s="249">
        <f>pvar!AA9*X6</f>
        <v>5.94</v>
      </c>
      <c r="Y9" s="249">
        <f>pvar!AB9*Y6</f>
        <v>0.96750000000000003</v>
      </c>
      <c r="Z9" s="249">
        <f>pvar!AC9*Z6</f>
        <v>8.7974999999999994</v>
      </c>
      <c r="AA9" s="249">
        <f>pvar!AD9*AA6</f>
        <v>4.2749999999999995</v>
      </c>
      <c r="AB9" s="249">
        <f>pvar!AE9*AB6</f>
        <v>2.4075000000000002</v>
      </c>
      <c r="AC9" s="249">
        <f>pvar!AF9*AC6</f>
        <v>1.17</v>
      </c>
      <c r="AD9" s="249">
        <f>pvar!AG9*AD6</f>
        <v>1.6199999999999999</v>
      </c>
      <c r="AE9" s="249">
        <f>pvar!AH9*AE6</f>
        <v>0.99</v>
      </c>
      <c r="AF9" s="249">
        <f>pvar!AI9*AF6</f>
        <v>6.7724999999999991</v>
      </c>
      <c r="AG9" s="249">
        <f>pvar!AJ9*AG6</f>
        <v>5.8049999999999997</v>
      </c>
      <c r="AH9" s="249">
        <f>pvar!AK9*AH6</f>
        <v>5.2424999999999997</v>
      </c>
      <c r="AI9" s="249">
        <f>pvar!AL9*AI6</f>
        <v>1.3274999999999999</v>
      </c>
      <c r="AJ9" s="236"/>
      <c r="AK9" s="245">
        <f t="shared" ref="AK9:AK14" si="1">SUM(C9:AI9)</f>
        <v>168.86250000000001</v>
      </c>
    </row>
    <row r="10" spans="1:37" x14ac:dyDescent="0.25">
      <c r="A10" s="236" t="s">
        <v>736</v>
      </c>
      <c r="B10" s="8" t="s">
        <v>77</v>
      </c>
      <c r="C10" s="249">
        <f>pvar!F10*C6</f>
        <v>60.588000000000001</v>
      </c>
      <c r="D10" s="249">
        <f>pvar!G10*D6</f>
        <v>3.1240000000000001</v>
      </c>
      <c r="E10" s="249">
        <f>pvar!H10*E6</f>
        <v>2.2000000000000002</v>
      </c>
      <c r="F10" s="249">
        <f>pvar!I10*F6</f>
        <v>9.5040000000000013</v>
      </c>
      <c r="G10" s="249">
        <f>pvar!J10*G6</f>
        <v>4.8840000000000012</v>
      </c>
      <c r="H10" s="249">
        <f>pvar!K10*H6</f>
        <v>5.9400000000000013</v>
      </c>
      <c r="I10" s="249">
        <f>pvar!L10*I6</f>
        <v>2.4200000000000004</v>
      </c>
      <c r="J10" s="249">
        <f>pvar!M10*J6</f>
        <v>19.360000000000003</v>
      </c>
      <c r="K10" s="249">
        <f>pvar!N10*K6</f>
        <v>7.0840000000000014</v>
      </c>
      <c r="L10" s="249">
        <f>pvar!O10*L6</f>
        <v>3.4320000000000004</v>
      </c>
      <c r="M10" s="249">
        <f>pvar!P10*M6</f>
        <v>12.407999999999999</v>
      </c>
      <c r="N10" s="249">
        <f>pvar!Q10*N6</f>
        <v>9.548</v>
      </c>
      <c r="O10" s="249">
        <f>pvar!R10*O6</f>
        <v>18.04</v>
      </c>
      <c r="P10" s="249">
        <f>pvar!S10*P6</f>
        <v>9.152000000000001</v>
      </c>
      <c r="Q10" s="249">
        <f>pvar!T10*Q6</f>
        <v>18.480000000000004</v>
      </c>
      <c r="R10" s="249">
        <f>pvar!U10*R6</f>
        <v>13.332000000000001</v>
      </c>
      <c r="S10" s="249">
        <f>pvar!V10*S6</f>
        <v>16.104000000000003</v>
      </c>
      <c r="T10" s="249">
        <f>pvar!W10*T6</f>
        <v>4.7520000000000007</v>
      </c>
      <c r="U10" s="249">
        <f>pvar!X10*U6</f>
        <v>6.6880000000000006</v>
      </c>
      <c r="V10" s="249">
        <f>pvar!Y10*V6</f>
        <v>12.892000000000001</v>
      </c>
      <c r="W10" s="249">
        <f>pvar!Z10*W6</f>
        <v>1.6720000000000002</v>
      </c>
      <c r="X10" s="249">
        <f>pvar!AA10*X6</f>
        <v>11.616000000000001</v>
      </c>
      <c r="Y10" s="249">
        <f>pvar!AB10*Y6</f>
        <v>1.8920000000000001</v>
      </c>
      <c r="Z10" s="249">
        <f>pvar!AC10*Z6</f>
        <v>17.204000000000001</v>
      </c>
      <c r="AA10" s="249">
        <f>pvar!AD10*AA6</f>
        <v>8.36</v>
      </c>
      <c r="AB10" s="249">
        <f>pvar!AE10*AB6</f>
        <v>4.7080000000000011</v>
      </c>
      <c r="AC10" s="249">
        <f>pvar!AF10*AC6</f>
        <v>2.2880000000000003</v>
      </c>
      <c r="AD10" s="249">
        <f>pvar!AG10*AD6</f>
        <v>3.1680000000000001</v>
      </c>
      <c r="AE10" s="249">
        <f>pvar!AH10*AE6</f>
        <v>1.9360000000000002</v>
      </c>
      <c r="AF10" s="249">
        <f>pvar!AI10*AF6</f>
        <v>13.244</v>
      </c>
      <c r="AG10" s="249">
        <f>pvar!AJ10*AG6</f>
        <v>11.352000000000002</v>
      </c>
      <c r="AH10" s="249">
        <f>pvar!AK10*AH6</f>
        <v>10.252000000000001</v>
      </c>
      <c r="AI10" s="249">
        <f>pvar!AL10*AI6</f>
        <v>2.5960000000000001</v>
      </c>
      <c r="AJ10" s="236"/>
      <c r="AK10" s="245">
        <f t="shared" si="1"/>
        <v>330.22000000000008</v>
      </c>
    </row>
    <row r="11" spans="1:37" x14ac:dyDescent="0.25">
      <c r="A11" s="236" t="s">
        <v>737</v>
      </c>
      <c r="B11" s="8" t="s">
        <v>77</v>
      </c>
      <c r="C11" s="249">
        <f>1.72*C6</f>
        <v>23.6844</v>
      </c>
      <c r="D11" s="249">
        <f t="shared" ref="D11:AI11" si="2">1.72*D6</f>
        <v>1.2211999999999998</v>
      </c>
      <c r="E11" s="249">
        <f t="shared" si="2"/>
        <v>0.86</v>
      </c>
      <c r="F11" s="249">
        <f t="shared" si="2"/>
        <v>3.7152000000000003</v>
      </c>
      <c r="G11" s="249">
        <f t="shared" si="2"/>
        <v>1.9092000000000002</v>
      </c>
      <c r="H11" s="249">
        <f t="shared" si="2"/>
        <v>2.3220000000000001</v>
      </c>
      <c r="I11" s="249">
        <f t="shared" si="2"/>
        <v>0.94600000000000006</v>
      </c>
      <c r="J11" s="249">
        <f t="shared" si="2"/>
        <v>7.5680000000000005</v>
      </c>
      <c r="K11" s="249">
        <f t="shared" si="2"/>
        <v>2.7692000000000001</v>
      </c>
      <c r="L11" s="249">
        <f t="shared" si="2"/>
        <v>1.3416000000000001</v>
      </c>
      <c r="M11" s="249">
        <f t="shared" si="2"/>
        <v>4.8503999999999996</v>
      </c>
      <c r="N11" s="249">
        <f t="shared" si="2"/>
        <v>3.7323999999999997</v>
      </c>
      <c r="O11" s="249">
        <f t="shared" si="2"/>
        <v>7.0519999999999996</v>
      </c>
      <c r="P11" s="249">
        <f t="shared" si="2"/>
        <v>3.5775999999999999</v>
      </c>
      <c r="Q11" s="249">
        <f t="shared" si="2"/>
        <v>7.2240000000000002</v>
      </c>
      <c r="R11" s="249">
        <f t="shared" si="2"/>
        <v>5.2115999999999998</v>
      </c>
      <c r="S11" s="249">
        <f t="shared" si="2"/>
        <v>6.2952000000000004</v>
      </c>
      <c r="T11" s="249">
        <f t="shared" si="2"/>
        <v>1.8576000000000001</v>
      </c>
      <c r="U11" s="249">
        <f t="shared" si="2"/>
        <v>2.6143999999999998</v>
      </c>
      <c r="V11" s="249">
        <f t="shared" si="2"/>
        <v>5.0396000000000001</v>
      </c>
      <c r="W11" s="249">
        <f t="shared" si="2"/>
        <v>0.65359999999999996</v>
      </c>
      <c r="X11" s="249">
        <f t="shared" si="2"/>
        <v>4.5407999999999999</v>
      </c>
      <c r="Y11" s="249">
        <f t="shared" si="2"/>
        <v>0.73959999999999992</v>
      </c>
      <c r="Z11" s="249">
        <f t="shared" si="2"/>
        <v>6.7252000000000001</v>
      </c>
      <c r="AA11" s="249">
        <f t="shared" si="2"/>
        <v>3.2679999999999998</v>
      </c>
      <c r="AB11" s="249">
        <f t="shared" si="2"/>
        <v>1.8404</v>
      </c>
      <c r="AC11" s="249">
        <f t="shared" si="2"/>
        <v>0.89439999999999997</v>
      </c>
      <c r="AD11" s="249">
        <f t="shared" si="2"/>
        <v>1.2383999999999999</v>
      </c>
      <c r="AE11" s="249">
        <f t="shared" si="2"/>
        <v>0.75680000000000003</v>
      </c>
      <c r="AF11" s="249">
        <f t="shared" si="2"/>
        <v>5.1771999999999991</v>
      </c>
      <c r="AG11" s="249">
        <f t="shared" si="2"/>
        <v>4.4375999999999998</v>
      </c>
      <c r="AH11" s="249">
        <f t="shared" si="2"/>
        <v>4.0076000000000001</v>
      </c>
      <c r="AI11" s="249">
        <f t="shared" si="2"/>
        <v>1.0147999999999999</v>
      </c>
      <c r="AJ11" s="236"/>
      <c r="AK11" s="245">
        <f t="shared" si="1"/>
        <v>129.08600000000004</v>
      </c>
    </row>
    <row r="12" spans="1:37" x14ac:dyDescent="0.25">
      <c r="A12" s="236" t="s">
        <v>738</v>
      </c>
      <c r="B12" s="8" t="s">
        <v>77</v>
      </c>
      <c r="C12" s="249">
        <f>2.81*C6</f>
        <v>38.6937</v>
      </c>
      <c r="D12" s="249">
        <f t="shared" ref="D12:AI12" si="3">2.81*D6</f>
        <v>1.9950999999999999</v>
      </c>
      <c r="E12" s="249">
        <f t="shared" si="3"/>
        <v>1.405</v>
      </c>
      <c r="F12" s="249">
        <f t="shared" si="3"/>
        <v>6.0696000000000003</v>
      </c>
      <c r="G12" s="249">
        <f t="shared" si="3"/>
        <v>3.1191000000000004</v>
      </c>
      <c r="H12" s="249">
        <f t="shared" si="3"/>
        <v>3.7935000000000003</v>
      </c>
      <c r="I12" s="249">
        <f t="shared" si="3"/>
        <v>1.5455000000000001</v>
      </c>
      <c r="J12" s="249">
        <f t="shared" si="3"/>
        <v>12.364000000000001</v>
      </c>
      <c r="K12" s="249">
        <f t="shared" si="3"/>
        <v>4.5241000000000007</v>
      </c>
      <c r="L12" s="249">
        <f t="shared" si="3"/>
        <v>2.1918000000000002</v>
      </c>
      <c r="M12" s="249">
        <f t="shared" si="3"/>
        <v>7.9241999999999999</v>
      </c>
      <c r="N12" s="249">
        <f t="shared" si="3"/>
        <v>6.0976999999999997</v>
      </c>
      <c r="O12" s="249">
        <f t="shared" si="3"/>
        <v>11.520999999999999</v>
      </c>
      <c r="P12" s="249">
        <f t="shared" si="3"/>
        <v>5.8448000000000002</v>
      </c>
      <c r="Q12" s="249">
        <f t="shared" si="3"/>
        <v>11.802000000000001</v>
      </c>
      <c r="R12" s="249">
        <f t="shared" si="3"/>
        <v>8.5143000000000004</v>
      </c>
      <c r="S12" s="249">
        <f t="shared" si="3"/>
        <v>10.284600000000001</v>
      </c>
      <c r="T12" s="249">
        <f t="shared" si="3"/>
        <v>3.0348000000000002</v>
      </c>
      <c r="U12" s="249">
        <f t="shared" si="3"/>
        <v>4.2712000000000003</v>
      </c>
      <c r="V12" s="249">
        <f t="shared" si="3"/>
        <v>8.2332999999999998</v>
      </c>
      <c r="W12" s="249">
        <f t="shared" si="3"/>
        <v>1.0678000000000001</v>
      </c>
      <c r="X12" s="249">
        <f t="shared" si="3"/>
        <v>7.4184000000000001</v>
      </c>
      <c r="Y12" s="249">
        <f t="shared" si="3"/>
        <v>1.2082999999999999</v>
      </c>
      <c r="Z12" s="249">
        <f t="shared" si="3"/>
        <v>10.9871</v>
      </c>
      <c r="AA12" s="249">
        <f t="shared" si="3"/>
        <v>5.3389999999999995</v>
      </c>
      <c r="AB12" s="249">
        <f t="shared" si="3"/>
        <v>3.0067000000000004</v>
      </c>
      <c r="AC12" s="249">
        <f t="shared" si="3"/>
        <v>1.4612000000000001</v>
      </c>
      <c r="AD12" s="249">
        <f t="shared" si="3"/>
        <v>2.0232000000000001</v>
      </c>
      <c r="AE12" s="249">
        <f t="shared" si="3"/>
        <v>1.2363999999999999</v>
      </c>
      <c r="AF12" s="249">
        <f t="shared" si="3"/>
        <v>8.4581</v>
      </c>
      <c r="AG12" s="249">
        <f t="shared" si="3"/>
        <v>7.2498000000000005</v>
      </c>
      <c r="AH12" s="249">
        <f t="shared" si="3"/>
        <v>6.5472999999999999</v>
      </c>
      <c r="AI12" s="249">
        <f t="shared" si="3"/>
        <v>1.6578999999999999</v>
      </c>
      <c r="AJ12" s="236"/>
      <c r="AK12" s="245">
        <f t="shared" si="1"/>
        <v>210.89050000000003</v>
      </c>
    </row>
    <row r="13" spans="1:37" x14ac:dyDescent="0.25">
      <c r="A13" s="236" t="s">
        <v>739</v>
      </c>
      <c r="B13" s="8" t="s">
        <v>77</v>
      </c>
      <c r="C13" s="249">
        <f>C12/0.45</f>
        <v>85.986000000000004</v>
      </c>
      <c r="D13" s="249">
        <f t="shared" ref="D13:AI13" si="4">D12/0.45</f>
        <v>4.4335555555555555</v>
      </c>
      <c r="E13" s="249">
        <f t="shared" si="4"/>
        <v>3.1222222222222222</v>
      </c>
      <c r="F13" s="249">
        <f t="shared" si="4"/>
        <v>13.488</v>
      </c>
      <c r="G13" s="249">
        <f t="shared" si="4"/>
        <v>6.9313333333333338</v>
      </c>
      <c r="H13" s="249">
        <f t="shared" si="4"/>
        <v>8.43</v>
      </c>
      <c r="I13" s="249">
        <f t="shared" si="4"/>
        <v>3.4344444444444444</v>
      </c>
      <c r="J13" s="249">
        <f t="shared" si="4"/>
        <v>27.475555555555555</v>
      </c>
      <c r="K13" s="249">
        <f t="shared" si="4"/>
        <v>10.053555555555556</v>
      </c>
      <c r="L13" s="249">
        <f t="shared" si="4"/>
        <v>4.8706666666666667</v>
      </c>
      <c r="M13" s="249">
        <f t="shared" si="4"/>
        <v>17.609333333333332</v>
      </c>
      <c r="N13" s="249">
        <f t="shared" si="4"/>
        <v>13.550444444444443</v>
      </c>
      <c r="O13" s="249">
        <f t="shared" si="4"/>
        <v>25.60222222222222</v>
      </c>
      <c r="P13" s="249">
        <f t="shared" si="4"/>
        <v>12.988444444444445</v>
      </c>
      <c r="Q13" s="249">
        <f t="shared" si="4"/>
        <v>26.22666666666667</v>
      </c>
      <c r="R13" s="249">
        <f t="shared" si="4"/>
        <v>18.920666666666666</v>
      </c>
      <c r="S13" s="249">
        <f t="shared" si="4"/>
        <v>22.85466666666667</v>
      </c>
      <c r="T13" s="249">
        <f t="shared" si="4"/>
        <v>6.7439999999999998</v>
      </c>
      <c r="U13" s="249">
        <f t="shared" si="4"/>
        <v>9.4915555555555553</v>
      </c>
      <c r="V13" s="249">
        <f t="shared" si="4"/>
        <v>18.296222222222223</v>
      </c>
      <c r="W13" s="249">
        <f t="shared" si="4"/>
        <v>2.3728888888888888</v>
      </c>
      <c r="X13" s="249">
        <f t="shared" si="4"/>
        <v>16.485333333333333</v>
      </c>
      <c r="Y13" s="249">
        <f t="shared" si="4"/>
        <v>2.685111111111111</v>
      </c>
      <c r="Z13" s="249">
        <f t="shared" si="4"/>
        <v>24.415777777777777</v>
      </c>
      <c r="AA13" s="249">
        <f t="shared" si="4"/>
        <v>11.864444444444443</v>
      </c>
      <c r="AB13" s="249">
        <f t="shared" si="4"/>
        <v>6.6815555555555566</v>
      </c>
      <c r="AC13" s="249">
        <f t="shared" si="4"/>
        <v>3.2471111111111113</v>
      </c>
      <c r="AD13" s="249">
        <f t="shared" si="4"/>
        <v>4.4960000000000004</v>
      </c>
      <c r="AE13" s="249">
        <f t="shared" si="4"/>
        <v>2.7475555555555555</v>
      </c>
      <c r="AF13" s="249">
        <f t="shared" si="4"/>
        <v>18.795777777777776</v>
      </c>
      <c r="AG13" s="249">
        <f t="shared" si="4"/>
        <v>16.110666666666667</v>
      </c>
      <c r="AH13" s="249">
        <f t="shared" si="4"/>
        <v>14.549555555555555</v>
      </c>
      <c r="AI13" s="249">
        <f t="shared" si="4"/>
        <v>3.6842222222222221</v>
      </c>
      <c r="AJ13" s="236"/>
      <c r="AK13" s="245">
        <f t="shared" si="1"/>
        <v>468.64555555555563</v>
      </c>
    </row>
    <row r="14" spans="1:37" x14ac:dyDescent="0.25">
      <c r="A14" s="236" t="s">
        <v>740</v>
      </c>
      <c r="B14" s="8" t="s">
        <v>77</v>
      </c>
      <c r="C14" s="249">
        <f>C13+C11</f>
        <v>109.6704</v>
      </c>
      <c r="D14" s="249">
        <f t="shared" ref="D14:AI14" si="5">D13+D11</f>
        <v>5.6547555555555551</v>
      </c>
      <c r="E14" s="249">
        <f t="shared" si="5"/>
        <v>3.9822222222222221</v>
      </c>
      <c r="F14" s="249">
        <f t="shared" si="5"/>
        <v>17.203199999999999</v>
      </c>
      <c r="G14" s="249">
        <f t="shared" si="5"/>
        <v>8.8405333333333331</v>
      </c>
      <c r="H14" s="249">
        <f t="shared" si="5"/>
        <v>10.751999999999999</v>
      </c>
      <c r="I14" s="249">
        <f t="shared" si="5"/>
        <v>4.3804444444444446</v>
      </c>
      <c r="J14" s="249">
        <f t="shared" si="5"/>
        <v>35.043555555555557</v>
      </c>
      <c r="K14" s="249">
        <f t="shared" si="5"/>
        <v>12.822755555555556</v>
      </c>
      <c r="L14" s="249">
        <f t="shared" si="5"/>
        <v>6.2122666666666664</v>
      </c>
      <c r="M14" s="249">
        <f t="shared" si="5"/>
        <v>22.459733333333332</v>
      </c>
      <c r="N14" s="249">
        <f t="shared" si="5"/>
        <v>17.282844444444443</v>
      </c>
      <c r="O14" s="249">
        <f t="shared" si="5"/>
        <v>32.654222222222216</v>
      </c>
      <c r="P14" s="249">
        <f t="shared" si="5"/>
        <v>16.566044444444444</v>
      </c>
      <c r="Q14" s="249">
        <f t="shared" si="5"/>
        <v>33.45066666666667</v>
      </c>
      <c r="R14" s="249">
        <f t="shared" si="5"/>
        <v>24.132266666666666</v>
      </c>
      <c r="S14" s="249">
        <f t="shared" si="5"/>
        <v>29.149866666666671</v>
      </c>
      <c r="T14" s="249">
        <f t="shared" si="5"/>
        <v>8.6015999999999995</v>
      </c>
      <c r="U14" s="249">
        <f t="shared" si="5"/>
        <v>12.105955555555555</v>
      </c>
      <c r="V14" s="249">
        <f t="shared" si="5"/>
        <v>23.335822222222223</v>
      </c>
      <c r="W14" s="249">
        <f t="shared" si="5"/>
        <v>3.0264888888888888</v>
      </c>
      <c r="X14" s="249">
        <f t="shared" si="5"/>
        <v>21.026133333333334</v>
      </c>
      <c r="Y14" s="249">
        <f t="shared" si="5"/>
        <v>3.4247111111111108</v>
      </c>
      <c r="Z14" s="249">
        <f t="shared" si="5"/>
        <v>31.140977777777778</v>
      </c>
      <c r="AA14" s="249">
        <f t="shared" si="5"/>
        <v>15.132444444444442</v>
      </c>
      <c r="AB14" s="249">
        <f t="shared" si="5"/>
        <v>8.5219555555555573</v>
      </c>
      <c r="AC14" s="249">
        <f t="shared" si="5"/>
        <v>4.1415111111111109</v>
      </c>
      <c r="AD14" s="249">
        <f t="shared" si="5"/>
        <v>5.7344000000000008</v>
      </c>
      <c r="AE14" s="249">
        <f t="shared" si="5"/>
        <v>3.5043555555555557</v>
      </c>
      <c r="AF14" s="249">
        <f t="shared" si="5"/>
        <v>23.972977777777775</v>
      </c>
      <c r="AG14" s="249">
        <f t="shared" si="5"/>
        <v>20.548266666666667</v>
      </c>
      <c r="AH14" s="249">
        <f t="shared" si="5"/>
        <v>18.557155555555553</v>
      </c>
      <c r="AI14" s="249">
        <f t="shared" si="5"/>
        <v>4.6990222222222222</v>
      </c>
      <c r="AJ14" s="236"/>
      <c r="AK14" s="245">
        <f t="shared" si="1"/>
        <v>597.7315555555557</v>
      </c>
    </row>
    <row r="15" spans="1:37" x14ac:dyDescent="0.25">
      <c r="A15" s="236"/>
      <c r="B15" s="236"/>
      <c r="C15" s="265"/>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6"/>
      <c r="AI15" s="236"/>
      <c r="AJ15" s="236"/>
      <c r="AK15" s="243"/>
    </row>
    <row r="16" spans="1:37" x14ac:dyDescent="0.25">
      <c r="A16" s="246" t="s">
        <v>741</v>
      </c>
      <c r="B16" s="247"/>
      <c r="C16" s="265"/>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6"/>
      <c r="AI16" s="236"/>
      <c r="AJ16" s="236"/>
      <c r="AK16" s="243"/>
    </row>
    <row r="17" spans="1:37" x14ac:dyDescent="0.25">
      <c r="A17" s="236" t="s">
        <v>742</v>
      </c>
      <c r="B17" s="236" t="s">
        <v>51</v>
      </c>
      <c r="C17" s="244">
        <f>pvar!F19</f>
        <v>572057.16673172242</v>
      </c>
      <c r="D17" s="244">
        <f>pvar!G19</f>
        <v>393517.42233297089</v>
      </c>
      <c r="E17" s="244">
        <f>pvar!H19</f>
        <v>454242.47741856519</v>
      </c>
      <c r="F17" s="244">
        <f>pvar!I19</f>
        <v>1341620.5344389321</v>
      </c>
      <c r="G17" s="244">
        <f>pvar!J19</f>
        <v>836466.74514545908</v>
      </c>
      <c r="H17" s="244">
        <f>pvar!K19</f>
        <v>406136.69703217701</v>
      </c>
      <c r="I17" s="244">
        <f>pvar!L19</f>
        <v>456313.0436570812</v>
      </c>
      <c r="J17" s="244">
        <f>pvar!M19</f>
        <v>828742.1020690127</v>
      </c>
      <c r="K17" s="244">
        <f>pvar!N19</f>
        <v>1635123.3967371625</v>
      </c>
      <c r="L17" s="244">
        <f>pvar!O19</f>
        <v>761377.14602056425</v>
      </c>
      <c r="M17" s="244">
        <f>pvar!P19</f>
        <v>1413892.4624612306</v>
      </c>
      <c r="N17" s="244">
        <f>pvar!Q19</f>
        <v>316163.76026680699</v>
      </c>
      <c r="O17" s="244">
        <f>pvar!R19</f>
        <v>1673572.5290930921</v>
      </c>
      <c r="P17" s="244">
        <f>pvar!S19</f>
        <v>1200813.4521449958</v>
      </c>
      <c r="Q17" s="244">
        <f>pvar!T19</f>
        <v>2141027.7781952647</v>
      </c>
      <c r="R17" s="244">
        <f>pvar!U19</f>
        <v>2395527.8616054244</v>
      </c>
      <c r="S17" s="244">
        <f>pvar!V19</f>
        <v>2937264.3992578229</v>
      </c>
      <c r="T17" s="244">
        <f>pvar!W19</f>
        <v>458051.39600836043</v>
      </c>
      <c r="U17" s="244">
        <f>pvar!X19</f>
        <v>244092.41362085257</v>
      </c>
      <c r="V17" s="244">
        <f>pvar!Y19</f>
        <v>381732.93594219664</v>
      </c>
      <c r="W17" s="244">
        <f>pvar!Z19</f>
        <v>399978.22337487055</v>
      </c>
      <c r="X17" s="244">
        <f>pvar!AA19</f>
        <v>567782.8333964583</v>
      </c>
      <c r="Y17" s="244">
        <f>pvar!AB19</f>
        <v>782923.09114285023</v>
      </c>
      <c r="Z17" s="244">
        <f>pvar!AC19</f>
        <v>1899444.0027717634</v>
      </c>
      <c r="AA17" s="244">
        <f>pvar!AD19</f>
        <v>127284.51852661397</v>
      </c>
      <c r="AB17" s="244">
        <f>pvar!AE19</f>
        <v>653844.53992313589</v>
      </c>
      <c r="AC17" s="244">
        <f>pvar!AF19</f>
        <v>205144.22930929394</v>
      </c>
      <c r="AD17" s="244">
        <f>pvar!AG19</f>
        <v>561344.59592339478</v>
      </c>
      <c r="AE17" s="244">
        <f>pvar!AH19</f>
        <v>586943.7101897907</v>
      </c>
      <c r="AF17" s="244">
        <f>pvar!AI19</f>
        <v>185030.78587776385</v>
      </c>
      <c r="AG17" s="244">
        <f>pvar!AJ19</f>
        <v>178051.72276045659</v>
      </c>
      <c r="AH17" s="244">
        <f>pvar!AK19</f>
        <v>202677.46034566578</v>
      </c>
      <c r="AI17" s="244">
        <f>pvar!AL19</f>
        <v>92462.593531393999</v>
      </c>
      <c r="AJ17" s="236"/>
      <c r="AK17" s="245">
        <f>SUM(C17:AI17)</f>
        <v>27290648.027253143</v>
      </c>
    </row>
    <row r="18" spans="1:37" x14ac:dyDescent="0.25">
      <c r="A18" s="236" t="s">
        <v>743</v>
      </c>
      <c r="B18" s="236" t="s">
        <v>51</v>
      </c>
      <c r="C18" s="244">
        <f>pvar!F20</f>
        <v>0</v>
      </c>
      <c r="D18" s="244">
        <f>pvar!G20</f>
        <v>6.7559532125543012E-6</v>
      </c>
      <c r="E18" s="244">
        <f>pvar!H20</f>
        <v>0</v>
      </c>
      <c r="F18" s="244">
        <f>pvar!I20</f>
        <v>0</v>
      </c>
      <c r="G18" s="244">
        <f>pvar!J20</f>
        <v>184018.67025542085</v>
      </c>
      <c r="H18" s="244">
        <f>pvar!K20</f>
        <v>64783.01620452854</v>
      </c>
      <c r="I18" s="244">
        <f>pvar!L20</f>
        <v>121180.84085854053</v>
      </c>
      <c r="J18" s="244">
        <f>pvar!M20</f>
        <v>0</v>
      </c>
      <c r="K18" s="244">
        <f>pvar!N20</f>
        <v>0</v>
      </c>
      <c r="L18" s="244">
        <f>pvar!O20</f>
        <v>0</v>
      </c>
      <c r="M18" s="244">
        <f>pvar!P20</f>
        <v>394553.04916564835</v>
      </c>
      <c r="N18" s="244">
        <f>pvar!Q20</f>
        <v>0</v>
      </c>
      <c r="O18" s="244">
        <f>pvar!R20</f>
        <v>156188.22655464534</v>
      </c>
      <c r="P18" s="244">
        <f>pvar!S20</f>
        <v>173970.63293380602</v>
      </c>
      <c r="Q18" s="244">
        <f>pvar!T20</f>
        <v>351311.95080539765</v>
      </c>
      <c r="R18" s="244">
        <f>pvar!U20</f>
        <v>0</v>
      </c>
      <c r="S18" s="244">
        <f>pvar!V20</f>
        <v>1485886.7160645798</v>
      </c>
      <c r="T18" s="244">
        <f>pvar!W20</f>
        <v>329231.82107636885</v>
      </c>
      <c r="U18" s="244">
        <f>pvar!X20</f>
        <v>225910.52098388507</v>
      </c>
      <c r="V18" s="244">
        <f>pvar!Y20</f>
        <v>181872.69628349025</v>
      </c>
      <c r="W18" s="244">
        <f>pvar!Z20</f>
        <v>259385.39612219733</v>
      </c>
      <c r="X18" s="244">
        <f>pvar!AA20</f>
        <v>263988.24980785197</v>
      </c>
      <c r="Y18" s="244">
        <f>pvar!AB20</f>
        <v>410275.80847420736</v>
      </c>
      <c r="Z18" s="244">
        <f>pvar!AC20</f>
        <v>364214.44870486372</v>
      </c>
      <c r="AA18" s="244">
        <f>pvar!AD20</f>
        <v>0</v>
      </c>
      <c r="AB18" s="244">
        <f>pvar!AE20</f>
        <v>297637.40653395595</v>
      </c>
      <c r="AC18" s="244">
        <f>pvar!AF20</f>
        <v>0</v>
      </c>
      <c r="AD18" s="244">
        <f>pvar!AG20</f>
        <v>223173.91068037419</v>
      </c>
      <c r="AE18" s="244">
        <f>pvar!AH20</f>
        <v>415583.76339707681</v>
      </c>
      <c r="AF18" s="244">
        <f>pvar!AI20</f>
        <v>0</v>
      </c>
      <c r="AG18" s="244">
        <f>pvar!AJ20</f>
        <v>0</v>
      </c>
      <c r="AH18" s="244">
        <f>pvar!AK20</f>
        <v>0</v>
      </c>
      <c r="AI18" s="244">
        <f>pvar!AL20</f>
        <v>0</v>
      </c>
      <c r="AJ18" s="236"/>
      <c r="AK18" s="245">
        <f>SUM(C18:AI18)</f>
        <v>5903167.1249135947</v>
      </c>
    </row>
    <row r="19" spans="1:37" x14ac:dyDescent="0.25">
      <c r="A19" s="236" t="s">
        <v>744</v>
      </c>
      <c r="B19" s="236" t="s">
        <v>51</v>
      </c>
      <c r="C19" s="244">
        <f>pvar!F21</f>
        <v>572057.16673172242</v>
      </c>
      <c r="D19" s="244">
        <f>pvar!G21</f>
        <v>393517.42232621496</v>
      </c>
      <c r="E19" s="244">
        <f>pvar!H21</f>
        <v>454242.47741856519</v>
      </c>
      <c r="F19" s="244">
        <f>pvar!I21</f>
        <v>1341620.5344389321</v>
      </c>
      <c r="G19" s="244">
        <f>pvar!J21</f>
        <v>652448.07489003823</v>
      </c>
      <c r="H19" s="244">
        <f>pvar!K21</f>
        <v>341353.6808276485</v>
      </c>
      <c r="I19" s="244">
        <f>pvar!L21</f>
        <v>335132.2027985407</v>
      </c>
      <c r="J19" s="244">
        <f>pvar!M21</f>
        <v>828742.1020690127</v>
      </c>
      <c r="K19" s="244">
        <f>pvar!N21</f>
        <v>1635123.3967371625</v>
      </c>
      <c r="L19" s="244">
        <f>pvar!O21</f>
        <v>761377.14602056425</v>
      </c>
      <c r="M19" s="244">
        <f>pvar!P21</f>
        <v>1019339.4132955822</v>
      </c>
      <c r="N19" s="244">
        <f>pvar!Q21</f>
        <v>316163.76026680699</v>
      </c>
      <c r="O19" s="244">
        <f>pvar!R21</f>
        <v>1517384.3025384466</v>
      </c>
      <c r="P19" s="244">
        <f>pvar!S21</f>
        <v>1026842.8192111898</v>
      </c>
      <c r="Q19" s="244">
        <f>pvar!T21</f>
        <v>1789715.827389867</v>
      </c>
      <c r="R19" s="244">
        <f>pvar!U21</f>
        <v>2395527.8616054244</v>
      </c>
      <c r="S19" s="244">
        <f>pvar!V21</f>
        <v>1451377.6831932431</v>
      </c>
      <c r="T19" s="244">
        <f>pvar!W21</f>
        <v>128819.57493199158</v>
      </c>
      <c r="U19" s="244">
        <f>pvar!X21</f>
        <v>18181.892636967503</v>
      </c>
      <c r="V19" s="244">
        <f>pvar!Y21</f>
        <v>199860.23965870638</v>
      </c>
      <c r="W19" s="244">
        <f>pvar!Z21</f>
        <v>140592.82725267322</v>
      </c>
      <c r="X19" s="244">
        <f>pvar!AA21</f>
        <v>303794.58358860633</v>
      </c>
      <c r="Y19" s="244">
        <f>pvar!AB21</f>
        <v>372647.28266864287</v>
      </c>
      <c r="Z19" s="244">
        <f>pvar!AC21</f>
        <v>1535229.5540668997</v>
      </c>
      <c r="AA19" s="244">
        <f>pvar!AD21</f>
        <v>127284.51852661397</v>
      </c>
      <c r="AB19" s="244">
        <f>pvar!AE21</f>
        <v>356207.13338917994</v>
      </c>
      <c r="AC19" s="244">
        <f>pvar!AF21</f>
        <v>205144.22930929394</v>
      </c>
      <c r="AD19" s="244">
        <f>pvar!AG21</f>
        <v>338170.68524302059</v>
      </c>
      <c r="AE19" s="244">
        <f>pvar!AH21</f>
        <v>171359.94679271389</v>
      </c>
      <c r="AF19" s="244">
        <f>pvar!AI21</f>
        <v>185030.78587776385</v>
      </c>
      <c r="AG19" s="244">
        <f>pvar!AJ21</f>
        <v>178051.72276045659</v>
      </c>
      <c r="AH19" s="244">
        <f>pvar!AK21</f>
        <v>202677.46034566578</v>
      </c>
      <c r="AI19" s="244">
        <f>pvar!AL21</f>
        <v>92462.593531393999</v>
      </c>
      <c r="AJ19" s="236"/>
      <c r="AK19" s="245">
        <f>SUM(C19:AI19)</f>
        <v>21387480.902339555</v>
      </c>
    </row>
    <row r="20" spans="1:37" x14ac:dyDescent="0.25">
      <c r="A20" s="236"/>
      <c r="B20" s="2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3"/>
    </row>
    <row r="21" spans="1:37" x14ac:dyDescent="0.25">
      <c r="A21" s="246" t="s">
        <v>745</v>
      </c>
      <c r="B21" s="247"/>
      <c r="C21" s="265"/>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54"/>
    </row>
    <row r="22" spans="1:37" x14ac:dyDescent="0.25">
      <c r="A22" s="236" t="s">
        <v>746</v>
      </c>
      <c r="B22" s="8" t="s">
        <v>747</v>
      </c>
      <c r="C22" s="248">
        <f>C27/85</f>
        <v>0</v>
      </c>
      <c r="D22" s="248">
        <f t="shared" ref="D22:AI22" si="6">D27/85</f>
        <v>0</v>
      </c>
      <c r="E22" s="248">
        <f t="shared" si="6"/>
        <v>0</v>
      </c>
      <c r="F22" s="248">
        <f t="shared" si="6"/>
        <v>0</v>
      </c>
      <c r="G22" s="248">
        <f t="shared" si="6"/>
        <v>1.7713413426609723</v>
      </c>
      <c r="H22" s="248">
        <f t="shared" si="6"/>
        <v>0.86005418195049255</v>
      </c>
      <c r="I22" s="248">
        <f t="shared" si="6"/>
        <v>0.96630997480323066</v>
      </c>
      <c r="J22" s="248">
        <f t="shared" si="6"/>
        <v>0</v>
      </c>
      <c r="K22" s="248">
        <f t="shared" si="6"/>
        <v>0</v>
      </c>
      <c r="L22" s="248">
        <f t="shared" si="6"/>
        <v>0</v>
      </c>
      <c r="M22" s="248">
        <f t="shared" si="6"/>
        <v>2.9941252146237827</v>
      </c>
      <c r="N22" s="248">
        <f t="shared" si="6"/>
        <v>0</v>
      </c>
      <c r="O22" s="248">
        <f t="shared" si="6"/>
        <v>3.5440359439618421</v>
      </c>
      <c r="P22" s="248">
        <f t="shared" si="6"/>
        <v>2.5428990751305798</v>
      </c>
      <c r="Q22" s="248">
        <f t="shared" si="6"/>
        <v>4.5339411773546781</v>
      </c>
      <c r="R22" s="248">
        <f t="shared" si="6"/>
        <v>0</v>
      </c>
      <c r="S22" s="248">
        <f t="shared" si="6"/>
        <v>6.2200893160753905</v>
      </c>
      <c r="T22" s="248">
        <f t="shared" si="6"/>
        <v>0.96999119154711633</v>
      </c>
      <c r="U22" s="248">
        <f t="shared" si="6"/>
        <v>0.51690158178533485</v>
      </c>
      <c r="V22" s="248">
        <f t="shared" si="6"/>
        <v>0.80837562905406346</v>
      </c>
      <c r="W22" s="248">
        <f t="shared" si="6"/>
        <v>0.84701270832325537</v>
      </c>
      <c r="X22" s="248">
        <f t="shared" si="6"/>
        <v>1.2023636471924999</v>
      </c>
      <c r="Y22" s="248">
        <f t="shared" si="6"/>
        <v>1.6579547812436828</v>
      </c>
      <c r="Z22" s="248">
        <f t="shared" si="6"/>
        <v>4.0223520058696165</v>
      </c>
      <c r="AA22" s="248">
        <f t="shared" si="6"/>
        <v>0</v>
      </c>
      <c r="AB22" s="248">
        <f t="shared" si="6"/>
        <v>1.3846119668960524</v>
      </c>
      <c r="AC22" s="248">
        <f t="shared" si="6"/>
        <v>0</v>
      </c>
      <c r="AD22" s="248">
        <f t="shared" si="6"/>
        <v>1.1887297325436597</v>
      </c>
      <c r="AE22" s="248">
        <f t="shared" si="6"/>
        <v>1.2429396215783803</v>
      </c>
      <c r="AF22" s="248">
        <f t="shared" si="6"/>
        <v>0</v>
      </c>
      <c r="AG22" s="248">
        <f t="shared" si="6"/>
        <v>0</v>
      </c>
      <c r="AH22" s="248">
        <f t="shared" si="6"/>
        <v>0</v>
      </c>
      <c r="AI22" s="248">
        <f t="shared" si="6"/>
        <v>0</v>
      </c>
      <c r="AJ22" s="236"/>
      <c r="AK22" s="254">
        <f>SUM(C22:AI22)</f>
        <v>37.274029092594624</v>
      </c>
    </row>
    <row r="23" spans="1:37" x14ac:dyDescent="0.25">
      <c r="A23" s="236" t="s">
        <v>748</v>
      </c>
      <c r="B23" s="22" t="s">
        <v>749</v>
      </c>
      <c r="C23" s="248">
        <f>C22*1000000/C17</f>
        <v>0</v>
      </c>
      <c r="D23" s="248">
        <f t="shared" ref="D23:AI23" si="7">D22*1000000/D17</f>
        <v>0</v>
      </c>
      <c r="E23" s="248">
        <f t="shared" si="7"/>
        <v>0</v>
      </c>
      <c r="F23" s="248">
        <f t="shared" si="7"/>
        <v>0</v>
      </c>
      <c r="G23" s="248">
        <f t="shared" si="7"/>
        <v>2.1176470588235299</v>
      </c>
      <c r="H23" s="248">
        <f t="shared" si="7"/>
        <v>2.1176470588235294</v>
      </c>
      <c r="I23" s="248">
        <f t="shared" si="7"/>
        <v>2.117647058823529</v>
      </c>
      <c r="J23" s="248">
        <f t="shared" si="7"/>
        <v>0</v>
      </c>
      <c r="K23" s="248">
        <f t="shared" si="7"/>
        <v>0</v>
      </c>
      <c r="L23" s="248">
        <f t="shared" si="7"/>
        <v>0</v>
      </c>
      <c r="M23" s="248">
        <f t="shared" si="7"/>
        <v>2.1176470588235299</v>
      </c>
      <c r="N23" s="248">
        <f t="shared" si="7"/>
        <v>0</v>
      </c>
      <c r="O23" s="248">
        <f t="shared" si="7"/>
        <v>2.1176470588235294</v>
      </c>
      <c r="P23" s="248">
        <f t="shared" si="7"/>
        <v>2.1176470588235299</v>
      </c>
      <c r="Q23" s="248">
        <f t="shared" si="7"/>
        <v>2.1176470588235294</v>
      </c>
      <c r="R23" s="248">
        <f t="shared" si="7"/>
        <v>0</v>
      </c>
      <c r="S23" s="248">
        <f t="shared" si="7"/>
        <v>2.1176470588235294</v>
      </c>
      <c r="T23" s="248">
        <f t="shared" si="7"/>
        <v>2.1176470588235299</v>
      </c>
      <c r="U23" s="248">
        <f t="shared" si="7"/>
        <v>2.1176470588235294</v>
      </c>
      <c r="V23" s="248">
        <f t="shared" si="7"/>
        <v>2.1176470588235294</v>
      </c>
      <c r="W23" s="248">
        <f t="shared" si="7"/>
        <v>2.1176470588235299</v>
      </c>
      <c r="X23" s="248">
        <f t="shared" si="7"/>
        <v>2.1176470588235294</v>
      </c>
      <c r="Y23" s="248">
        <f t="shared" si="7"/>
        <v>2.1176470588235294</v>
      </c>
      <c r="Z23" s="248">
        <f t="shared" si="7"/>
        <v>2.1176470588235294</v>
      </c>
      <c r="AA23" s="248">
        <f t="shared" si="7"/>
        <v>0</v>
      </c>
      <c r="AB23" s="248">
        <f t="shared" si="7"/>
        <v>2.1176470588235294</v>
      </c>
      <c r="AC23" s="248">
        <f t="shared" si="7"/>
        <v>0</v>
      </c>
      <c r="AD23" s="248">
        <f t="shared" si="7"/>
        <v>2.1176470588235294</v>
      </c>
      <c r="AE23" s="248">
        <f t="shared" si="7"/>
        <v>2.1176470588235294</v>
      </c>
      <c r="AF23" s="248">
        <f t="shared" si="7"/>
        <v>0</v>
      </c>
      <c r="AG23" s="248">
        <f t="shared" si="7"/>
        <v>0</v>
      </c>
      <c r="AH23" s="248">
        <f t="shared" si="7"/>
        <v>0</v>
      </c>
      <c r="AI23" s="248">
        <f t="shared" si="7"/>
        <v>0</v>
      </c>
      <c r="AJ23" s="236"/>
      <c r="AK23" s="255">
        <f>AK22*1000000/AK17</f>
        <v>1.3658169294980398</v>
      </c>
    </row>
    <row r="24" spans="1:37" x14ac:dyDescent="0.25">
      <c r="A24" s="8" t="s">
        <v>750</v>
      </c>
      <c r="B24" s="8" t="s">
        <v>77</v>
      </c>
      <c r="C24" s="248">
        <f>pvar!F1020</f>
        <v>0</v>
      </c>
      <c r="D24" s="248">
        <f>pvar!G1020</f>
        <v>0</v>
      </c>
      <c r="E24" s="248">
        <f>pvar!H1020</f>
        <v>0</v>
      </c>
      <c r="F24" s="248">
        <f>pvar!I1020</f>
        <v>0</v>
      </c>
      <c r="G24" s="248">
        <f>pvar!J1020</f>
        <v>29.60361233705504</v>
      </c>
      <c r="H24" s="248">
        <f>pvar!K1020</f>
        <v>14.714513893023977</v>
      </c>
      <c r="I24" s="248">
        <f>pvar!L1020</f>
        <v>17.550662953959552</v>
      </c>
      <c r="J24" s="248">
        <f>pvar!M1020</f>
        <v>0</v>
      </c>
      <c r="K24" s="248">
        <f>pvar!N1020</f>
        <v>0</v>
      </c>
      <c r="L24" s="248">
        <f>pvar!O1020</f>
        <v>0</v>
      </c>
      <c r="M24" s="248">
        <f>pvar!P1020</f>
        <v>46.423614237639676</v>
      </c>
      <c r="N24" s="248">
        <f>pvar!Q1020</f>
        <v>0</v>
      </c>
      <c r="O24" s="248">
        <f>pvar!R1020</f>
        <v>89.354791780447584</v>
      </c>
      <c r="P24" s="248">
        <f>pvar!S1020</f>
        <v>46.953842761343438</v>
      </c>
      <c r="Q24" s="248">
        <f>pvar!T1020</f>
        <v>89.251059873286692</v>
      </c>
      <c r="R24" s="248">
        <f>pvar!U1020</f>
        <v>0</v>
      </c>
      <c r="S24" s="248">
        <f>pvar!V1020</f>
        <v>54.26910361823905</v>
      </c>
      <c r="T24" s="248">
        <f>pvar!W1020</f>
        <v>16.459841662123168</v>
      </c>
      <c r="U24" s="248">
        <f>pvar!X1020</f>
        <v>9.5742671072386596</v>
      </c>
      <c r="V24" s="248">
        <f>pvar!Y1020</f>
        <v>13.095199468084385</v>
      </c>
      <c r="W24" s="248">
        <f>pvar!Z1020</f>
        <v>7.853044713718333</v>
      </c>
      <c r="X24" s="248">
        <f>pvar!AA1020</f>
        <v>17.402511859248005</v>
      </c>
      <c r="Y24" s="248">
        <f>pvar!AB1020</f>
        <v>14.651030351144122</v>
      </c>
      <c r="Z24" s="248">
        <f>pvar!AC1020</f>
        <v>51.356500686226582</v>
      </c>
      <c r="AA24" s="248">
        <f>pvar!AD1020</f>
        <v>0</v>
      </c>
      <c r="AB24" s="248">
        <f>pvar!AE1020</f>
        <v>13.671183190518038</v>
      </c>
      <c r="AC24" s="248">
        <f>pvar!AF1020</f>
        <v>0</v>
      </c>
      <c r="AD24" s="248">
        <f>pvar!AG1020</f>
        <v>16.998574949963139</v>
      </c>
      <c r="AE24" s="248">
        <f>pvar!AH1020</f>
        <v>8.6322290025948405</v>
      </c>
      <c r="AF24" s="248">
        <f>pvar!AI1020</f>
        <v>0</v>
      </c>
      <c r="AG24" s="248">
        <f>pvar!AJ1020</f>
        <v>0</v>
      </c>
      <c r="AH24" s="248">
        <f>pvar!AK1020</f>
        <v>0</v>
      </c>
      <c r="AI24" s="248">
        <f>pvar!AL1020</f>
        <v>0</v>
      </c>
      <c r="AJ24" s="236"/>
      <c r="AK24" s="245">
        <f>C24+D24+E24+F24+G24+H24+I24+J24+K24+L24+M24+N24+O24+P24+Q24+R24+S24+T24+U24+V24+W24+X24+Y24+Z24+AA24+AB24+AC24+AD24+AE24+AF24+AG24+AH24+AI24</f>
        <v>557.81558444585426</v>
      </c>
    </row>
    <row r="25" spans="1:37" x14ac:dyDescent="0.25">
      <c r="A25" s="8" t="s">
        <v>751</v>
      </c>
      <c r="B25" s="8" t="s">
        <v>77</v>
      </c>
      <c r="C25" s="248">
        <f>pvar!F1019</f>
        <v>0</v>
      </c>
      <c r="D25" s="248">
        <f>pvar!G1019</f>
        <v>0</v>
      </c>
      <c r="E25" s="248">
        <f>pvar!H1019</f>
        <v>0</v>
      </c>
      <c r="F25" s="248">
        <f>pvar!I1019</f>
        <v>0</v>
      </c>
      <c r="G25" s="248">
        <f>pvar!J1019</f>
        <v>21.93719246169173</v>
      </c>
      <c r="H25" s="248">
        <f>pvar!K1019</f>
        <v>10.680877443047619</v>
      </c>
      <c r="I25" s="248">
        <f>pvar!L1019</f>
        <v>13.815141830230042</v>
      </c>
      <c r="J25" s="248">
        <f>pvar!M1019</f>
        <v>0</v>
      </c>
      <c r="K25" s="248">
        <f>pvar!N1019</f>
        <v>0</v>
      </c>
      <c r="L25" s="248">
        <f>pvar!O1019</f>
        <v>0</v>
      </c>
      <c r="M25" s="248">
        <f>pvar!P1019</f>
        <v>34.919194149062854</v>
      </c>
      <c r="N25" s="248">
        <f>pvar!Q1019</f>
        <v>0</v>
      </c>
      <c r="O25" s="248">
        <f>pvar!R1019</f>
        <v>61.983541014086434</v>
      </c>
      <c r="P25" s="248">
        <f>pvar!S1019</f>
        <v>28.737851274405458</v>
      </c>
      <c r="Q25" s="248">
        <f>pvar!T1019</f>
        <v>58.843324460481568</v>
      </c>
      <c r="R25" s="248">
        <f>pvar!U1019</f>
        <v>0</v>
      </c>
      <c r="S25" s="248">
        <f>pvar!V1019</f>
        <v>34.760873772046153</v>
      </c>
      <c r="T25" s="248">
        <f>pvar!W1019</f>
        <v>14.154192994587342</v>
      </c>
      <c r="U25" s="248">
        <f>pvar!X1019</f>
        <v>7.5897998423844015</v>
      </c>
      <c r="V25" s="248">
        <f>pvar!Y1019</f>
        <v>9.8451860055195475</v>
      </c>
      <c r="W25" s="248">
        <f>pvar!Z1019</f>
        <v>4.7777774734166067</v>
      </c>
      <c r="X25" s="248">
        <f>pvar!AA1019</f>
        <v>11.713871526903603</v>
      </c>
      <c r="Y25" s="248">
        <f>pvar!AB1019</f>
        <v>9.6275168620265976</v>
      </c>
      <c r="Z25" s="248">
        <f>pvar!AC1019</f>
        <v>32.460042988297623</v>
      </c>
      <c r="AA25" s="248">
        <f>pvar!AD1019</f>
        <v>0</v>
      </c>
      <c r="AB25" s="248">
        <f>pvar!AE1019</f>
        <v>8.9550445960168901</v>
      </c>
      <c r="AC25" s="248">
        <f>pvar!AF1019</f>
        <v>0</v>
      </c>
      <c r="AD25" s="248">
        <f>pvar!AG1019</f>
        <v>10.15669896971019</v>
      </c>
      <c r="AE25" s="248">
        <f>pvar!AH1019</f>
        <v>6.3675725404047929</v>
      </c>
      <c r="AF25" s="248">
        <f>pvar!AI1019</f>
        <v>0</v>
      </c>
      <c r="AG25" s="248">
        <f>pvar!AJ1019</f>
        <v>0</v>
      </c>
      <c r="AH25" s="248">
        <f>pvar!AK1019</f>
        <v>0</v>
      </c>
      <c r="AI25" s="248">
        <f>pvar!AL1019</f>
        <v>0</v>
      </c>
      <c r="AJ25" s="236"/>
      <c r="AK25" s="245">
        <f>C25+D25+E25+F25+G25+H25+I25+J25+K25+L25+M25+N25+O25+P25+Q25+R25+S25+T25+U25+V25+W25+X25+Y25+Z25+AA25+AB25+AC25+AD25+AE25+AF25+AG25+AH25+AI25</f>
        <v>381.32570020431945</v>
      </c>
    </row>
    <row r="26" spans="1:37" x14ac:dyDescent="0.25">
      <c r="A26" s="236" t="s">
        <v>752</v>
      </c>
      <c r="B26" s="8" t="s">
        <v>77</v>
      </c>
      <c r="C26" s="248">
        <f>C27+C24</f>
        <v>0</v>
      </c>
      <c r="D26" s="248">
        <f t="shared" ref="D26:AI26" si="8">D27+D24</f>
        <v>0</v>
      </c>
      <c r="E26" s="248">
        <f t="shared" si="8"/>
        <v>0</v>
      </c>
      <c r="F26" s="248">
        <f t="shared" si="8"/>
        <v>0</v>
      </c>
      <c r="G26" s="248">
        <f t="shared" si="8"/>
        <v>180.1676264632377</v>
      </c>
      <c r="H26" s="248">
        <f t="shared" si="8"/>
        <v>87.81911935881584</v>
      </c>
      <c r="I26" s="248">
        <f t="shared" si="8"/>
        <v>99.687010812234149</v>
      </c>
      <c r="J26" s="248">
        <f t="shared" si="8"/>
        <v>0</v>
      </c>
      <c r="K26" s="248">
        <f t="shared" si="8"/>
        <v>0</v>
      </c>
      <c r="L26" s="248">
        <f t="shared" si="8"/>
        <v>0</v>
      </c>
      <c r="M26" s="248">
        <f t="shared" si="8"/>
        <v>300.9242574806612</v>
      </c>
      <c r="N26" s="248">
        <f t="shared" si="8"/>
        <v>0</v>
      </c>
      <c r="O26" s="248">
        <f t="shared" si="8"/>
        <v>390.59784701720412</v>
      </c>
      <c r="P26" s="248">
        <f t="shared" si="8"/>
        <v>263.10026414744272</v>
      </c>
      <c r="Q26" s="248">
        <f t="shared" si="8"/>
        <v>474.63605994843431</v>
      </c>
      <c r="R26" s="248">
        <f t="shared" si="8"/>
        <v>0</v>
      </c>
      <c r="S26" s="248">
        <f t="shared" si="8"/>
        <v>582.97669548464717</v>
      </c>
      <c r="T26" s="248">
        <f t="shared" si="8"/>
        <v>98.909092943628053</v>
      </c>
      <c r="U26" s="248">
        <f t="shared" si="8"/>
        <v>53.510901558992124</v>
      </c>
      <c r="V26" s="248">
        <f t="shared" si="8"/>
        <v>81.80712793767978</v>
      </c>
      <c r="W26" s="248">
        <f t="shared" si="8"/>
        <v>79.849124921195042</v>
      </c>
      <c r="X26" s="248">
        <f t="shared" si="8"/>
        <v>119.6034218706105</v>
      </c>
      <c r="Y26" s="248">
        <f t="shared" si="8"/>
        <v>155.57718675685717</v>
      </c>
      <c r="Z26" s="248">
        <f t="shared" si="8"/>
        <v>393.25642118514401</v>
      </c>
      <c r="AA26" s="248">
        <f t="shared" si="8"/>
        <v>0</v>
      </c>
      <c r="AB26" s="248">
        <f t="shared" si="8"/>
        <v>131.3632003766825</v>
      </c>
      <c r="AC26" s="248">
        <f t="shared" si="8"/>
        <v>0</v>
      </c>
      <c r="AD26" s="248">
        <f t="shared" si="8"/>
        <v>118.04060221617421</v>
      </c>
      <c r="AE26" s="248">
        <f t="shared" si="8"/>
        <v>114.28209683675716</v>
      </c>
      <c r="AF26" s="248">
        <f t="shared" si="8"/>
        <v>0</v>
      </c>
      <c r="AG26" s="248">
        <f t="shared" si="8"/>
        <v>0</v>
      </c>
      <c r="AH26" s="248">
        <f t="shared" si="8"/>
        <v>0</v>
      </c>
      <c r="AI26" s="248">
        <f t="shared" si="8"/>
        <v>0</v>
      </c>
      <c r="AJ26" s="236"/>
      <c r="AK26" s="245">
        <f>SUM(C26:AI26)</f>
        <v>3726.1080573163981</v>
      </c>
    </row>
    <row r="27" spans="1:37" x14ac:dyDescent="0.25">
      <c r="A27" s="236" t="s">
        <v>753</v>
      </c>
      <c r="B27" s="8" t="s">
        <v>77</v>
      </c>
      <c r="C27" s="150">
        <f>pvar!F1120</f>
        <v>0</v>
      </c>
      <c r="D27" s="150">
        <f>pvar!G1120</f>
        <v>0</v>
      </c>
      <c r="E27" s="150">
        <f>pvar!H1120</f>
        <v>0</v>
      </c>
      <c r="F27" s="150">
        <f>pvar!I1120</f>
        <v>0</v>
      </c>
      <c r="G27" s="150">
        <f>pvar!J1120</f>
        <v>150.56401412618266</v>
      </c>
      <c r="H27" s="150">
        <f>pvar!K1120</f>
        <v>73.104605465791863</v>
      </c>
      <c r="I27" s="150">
        <f>pvar!L1120</f>
        <v>82.136347858274604</v>
      </c>
      <c r="J27" s="150">
        <f>pvar!M1120</f>
        <v>0</v>
      </c>
      <c r="K27" s="150">
        <f>pvar!N1120</f>
        <v>0</v>
      </c>
      <c r="L27" s="150">
        <f>pvar!O1120</f>
        <v>0</v>
      </c>
      <c r="M27" s="150">
        <f>pvar!P1120</f>
        <v>254.50064324302153</v>
      </c>
      <c r="N27" s="150">
        <f>pvar!Q1120</f>
        <v>0</v>
      </c>
      <c r="O27" s="150">
        <f>pvar!R1120</f>
        <v>301.24305523675656</v>
      </c>
      <c r="P27" s="150">
        <f>pvar!S1120</f>
        <v>216.14642138609926</v>
      </c>
      <c r="Q27" s="150">
        <f>pvar!T1120</f>
        <v>385.38500007514762</v>
      </c>
      <c r="R27" s="150">
        <f>pvar!U1120</f>
        <v>0</v>
      </c>
      <c r="S27" s="150">
        <f>pvar!V1120</f>
        <v>528.70759186640817</v>
      </c>
      <c r="T27" s="150">
        <f>pvar!W1120</f>
        <v>82.449251281504885</v>
      </c>
      <c r="U27" s="150">
        <f>pvar!X1120</f>
        <v>43.936634451753463</v>
      </c>
      <c r="V27" s="150">
        <f>pvar!Y1120</f>
        <v>68.711928469595392</v>
      </c>
      <c r="W27" s="150">
        <f>pvar!Z1120</f>
        <v>71.996080207476709</v>
      </c>
      <c r="X27" s="150">
        <f>pvar!AA1120</f>
        <v>102.2009100113625</v>
      </c>
      <c r="Y27" s="150">
        <f>pvar!AB1120</f>
        <v>140.92615640571304</v>
      </c>
      <c r="Z27" s="150">
        <f>pvar!AC1120</f>
        <v>341.89992049891742</v>
      </c>
      <c r="AA27" s="150">
        <f>pvar!AD1120</f>
        <v>0</v>
      </c>
      <c r="AB27" s="150">
        <f>pvar!AE1120</f>
        <v>117.69201718616445</v>
      </c>
      <c r="AC27" s="150">
        <f>pvar!AF1120</f>
        <v>0</v>
      </c>
      <c r="AD27" s="150">
        <f>pvar!AG1120</f>
        <v>101.04202726621106</v>
      </c>
      <c r="AE27" s="150">
        <f>pvar!AH1120</f>
        <v>105.64986783416232</v>
      </c>
      <c r="AF27" s="150">
        <f>pvar!AI1120</f>
        <v>0</v>
      </c>
      <c r="AG27" s="150">
        <f>pvar!AJ1120</f>
        <v>0</v>
      </c>
      <c r="AH27" s="150">
        <f>pvar!AK1120</f>
        <v>0</v>
      </c>
      <c r="AI27" s="150">
        <f>pvar!AL1120</f>
        <v>0</v>
      </c>
      <c r="AJ27" s="236"/>
      <c r="AK27" s="245">
        <f>SUM(C27:AI27)</f>
        <v>3168.2924728705425</v>
      </c>
    </row>
    <row r="28" spans="1:37" x14ac:dyDescent="0.25">
      <c r="A28" s="236"/>
      <c r="B28" s="8"/>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236"/>
      <c r="AK28" s="245"/>
    </row>
    <row r="29" spans="1:37" x14ac:dyDescent="0.25">
      <c r="A29" s="8" t="s">
        <v>754</v>
      </c>
      <c r="B29" s="8" t="s">
        <v>77</v>
      </c>
      <c r="C29" s="150">
        <f>SUM(pvar!F1114:F1116,pvar!F1119)+(pvar!F981/100*(pvar!F891+pvar!F892))+(pvar!F965/100*pvar!F890)+(pvar!F978/100*(pvar!F891+pvar!F892))+(pvar!F966/100*pvar!F890)+(pvar!F1013/100*pvar!F895)+(pvar!F1014/100*pvar!F895)</f>
        <v>0</v>
      </c>
      <c r="D29" s="150">
        <f>SUM(pvar!G1114:G1116,pvar!G1119)+(pvar!G981/100*(pvar!G891+pvar!G892))+(pvar!G965/100*pvar!G890)+(pvar!G978/100*(pvar!G891+pvar!G892))+(pvar!G966/100*pvar!G890)+(pvar!G1013/100*pvar!G895)+(pvar!G1014/100*pvar!G895)</f>
        <v>0</v>
      </c>
      <c r="E29" s="150">
        <f>SUM(pvar!H1114:H1116,pvar!H1119)+(pvar!H981/100*(pvar!H891+pvar!H892))+(pvar!H965/100*pvar!H890)+(pvar!H978/100*(pvar!H891+pvar!H892))+(pvar!H966/100*pvar!H890)+(pvar!H1013/100*pvar!H895)+(pvar!H1014/100*pvar!H895)</f>
        <v>0</v>
      </c>
      <c r="F29" s="150">
        <f>SUM(pvar!I1114:I1116,pvar!I1119)+(pvar!I981/100*(pvar!I891+pvar!I892))+(pvar!I965/100*pvar!I890)+(pvar!I978/100*(pvar!I891+pvar!I892))+(pvar!I966/100*pvar!I890)+(pvar!I1013/100*pvar!I895)+(pvar!I1014/100*pvar!I895)</f>
        <v>0</v>
      </c>
      <c r="G29" s="150">
        <f>SUM(pvar!J1114:J1116,pvar!J1119)+(pvar!J981/100*(pvar!J891+pvar!J892))+(pvar!J965/100*pvar!J890)+(pvar!J978/100*(pvar!J891+pvar!J892))+(pvar!J966/100*pvar!J890)+(pvar!J1013/100*pvar!J895)+(pvar!J1014/100*pvar!J895)</f>
        <v>152.35927635850587</v>
      </c>
      <c r="H29" s="150">
        <f>SUM(pvar!K1114:K1116,pvar!K1119)+(pvar!K981/100*(pvar!K891+pvar!K892))+(pvar!K965/100*pvar!K890)+(pvar!K978/100*(pvar!K891+pvar!K892))+(pvar!K966/100*pvar!K890)+(pvar!K1013/100*pvar!K895)+(pvar!K1014/100*pvar!K895)</f>
        <v>74.368025033240002</v>
      </c>
      <c r="I29" s="150">
        <f>SUM(pvar!L1114:L1116,pvar!L1119)+(pvar!L981/100*(pvar!L891+pvar!L892))+(pvar!L965/100*pvar!L890)+(pvar!L978/100*(pvar!L891+pvar!L892))+(pvar!L966/100*pvar!L890)+(pvar!L1013/100*pvar!L895)+(pvar!L1014/100*pvar!L895)</f>
        <v>80.595471209687304</v>
      </c>
      <c r="J29" s="150">
        <f>SUM(pvar!M1114:M1116,pvar!M1119)+(pvar!M981/100*(pvar!M891+pvar!M892))+(pvar!M965/100*pvar!M890)+(pvar!M978/100*(pvar!M891+pvar!M892))+(pvar!M966/100*pvar!M890)+(pvar!M1013/100*pvar!M895)+(pvar!M1014/100*pvar!M895)</f>
        <v>0</v>
      </c>
      <c r="K29" s="150">
        <f>SUM(pvar!N1114:N1116,pvar!N1119)+(pvar!N981/100*(pvar!N891+pvar!N892))+(pvar!N965/100*pvar!N890)+(pvar!N978/100*(pvar!N891+pvar!N892))+(pvar!N966/100*pvar!N890)+(pvar!N1013/100*pvar!N895)+(pvar!N1014/100*pvar!N895)</f>
        <v>0</v>
      </c>
      <c r="L29" s="150">
        <f>SUM(pvar!O1114:O1116,pvar!O1119)+(pvar!O981/100*(pvar!O891+pvar!O892))+(pvar!O965/100*pvar!O890)+(pvar!O978/100*(pvar!O891+pvar!O892))+(pvar!O966/100*pvar!O890)+(pvar!O1013/100*pvar!O895)+(pvar!O1014/100*pvar!O895)</f>
        <v>0</v>
      </c>
      <c r="M29" s="150">
        <f>SUM(pvar!P1114:P1116,pvar!P1119)+(pvar!P981/100*(pvar!P891+pvar!P892))+(pvar!P965/100*pvar!P890)+(pvar!P978/100*(pvar!P891+pvar!P892))+(pvar!P966/100*pvar!P890)+(pvar!P1013/100*pvar!P895)+(pvar!P1014/100*pvar!P895)</f>
        <v>265.43252293053212</v>
      </c>
      <c r="N29" s="150">
        <f>SUM(pvar!Q1114:Q1116,pvar!Q1119)+(pvar!Q981/100*(pvar!Q891+pvar!Q892))+(pvar!Q965/100*pvar!Q890)+(pvar!Q978/100*(pvar!Q891+pvar!Q892))+(pvar!Q966/100*pvar!Q890)+(pvar!Q1013/100*pvar!Q895)+(pvar!Q1014/100*pvar!Q895)</f>
        <v>0</v>
      </c>
      <c r="O29" s="150">
        <f>SUM(pvar!R1114:R1116,pvar!R1119)+(pvar!R981/100*(pvar!R891+pvar!R892))+(pvar!R965/100*pvar!R890)+(pvar!R978/100*(pvar!R891+pvar!R892))+(pvar!R966/100*pvar!R890)+(pvar!R1013/100*pvar!R895)+(pvar!R1014/100*pvar!R895)</f>
        <v>158.17122399074927</v>
      </c>
      <c r="P29" s="150">
        <f>SUM(pvar!S1114:S1116,pvar!S1119)+(pvar!S981/100*(pvar!S891+pvar!S892))+(pvar!S965/100*pvar!S890)+(pvar!S978/100*(pvar!S891+pvar!S892))+(pvar!S966/100*pvar!S890)+(pvar!S1013/100*pvar!S895)+(pvar!S1014/100*pvar!S895)</f>
        <v>193.75169850642953</v>
      </c>
      <c r="Q29" s="150">
        <f>SUM(pvar!T1114:T1116,pvar!T1119)+(pvar!T981/100*(pvar!T891+pvar!T892))+(pvar!T965/100*pvar!T890)+(pvar!T978/100*(pvar!T891+pvar!T892))+(pvar!T966/100*pvar!T890)+(pvar!T1013/100*pvar!T895)+(pvar!T1014/100*pvar!T895)</f>
        <v>335.34599208015976</v>
      </c>
      <c r="R29" s="150">
        <f>SUM(pvar!U1114:U1116,pvar!U1119)+(pvar!U981/100*(pvar!U891+pvar!U892))+(pvar!U965/100*pvar!U890)+(pvar!U978/100*(pvar!U891+pvar!U892))+(pvar!U966/100*pvar!U890)+(pvar!U1013/100*pvar!U895)+(pvar!U1014/100*pvar!U895)</f>
        <v>0</v>
      </c>
      <c r="S29" s="150">
        <f>SUM(pvar!V1114:V1116,pvar!V1119)+(pvar!V981/100*(pvar!V891+pvar!V892))+(pvar!V965/100*pvar!V890)+(pvar!V978/100*(pvar!V891+pvar!V892))+(pvar!V966/100*pvar!V890)+(pvar!V1013/100*pvar!V895)+(pvar!V1014/100*pvar!V895)</f>
        <v>532.60184189306744</v>
      </c>
      <c r="T29" s="150">
        <f>SUM(pvar!W1114:W1116,pvar!W1119)+(pvar!W981/100*(pvar!W891+pvar!W892))+(pvar!W965/100*pvar!W890)+(pvar!W978/100*(pvar!W891+pvar!W892))+(pvar!W966/100*pvar!W890)+(pvar!W1013/100*pvar!W895)+(pvar!W1014/100*pvar!W895)</f>
        <v>82.814835487425427</v>
      </c>
      <c r="U29" s="150">
        <f>SUM(pvar!X1114:X1116,pvar!X1119)+(pvar!X981/100*(pvar!X891+pvar!X892))+(pvar!X965/100*pvar!X890)+(pvar!X978/100*(pvar!X891+pvar!X892))+(pvar!X966/100*pvar!X890)+(pvar!X1013/100*pvar!X895)+(pvar!X1014/100*pvar!X895)</f>
        <v>40.804615989547301</v>
      </c>
      <c r="V29" s="150">
        <f>SUM(pvar!Y1114:Y1116,pvar!Y1119)+(pvar!Y981/100*(pvar!Y891+pvar!Y892))+(pvar!Y965/100*pvar!Y890)+(pvar!Y978/100*(pvar!Y891+pvar!Y892))+(pvar!Y966/100*pvar!Y890)+(pvar!Y1013/100*pvar!Y895)+(pvar!Y1014/100*pvar!Y895)</f>
        <v>62.899670664756677</v>
      </c>
      <c r="W29" s="150">
        <f>SUM(pvar!Z1114:Z1116,pvar!Z1119)+(pvar!Z981/100*(pvar!Z891+pvar!Z892))+(pvar!Z965/100*pvar!Z890)+(pvar!Z978/100*(pvar!Z891+pvar!Z892))+(pvar!Z966/100*pvar!Z890)+(pvar!Z1013/100*pvar!Z895)+(pvar!Z1014/100*pvar!Z895)</f>
        <v>74.405252043486271</v>
      </c>
      <c r="X29" s="150">
        <f>SUM(pvar!AA1114:AA1116,pvar!AA1119)+(pvar!AA981/100*(pvar!AA891+pvar!AA892))+(pvar!AA965/100*pvar!AA890)+(pvar!AA978/100*(pvar!AA891+pvar!AA892))+(pvar!AA966/100*pvar!AA890)+(pvar!AA1013/100*pvar!AA895)+(pvar!AA1014/100*pvar!AA895)</f>
        <v>93.117904705416919</v>
      </c>
      <c r="Y29" s="150">
        <f>SUM(pvar!AB1114:AB1116,pvar!AB1119)+(pvar!AB981/100*(pvar!AB891+pvar!AB892))+(pvar!AB965/100*pvar!AB890)+(pvar!AB978/100*(pvar!AB891+pvar!AB892))+(pvar!AB966/100*pvar!AB890)+(pvar!AB1013/100*pvar!AB895)+(pvar!AB1014/100*pvar!AB895)</f>
        <v>140.45426275506586</v>
      </c>
      <c r="Z29" s="150">
        <f>SUM(pvar!AC1114:AC1116,pvar!AC1119)+(pvar!AC981/100*(pvar!AC891+pvar!AC892))+(pvar!AC965/100*pvar!AC890)+(pvar!AC978/100*(pvar!AC891+pvar!AC892))+(pvar!AC966/100*pvar!AC890)+(pvar!AC1013/100*pvar!AC895)+(pvar!AC1014/100*pvar!AC895)</f>
        <v>332.33262178196298</v>
      </c>
      <c r="AA29" s="150">
        <f>SUM(pvar!AD1114:AD1116,pvar!AD1119)+(pvar!AD981/100*(pvar!AD891+pvar!AD892))+(pvar!AD965/100*pvar!AD890)+(pvar!AD978/100*(pvar!AD891+pvar!AD892))+(pvar!AD966/100*pvar!AD890)+(pvar!AD1013/100*pvar!AD895)+(pvar!AD1014/100*pvar!AD895)</f>
        <v>0</v>
      </c>
      <c r="AB29" s="150">
        <f>SUM(pvar!AE1114:AE1116,pvar!AE1119)+(pvar!AE981/100*(pvar!AE891+pvar!AE892))+(pvar!AE965/100*pvar!AE890)+(pvar!AE978/100*(pvar!AE891+pvar!AE892))+(pvar!AE966/100*pvar!AE890)+(pvar!AE1013/100*pvar!AE895)+(pvar!AE1014/100*pvar!AE895)</f>
        <v>114.32502186464026</v>
      </c>
      <c r="AC29" s="150">
        <f>SUM(pvar!AF1114:AF1116,pvar!AF1119)+(pvar!AF981/100*(pvar!AF891+pvar!AF892))+(pvar!AF965/100*pvar!AF890)+(pvar!AF978/100*(pvar!AF891+pvar!AF892))+(pvar!AF966/100*pvar!AF890)+(pvar!AF1013/100*pvar!AF895)+(pvar!AF1014/100*pvar!AF895)</f>
        <v>0</v>
      </c>
      <c r="AD29" s="150">
        <f>SUM(pvar!AG1114:AG1116,pvar!AG1119)+(pvar!AG981/100*(pvar!AG891+pvar!AG892))+(pvar!AG965/100*pvar!AG890)+(pvar!AG978/100*(pvar!AG891+pvar!AG892))+(pvar!AG966/100*pvar!AG890)+(pvar!AG1013/100*pvar!AG895)+(pvar!AG1014/100*pvar!AG895)</f>
        <v>96.295307093977669</v>
      </c>
      <c r="AE29" s="150">
        <f>SUM(pvar!AH1114:AH1116,pvar!AH1119)+(pvar!AH981/100*(pvar!AH891+pvar!AH892))+(pvar!AH965/100*pvar!AH890)+(pvar!AH978/100*(pvar!AH891+pvar!AH892))+(pvar!AH966/100*pvar!AH890)+(pvar!AH1013/100*pvar!AH895)+(pvar!AH1014/100*pvar!AH895)</f>
        <v>99.36663851635474</v>
      </c>
      <c r="AF29" s="150">
        <f>SUM(pvar!AI1114:AI1116,pvar!AI1119)+(pvar!AI981/100*(pvar!AI891+pvar!AI892))+(pvar!AI965/100*pvar!AI890)+(pvar!AI978/100*(pvar!AI891+pvar!AI892))+(pvar!AI966/100*pvar!AI890)+(pvar!AI1013/100*pvar!AI895)+(pvar!AI1014/100*pvar!AI895)</f>
        <v>0</v>
      </c>
      <c r="AG29" s="150">
        <f>SUM(pvar!AJ1114:AJ1116,pvar!AJ1119)+(pvar!AJ981/100*(pvar!AJ891+pvar!AJ892))+(pvar!AJ965/100*pvar!AJ890)+(pvar!AJ978/100*(pvar!AJ891+pvar!AJ892))+(pvar!AJ966/100*pvar!AJ890)+(pvar!AJ1013/100*pvar!AJ895)+(pvar!AJ1014/100*pvar!AJ895)</f>
        <v>0</v>
      </c>
      <c r="AH29" s="150">
        <f>SUM(pvar!AK1114:AK1116,pvar!AK1119)+(pvar!AK981/100*(pvar!AK891+pvar!AK892))+(pvar!AK965/100*pvar!AK890)+(pvar!AK978/100*(pvar!AK891+pvar!AK892))+(pvar!AK966/100*pvar!AK890)+(pvar!AK1013/100*pvar!AK895)+(pvar!AK1014/100*pvar!AK895)</f>
        <v>0</v>
      </c>
      <c r="AI29" s="150">
        <f>SUM(pvar!AL1114:AL1116,pvar!AL1119)+(pvar!AL981/100*(pvar!AL891+pvar!AL892))+(pvar!AL965/100*pvar!AL890)+(pvar!AL978/100*(pvar!AL891+pvar!AL892))+(pvar!AL966/100*pvar!AL890)+(pvar!AL1013/100*pvar!AL895)+(pvar!AL1014/100*pvar!AL895)</f>
        <v>0</v>
      </c>
      <c r="AJ29" s="236"/>
      <c r="AK29" s="245">
        <f>SUM(C29:AI29)</f>
        <v>2929.4421829050052</v>
      </c>
    </row>
    <row r="30" spans="1:37" x14ac:dyDescent="0.25">
      <c r="A30" s="265" t="s">
        <v>755</v>
      </c>
      <c r="B30" s="8" t="s">
        <v>77</v>
      </c>
      <c r="C30" s="248"/>
      <c r="D30" s="248">
        <f>MIN(D60,D29)</f>
        <v>0</v>
      </c>
      <c r="E30" s="248"/>
      <c r="F30" s="248"/>
      <c r="G30" s="248">
        <f>MIN(G60,G29)</f>
        <v>38.884184678604967</v>
      </c>
      <c r="H30" s="248">
        <f>MIN(H60,H29)</f>
        <v>19.301573652818742</v>
      </c>
      <c r="I30" s="248">
        <f>MIN(I60,I29)</f>
        <v>26.449853514067403</v>
      </c>
      <c r="J30" s="248"/>
      <c r="K30" s="248"/>
      <c r="L30" s="248"/>
      <c r="M30" s="248">
        <f>MIN(M60,M29)</f>
        <v>82.912796997738099</v>
      </c>
      <c r="N30" s="248"/>
      <c r="O30" s="248">
        <f>MIN(O60,O29)</f>
        <v>18.626453963117243</v>
      </c>
      <c r="P30" s="248">
        <f>MIN(P60,P29)</f>
        <v>31.9869792115094</v>
      </c>
      <c r="Q30" s="248">
        <f>MIN(Q60,Q29)</f>
        <v>50.869733267391481</v>
      </c>
      <c r="R30" s="248"/>
      <c r="S30" s="248">
        <f t="shared" ref="S30:Z30" si="9">MIN(S60,S29)</f>
        <v>222.74660815185217</v>
      </c>
      <c r="T30" s="248">
        <f t="shared" si="9"/>
        <v>39.587517470531139</v>
      </c>
      <c r="U30" s="248">
        <f t="shared" si="9"/>
        <v>20.364117371247431</v>
      </c>
      <c r="V30" s="248">
        <f t="shared" si="9"/>
        <v>26.405324357872949</v>
      </c>
      <c r="W30" s="248">
        <f t="shared" si="9"/>
        <v>20.31379802864582</v>
      </c>
      <c r="X30" s="248">
        <f t="shared" si="9"/>
        <v>25.143429303411143</v>
      </c>
      <c r="Y30" s="248">
        <f t="shared" si="9"/>
        <v>35.805931425163095</v>
      </c>
      <c r="Z30" s="248">
        <f t="shared" si="9"/>
        <v>48.691157390726929</v>
      </c>
      <c r="AA30" s="248">
        <v>0</v>
      </c>
      <c r="AB30" s="248">
        <f>MIN(AB60,AB29)</f>
        <v>28.016687212317759</v>
      </c>
      <c r="AC30" s="248"/>
      <c r="AD30" s="248">
        <f>MIN(AD60,AD29)</f>
        <v>26.838748836470003</v>
      </c>
      <c r="AE30" s="248">
        <f>MIN(AE60,AE29)</f>
        <v>51.559978887073513</v>
      </c>
      <c r="AF30" s="248">
        <v>0</v>
      </c>
      <c r="AG30" s="248">
        <v>0</v>
      </c>
      <c r="AH30" s="248">
        <v>0</v>
      </c>
      <c r="AI30" s="248">
        <v>0</v>
      </c>
      <c r="AJ30" s="249"/>
      <c r="AK30" s="245">
        <f>SUM(C30:AI30)</f>
        <v>814.5048737205592</v>
      </c>
    </row>
    <row r="31" spans="1:37" x14ac:dyDescent="0.25">
      <c r="A31" s="8" t="s">
        <v>756</v>
      </c>
      <c r="B31" s="8" t="s">
        <v>77</v>
      </c>
      <c r="C31" s="249"/>
      <c r="D31" s="249">
        <f>MIN(D32,IF(D26-D30&gt;0, D26-D30,0))</f>
        <v>0</v>
      </c>
      <c r="E31" s="249"/>
      <c r="F31" s="249"/>
      <c r="G31" s="249">
        <f>MIN(G32,IF(G26-G30&gt;0, G26-G30,0))</f>
        <v>60.683838938621456</v>
      </c>
      <c r="H31" s="249">
        <f>MIN(H32,IF(H26-H30&gt;0, H26-H30,0))</f>
        <v>18.647517523120875</v>
      </c>
      <c r="I31" s="249">
        <f>MIN(I32,IF(I26-I30&gt;0, I26-I30,0))</f>
        <v>40.999272284869747</v>
      </c>
      <c r="J31" s="249">
        <f>MIN(J32,IF(J26-J30&gt;0, J26-J30,0))</f>
        <v>0</v>
      </c>
      <c r="K31" s="249"/>
      <c r="L31" s="249"/>
      <c r="M31" s="249">
        <f>MIN(M32,IF(M26-M30&gt;0, M26-M30,0))</f>
        <v>66.832657518618532</v>
      </c>
      <c r="N31" s="249"/>
      <c r="O31" s="249">
        <f>MIN(O32,IF(O26-O30&gt;0, O26-O30,0))</f>
        <v>128.16144941958129</v>
      </c>
      <c r="P31" s="249">
        <f>MIN(P32,IF(P26-P30&gt;0, P26-P30,0))</f>
        <v>82.045714509161996</v>
      </c>
      <c r="Q31" s="249">
        <f>MIN(Q32,IF(Q26-Q30&gt;0, Q26-Q30,0))</f>
        <v>165.34562140823979</v>
      </c>
      <c r="R31" s="249"/>
      <c r="S31" s="249">
        <f t="shared" ref="S31:AB31" si="10">MIN(S32,IF(S26-S30&gt;0, S26-S30,0))</f>
        <v>142.38136664606026</v>
      </c>
      <c r="T31" s="249">
        <f t="shared" si="10"/>
        <v>13.70513929009644</v>
      </c>
      <c r="U31" s="249">
        <f t="shared" si="10"/>
        <v>3.8017012383258244</v>
      </c>
      <c r="V31" s="249">
        <f t="shared" si="10"/>
        <v>19.537781618353037</v>
      </c>
      <c r="W31" s="249">
        <f t="shared" si="10"/>
        <v>17.617633186197747</v>
      </c>
      <c r="X31" s="249">
        <f t="shared" si="10"/>
        <v>25.404259471239957</v>
      </c>
      <c r="Y31" s="249">
        <f t="shared" si="10"/>
        <v>32.281903247721097</v>
      </c>
      <c r="Z31" s="249">
        <f t="shared" si="10"/>
        <v>164.00278008535912</v>
      </c>
      <c r="AA31" s="249">
        <f t="shared" si="10"/>
        <v>0</v>
      </c>
      <c r="AB31" s="249">
        <f t="shared" si="10"/>
        <v>62.657097773883329</v>
      </c>
      <c r="AC31" s="249"/>
      <c r="AD31" s="249">
        <f t="shared" ref="AD31:AI31" si="11">MIN(AD32,IF(AD26-AD30&gt;0, AD26-AD30,0))</f>
        <v>33.465071519450788</v>
      </c>
      <c r="AE31" s="249">
        <f t="shared" si="11"/>
        <v>16.760663711121627</v>
      </c>
      <c r="AF31" s="249">
        <f t="shared" si="11"/>
        <v>0</v>
      </c>
      <c r="AG31" s="249">
        <f t="shared" si="11"/>
        <v>0</v>
      </c>
      <c r="AH31" s="249">
        <f t="shared" si="11"/>
        <v>0</v>
      </c>
      <c r="AI31" s="249">
        <f t="shared" si="11"/>
        <v>0</v>
      </c>
      <c r="AJ31" s="249"/>
      <c r="AK31" s="245">
        <f>SUM(C31:AI31)</f>
        <v>1094.3314693900227</v>
      </c>
    </row>
    <row r="32" spans="1:37" x14ac:dyDescent="0.25">
      <c r="A32" s="8" t="s">
        <v>757</v>
      </c>
      <c r="B32" s="8" t="s">
        <v>77</v>
      </c>
      <c r="C32" s="249">
        <f>C46-(pvar!F128*pvar!F251/100)</f>
        <v>54.034555600513244</v>
      </c>
      <c r="D32" s="249">
        <f>D46-(pvar!G128*pvar!G251/100)</f>
        <v>35.023230739019297</v>
      </c>
      <c r="E32" s="249">
        <f>E46-(pvar!H128*pvar!H251/100)</f>
        <v>25.535200619940014</v>
      </c>
      <c r="F32" s="249">
        <f>F46-(pvar!I128*pvar!I251/100)</f>
        <v>118.89424563438054</v>
      </c>
      <c r="G32" s="249">
        <f>G46-(pvar!J128*pvar!J251/100)</f>
        <v>60.683838938621456</v>
      </c>
      <c r="H32" s="249">
        <f>H46-(pvar!K128*pvar!K251/100)</f>
        <v>18.647517523120875</v>
      </c>
      <c r="I32" s="249">
        <f>I46-(pvar!L128*pvar!L251/100)</f>
        <v>40.999272284869747</v>
      </c>
      <c r="J32" s="249">
        <f>J46-(pvar!M128*pvar!M251/100)</f>
        <v>79.957917450582869</v>
      </c>
      <c r="K32" s="249">
        <f>K46-(pvar!N128*pvar!N251/100)</f>
        <v>121.54643452371427</v>
      </c>
      <c r="L32" s="249">
        <f>L46-(pvar!O128*pvar!O251/100)</f>
        <v>58.642045812785653</v>
      </c>
      <c r="M32" s="249">
        <f>M46-(pvar!P128*pvar!P251/100)</f>
        <v>66.832657518618532</v>
      </c>
      <c r="N32" s="249">
        <f>N46-(pvar!Q128*pvar!Q251/100)</f>
        <v>41.973664610533319</v>
      </c>
      <c r="O32" s="249">
        <f>O46-(pvar!R128*pvar!R251/100)</f>
        <v>128.16144941958129</v>
      </c>
      <c r="P32" s="249">
        <f>P46-(pvar!S128*pvar!S251/100)</f>
        <v>82.045714509161996</v>
      </c>
      <c r="Q32" s="249">
        <f>Q46-(pvar!T128*pvar!T251/100)</f>
        <v>165.34562140823979</v>
      </c>
      <c r="R32" s="249">
        <f>R46-(pvar!U128*pvar!U251/100)</f>
        <v>167.16550881245792</v>
      </c>
      <c r="S32" s="249">
        <f>S46-(pvar!V128*pvar!V251/100)</f>
        <v>142.38136664606026</v>
      </c>
      <c r="T32" s="249">
        <f>T46-(pvar!W128*pvar!W251/100)</f>
        <v>13.70513929009644</v>
      </c>
      <c r="U32" s="249">
        <f>U46-(pvar!X128*pvar!X251/100)</f>
        <v>3.8017012383258244</v>
      </c>
      <c r="V32" s="249">
        <f>V46-(pvar!Y128*pvar!Y251/100)</f>
        <v>19.537781618353037</v>
      </c>
      <c r="W32" s="249">
        <f>W46-(pvar!Z128*pvar!Z251/100)</f>
        <v>17.617633186197747</v>
      </c>
      <c r="X32" s="249">
        <f>X46-(pvar!AA128*pvar!AA251/100)</f>
        <v>25.404259471239957</v>
      </c>
      <c r="Y32" s="249">
        <f>Y46-(pvar!AB128*pvar!AB251/100)</f>
        <v>32.281903247721097</v>
      </c>
      <c r="Z32" s="249">
        <f>Z46-(pvar!AC128*pvar!AC251/100)</f>
        <v>164.00278008535912</v>
      </c>
      <c r="AA32" s="249">
        <f>AA46-(pvar!AD128*pvar!AD251/100)</f>
        <v>9.7201667296916394</v>
      </c>
      <c r="AB32" s="249">
        <f>AB46-(pvar!AE128*pvar!AE251/100)</f>
        <v>62.657097773883329</v>
      </c>
      <c r="AC32" s="249">
        <f>AC46-(pvar!AF128*pvar!AF251/100)</f>
        <v>17.518260739384274</v>
      </c>
      <c r="AD32" s="249">
        <f>AD46-(pvar!AG128*pvar!AG251/100)</f>
        <v>33.465071519450788</v>
      </c>
      <c r="AE32" s="249">
        <f>AE46-(pvar!AH128*pvar!AH251/100)</f>
        <v>16.760663711121627</v>
      </c>
      <c r="AF32" s="249">
        <f>AF46-(pvar!AI128*pvar!AI251/100)</f>
        <v>5.9936141934225038</v>
      </c>
      <c r="AG32" s="249">
        <f>AG46-(pvar!AJ128*pvar!AJ251/100)</f>
        <v>22.745455967426356</v>
      </c>
      <c r="AH32" s="249">
        <f>AH46-(pvar!AK128*pvar!AK251/100)</f>
        <v>4.7683193206927124</v>
      </c>
      <c r="AI32" s="249">
        <f>AI46-(pvar!AL128*pvar!AL251/100)</f>
        <v>4.3558857832949629</v>
      </c>
      <c r="AJ32" s="249"/>
      <c r="AK32" s="245"/>
    </row>
    <row r="33" spans="1:37" x14ac:dyDescent="0.25">
      <c r="A33" s="8" t="s">
        <v>758</v>
      </c>
      <c r="B33" s="8" t="s">
        <v>77</v>
      </c>
      <c r="C33" s="17"/>
      <c r="D33" s="17">
        <f>IF(D26-D30-D31&gt;0, D26-D30-D31,0)</f>
        <v>0</v>
      </c>
      <c r="E33" s="17"/>
      <c r="F33" s="17"/>
      <c r="G33" s="17">
        <f>IF(G26-G30-G31&gt;0, G26-G30-G31,0)</f>
        <v>80.599602846011265</v>
      </c>
      <c r="H33" s="17">
        <f>IF(H26-H30-H31&gt;0, H26-H30-H31,0)</f>
        <v>49.870028182876219</v>
      </c>
      <c r="I33" s="17">
        <f>IF(I26-I30-I31&gt;0, I26-I30-I31,0)</f>
        <v>32.237885013297003</v>
      </c>
      <c r="J33" s="17">
        <f>IF(J26-J30-J31&gt;0, J26-J30-J31,0)</f>
        <v>0</v>
      </c>
      <c r="K33" s="17"/>
      <c r="L33" s="17"/>
      <c r="M33" s="17">
        <f>IF(M26-M30-M31&gt;0, M26-M30-M31,0)</f>
        <v>151.17880296430457</v>
      </c>
      <c r="N33" s="17"/>
      <c r="O33" s="17">
        <f>IF(O26-O30-O31&gt;0, O26-O30-O31,0)</f>
        <v>243.8099436345056</v>
      </c>
      <c r="P33" s="17">
        <f>IF(P26-P30-P31&gt;0, P26-P30-P31,0)</f>
        <v>149.06757042677131</v>
      </c>
      <c r="Q33" s="17">
        <f>IF(Q26-Q30-Q31&gt;0, Q26-Q30-Q31,0)</f>
        <v>258.42070527280305</v>
      </c>
      <c r="R33" s="17"/>
      <c r="S33" s="17">
        <f t="shared" ref="S33:AB33" si="12">IF(S26-S30-S31&gt;0, S26-S30-S31,0)</f>
        <v>217.84872068673474</v>
      </c>
      <c r="T33" s="17">
        <f t="shared" si="12"/>
        <v>45.616436183000474</v>
      </c>
      <c r="U33" s="17">
        <f t="shared" si="12"/>
        <v>29.345082949418867</v>
      </c>
      <c r="V33" s="17">
        <f t="shared" si="12"/>
        <v>35.864021961453794</v>
      </c>
      <c r="W33" s="17">
        <f t="shared" si="12"/>
        <v>41.917693706351471</v>
      </c>
      <c r="X33" s="17">
        <f t="shared" si="12"/>
        <v>69.055733095959411</v>
      </c>
      <c r="Y33" s="17">
        <f t="shared" si="12"/>
        <v>87.489352083972989</v>
      </c>
      <c r="Z33" s="17">
        <f t="shared" si="12"/>
        <v>180.56248370905797</v>
      </c>
      <c r="AA33" s="17">
        <f t="shared" si="12"/>
        <v>0</v>
      </c>
      <c r="AB33" s="17">
        <f t="shared" si="12"/>
        <v>40.689415390481408</v>
      </c>
      <c r="AC33" s="17"/>
      <c r="AD33" s="17">
        <f t="shared" ref="AD33:AI33" si="13">IF(AD26-AD30-AD31&gt;0, AD26-AD30-AD31,0)</f>
        <v>57.736781860253416</v>
      </c>
      <c r="AE33" s="17">
        <f t="shared" si="13"/>
        <v>45.961454238562027</v>
      </c>
      <c r="AF33" s="17">
        <f t="shared" si="13"/>
        <v>0</v>
      </c>
      <c r="AG33" s="17">
        <f t="shared" si="13"/>
        <v>0</v>
      </c>
      <c r="AH33" s="17">
        <f t="shared" si="13"/>
        <v>0</v>
      </c>
      <c r="AI33" s="17">
        <f t="shared" si="13"/>
        <v>0</v>
      </c>
      <c r="AJ33" s="249"/>
      <c r="AK33" s="245">
        <f>SUM(C33:AI33)</f>
        <v>1817.2717142058154</v>
      </c>
    </row>
    <row r="34" spans="1:37" x14ac:dyDescent="0.25">
      <c r="A34" s="22"/>
      <c r="B34" s="262"/>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49"/>
      <c r="AK34" s="245"/>
    </row>
    <row r="35" spans="1:37" x14ac:dyDescent="0.25">
      <c r="A35" s="246" t="s">
        <v>759</v>
      </c>
      <c r="B35" s="247"/>
      <c r="C35" s="248"/>
      <c r="D35" s="248"/>
      <c r="E35" s="248"/>
      <c r="F35" s="248"/>
      <c r="G35" s="248"/>
      <c r="H35" s="248"/>
      <c r="I35" s="248"/>
      <c r="J35" s="248"/>
      <c r="K35" s="248"/>
      <c r="L35" s="248"/>
      <c r="M35" s="248"/>
      <c r="N35" s="248"/>
      <c r="O35" s="248"/>
      <c r="P35" s="248"/>
      <c r="Q35" s="248"/>
      <c r="R35" s="248"/>
      <c r="S35" s="248"/>
      <c r="T35" s="248"/>
      <c r="U35" s="248"/>
      <c r="V35" s="248"/>
      <c r="W35" s="248"/>
      <c r="X35" s="248"/>
      <c r="Y35" s="248"/>
      <c r="Z35" s="248"/>
      <c r="AA35" s="248"/>
      <c r="AB35" s="248"/>
      <c r="AC35" s="248"/>
      <c r="AD35" s="248"/>
      <c r="AE35" s="248"/>
      <c r="AF35" s="248"/>
      <c r="AG35" s="248"/>
      <c r="AH35" s="248"/>
      <c r="AI35" s="248"/>
      <c r="AJ35" s="236"/>
      <c r="AK35" s="245"/>
    </row>
    <row r="36" spans="1:37" x14ac:dyDescent="0.25">
      <c r="A36" s="236" t="s">
        <v>760</v>
      </c>
      <c r="B36" s="8" t="s">
        <v>77</v>
      </c>
      <c r="C36" s="150">
        <f>pvar!F1245</f>
        <v>0</v>
      </c>
      <c r="D36" s="150">
        <f>pvar!G1245</f>
        <v>0</v>
      </c>
      <c r="E36" s="150">
        <f>pvar!H1245</f>
        <v>0</v>
      </c>
      <c r="F36" s="150">
        <f>pvar!I1245</f>
        <v>0</v>
      </c>
      <c r="G36" s="150">
        <f>pvar!J1245</f>
        <v>65.973708036972454</v>
      </c>
      <c r="H36" s="150">
        <f>pvar!K1245</f>
        <v>35.067890907639075</v>
      </c>
      <c r="I36" s="150">
        <f>pvar!L1245</f>
        <v>44.436998082850508</v>
      </c>
      <c r="J36" s="150">
        <f>pvar!M1245</f>
        <v>0</v>
      </c>
      <c r="K36" s="150">
        <f>pvar!N1245</f>
        <v>0</v>
      </c>
      <c r="L36" s="150">
        <f>pvar!O1245</f>
        <v>0</v>
      </c>
      <c r="M36" s="150">
        <f>pvar!P1245</f>
        <v>114.89594345186049</v>
      </c>
      <c r="N36" s="150">
        <f>pvar!Q1245</f>
        <v>0</v>
      </c>
      <c r="O36" s="150">
        <f>pvar!R1245</f>
        <v>207.13653076133903</v>
      </c>
      <c r="P36" s="150">
        <f>pvar!S1245</f>
        <v>133.76767832633627</v>
      </c>
      <c r="Q36" s="150">
        <f>pvar!T1245</f>
        <v>241.88330841682577</v>
      </c>
      <c r="R36" s="150">
        <f>pvar!U1245</f>
        <v>0</v>
      </c>
      <c r="S36" s="150">
        <f>pvar!V1245</f>
        <v>247.22485541303718</v>
      </c>
      <c r="T36" s="150">
        <f>pvar!W1245</f>
        <v>38.769058536140399</v>
      </c>
      <c r="U36" s="150">
        <f>pvar!X1245</f>
        <v>19.11393430797915</v>
      </c>
      <c r="V36" s="150">
        <f>pvar!Y1245</f>
        <v>32.445420301285836</v>
      </c>
      <c r="W36" s="150">
        <f>pvar!Z1245</f>
        <v>31.440343309275882</v>
      </c>
      <c r="X36" s="150">
        <f>pvar!AA1245</f>
        <v>50.578823393952234</v>
      </c>
      <c r="Y36" s="150">
        <f>pvar!AB1245</f>
        <v>80.065397617348083</v>
      </c>
      <c r="Z36" s="150">
        <f>pvar!AC1245</f>
        <v>200.95547824613277</v>
      </c>
      <c r="AA36" s="150">
        <f>pvar!AD1245</f>
        <v>0</v>
      </c>
      <c r="AB36" s="150">
        <f>pvar!AE1245</f>
        <v>61.402903931186458</v>
      </c>
      <c r="AC36" s="150">
        <f>pvar!AF1245</f>
        <v>0</v>
      </c>
      <c r="AD36" s="150">
        <f>pvar!AG1245</f>
        <v>57.374866245156738</v>
      </c>
      <c r="AE36" s="150">
        <f>pvar!AH1245</f>
        <v>48.671047736333051</v>
      </c>
      <c r="AF36" s="150">
        <f>pvar!AI1245</f>
        <v>0</v>
      </c>
      <c r="AG36" s="150">
        <f>pvar!AJ1245</f>
        <v>0</v>
      </c>
      <c r="AH36" s="150">
        <f>pvar!AK1245</f>
        <v>0</v>
      </c>
      <c r="AI36" s="150">
        <f>pvar!AL1245</f>
        <v>0</v>
      </c>
      <c r="AJ36" s="236"/>
      <c r="AK36" s="245">
        <f>SUM(C36:AI36)</f>
        <v>1711.2041870216515</v>
      </c>
    </row>
    <row r="37" spans="1:37" x14ac:dyDescent="0.25">
      <c r="A37" s="236" t="s">
        <v>761</v>
      </c>
      <c r="B37" s="8" t="s">
        <v>77</v>
      </c>
      <c r="C37" s="249">
        <f>(pvar!F25-(pvar!F25*(pvar!F29)/100))*C19/1000000</f>
        <v>120.44091588369685</v>
      </c>
      <c r="D37" s="249">
        <f>(pvar!G25-(pvar!G25*(pvar!G29)/100))*D19/1000000</f>
        <v>84.114349022228453</v>
      </c>
      <c r="E37" s="249">
        <f>(pvar!H25-(pvar!H25*(pvar!H29)/100))*E19/1000000</f>
        <v>68.681462585687058</v>
      </c>
      <c r="F37" s="249">
        <f>(pvar!I25-(pvar!I25*(pvar!I29)/100))*F19/1000000</f>
        <v>286.46952461607293</v>
      </c>
      <c r="G37" s="249">
        <f>(pvar!J25-(pvar!J25*(pvar!J29)/100))*G19/1000000</f>
        <v>59.565246997086042</v>
      </c>
      <c r="H37" s="249">
        <f>(pvar!K25-(pvar!K25*(pvar!K29)/100))*H19/1000000</f>
        <v>11.350009887519313</v>
      </c>
      <c r="I37" s="249">
        <f>(pvar!L25-(pvar!L25*(pvar!L29)/100))*I19/1000000</f>
        <v>17.713412578916866</v>
      </c>
      <c r="J37" s="249">
        <f>(pvar!M25-(pvar!M25*(pvar!M29)/100))*J19/1000000</f>
        <v>169.1628378743269</v>
      </c>
      <c r="K37" s="249">
        <f>(pvar!N25-(pvar!N25*(pvar!N29)/100))*K19/1000000</f>
        <v>252.79825275254899</v>
      </c>
      <c r="L37" s="249">
        <f>(pvar!O25-(pvar!O25*(pvar!O29)/100))*L19/1000000</f>
        <v>118.71773149325649</v>
      </c>
      <c r="M37" s="249">
        <f>(pvar!P25-(pvar!P25*(pvar!P29)/100))*M19/1000000</f>
        <v>24.066603547908695</v>
      </c>
      <c r="N37" s="249">
        <f>(pvar!Q25-(pvar!Q25*(pvar!Q29)/100))*N19/1000000</f>
        <v>61.119197315977786</v>
      </c>
      <c r="O37" s="249">
        <f>(pvar!R25-(pvar!R25*(pvar!R29)/100))*O19/1000000</f>
        <v>7.3517269457987737</v>
      </c>
      <c r="P37" s="249">
        <f>(pvar!S25-(pvar!S25*(pvar!S29)/100))*P19/1000000</f>
        <v>24.310503744824921</v>
      </c>
      <c r="Q37" s="249">
        <f>(pvar!T25-(pvar!T25*(pvar!T29)/100))*Q19/1000000</f>
        <v>51.522339238899491</v>
      </c>
      <c r="R37" s="249">
        <f>(pvar!U25-(pvar!U25*(pvar!U29)/100))*R19/1000000</f>
        <v>384.36643794102633</v>
      </c>
      <c r="S37" s="249">
        <f>(pvar!V25-(pvar!V25*(pvar!V29)/100))*S19/1000000</f>
        <v>0</v>
      </c>
      <c r="T37" s="249">
        <f>(pvar!W25-(pvar!W25*(pvar!W29)/100))*T19/1000000</f>
        <v>0</v>
      </c>
      <c r="U37" s="249">
        <f>(pvar!X25-(pvar!X25*(pvar!X29)/100))*U19/1000000</f>
        <v>0</v>
      </c>
      <c r="V37" s="249">
        <f>(pvar!Y25-(pvar!Y25*(pvar!Y29)/100))*V19/1000000</f>
        <v>0</v>
      </c>
      <c r="W37" s="249">
        <f>(pvar!Z25-(pvar!Z25*(pvar!Z29)/100))*W19/1000000</f>
        <v>0</v>
      </c>
      <c r="X37" s="249">
        <f>(pvar!AA25-(pvar!AA25*(pvar!AA29)/100))*X19/1000000</f>
        <v>0</v>
      </c>
      <c r="Y37" s="249">
        <f>(pvar!AB25-(pvar!AB25*(pvar!AB29)/100))*Y19/1000000</f>
        <v>0</v>
      </c>
      <c r="Z37" s="249">
        <f>(pvar!AC25-(pvar!AC25*(pvar!AC29)/100))*Z19/1000000</f>
        <v>108.18433689747856</v>
      </c>
      <c r="AA37" s="249">
        <f>(pvar!AD25-(pvar!AD25*(pvar!AD29)/100))*AA19/1000000</f>
        <v>14.71727245463974</v>
      </c>
      <c r="AB37" s="249">
        <f>(pvar!AE25-(pvar!AE25*(pvar!AE29)/100))*AB19/1000000</f>
        <v>16.599252415935787</v>
      </c>
      <c r="AC37" s="249">
        <f>(pvar!AF25-(pvar!AF25*(pvar!AF29)/100))*AC19/1000000</f>
        <v>25.61738563499808</v>
      </c>
      <c r="AD37" s="249">
        <f>(pvar!AG25-(pvar!AG25*(pvar!AG29)/100))*AD19/1000000</f>
        <v>0</v>
      </c>
      <c r="AE37" s="249">
        <f>(pvar!AH25-(pvar!AH25*(pvar!AH29)/100))*AE19/1000000</f>
        <v>0</v>
      </c>
      <c r="AF37" s="249">
        <f>(pvar!AI25-(pvar!AI25*(pvar!AI29)/100))*AF19/1000000</f>
        <v>15.051329277226699</v>
      </c>
      <c r="AG37" s="249">
        <f>(pvar!AJ25-(pvar!AJ25*(pvar!AJ29)/100))*AG19/1000000</f>
        <v>35.783054723168959</v>
      </c>
      <c r="AH37" s="249">
        <f>(pvar!AK25-(pvar!AK25*(pvar!AK29)/100))*AH19/1000000</f>
        <v>16.48679801181818</v>
      </c>
      <c r="AI37" s="249">
        <f>(pvar!AL25-(pvar!AL25*(pvar!AL29)/100))*AI19/1000000</f>
        <v>8.4062366909066863</v>
      </c>
      <c r="AJ37" s="236"/>
      <c r="AK37" s="245">
        <f>SUM(C37:AI37)</f>
        <v>1982.5962185319486</v>
      </c>
    </row>
    <row r="38" spans="1:37" x14ac:dyDescent="0.25">
      <c r="A38" s="236" t="s">
        <v>762</v>
      </c>
      <c r="B38" s="8" t="s">
        <v>77</v>
      </c>
      <c r="C38" s="249">
        <f>pvar!F32</f>
        <v>9.5150731085529017E-2</v>
      </c>
      <c r="D38" s="249">
        <f>pvar!G32</f>
        <v>6.8719784305456113E-3</v>
      </c>
      <c r="E38" s="249">
        <f>pvar!H32</f>
        <v>0.12985610753400423</v>
      </c>
      <c r="F38" s="249">
        <f>pvar!I32</f>
        <v>1.0617695579986846</v>
      </c>
      <c r="G38" s="249">
        <f>pvar!J32</f>
        <v>1.7729067540379539E-3</v>
      </c>
      <c r="H38" s="249">
        <f>pvar!K32</f>
        <v>1.1506743199402826E-3</v>
      </c>
      <c r="I38" s="249">
        <f>pvar!L32</f>
        <v>4.7543096496373257E-3</v>
      </c>
      <c r="J38" s="249">
        <f>pvar!M32</f>
        <v>1.6109610206083869</v>
      </c>
      <c r="K38" s="249">
        <f>pvar!N32</f>
        <v>0.18260329238938175</v>
      </c>
      <c r="L38" s="249">
        <f>pvar!O32</f>
        <v>4.4186438007997236E-2</v>
      </c>
      <c r="M38" s="249">
        <f>pvar!P32</f>
        <v>3.5736848865792915E-3</v>
      </c>
      <c r="N38" s="249">
        <f>pvar!Q32</f>
        <v>3.1977566790938904E-3</v>
      </c>
      <c r="O38" s="249">
        <f>pvar!R32</f>
        <v>1.1817305880522702</v>
      </c>
      <c r="P38" s="249">
        <f>pvar!S32</f>
        <v>0.16449187094765874</v>
      </c>
      <c r="Q38" s="249">
        <f>pvar!T32</f>
        <v>8.7103975146290147E-2</v>
      </c>
      <c r="R38" s="249">
        <f>pvar!U32</f>
        <v>0.40791678273577164</v>
      </c>
      <c r="S38" s="249">
        <f>pvar!V32</f>
        <v>0.28641730145835581</v>
      </c>
      <c r="T38" s="249">
        <f>pvar!W32</f>
        <v>3.6426609475830311E-2</v>
      </c>
      <c r="U38" s="249">
        <f>pvar!X32</f>
        <v>1.5530535966681806E-3</v>
      </c>
      <c r="V38" s="249">
        <f>pvar!Y32</f>
        <v>7.1370377200028323E-3</v>
      </c>
      <c r="W38" s="249">
        <f>pvar!Z32</f>
        <v>8.7176157830393154E-3</v>
      </c>
      <c r="X38" s="249">
        <f>pvar!AA32</f>
        <v>1.2889997034644199E-2</v>
      </c>
      <c r="Y38" s="249">
        <f>pvar!AB32</f>
        <v>1.7197239735279313E-3</v>
      </c>
      <c r="Z38" s="249">
        <f>pvar!AC32</f>
        <v>0.41035718353533379</v>
      </c>
      <c r="AA38" s="249">
        <f>pvar!AD32</f>
        <v>0.22408379323356822</v>
      </c>
      <c r="AB38" s="249">
        <f>pvar!AE32</f>
        <v>0.16636259249961233</v>
      </c>
      <c r="AC38" s="249">
        <f>pvar!AF32</f>
        <v>0.23210108210733102</v>
      </c>
      <c r="AD38" s="249">
        <f>pvar!AG32</f>
        <v>9.4995536012495996E-3</v>
      </c>
      <c r="AE38" s="249">
        <f>pvar!AH32</f>
        <v>3.8101832770347423E-3</v>
      </c>
      <c r="AF38" s="249">
        <f>pvar!AI32</f>
        <v>1.4867379174072335E-2</v>
      </c>
      <c r="AG38" s="249">
        <f>pvar!AJ32</f>
        <v>6.499618661665757E-2</v>
      </c>
      <c r="AH38" s="249">
        <f>pvar!AK32</f>
        <v>0.17142277743114884</v>
      </c>
      <c r="AI38" s="249">
        <f>pvar!AL32</f>
        <v>1.0799591324431305E-2</v>
      </c>
      <c r="AJ38" s="236"/>
      <c r="AK38" s="245">
        <f>C38+D38+E38+F38+G38+H38+I38+J38+K38+L38+M38+N38+O38+P38+Q38+R38+S38+T38+U38+V38+W38+X38+Y38+Z38+AA38+AB38+AC38+AD38+AE38+AF38+AG38+AH38+AI38</f>
        <v>6.6502533370683166</v>
      </c>
    </row>
    <row r="39" spans="1:37" x14ac:dyDescent="0.25">
      <c r="A39" s="236" t="s">
        <v>763</v>
      </c>
      <c r="B39" s="8" t="s">
        <v>77</v>
      </c>
      <c r="C39" s="249">
        <f>pvar!F48</f>
        <v>2.2975499533008197</v>
      </c>
      <c r="D39" s="249">
        <f>pvar!G48</f>
        <v>1.0329298676280054</v>
      </c>
      <c r="E39" s="249">
        <f>pvar!H48</f>
        <v>0.96044053846514821</v>
      </c>
      <c r="F39" s="249">
        <f>pvar!I48</f>
        <v>1.8605438129236742</v>
      </c>
      <c r="G39" s="249">
        <f>pvar!J48</f>
        <v>0.48380164437157674</v>
      </c>
      <c r="H39" s="249">
        <f>pvar!K48</f>
        <v>0.73338026097001174</v>
      </c>
      <c r="I39" s="249">
        <f>pvar!L48</f>
        <v>0.26721984855808006</v>
      </c>
      <c r="J39" s="249">
        <f>pvar!M48</f>
        <v>2.6262567881249388</v>
      </c>
      <c r="K39" s="249">
        <f>pvar!N48</f>
        <v>0.69928217419273497</v>
      </c>
      <c r="L39" s="249">
        <f>pvar!O48</f>
        <v>0.36635497003104378</v>
      </c>
      <c r="M39" s="249">
        <f>pvar!P48</f>
        <v>1.2480885794109695</v>
      </c>
      <c r="N39" s="249">
        <f>pvar!Q48</f>
        <v>1.1961825574177973</v>
      </c>
      <c r="O39" s="249">
        <f>pvar!R48</f>
        <v>1.9426253811414727</v>
      </c>
      <c r="P39" s="249">
        <f>pvar!S48</f>
        <v>0.85361614876989633</v>
      </c>
      <c r="Q39" s="249">
        <f>pvar!T48</f>
        <v>1.8503771678564087</v>
      </c>
      <c r="R39" s="249">
        <f>pvar!U48</f>
        <v>1.3475514189275026</v>
      </c>
      <c r="S39" s="249">
        <f>pvar!V48</f>
        <v>1.4815297564070822</v>
      </c>
      <c r="T39" s="249">
        <f>pvar!W48</f>
        <v>0.5345236177423065</v>
      </c>
      <c r="U39" s="249">
        <f>pvar!X48</f>
        <v>0.85950368795833532</v>
      </c>
      <c r="V39" s="249">
        <f>pvar!Y48</f>
        <v>1.6081159336910895</v>
      </c>
      <c r="W39" s="249">
        <f>pvar!Z48</f>
        <v>0.22017253620661612</v>
      </c>
      <c r="X39" s="249">
        <f>pvar!AA48</f>
        <v>1.3483578366424842</v>
      </c>
      <c r="Y39" s="249">
        <f>pvar!AB48</f>
        <v>0.22966907153752483</v>
      </c>
      <c r="Z39" s="249">
        <f>pvar!AC48</f>
        <v>1.6986760662380038</v>
      </c>
      <c r="AA39" s="249">
        <f>pvar!AD48</f>
        <v>1.1044185368581123</v>
      </c>
      <c r="AB39" s="249">
        <f>pvar!AE48</f>
        <v>0.55563835841683895</v>
      </c>
      <c r="AC39" s="249">
        <f>pvar!AF48</f>
        <v>0.27340626331382362</v>
      </c>
      <c r="AD39" s="249">
        <f>pvar!AG48</f>
        <v>0.30801072565941995</v>
      </c>
      <c r="AE39" s="249">
        <f>pvar!AH48</f>
        <v>0.22793000279252559</v>
      </c>
      <c r="AF39" s="249">
        <f>pvar!AI48</f>
        <v>1.9371688311606561</v>
      </c>
      <c r="AG39" s="249">
        <f>pvar!AJ48</f>
        <v>1.6799629272968655</v>
      </c>
      <c r="AH39" s="249">
        <f>pvar!AK48</f>
        <v>1.3613836400620176</v>
      </c>
      <c r="AI39" s="249">
        <f>pvar!AL48</f>
        <v>0.36697168812541281</v>
      </c>
      <c r="AJ39" s="236"/>
      <c r="AK39" s="245">
        <f>SUM(C39:AI39)</f>
        <v>35.561640592199183</v>
      </c>
    </row>
    <row r="40" spans="1:37" x14ac:dyDescent="0.25">
      <c r="A40" s="265" t="s">
        <v>764</v>
      </c>
      <c r="B40" s="8" t="s">
        <v>77</v>
      </c>
      <c r="C40" s="249">
        <f>pvar!F40</f>
        <v>6.4910101607707835</v>
      </c>
      <c r="D40" s="249">
        <f>pvar!G40</f>
        <v>4.735353884663426</v>
      </c>
      <c r="E40" s="249">
        <f>pvar!H40</f>
        <v>4.6255823706215171</v>
      </c>
      <c r="F40" s="249">
        <f>pvar!I40</f>
        <v>16.620257037917963</v>
      </c>
      <c r="G40" s="249">
        <f>pvar!J40</f>
        <v>8.7806837061811294</v>
      </c>
      <c r="H40" s="249">
        <f>pvar!K40</f>
        <v>4.4504986368961097</v>
      </c>
      <c r="I40" s="249">
        <f>pvar!L40</f>
        <v>4.8150319250996256</v>
      </c>
      <c r="J40" s="249">
        <f>pvar!M40</f>
        <v>11.867870404914965</v>
      </c>
      <c r="K40" s="249">
        <f>pvar!N40</f>
        <v>19.517874809652213</v>
      </c>
      <c r="L40" s="249">
        <f>pvar!O40</f>
        <v>8.3203400117720268</v>
      </c>
      <c r="M40" s="249">
        <f>pvar!P40</f>
        <v>13.060362105905813</v>
      </c>
      <c r="N40" s="249">
        <f>pvar!Q40</f>
        <v>3.9849508481711653</v>
      </c>
      <c r="O40" s="249">
        <f>pvar!R40</f>
        <v>24.968930755761413</v>
      </c>
      <c r="P40" s="249">
        <f>pvar!S40</f>
        <v>11.136106263455542</v>
      </c>
      <c r="Q40" s="249">
        <f>pvar!T40</f>
        <v>25.890011737115724</v>
      </c>
      <c r="R40" s="249">
        <f>pvar!U40</f>
        <v>26.239043119794502</v>
      </c>
      <c r="S40" s="249">
        <f>pvar!V40</f>
        <v>16.869591446098056</v>
      </c>
      <c r="T40" s="249">
        <f>pvar!W40</f>
        <v>1.690048616140321</v>
      </c>
      <c r="U40" s="249">
        <f>pvar!X40</f>
        <v>0.15415574962241266</v>
      </c>
      <c r="V40" s="249">
        <f>pvar!Y40</f>
        <v>2.6031482006015434</v>
      </c>
      <c r="W40" s="249">
        <f>pvar!Z40</f>
        <v>0.90724275109125352</v>
      </c>
      <c r="X40" s="249">
        <f>pvar!AA40</f>
        <v>3.1635618034555835</v>
      </c>
      <c r="Y40" s="249">
        <f>pvar!AB40</f>
        <v>3.5792478220158994</v>
      </c>
      <c r="Z40" s="249">
        <f>pvar!AC40</f>
        <v>15.970629784302002</v>
      </c>
      <c r="AA40" s="249">
        <f>pvar!AD40</f>
        <v>1.1295232933468677</v>
      </c>
      <c r="AB40" s="249">
        <f>pvar!AE40</f>
        <v>4.38585214261684</v>
      </c>
      <c r="AC40" s="249">
        <f>pvar!AF40</f>
        <v>2.2108522879623895</v>
      </c>
      <c r="AD40" s="249">
        <f>pvar!AG40</f>
        <v>3.6178825619948345</v>
      </c>
      <c r="AE40" s="249">
        <f>pvar!AH40</f>
        <v>1.8555484944402725</v>
      </c>
      <c r="AF40" s="249">
        <f>pvar!AI40</f>
        <v>1.9264498754635688</v>
      </c>
      <c r="AG40" s="249">
        <f>pvar!AJ40</f>
        <v>1.5591035804420263</v>
      </c>
      <c r="AH40" s="249">
        <f>pvar!AK40</f>
        <v>2.2894456642891088</v>
      </c>
      <c r="AI40" s="249">
        <f>pvar!AL40</f>
        <v>0.95555497799694467</v>
      </c>
      <c r="AJ40" s="236"/>
      <c r="AK40" s="254">
        <f>SUM(V40:AJ40)</f>
        <v>46.154043240019135</v>
      </c>
    </row>
    <row r="41" spans="1:37" x14ac:dyDescent="0.25">
      <c r="A41" s="8" t="s">
        <v>765</v>
      </c>
      <c r="B41" s="8" t="s">
        <v>77</v>
      </c>
      <c r="C41" s="249">
        <f>pvar!F124</f>
        <v>0</v>
      </c>
      <c r="D41" s="249">
        <f>pvar!G124</f>
        <v>0</v>
      </c>
      <c r="E41" s="249">
        <f>pvar!H124</f>
        <v>0</v>
      </c>
      <c r="F41" s="249">
        <f>pvar!I124</f>
        <v>0</v>
      </c>
      <c r="G41" s="249">
        <f>pvar!J124</f>
        <v>0</v>
      </c>
      <c r="H41" s="249">
        <f>pvar!K124</f>
        <v>0</v>
      </c>
      <c r="I41" s="249">
        <f>pvar!L124</f>
        <v>0</v>
      </c>
      <c r="J41" s="249">
        <f>pvar!M124</f>
        <v>0</v>
      </c>
      <c r="K41" s="249">
        <f>pvar!N124</f>
        <v>0</v>
      </c>
      <c r="L41" s="249">
        <f>pvar!O124</f>
        <v>0</v>
      </c>
      <c r="M41" s="249">
        <f>pvar!P124</f>
        <v>0</v>
      </c>
      <c r="N41" s="249">
        <f>pvar!Q124</f>
        <v>0</v>
      </c>
      <c r="O41" s="249">
        <f>pvar!R124</f>
        <v>0</v>
      </c>
      <c r="P41" s="249">
        <f>pvar!S124</f>
        <v>0</v>
      </c>
      <c r="Q41" s="249">
        <f>pvar!T124</f>
        <v>0</v>
      </c>
      <c r="R41" s="249">
        <f>pvar!U124</f>
        <v>0</v>
      </c>
      <c r="S41" s="249">
        <f>pvar!V124</f>
        <v>0</v>
      </c>
      <c r="T41" s="249">
        <f>pvar!W124</f>
        <v>0</v>
      </c>
      <c r="U41" s="249">
        <f>pvar!X124</f>
        <v>0</v>
      </c>
      <c r="V41" s="249">
        <f>pvar!Y124</f>
        <v>0</v>
      </c>
      <c r="W41" s="249">
        <f>pvar!Z124</f>
        <v>0</v>
      </c>
      <c r="X41" s="249">
        <f>pvar!AA124</f>
        <v>0</v>
      </c>
      <c r="Y41" s="249">
        <f>pvar!AB124</f>
        <v>0</v>
      </c>
      <c r="Z41" s="249">
        <f>pvar!AC124</f>
        <v>0</v>
      </c>
      <c r="AA41" s="249">
        <f>pvar!AD124</f>
        <v>0</v>
      </c>
      <c r="AB41" s="249">
        <f>pvar!AE124</f>
        <v>0</v>
      </c>
      <c r="AC41" s="249">
        <f>pvar!AF124</f>
        <v>0</v>
      </c>
      <c r="AD41" s="249">
        <f>pvar!AG124</f>
        <v>0</v>
      </c>
      <c r="AE41" s="249">
        <f>pvar!AH124</f>
        <v>0</v>
      </c>
      <c r="AF41" s="249">
        <f>pvar!AI124</f>
        <v>0</v>
      </c>
      <c r="AG41" s="249">
        <f>pvar!AJ124</f>
        <v>0</v>
      </c>
      <c r="AH41" s="249">
        <f>pvar!AK124</f>
        <v>0</v>
      </c>
      <c r="AI41" s="249">
        <f>pvar!AL124</f>
        <v>0</v>
      </c>
      <c r="AJ41" s="236"/>
      <c r="AK41" s="254"/>
    </row>
    <row r="42" spans="1:37" x14ac:dyDescent="0.25">
      <c r="A42" s="236" t="s">
        <v>766</v>
      </c>
      <c r="B42" s="22" t="s">
        <v>57</v>
      </c>
      <c r="C42" s="249">
        <f t="shared" ref="C42:AI42" si="14">SUM(C36,C37,C39:C40,C41)*1000000/C19</f>
        <v>225.90308016956141</v>
      </c>
      <c r="D42" s="249">
        <f t="shared" si="14"/>
        <v>228.40826777933526</v>
      </c>
      <c r="E42" s="249">
        <f t="shared" si="14"/>
        <v>163.49744725951592</v>
      </c>
      <c r="F42" s="249">
        <f t="shared" si="14"/>
        <v>227.29998359368079</v>
      </c>
      <c r="G42" s="249">
        <f t="shared" si="14"/>
        <v>206.61175283156535</v>
      </c>
      <c r="H42" s="249">
        <f t="shared" si="14"/>
        <v>151.1680775432404</v>
      </c>
      <c r="I42" s="249">
        <f t="shared" si="14"/>
        <v>200.61534485195656</v>
      </c>
      <c r="J42" s="249">
        <f t="shared" si="14"/>
        <v>221.60930958962302</v>
      </c>
      <c r="K42" s="249">
        <f t="shared" si="14"/>
        <v>166.96930047064808</v>
      </c>
      <c r="L42" s="249">
        <f t="shared" si="14"/>
        <v>167.33418797892111</v>
      </c>
      <c r="M42" s="249">
        <f t="shared" si="14"/>
        <v>150.36306424133267</v>
      </c>
      <c r="N42" s="249">
        <f t="shared" si="14"/>
        <v>209.70249931749501</v>
      </c>
      <c r="O42" s="249">
        <f t="shared" si="14"/>
        <v>159.08943663131393</v>
      </c>
      <c r="P42" s="249">
        <f t="shared" si="14"/>
        <v>165.62213933972006</v>
      </c>
      <c r="Q42" s="249">
        <f t="shared" si="14"/>
        <v>179.43968067213154</v>
      </c>
      <c r="R42" s="249">
        <f t="shared" si="14"/>
        <v>171.96753963181521</v>
      </c>
      <c r="S42" s="249">
        <f t="shared" si="14"/>
        <v>182.98198993334134</v>
      </c>
      <c r="T42" s="249">
        <f t="shared" si="14"/>
        <v>318.22516718957525</v>
      </c>
      <c r="U42" s="249">
        <f t="shared" si="14"/>
        <v>1107.0131227502898</v>
      </c>
      <c r="V42" s="249">
        <f t="shared" si="14"/>
        <v>183.41159051032702</v>
      </c>
      <c r="W42" s="249">
        <f t="shared" si="14"/>
        <v>231.64594690199257</v>
      </c>
      <c r="X42" s="249">
        <f t="shared" si="14"/>
        <v>181.34208445484759</v>
      </c>
      <c r="Y42" s="249">
        <f t="shared" si="14"/>
        <v>225.07695188396789</v>
      </c>
      <c r="Z42" s="249">
        <f t="shared" si="14"/>
        <v>212.87313035918157</v>
      </c>
      <c r="AA42" s="249">
        <f t="shared" si="14"/>
        <v>133.17577409306367</v>
      </c>
      <c r="AB42" s="249">
        <f t="shared" si="14"/>
        <v>232.85229034853293</v>
      </c>
      <c r="AC42" s="249">
        <f t="shared" si="14"/>
        <v>136.98481444440594</v>
      </c>
      <c r="AD42" s="249">
        <f t="shared" si="14"/>
        <v>181.27165424985981</v>
      </c>
      <c r="AE42" s="249">
        <f t="shared" si="14"/>
        <v>296.18663627948729</v>
      </c>
      <c r="AF42" s="249">
        <f t="shared" si="14"/>
        <v>102.22595063908246</v>
      </c>
      <c r="AG42" s="249">
        <f t="shared" si="14"/>
        <v>219.1617167524214</v>
      </c>
      <c r="AH42" s="249">
        <f t="shared" si="14"/>
        <v>99.358001041776632</v>
      </c>
      <c r="AI42" s="249">
        <f t="shared" si="14"/>
        <v>105.21836978027031</v>
      </c>
      <c r="AJ42" s="249"/>
      <c r="AK42" s="254">
        <f>SUM(AK36:AK37,AK38,AK39:AK40)*1000000/AK19</f>
        <v>176.84019730949987</v>
      </c>
    </row>
    <row r="43" spans="1:37" x14ac:dyDescent="0.25">
      <c r="A43" s="236" t="s">
        <v>767</v>
      </c>
      <c r="B43" s="8" t="s">
        <v>77</v>
      </c>
      <c r="C43" s="249">
        <f>SUM(C36,C37,C38,C39:C40,C41)-C46</f>
        <v>29.013475162337599</v>
      </c>
      <c r="D43" s="249">
        <f t="shared" ref="D43:AI43" si="15">SUM(D36,D37,D38,D39:D40,D41)-D46</f>
        <v>19.84392498925223</v>
      </c>
      <c r="E43" s="249">
        <f t="shared" si="15"/>
        <v>22.951646203240543</v>
      </c>
      <c r="F43" s="249">
        <f t="shared" si="15"/>
        <v>67.175944519152296</v>
      </c>
      <c r="G43" s="249">
        <f t="shared" si="15"/>
        <v>33.939135896200042</v>
      </c>
      <c r="H43" s="249">
        <f t="shared" si="15"/>
        <v>17.48056564339921</v>
      </c>
      <c r="I43" s="249">
        <f t="shared" si="15"/>
        <v>16.976755563411388</v>
      </c>
      <c r="J43" s="249">
        <f t="shared" si="15"/>
        <v>41.964785798152263</v>
      </c>
      <c r="K43" s="249">
        <f t="shared" si="15"/>
        <v>83.683375707937699</v>
      </c>
      <c r="L43" s="249">
        <f t="shared" si="15"/>
        <v>39.710214812879414</v>
      </c>
      <c r="M43" s="249">
        <f t="shared" si="15"/>
        <v>52.053374786942328</v>
      </c>
      <c r="N43" s="249">
        <f t="shared" si="15"/>
        <v>15.837324193959354</v>
      </c>
      <c r="O43" s="249">
        <f t="shared" si="15"/>
        <v>77.802054481568831</v>
      </c>
      <c r="P43" s="249">
        <f t="shared" si="15"/>
        <v>52.636542779632492</v>
      </c>
      <c r="Q43" s="249">
        <f t="shared" si="15"/>
        <v>89.605239840859525</v>
      </c>
      <c r="R43" s="249">
        <f t="shared" si="15"/>
        <v>120.7290758571541</v>
      </c>
      <c r="S43" s="249">
        <f t="shared" si="15"/>
        <v>84.533226089690601</v>
      </c>
      <c r="T43" s="249">
        <f t="shared" si="15"/>
        <v>23.726751281009737</v>
      </c>
      <c r="U43" s="249">
        <f t="shared" si="15"/>
        <v>15.862553113163898</v>
      </c>
      <c r="V43" s="249">
        <f t="shared" si="15"/>
        <v>12.168803646360622</v>
      </c>
      <c r="W43" s="249">
        <f t="shared" si="15"/>
        <v>11.301525975117258</v>
      </c>
      <c r="X43" s="249">
        <f t="shared" si="15"/>
        <v>22.111004682501452</v>
      </c>
      <c r="Y43" s="249">
        <f t="shared" si="15"/>
        <v>50.295834521835005</v>
      </c>
      <c r="Z43" s="249">
        <f t="shared" si="15"/>
        <v>77.077821249156131</v>
      </c>
      <c r="AA43" s="249">
        <f t="shared" si="15"/>
        <v>6.5113008282385945</v>
      </c>
      <c r="AB43" s="249">
        <f t="shared" si="15"/>
        <v>18.435984531982868</v>
      </c>
      <c r="AC43" s="249">
        <f t="shared" si="15"/>
        <v>10.549031703199866</v>
      </c>
      <c r="AD43" s="249">
        <f t="shared" si="15"/>
        <v>22.424609454665621</v>
      </c>
      <c r="AE43" s="249">
        <f t="shared" si="15"/>
        <v>32.908916885734214</v>
      </c>
      <c r="AF43" s="249">
        <f t="shared" si="15"/>
        <v>9.5218194201704982</v>
      </c>
      <c r="AG43" s="249">
        <f t="shared" si="15"/>
        <v>9.2030378124679153</v>
      </c>
      <c r="AH43" s="249">
        <f t="shared" si="15"/>
        <v>10.194758948579269</v>
      </c>
      <c r="AI43" s="249">
        <f t="shared" si="15"/>
        <v>4.8870977930367712</v>
      </c>
      <c r="AJ43" s="236"/>
      <c r="AK43" s="245">
        <f>C43+D43+E43+F43+G43+H43+I43+J43+K43+L43+M43+N43+O43+P43+Q43+R43+S43+T43+U43+V43+W43+X43+Y43+Z43+AA43+AB43+AC43+AD43+AE43+AF43+AG43+AH43+AI43</f>
        <v>1203.1175141729896</v>
      </c>
    </row>
    <row r="44" spans="1:37" x14ac:dyDescent="0.25">
      <c r="A44" s="236"/>
      <c r="B44" s="22" t="s">
        <v>57</v>
      </c>
      <c r="C44" s="252">
        <f t="shared" ref="C44:AI44" si="16">C43*1000000/C19</f>
        <v>50.717789846244585</v>
      </c>
      <c r="D44" s="252">
        <f t="shared" si="16"/>
        <v>50.427055737324302</v>
      </c>
      <c r="E44" s="252">
        <f t="shared" si="16"/>
        <v>50.527300603134861</v>
      </c>
      <c r="F44" s="252">
        <f t="shared" si="16"/>
        <v>50.070748616892175</v>
      </c>
      <c r="G44" s="252">
        <f t="shared" si="16"/>
        <v>52.018140910171361</v>
      </c>
      <c r="H44" s="252">
        <f t="shared" si="16"/>
        <v>51.209541965435115</v>
      </c>
      <c r="I44" s="252">
        <f t="shared" si="16"/>
        <v>50.656891285427115</v>
      </c>
      <c r="J44" s="252">
        <f t="shared" si="16"/>
        <v>50.636724854914739</v>
      </c>
      <c r="K44" s="252">
        <f t="shared" si="16"/>
        <v>51.178630233611273</v>
      </c>
      <c r="L44" s="252">
        <f t="shared" si="16"/>
        <v>52.155774599263935</v>
      </c>
      <c r="M44" s="252">
        <f t="shared" si="16"/>
        <v>51.065792323923603</v>
      </c>
      <c r="N44" s="252">
        <f t="shared" si="16"/>
        <v>50.092155345680403</v>
      </c>
      <c r="O44" s="252">
        <f t="shared" si="16"/>
        <v>51.273796856480608</v>
      </c>
      <c r="P44" s="252">
        <f t="shared" si="16"/>
        <v>51.260564708498769</v>
      </c>
      <c r="Q44" s="252">
        <f t="shared" si="16"/>
        <v>50.066741585193661</v>
      </c>
      <c r="R44" s="252">
        <f t="shared" si="16"/>
        <v>50.397692213124337</v>
      </c>
      <c r="S44" s="252">
        <f t="shared" si="16"/>
        <v>58.243437989004448</v>
      </c>
      <c r="T44" s="252">
        <f t="shared" si="16"/>
        <v>184.18591501746479</v>
      </c>
      <c r="U44" s="252">
        <f t="shared" si="16"/>
        <v>872.43684856614357</v>
      </c>
      <c r="V44" s="252">
        <f t="shared" si="16"/>
        <v>60.886565867932603</v>
      </c>
      <c r="W44" s="252">
        <f t="shared" si="16"/>
        <v>80.384797688193387</v>
      </c>
      <c r="X44" s="252">
        <f t="shared" si="16"/>
        <v>72.782748202133234</v>
      </c>
      <c r="Y44" s="252">
        <f t="shared" si="16"/>
        <v>134.96900919725195</v>
      </c>
      <c r="Z44" s="252">
        <f t="shared" si="16"/>
        <v>50.20605618552166</v>
      </c>
      <c r="AA44" s="252">
        <f t="shared" si="16"/>
        <v>51.155481464756015</v>
      </c>
      <c r="AB44" s="252">
        <f t="shared" si="16"/>
        <v>51.756359724105614</v>
      </c>
      <c r="AC44" s="252">
        <f t="shared" si="16"/>
        <v>51.422512535291425</v>
      </c>
      <c r="AD44" s="252">
        <f t="shared" si="16"/>
        <v>66.311512006283323</v>
      </c>
      <c r="AE44" s="252">
        <f t="shared" si="16"/>
        <v>192.0455596636161</v>
      </c>
      <c r="AF44" s="252">
        <f t="shared" si="16"/>
        <v>51.460730575185799</v>
      </c>
      <c r="AG44" s="252">
        <f t="shared" si="16"/>
        <v>51.687440423417314</v>
      </c>
      <c r="AH44" s="252">
        <f t="shared" si="16"/>
        <v>50.300408003890212</v>
      </c>
      <c r="AI44" s="252">
        <f t="shared" si="16"/>
        <v>52.854863857755035</v>
      </c>
      <c r="AJ44" s="252"/>
      <c r="AK44" s="253">
        <f>AK43*1000000/AK19</f>
        <v>56.253353055776742</v>
      </c>
    </row>
    <row r="45" spans="1:37" x14ac:dyDescent="0.25">
      <c r="A45" s="22" t="s">
        <v>768</v>
      </c>
      <c r="B45" s="22" t="s">
        <v>57</v>
      </c>
      <c r="C45" s="252">
        <f t="shared" ref="C45:AI45" si="17">(SUM(C36,C37,C38,C39,C40)*1000000/C19)*(C46*1000000/C19)/C44</f>
        <v>781.61208963402248</v>
      </c>
      <c r="D45" s="252">
        <f t="shared" si="17"/>
        <v>806.30282321399579</v>
      </c>
      <c r="E45" s="252">
        <f t="shared" si="17"/>
        <v>367.11732054513089</v>
      </c>
      <c r="F45" s="252">
        <f t="shared" si="17"/>
        <v>810.95205108248581</v>
      </c>
      <c r="G45" s="252">
        <f t="shared" si="17"/>
        <v>614.05190752275553</v>
      </c>
      <c r="H45" s="252">
        <f t="shared" si="17"/>
        <v>295.08926686789903</v>
      </c>
      <c r="I45" s="252">
        <f t="shared" si="17"/>
        <v>593.97526542401886</v>
      </c>
      <c r="J45" s="252">
        <f t="shared" si="17"/>
        <v>763.39890766258702</v>
      </c>
      <c r="K45" s="252">
        <f t="shared" si="17"/>
        <v>378.38208968596473</v>
      </c>
      <c r="L45" s="252">
        <f t="shared" si="17"/>
        <v>369.84754572721567</v>
      </c>
      <c r="M45" s="252">
        <f t="shared" si="17"/>
        <v>292.39764407946939</v>
      </c>
      <c r="N45" s="252">
        <f t="shared" si="17"/>
        <v>668.25680065987558</v>
      </c>
      <c r="O45" s="252">
        <f t="shared" si="17"/>
        <v>338.5901023419608</v>
      </c>
      <c r="P45" s="252">
        <f t="shared" si="17"/>
        <v>370.37604896995924</v>
      </c>
      <c r="Q45" s="252">
        <f t="shared" si="17"/>
        <v>463.97409064302269</v>
      </c>
      <c r="R45" s="252">
        <f t="shared" si="17"/>
        <v>415.81429521839414</v>
      </c>
      <c r="S45" s="252">
        <f t="shared" si="17"/>
        <v>392.93136320458399</v>
      </c>
      <c r="T45" s="252">
        <f t="shared" si="17"/>
        <v>232.27960316948912</v>
      </c>
      <c r="U45" s="252">
        <f t="shared" si="17"/>
        <v>297.77927981227049</v>
      </c>
      <c r="V45" s="252">
        <f t="shared" si="17"/>
        <v>369.26759855711384</v>
      </c>
      <c r="W45" s="252">
        <f t="shared" si="17"/>
        <v>436.18668673406785</v>
      </c>
      <c r="X45" s="252">
        <f t="shared" si="17"/>
        <v>270.65038241147255</v>
      </c>
      <c r="Y45" s="252">
        <f t="shared" si="17"/>
        <v>150.27653951164137</v>
      </c>
      <c r="Z45" s="252">
        <f t="shared" si="17"/>
        <v>691.70739348698237</v>
      </c>
      <c r="AA45" s="252">
        <f t="shared" si="17"/>
        <v>220.99424422017657</v>
      </c>
      <c r="AB45" s="252">
        <f t="shared" si="17"/>
        <v>818.49168869604</v>
      </c>
      <c r="AC45" s="252">
        <f t="shared" si="17"/>
        <v>232.85145592772329</v>
      </c>
      <c r="AD45" s="252">
        <f t="shared" si="17"/>
        <v>314.38488979996919</v>
      </c>
      <c r="AE45" s="252">
        <f t="shared" si="17"/>
        <v>160.66029854845482</v>
      </c>
      <c r="AF45" s="252">
        <f t="shared" si="17"/>
        <v>101.08333573413388</v>
      </c>
      <c r="AG45" s="252">
        <f t="shared" si="17"/>
        <v>712.84669682830702</v>
      </c>
      <c r="AH45" s="252">
        <f t="shared" si="17"/>
        <v>99.412877924375437</v>
      </c>
      <c r="AI45" s="252">
        <f t="shared" si="17"/>
        <v>104.58870694958956</v>
      </c>
      <c r="AJ45" s="252"/>
      <c r="AK45" s="253">
        <f>(SUM(AK36:AK40)*1000000/AK19)*(AK46*1000000/AK19)/AK44</f>
        <v>410.56821038906088</v>
      </c>
    </row>
    <row r="46" spans="1:37" x14ac:dyDescent="0.25">
      <c r="A46" s="236" t="s">
        <v>769</v>
      </c>
      <c r="B46" s="8" t="s">
        <v>77</v>
      </c>
      <c r="C46" s="249">
        <f>pvar!F289</f>
        <v>100.31115156651636</v>
      </c>
      <c r="D46" s="249">
        <f>pvar!G289</f>
        <v>70.045579763698186</v>
      </c>
      <c r="E46" s="249">
        <f>pvar!H289</f>
        <v>51.445695399067191</v>
      </c>
      <c r="F46" s="249">
        <f>pvar!I289</f>
        <v>238.83615050576091</v>
      </c>
      <c r="G46" s="249">
        <f>pvar!J289</f>
        <v>100.86607739516521</v>
      </c>
      <c r="H46" s="249">
        <f>pvar!K289</f>
        <v>34.122364723945232</v>
      </c>
      <c r="I46" s="249">
        <f>pvar!L289</f>
        <v>50.260661181663323</v>
      </c>
      <c r="J46" s="249">
        <f>pvar!M289</f>
        <v>143.30314028982292</v>
      </c>
      <c r="K46" s="249">
        <f>pvar!N289</f>
        <v>189.51463732084565</v>
      </c>
      <c r="L46" s="249">
        <f>pvar!O289</f>
        <v>87.738398100188149</v>
      </c>
      <c r="M46" s="249">
        <f>pvar!P289</f>
        <v>101.22119658303023</v>
      </c>
      <c r="N46" s="249">
        <f>pvar!Q289</f>
        <v>50.466204284286484</v>
      </c>
      <c r="O46" s="249">
        <f>pvar!R289</f>
        <v>164.77948995052412</v>
      </c>
      <c r="P46" s="249">
        <f>pvar!S289</f>
        <v>117.59585357470181</v>
      </c>
      <c r="Q46" s="249">
        <f>pvar!T289</f>
        <v>231.62790069498422</v>
      </c>
      <c r="R46" s="249">
        <f>pvar!U289</f>
        <v>291.63187340532994</v>
      </c>
      <c r="S46" s="249">
        <f>pvar!V289</f>
        <v>181.32916782731004</v>
      </c>
      <c r="T46" s="249">
        <f>pvar!W289</f>
        <v>17.303306098489127</v>
      </c>
      <c r="U46" s="249">
        <f>pvar!X289</f>
        <v>4.2665936859926674</v>
      </c>
      <c r="V46" s="249">
        <f>pvar!Y289</f>
        <v>24.495017826937847</v>
      </c>
      <c r="W46" s="249">
        <f>pvar!Z289</f>
        <v>21.27495023723953</v>
      </c>
      <c r="X46" s="249">
        <f>pvar!AA289</f>
        <v>32.992628348583494</v>
      </c>
      <c r="Y46" s="249">
        <f>pvar!AB289</f>
        <v>33.580199713040031</v>
      </c>
      <c r="Z46" s="249">
        <f>pvar!AC289</f>
        <v>250.14165692853052</v>
      </c>
      <c r="AA46" s="249">
        <f>pvar!AD289</f>
        <v>10.663997249839694</v>
      </c>
      <c r="AB46" s="249">
        <f>pvar!AE289</f>
        <v>64.674024908672678</v>
      </c>
      <c r="AC46" s="249">
        <f>pvar!AF289</f>
        <v>17.784713565181757</v>
      </c>
      <c r="AD46" s="249">
        <f>pvar!AG289</f>
        <v>38.885649631746624</v>
      </c>
      <c r="AE46" s="249">
        <f>pvar!AH289</f>
        <v>17.849419531108669</v>
      </c>
      <c r="AF46" s="249">
        <f>pvar!AI289</f>
        <v>9.4079959428544981</v>
      </c>
      <c r="AG46" s="249">
        <f>pvar!AJ289</f>
        <v>29.884079605056595</v>
      </c>
      <c r="AH46" s="249">
        <f>pvar!AK289</f>
        <v>10.114291145021189</v>
      </c>
      <c r="AI46" s="249">
        <f>pvar!AL289</f>
        <v>4.852465155316704</v>
      </c>
      <c r="AJ46" s="236"/>
      <c r="AK46" s="245">
        <f>SUM(C46:AI46)</f>
        <v>2793.2665321404515</v>
      </c>
    </row>
    <row r="47" spans="1:37" x14ac:dyDescent="0.25">
      <c r="A47" s="236"/>
      <c r="B47" s="22" t="s">
        <v>57</v>
      </c>
      <c r="C47" s="256">
        <f t="shared" ref="C47:AI47" si="18">C46/C19*1000000</f>
        <v>175.35162113187766</v>
      </c>
      <c r="D47" s="256">
        <f t="shared" si="18"/>
        <v>177.99867500055018</v>
      </c>
      <c r="E47" s="256">
        <f t="shared" si="18"/>
        <v>113.25602064216942</v>
      </c>
      <c r="F47" s="256">
        <f t="shared" si="18"/>
        <v>178.02064322580048</v>
      </c>
      <c r="G47" s="256">
        <f t="shared" si="18"/>
        <v>154.59632923610801</v>
      </c>
      <c r="H47" s="256">
        <f t="shared" si="18"/>
        <v>99.961906493030668</v>
      </c>
      <c r="I47" s="256">
        <f t="shared" si="18"/>
        <v>149.9726399371913</v>
      </c>
      <c r="J47" s="256">
        <f t="shared" si="18"/>
        <v>172.91644762834736</v>
      </c>
      <c r="K47" s="256">
        <f t="shared" si="18"/>
        <v>115.90234577953943</v>
      </c>
      <c r="L47" s="256">
        <f t="shared" si="18"/>
        <v>115.23644826846221</v>
      </c>
      <c r="M47" s="256">
        <f t="shared" si="18"/>
        <v>99.300777800572206</v>
      </c>
      <c r="N47" s="256">
        <f t="shared" si="18"/>
        <v>159.62045821348605</v>
      </c>
      <c r="O47" s="256">
        <f t="shared" si="18"/>
        <v>108.59443430043592</v>
      </c>
      <c r="P47" s="256">
        <f t="shared" si="18"/>
        <v>114.5217665007754</v>
      </c>
      <c r="Q47" s="256">
        <f t="shared" si="18"/>
        <v>129.42160825207196</v>
      </c>
      <c r="R47" s="256">
        <f t="shared" si="18"/>
        <v>121.74013004794917</v>
      </c>
      <c r="S47" s="256">
        <f t="shared" si="18"/>
        <v>124.93589361823405</v>
      </c>
      <c r="T47" s="256">
        <f t="shared" si="18"/>
        <v>134.32202448753736</v>
      </c>
      <c r="U47" s="256">
        <f t="shared" si="18"/>
        <v>234.66169178217513</v>
      </c>
      <c r="V47" s="256">
        <f t="shared" si="18"/>
        <v>122.56073478530318</v>
      </c>
      <c r="W47" s="256">
        <f t="shared" si="18"/>
        <v>151.32315533426342</v>
      </c>
      <c r="X47" s="256">
        <f t="shared" si="18"/>
        <v>108.60176622918851</v>
      </c>
      <c r="Y47" s="256">
        <f t="shared" si="18"/>
        <v>90.112557570692047</v>
      </c>
      <c r="Z47" s="256">
        <f t="shared" si="18"/>
        <v>162.93436787084562</v>
      </c>
      <c r="AA47" s="256">
        <f t="shared" si="18"/>
        <v>83.780787901632792</v>
      </c>
      <c r="AB47" s="256">
        <f t="shared" si="18"/>
        <v>181.56296953776052</v>
      </c>
      <c r="AC47" s="256">
        <f t="shared" si="18"/>
        <v>86.69370630147202</v>
      </c>
      <c r="AD47" s="256">
        <f t="shared" si="18"/>
        <v>114.98823324618488</v>
      </c>
      <c r="AE47" s="256">
        <f t="shared" si="18"/>
        <v>104.16331158587647</v>
      </c>
      <c r="AF47" s="256">
        <f t="shared" si="18"/>
        <v>50.845570904452977</v>
      </c>
      <c r="AG47" s="256">
        <f t="shared" si="18"/>
        <v>167.83931737218515</v>
      </c>
      <c r="AH47" s="256">
        <f t="shared" si="18"/>
        <v>49.90338406535831</v>
      </c>
      <c r="AI47" s="256">
        <f t="shared" si="18"/>
        <v>52.480305494233598</v>
      </c>
      <c r="AJ47" s="256"/>
      <c r="AK47" s="257">
        <f>AK45*AK42/(AK42+AK45)</f>
        <v>123.60218611557282</v>
      </c>
    </row>
    <row r="48" spans="1:37" x14ac:dyDescent="0.25">
      <c r="A48" s="8" t="s">
        <v>770</v>
      </c>
      <c r="B48" s="22" t="s">
        <v>77</v>
      </c>
      <c r="C48" s="150">
        <f>(pvar!F25*(pvar!F29)/100)*(C19/1000000)+pvar!F1243</f>
        <v>5.4116607972820949</v>
      </c>
      <c r="D48" s="150">
        <f>(pvar!G25*(pvar!G29)/100)*(D19/1000000)+pvar!G1243</f>
        <v>4.4270710011699181</v>
      </c>
      <c r="E48" s="150">
        <f>(pvar!H25*(pvar!H29)/100)*(E19/1000000)+pvar!H1243</f>
        <v>3.9973338012833741</v>
      </c>
      <c r="F48" s="150">
        <f>(pvar!I25*(pvar!I29)/100)*(F19/1000000)+pvar!I1243</f>
        <v>15.395095632686745</v>
      </c>
      <c r="G48" s="150">
        <f>(pvar!J25*(pvar!J29)/100)*(G19/1000000)+pvar!J1243</f>
        <v>22.812708963876478</v>
      </c>
      <c r="H48" s="150">
        <f>(pvar!K25*(pvar!K29)/100)*(H19/1000000)+pvar!K1243</f>
        <v>12.095988411450374</v>
      </c>
      <c r="I48" s="150">
        <f>(pvar!L25*(pvar!L29)/100)*(I19/1000000)+pvar!L1243</f>
        <v>13.092132922929176</v>
      </c>
      <c r="J48" s="150">
        <f>(pvar!M25*(pvar!M29)/100)*(J19/1000000)+pvar!M1243</f>
        <v>4.8730035601657944</v>
      </c>
      <c r="K48" s="150">
        <f>(pvar!N25*(pvar!N29)/100)*(K19/1000000)+pvar!N1243</f>
        <v>16.997107709082801</v>
      </c>
      <c r="L48" s="150">
        <f>(pvar!O25*(pvar!O29)/100)*(L19/1000000)+pvar!O1243</f>
        <v>6.9094976001366204</v>
      </c>
      <c r="M48" s="150">
        <f>(pvar!P25*(pvar!P29)/100)*(M19/1000000)+pvar!P1243</f>
        <v>40.676172621539301</v>
      </c>
      <c r="N48" s="150">
        <f>(pvar!Q25*(pvar!Q29)/100)*(N19/1000000)+pvar!Q1243</f>
        <v>3.6943735387176395</v>
      </c>
      <c r="O48" s="150">
        <f>(pvar!R25*(pvar!R29)/100)*(O19/1000000)+pvar!R1243</f>
        <v>71.557626721172767</v>
      </c>
      <c r="P48" s="150">
        <f>(pvar!S25*(pvar!S29)/100)*(P19/1000000)+pvar!S1243</f>
        <v>43.160408634040991</v>
      </c>
      <c r="Q48" s="150">
        <f>(pvar!T25*(pvar!T29)/100)*(Q19/1000000)+pvar!T1243</f>
        <v>76.818415604277078</v>
      </c>
      <c r="R48" s="150">
        <f>(pvar!U25*(pvar!U29)/100)*(R19/1000000)+pvar!U1243</f>
        <v>22.873298531895795</v>
      </c>
      <c r="S48" s="150">
        <f>(pvar!V25*(pvar!V29)/100)*(S19/1000000)+pvar!V1243</f>
        <v>76.745145385889174</v>
      </c>
      <c r="T48" s="150">
        <f>(pvar!W25*(pvar!W29)/100)*(T19/1000000)+pvar!W1243</f>
        <v>13.934697864445175</v>
      </c>
      <c r="U48" s="150">
        <f>(pvar!X25*(pvar!X29)/100)*(U19/1000000)+pvar!X1243</f>
        <v>7.5700980010711092</v>
      </c>
      <c r="V48" s="150">
        <f>(pvar!Y25*(pvar!Y29)/100)*(V19/1000000)+pvar!Y1243</f>
        <v>11.75283177918325</v>
      </c>
      <c r="W48" s="150">
        <f>(pvar!Z25*(pvar!Z29)/100)*(W19/1000000)+pvar!Z1243</f>
        <v>9.9748930352864473</v>
      </c>
      <c r="X48" s="150">
        <f>(pvar!AA25*(pvar!AA29)/100)*(X19/1000000)+pvar!AA1243</f>
        <v>18.750029839811397</v>
      </c>
      <c r="Y48" s="150">
        <f>(pvar!AB25*(pvar!AB29)/100)*(Y19/1000000)+pvar!AB1243</f>
        <v>25.541782445794741</v>
      </c>
      <c r="Z48" s="150">
        <f>(pvar!AC25*(pvar!AC29)/100)*(Z19/1000000)+pvar!AC1243</f>
        <v>70.463244237733335</v>
      </c>
      <c r="AA48" s="150">
        <f>(pvar!AD25*(pvar!AD29)/100)*(AA19/1000000)+pvar!AD1243</f>
        <v>1.1932923611870061</v>
      </c>
      <c r="AB48" s="150">
        <f>(pvar!AE25*(pvar!AE29)/100)*(AB19/1000000)+pvar!AE1243</f>
        <v>21.721015030687944</v>
      </c>
      <c r="AC48" s="150">
        <f>(pvar!AF25*(pvar!AF29)/100)*(AC19/1000000)+pvar!AF1243</f>
        <v>2.0770853217566012</v>
      </c>
      <c r="AD48" s="150">
        <f>(pvar!AG25*(pvar!AG29)/100)*(AD19/1000000)+pvar!AG1243</f>
        <v>18.780254557398791</v>
      </c>
      <c r="AE48" s="150">
        <f>(pvar!AH25*(pvar!AH29)/100)*(AE19/1000000)+pvar!AH1243</f>
        <v>16.468832077949866</v>
      </c>
      <c r="AF48" s="150">
        <f>(pvar!AI25*(pvar!AI29)/100)*(AF19/1000000)+pvar!AI1243</f>
        <v>0.67628752238322676</v>
      </c>
      <c r="AG48" s="150">
        <f>(pvar!AJ25*(pvar!AJ29)/100)*(AG19/1000000)+pvar!AJ1243</f>
        <v>1.6078070565269229</v>
      </c>
      <c r="AH48" s="150">
        <f>(pvar!AK25*(pvar!AK29)/100)*(AH19/1000000)+pvar!AK1243</f>
        <v>0.7407861175634084</v>
      </c>
      <c r="AI48" s="150">
        <f>(pvar!AL25*(pvar!AL29)/100)*(AI19/1000000)+pvar!AL1243</f>
        <v>0.37770969457574444</v>
      </c>
      <c r="AJ48" s="236"/>
      <c r="AK48" s="245">
        <f>SUM(C48:AI48)</f>
        <v>663.16768838095095</v>
      </c>
    </row>
    <row r="49" spans="1:37" x14ac:dyDescent="0.25">
      <c r="A49" s="8"/>
      <c r="B49" s="22"/>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236"/>
      <c r="AK49" s="245"/>
    </row>
    <row r="50" spans="1:37" x14ac:dyDescent="0.25">
      <c r="A50" s="236"/>
      <c r="B50" s="236"/>
      <c r="C50" s="265"/>
      <c r="D50" s="236"/>
      <c r="E50" s="236"/>
      <c r="F50" s="236"/>
      <c r="G50" s="236"/>
      <c r="H50" s="236"/>
      <c r="I50" s="236"/>
      <c r="J50" s="236"/>
      <c r="K50" s="236"/>
      <c r="L50" s="236"/>
      <c r="M50" s="236"/>
      <c r="N50" s="236"/>
      <c r="O50" s="236"/>
      <c r="P50" s="236"/>
      <c r="Q50" s="236"/>
      <c r="R50" s="236"/>
      <c r="S50" s="236"/>
      <c r="T50" s="236"/>
      <c r="U50" s="236"/>
      <c r="V50" s="236"/>
      <c r="W50" s="236"/>
      <c r="X50" s="236"/>
      <c r="Y50" s="236"/>
      <c r="Z50" s="236"/>
      <c r="AA50" s="236"/>
      <c r="AB50" s="236"/>
      <c r="AC50" s="236"/>
      <c r="AD50" s="236"/>
      <c r="AE50" s="236"/>
      <c r="AF50" s="236"/>
      <c r="AG50" s="236"/>
      <c r="AH50" s="236"/>
      <c r="AI50" s="236"/>
      <c r="AJ50" s="236"/>
      <c r="AK50" s="254"/>
    </row>
    <row r="51" spans="1:37" x14ac:dyDescent="0.25">
      <c r="A51" s="246" t="s">
        <v>771</v>
      </c>
      <c r="B51" s="247"/>
      <c r="C51" s="265"/>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45"/>
    </row>
    <row r="52" spans="1:37" x14ac:dyDescent="0.25">
      <c r="A52" s="236" t="s">
        <v>772</v>
      </c>
      <c r="B52" s="8" t="s">
        <v>77</v>
      </c>
      <c r="C52" s="150">
        <f>pvar!F1244</f>
        <v>0</v>
      </c>
      <c r="D52" s="150">
        <f>pvar!G1244</f>
        <v>0</v>
      </c>
      <c r="E52" s="150">
        <f>pvar!H1244</f>
        <v>0</v>
      </c>
      <c r="F52" s="150">
        <f>pvar!I1244</f>
        <v>0</v>
      </c>
      <c r="G52" s="150">
        <f>pvar!J1244</f>
        <v>57.889878710483323</v>
      </c>
      <c r="H52" s="150">
        <f>pvar!K1244</f>
        <v>23.876067630100906</v>
      </c>
      <c r="I52" s="150">
        <f>pvar!L1244</f>
        <v>22.78458424497353</v>
      </c>
      <c r="J52" s="150">
        <f>pvar!M1244</f>
        <v>0</v>
      </c>
      <c r="K52" s="150">
        <f>pvar!N1244</f>
        <v>0</v>
      </c>
      <c r="L52" s="150">
        <f>pvar!O1244</f>
        <v>0</v>
      </c>
      <c r="M52" s="150">
        <f>pvar!P1244</f>
        <v>90.335496520682028</v>
      </c>
      <c r="N52" s="150">
        <f>pvar!Q1244</f>
        <v>0</v>
      </c>
      <c r="O52" s="150">
        <f>pvar!R1244</f>
        <v>20.497048863359179</v>
      </c>
      <c r="P52" s="150">
        <f>pvar!S1244</f>
        <v>36.555212618539244</v>
      </c>
      <c r="Q52" s="150">
        <f>pvar!T1244</f>
        <v>61.92885065770129</v>
      </c>
      <c r="R52" s="150">
        <f>pvar!U1244</f>
        <v>0</v>
      </c>
      <c r="S52" s="150">
        <f>pvar!V1244</f>
        <v>184.17873601641529</v>
      </c>
      <c r="T52" s="150">
        <f>pvar!W1244</f>
        <v>26.788166551115779</v>
      </c>
      <c r="U52" s="150">
        <f>pvar!X1244</f>
        <v>15.507032008540758</v>
      </c>
      <c r="V52" s="150">
        <f>pvar!Y1244</f>
        <v>22.18204758800124</v>
      </c>
      <c r="W52" s="150">
        <f>pvar!Z1244</f>
        <v>27.501959039236887</v>
      </c>
      <c r="X52" s="150">
        <f>pvar!AA1244</f>
        <v>29.785013862964906</v>
      </c>
      <c r="Y52" s="150">
        <f>pvar!AB1244</f>
        <v>31.763154582366397</v>
      </c>
      <c r="Z52" s="150">
        <f>pvar!AC1244</f>
        <v>69.89198303457573</v>
      </c>
      <c r="AA52" s="150">
        <f>pvar!AD1244</f>
        <v>0</v>
      </c>
      <c r="AB52" s="150">
        <f>pvar!AE1244</f>
        <v>32.173481045373485</v>
      </c>
      <c r="AC52" s="150">
        <f>pvar!AF1244</f>
        <v>0</v>
      </c>
      <c r="AD52" s="150">
        <f>pvar!AG1244</f>
        <v>22.41148467025587</v>
      </c>
      <c r="AE52" s="150">
        <f>pvar!AH1244</f>
        <v>36.419402814632903</v>
      </c>
      <c r="AF52" s="150">
        <f>pvar!AI1244</f>
        <v>0</v>
      </c>
      <c r="AG52" s="150">
        <f>pvar!AJ1244</f>
        <v>0</v>
      </c>
      <c r="AH52" s="150">
        <f>pvar!AK1244</f>
        <v>0</v>
      </c>
      <c r="AI52" s="150">
        <f>pvar!AL1244</f>
        <v>0</v>
      </c>
      <c r="AJ52" s="236"/>
      <c r="AK52" s="245">
        <f>SUM(C52:AI52)</f>
        <v>812.46960045931849</v>
      </c>
    </row>
    <row r="53" spans="1:37" x14ac:dyDescent="0.25">
      <c r="A53" s="236" t="s">
        <v>773</v>
      </c>
      <c r="B53" s="8" t="s">
        <v>77</v>
      </c>
      <c r="C53" s="248">
        <f>(pvar!F27-(pvar!F27*(pvar!F29)/100))*C18/1000000</f>
        <v>0</v>
      </c>
      <c r="D53" s="248">
        <f>(pvar!G27-(pvar!G27*(pvar!G29)/100))*D18/1000000</f>
        <v>0</v>
      </c>
      <c r="E53" s="248">
        <f>(pvar!H27-(pvar!H27*(pvar!H29)/100))*E18/1000000</f>
        <v>0</v>
      </c>
      <c r="F53" s="248">
        <f>(pvar!I27-(pvar!I27*(pvar!I29)/100))*F18/1000000</f>
        <v>0</v>
      </c>
      <c r="G53" s="248">
        <f>(pvar!J27-(pvar!J27*(pvar!J29)/100))*G18/1000000</f>
        <v>8.4884132215420536</v>
      </c>
      <c r="H53" s="248">
        <f>(pvar!K27-(pvar!K27*(pvar!K29)/100))*H18/1000000</f>
        <v>2.9541055389265014</v>
      </c>
      <c r="I53" s="248">
        <f>(pvar!L27-(pvar!L27*(pvar!L29)/100))*I18/1000000</f>
        <v>4.8392499151876516</v>
      </c>
      <c r="J53" s="248">
        <f>(pvar!M27-(pvar!M27*(pvar!M29)/100))*J18/1000000</f>
        <v>0</v>
      </c>
      <c r="K53" s="248">
        <f>(pvar!N27-(pvar!N27*(pvar!N29)/100))*K18/1000000</f>
        <v>0</v>
      </c>
      <c r="L53" s="248">
        <f>(pvar!O27-(pvar!O27*(pvar!O29)/100))*L18/1000000</f>
        <v>0</v>
      </c>
      <c r="M53" s="248">
        <f>(pvar!P27-(pvar!P27*(pvar!P29)/100))*M18/1000000</f>
        <v>0</v>
      </c>
      <c r="N53" s="248">
        <f>(pvar!Q27-(pvar!Q27*(pvar!Q29)/100))*N18/1000000</f>
        <v>0</v>
      </c>
      <c r="O53" s="248">
        <f>(pvar!R27-(pvar!R27*(pvar!R29)/100))*O18/1000000</f>
        <v>7.264626793509664</v>
      </c>
      <c r="P53" s="248">
        <f>(pvar!S27-(pvar!S27*(pvar!S29)/100))*P18/1000000</f>
        <v>5.4367562498143727</v>
      </c>
      <c r="Q53" s="248">
        <f>(pvar!T27-(pvar!T27*(pvar!T29)/100))*Q18/1000000</f>
        <v>16.18170950365726</v>
      </c>
      <c r="R53" s="248">
        <f>(pvar!U27-(pvar!U27*(pvar!U29)/100))*R18/1000000</f>
        <v>0</v>
      </c>
      <c r="S53" s="248">
        <f>(pvar!V27-(pvar!V27*(pvar!V29)/100))*S18/1000000</f>
        <v>41.690266535981948</v>
      </c>
      <c r="T53" s="248">
        <f>(pvar!W27-(pvar!W27*(pvar!W29)/100))*T18/1000000</f>
        <v>7.2845832731357385</v>
      </c>
      <c r="U53" s="248">
        <f>(pvar!X27-(pvar!X27*(pvar!X29)/100))*U18/1000000</f>
        <v>1.2770637971260539</v>
      </c>
      <c r="V53" s="248">
        <f>(pvar!Y27-(pvar!Y27*(pvar!Y29)/100))*V18/1000000</f>
        <v>4.0199322059539853</v>
      </c>
      <c r="W53" s="248">
        <f>(pvar!Z27-(pvar!Z27*(pvar!Z29)/100))*W18/1000000</f>
        <v>2.9462775491648032</v>
      </c>
      <c r="X53" s="248">
        <f>(pvar!AA27-(pvar!AA27*(pvar!AA29)/100))*X18/1000000</f>
        <v>5.8349322855029522</v>
      </c>
      <c r="Y53" s="248">
        <f>(pvar!AB27-(pvar!AB27*(pvar!AB29)/100))*Y18/1000000</f>
        <v>11.279302526572909</v>
      </c>
      <c r="Z53" s="248">
        <f>(pvar!AC27-(pvar!AC27*(pvar!AC29)/100))*Z18/1000000</f>
        <v>8.5551372468996032</v>
      </c>
      <c r="AA53" s="248">
        <f>(pvar!AD27-(pvar!AD27*(pvar!AD29)/100))*AA18/1000000</f>
        <v>0</v>
      </c>
      <c r="AB53" s="248">
        <f>(pvar!AE27-(pvar!AE27*(pvar!AE29)/100))*AB18/1000000</f>
        <v>14.998360927863319</v>
      </c>
      <c r="AC53" s="248">
        <f>(pvar!AF27-(pvar!AF27*(pvar!AF29)/100))*AC18/1000000</f>
        <v>0</v>
      </c>
      <c r="AD53" s="248">
        <f>(pvar!AG27-(pvar!AG27*(pvar!AG29)/100))*AD18/1000000</f>
        <v>5.1999521188527185</v>
      </c>
      <c r="AE53" s="248">
        <f>(pvar!AH27-(pvar!AH27*(pvar!AH29)/100))*AE18/1000000</f>
        <v>8.4839408722347578</v>
      </c>
      <c r="AF53" s="248">
        <f>(pvar!AI27-(pvar!AI27*(pvar!AI29)/100))*AF18/1000000</f>
        <v>0</v>
      </c>
      <c r="AG53" s="248">
        <f>(pvar!AJ27-(pvar!AJ27*(pvar!AJ29)/100))*AG18/1000000</f>
        <v>0</v>
      </c>
      <c r="AH53" s="248">
        <f>(pvar!AK27-(pvar!AK27*(pvar!AK29)/100))*AH18/1000000</f>
        <v>0</v>
      </c>
      <c r="AI53" s="248">
        <f>(pvar!AL27-(pvar!AL27*(pvar!AL29)/100))*AI18/1000000</f>
        <v>0</v>
      </c>
      <c r="AJ53" s="236"/>
      <c r="AK53" s="254">
        <f>SUM(V53:AJ53)</f>
        <v>61.317835733045044</v>
      </c>
    </row>
    <row r="54" spans="1:37" x14ac:dyDescent="0.25">
      <c r="A54" s="236" t="s">
        <v>774</v>
      </c>
      <c r="B54" s="8" t="s">
        <v>77</v>
      </c>
      <c r="C54" s="249">
        <f>pvar!F33</f>
        <v>0</v>
      </c>
      <c r="D54" s="249">
        <f>pvar!G33</f>
        <v>2.8379353945616815E-10</v>
      </c>
      <c r="E54" s="249">
        <f>pvar!H33</f>
        <v>0</v>
      </c>
      <c r="F54" s="249">
        <f>pvar!I33</f>
        <v>0</v>
      </c>
      <c r="G54" s="249">
        <f>pvar!J33</f>
        <v>7.5001653639314547</v>
      </c>
      <c r="H54" s="249">
        <f>pvar!K33</f>
        <v>3.7937135658042114</v>
      </c>
      <c r="I54" s="249">
        <f>pvar!L33</f>
        <v>6.7575315107201623</v>
      </c>
      <c r="J54" s="249">
        <f>pvar!M33</f>
        <v>0</v>
      </c>
      <c r="K54" s="249">
        <f>pvar!N33</f>
        <v>0</v>
      </c>
      <c r="L54" s="249">
        <f>pvar!O33</f>
        <v>0</v>
      </c>
      <c r="M54" s="249">
        <f>pvar!P33</f>
        <v>14.336435811145991</v>
      </c>
      <c r="N54" s="249">
        <f>pvar!Q33</f>
        <v>0</v>
      </c>
      <c r="O54" s="249">
        <f>pvar!R33</f>
        <v>5.9997342520246475</v>
      </c>
      <c r="P54" s="249">
        <f>pvar!S33</f>
        <v>7.1371790208238046</v>
      </c>
      <c r="Q54" s="249">
        <f>pvar!T33</f>
        <v>12.976446192503635</v>
      </c>
      <c r="R54" s="249">
        <f>pvar!U33</f>
        <v>0</v>
      </c>
      <c r="S54" s="249">
        <f>pvar!V33</f>
        <v>51.14932305561284</v>
      </c>
      <c r="T54" s="249">
        <f>pvar!W33</f>
        <v>9.8703383775962763</v>
      </c>
      <c r="U54" s="249">
        <f>pvar!X33</f>
        <v>4.5723618005153259</v>
      </c>
      <c r="V54" s="249">
        <f>pvar!Y33</f>
        <v>6.4447782086965359</v>
      </c>
      <c r="W54" s="249">
        <f>pvar!Z33</f>
        <v>3.4296587521127271</v>
      </c>
      <c r="X54" s="249">
        <f>pvar!AA33</f>
        <v>5.5144135180552949</v>
      </c>
      <c r="Y54" s="249">
        <f>pvar!AB33</f>
        <v>8.8802026533998468</v>
      </c>
      <c r="Z54" s="249">
        <f>pvar!AC33</f>
        <v>8.5279720544605588</v>
      </c>
      <c r="AA54" s="249">
        <f>pvar!AD33</f>
        <v>0</v>
      </c>
      <c r="AB54" s="249">
        <f>pvar!AE33</f>
        <v>7.8139680749841585</v>
      </c>
      <c r="AC54" s="249">
        <f>pvar!AF33</f>
        <v>0</v>
      </c>
      <c r="AD54" s="249">
        <f>pvar!AG33</f>
        <v>5.8041529693325051</v>
      </c>
      <c r="AE54" s="249">
        <f>pvar!AH33</f>
        <v>13.616474992901155</v>
      </c>
      <c r="AF54" s="249">
        <f>pvar!AI33</f>
        <v>0</v>
      </c>
      <c r="AG54" s="249">
        <f>pvar!AJ33</f>
        <v>0</v>
      </c>
      <c r="AH54" s="249">
        <f>pvar!AK33</f>
        <v>0</v>
      </c>
      <c r="AI54" s="249">
        <f>pvar!AL33</f>
        <v>0</v>
      </c>
      <c r="AJ54" s="236"/>
      <c r="AK54" s="245">
        <f>C54+D54+E54+F54+G54+H54+I54+J54+K54+L54+M54+N54+O54+P54+Q54+R54+S54+T54+U54+V54+W54+X54+Y54+Z54+AA54+AB54+AC54+AD54+AE54+AF54+AG54+AH54+AI54</f>
        <v>184.12485017490491</v>
      </c>
    </row>
    <row r="55" spans="1:37" x14ac:dyDescent="0.25">
      <c r="A55" s="236" t="s">
        <v>764</v>
      </c>
      <c r="B55" s="8" t="s">
        <v>77</v>
      </c>
      <c r="C55" s="249">
        <f>pvar!F41</f>
        <v>0</v>
      </c>
      <c r="D55" s="249">
        <f>pvar!G41</f>
        <v>8.1297110304694543E-11</v>
      </c>
      <c r="E55" s="249">
        <f>pvar!H41</f>
        <v>0</v>
      </c>
      <c r="F55" s="249">
        <f>pvar!I41</f>
        <v>0</v>
      </c>
      <c r="G55" s="249">
        <f>pvar!J41</f>
        <v>2.4765338449610965</v>
      </c>
      <c r="H55" s="249">
        <f>pvar!K41</f>
        <v>0.84462755641954157</v>
      </c>
      <c r="I55" s="249">
        <f>pvar!L41</f>
        <v>1.7410729633614026</v>
      </c>
      <c r="J55" s="249">
        <f>pvar!M41</f>
        <v>0</v>
      </c>
      <c r="K55" s="249">
        <f>pvar!N41</f>
        <v>0</v>
      </c>
      <c r="L55" s="249">
        <f>pvar!O41</f>
        <v>0</v>
      </c>
      <c r="M55" s="249">
        <f>pvar!P41</f>
        <v>5.0552403104209098</v>
      </c>
      <c r="N55" s="249">
        <f>pvar!Q41</f>
        <v>0</v>
      </c>
      <c r="O55" s="249">
        <f>pvar!R41</f>
        <v>2.5701155647807972</v>
      </c>
      <c r="P55" s="249">
        <f>pvar!S41</f>
        <v>1.8867108176884746</v>
      </c>
      <c r="Q55" s="249">
        <f>pvar!T41</f>
        <v>5.0820752605209165</v>
      </c>
      <c r="R55" s="249">
        <f>pvar!U41</f>
        <v>0</v>
      </c>
      <c r="S55" s="249">
        <f>pvar!V41</f>
        <v>17.270695371341411</v>
      </c>
      <c r="T55" s="249">
        <f>pvar!W41</f>
        <v>4.3193573949706607</v>
      </c>
      <c r="U55" s="249">
        <f>pvar!X41</f>
        <v>1.9153894704588357</v>
      </c>
      <c r="V55" s="249">
        <f>pvar!Y41</f>
        <v>2.3688632760442827</v>
      </c>
      <c r="W55" s="249">
        <f>pvar!Z41</f>
        <v>1.6738088632919386</v>
      </c>
      <c r="X55" s="249">
        <f>pvar!AA41</f>
        <v>2.7490389518733109</v>
      </c>
      <c r="Y55" s="249">
        <f>pvar!AB41</f>
        <v>3.940666850945179</v>
      </c>
      <c r="Z55" s="249">
        <f>pvar!AC41</f>
        <v>3.7888367293022798</v>
      </c>
      <c r="AA55" s="249">
        <f>pvar!AD41</f>
        <v>0</v>
      </c>
      <c r="AB55" s="249">
        <f>pvar!AE41</f>
        <v>3.6647038613447442</v>
      </c>
      <c r="AC55" s="249">
        <f>pvar!AF41</f>
        <v>0</v>
      </c>
      <c r="AD55" s="249">
        <f>pvar!AG41</f>
        <v>2.3876019861463806</v>
      </c>
      <c r="AE55" s="249">
        <f>pvar!AH41</f>
        <v>4.5000937553865796</v>
      </c>
      <c r="AF55" s="249">
        <f>pvar!AI41</f>
        <v>0</v>
      </c>
      <c r="AG55" s="249">
        <f>pvar!AJ41</f>
        <v>0</v>
      </c>
      <c r="AH55" s="249">
        <f>pvar!AK41</f>
        <v>0</v>
      </c>
      <c r="AI55" s="249">
        <f>pvar!AL41</f>
        <v>0</v>
      </c>
      <c r="AJ55" s="236"/>
      <c r="AK55" s="245">
        <f>C55+D55+E55+F55+G55+H55+I55+J55+K55+L55+M55+N55+O55+P55+Q55+R55+S55+T55+U55+V55+W55+X55+Y55+Z55+AA55+AB55+AC55+AD55+AE55+AF55+AG55+AH55+AI55</f>
        <v>68.235432829340027</v>
      </c>
    </row>
    <row r="56" spans="1:37" x14ac:dyDescent="0.25">
      <c r="A56" s="236" t="s">
        <v>775</v>
      </c>
      <c r="B56" s="22" t="s">
        <v>57</v>
      </c>
      <c r="C56" s="256"/>
      <c r="D56" s="256">
        <f>SUM(D52,D53,D54,D55)/D18*1000000</f>
        <v>54.039842828163792</v>
      </c>
      <c r="E56" s="256"/>
      <c r="F56" s="256"/>
      <c r="G56" s="256">
        <f>SUM(G52,G53,G54,G55)/G18*1000000</f>
        <v>414.93067543057447</v>
      </c>
      <c r="H56" s="256">
        <f>SUM(H52,H53,H54,H55)/H18*1000000</f>
        <v>485.75253415032279</v>
      </c>
      <c r="I56" s="256">
        <f>SUM(I52,I53,I54,I55)/I18*1000000</f>
        <v>298.08704394459505</v>
      </c>
      <c r="J56" s="256"/>
      <c r="K56" s="256"/>
      <c r="L56" s="256"/>
      <c r="M56" s="256">
        <f>SUM(M52,M53,M54,M55)/M18*1000000</f>
        <v>278.10499215323841</v>
      </c>
      <c r="N56" s="256"/>
      <c r="O56" s="256">
        <f>SUM(O52,O53,O54,O55)/O18*1000000</f>
        <v>232.61372688013097</v>
      </c>
      <c r="P56" s="256">
        <f>SUM(P52,P53,P54,P55)/P18*1000000</f>
        <v>293.24408290379034</v>
      </c>
      <c r="Q56" s="256">
        <f>SUM(Q52,Q53,Q54,Q55)/Q18*1000000</f>
        <v>273.74269902834607</v>
      </c>
      <c r="R56" s="256"/>
      <c r="S56" s="256">
        <f t="shared" ref="S56:Z56" si="19">SUM(S52,S53,S54,S55)/S18*1000000</f>
        <v>198.05616255779287</v>
      </c>
      <c r="T56" s="256">
        <f t="shared" si="19"/>
        <v>146.59107202649</v>
      </c>
      <c r="U56" s="256">
        <f t="shared" si="19"/>
        <v>103.01356030382061</v>
      </c>
      <c r="V56" s="256">
        <f t="shared" si="19"/>
        <v>192.52819139007084</v>
      </c>
      <c r="W56" s="256">
        <f t="shared" si="19"/>
        <v>137.06131777387279</v>
      </c>
      <c r="X56" s="256">
        <f t="shared" si="19"/>
        <v>166.23239348848932</v>
      </c>
      <c r="Y56" s="256">
        <f t="shared" si="19"/>
        <v>136.1604205254921</v>
      </c>
      <c r="Z56" s="256">
        <f t="shared" si="19"/>
        <v>249.20463586217443</v>
      </c>
      <c r="AA56" s="256"/>
      <c r="AB56" s="256">
        <f>SUM(AB52,AB53,AB54,AB55)/AB18*1000000</f>
        <v>197.053571298588</v>
      </c>
      <c r="AC56" s="256"/>
      <c r="AD56" s="256">
        <f>SUM(AD52,AD53,AD54,AD55)/AD18*1000000</f>
        <v>160.42731713324764</v>
      </c>
      <c r="AE56" s="256">
        <f>SUM(AE52,AE53,AE54,AE55)/AE18*1000000</f>
        <v>151.64190227263981</v>
      </c>
      <c r="AF56" s="256"/>
      <c r="AG56" s="256"/>
      <c r="AH56" s="256"/>
      <c r="AI56" s="256"/>
      <c r="AJ56" s="256"/>
      <c r="AK56" s="257">
        <f>SUM(AK52:AK53,AK54,AK55)/AK18*1000000</f>
        <v>190.77008923630839</v>
      </c>
    </row>
    <row r="57" spans="1:37" x14ac:dyDescent="0.25">
      <c r="A57" s="236" t="s">
        <v>776</v>
      </c>
      <c r="B57" s="236" t="s">
        <v>733</v>
      </c>
      <c r="C57" s="248"/>
      <c r="D57" s="248">
        <f t="shared" ref="D57:AE57" si="20">D52+D53+D54+D55-D60</f>
        <v>4.142029711354404E-11</v>
      </c>
      <c r="E57" s="248"/>
      <c r="F57" s="248"/>
      <c r="G57" s="248">
        <f t="shared" si="20"/>
        <v>37.470806462312964</v>
      </c>
      <c r="H57" s="248">
        <f t="shared" si="20"/>
        <v>12.166940638432418</v>
      </c>
      <c r="I57" s="248">
        <f t="shared" si="20"/>
        <v>9.672585120175345</v>
      </c>
      <c r="J57" s="248"/>
      <c r="K57" s="248"/>
      <c r="L57" s="248"/>
      <c r="M57" s="248">
        <f t="shared" si="20"/>
        <v>26.814375644510832</v>
      </c>
      <c r="N57" s="248"/>
      <c r="O57" s="248">
        <f t="shared" si="20"/>
        <v>17.705071510557048</v>
      </c>
      <c r="P57" s="248">
        <f t="shared" si="20"/>
        <v>19.028879495356492</v>
      </c>
      <c r="Q57" s="248">
        <f t="shared" si="20"/>
        <v>45.299348346991607</v>
      </c>
      <c r="R57" s="248"/>
      <c r="S57" s="248">
        <f t="shared" si="20"/>
        <v>71.542412827499277</v>
      </c>
      <c r="T57" s="248">
        <f t="shared" si="20"/>
        <v>8.6749281262873126</v>
      </c>
      <c r="U57" s="248">
        <f t="shared" si="20"/>
        <v>2.9077297053935425</v>
      </c>
      <c r="V57" s="248">
        <f t="shared" si="20"/>
        <v>8.6102969208230888</v>
      </c>
      <c r="W57" s="248">
        <f t="shared" si="20"/>
        <v>15.237906175160539</v>
      </c>
      <c r="X57" s="248">
        <f t="shared" si="20"/>
        <v>18.73996931498532</v>
      </c>
      <c r="Y57" s="248">
        <f t="shared" si="20"/>
        <v>20.057395188121234</v>
      </c>
      <c r="Z57" s="248">
        <f t="shared" si="20"/>
        <v>42.072771674511245</v>
      </c>
      <c r="AA57" s="248"/>
      <c r="AB57" s="248">
        <f t="shared" si="20"/>
        <v>30.633826697247944</v>
      </c>
      <c r="AC57" s="248"/>
      <c r="AD57" s="248">
        <f t="shared" si="20"/>
        <v>8.9644429081174692</v>
      </c>
      <c r="AE57" s="248">
        <f t="shared" si="20"/>
        <v>11.459933548081878</v>
      </c>
      <c r="AF57" s="248"/>
      <c r="AG57" s="248"/>
      <c r="AH57" s="248"/>
      <c r="AI57" s="248"/>
      <c r="AJ57" s="236"/>
      <c r="AK57" s="245">
        <f>C57+D57+E57+F57+G57+H57+I57+J57+K57+L57+M57+N57+O57+P57+Q57+R57+S57+T57+U57+V57+W57+X57+Y57+Z57+AA57+AB57+AC57+AD57+AE57+AF57+AG57+AH57+AI57</f>
        <v>407.05962030460699</v>
      </c>
    </row>
    <row r="58" spans="1:37" x14ac:dyDescent="0.25">
      <c r="A58" s="236"/>
      <c r="B58" s="22" t="s">
        <v>57</v>
      </c>
      <c r="C58" s="252"/>
      <c r="D58" s="252">
        <f>D57/D18*1000000</f>
        <v>6.1309330912141995</v>
      </c>
      <c r="E58" s="252"/>
      <c r="F58" s="252"/>
      <c r="G58" s="252">
        <f>G57/G18*1000000</f>
        <v>203.6250257123524</v>
      </c>
      <c r="H58" s="252">
        <f>H57/H18*1000000</f>
        <v>187.81065395318706</v>
      </c>
      <c r="I58" s="252">
        <f>I57/I18*1000000</f>
        <v>79.819425675272868</v>
      </c>
      <c r="J58" s="252"/>
      <c r="K58" s="252"/>
      <c r="L58" s="252"/>
      <c r="M58" s="252">
        <f>M57/M18*1000000</f>
        <v>67.961395055023743</v>
      </c>
      <c r="N58" s="252"/>
      <c r="O58" s="252">
        <f>O57/O18*1000000</f>
        <v>113.35727347133044</v>
      </c>
      <c r="P58" s="252">
        <f>P57/P18*1000000</f>
        <v>109.37983712800987</v>
      </c>
      <c r="Q58" s="252">
        <f>Q57/Q18*1000000</f>
        <v>128.94337423802668</v>
      </c>
      <c r="R58" s="252"/>
      <c r="S58" s="252">
        <f t="shared" ref="S58:Z58" si="21">S57/S18*1000000</f>
        <v>48.147959096761916</v>
      </c>
      <c r="T58" s="252">
        <f t="shared" si="21"/>
        <v>26.348996576108814</v>
      </c>
      <c r="U58" s="252">
        <f t="shared" si="21"/>
        <v>12.871156654102711</v>
      </c>
      <c r="V58" s="252">
        <f t="shared" si="21"/>
        <v>47.342438402089613</v>
      </c>
      <c r="W58" s="252">
        <f t="shared" si="21"/>
        <v>58.746199296362512</v>
      </c>
      <c r="X58" s="252">
        <f t="shared" si="21"/>
        <v>70.987891804371984</v>
      </c>
      <c r="Y58" s="252">
        <f t="shared" si="21"/>
        <v>48.887589211544203</v>
      </c>
      <c r="Z58" s="252">
        <f t="shared" si="21"/>
        <v>115.51648163361128</v>
      </c>
      <c r="AA58" s="252"/>
      <c r="AB58" s="252">
        <f>AB57/AB18*1000000</f>
        <v>102.92330878025267</v>
      </c>
      <c r="AC58" s="252"/>
      <c r="AD58" s="252">
        <f>AD57/AD18*1000000</f>
        <v>40.167969816849201</v>
      </c>
      <c r="AE58" s="252">
        <f>AE57/AE18*1000000</f>
        <v>27.575508375028317</v>
      </c>
      <c r="AF58" s="252"/>
      <c r="AG58" s="252"/>
      <c r="AH58" s="252"/>
      <c r="AI58" s="252"/>
      <c r="AJ58" s="236"/>
      <c r="AK58" s="253">
        <f>AK57/AK18*1000000</f>
        <v>68.956140270307046</v>
      </c>
    </row>
    <row r="59" spans="1:37" x14ac:dyDescent="0.25">
      <c r="A59" s="22" t="s">
        <v>768</v>
      </c>
      <c r="B59" s="22" t="s">
        <v>57</v>
      </c>
      <c r="C59" s="252"/>
      <c r="D59" s="252">
        <f t="shared" ref="D59:AE59" si="22">D61*D56/D58</f>
        <v>422.28318491414262</v>
      </c>
      <c r="E59" s="252"/>
      <c r="F59" s="252"/>
      <c r="G59" s="252">
        <f t="shared" si="22"/>
        <v>430.5816323565947</v>
      </c>
      <c r="H59" s="252">
        <f t="shared" si="22"/>
        <v>770.59538577265357</v>
      </c>
      <c r="I59" s="252">
        <f t="shared" si="22"/>
        <v>815.12424536130459</v>
      </c>
      <c r="J59" s="252"/>
      <c r="K59" s="252"/>
      <c r="L59" s="252"/>
      <c r="M59" s="252">
        <f t="shared" si="22"/>
        <v>859.92913145375803</v>
      </c>
      <c r="N59" s="252"/>
      <c r="O59" s="252">
        <f t="shared" si="22"/>
        <v>244.71908358790736</v>
      </c>
      <c r="P59" s="252">
        <f t="shared" si="22"/>
        <v>492.93456222846049</v>
      </c>
      <c r="Q59" s="252">
        <f t="shared" si="22"/>
        <v>307.40437978933056</v>
      </c>
      <c r="R59" s="252"/>
      <c r="S59" s="252">
        <f t="shared" si="22"/>
        <v>616.64594035557752</v>
      </c>
      <c r="T59" s="252">
        <f t="shared" si="22"/>
        <v>668.95962022871527</v>
      </c>
      <c r="U59" s="252">
        <f t="shared" si="22"/>
        <v>721.44953121533592</v>
      </c>
      <c r="V59" s="252">
        <f t="shared" si="22"/>
        <v>590.42903960662568</v>
      </c>
      <c r="W59" s="252">
        <f t="shared" si="22"/>
        <v>182.71774972188146</v>
      </c>
      <c r="X59" s="252">
        <f t="shared" si="22"/>
        <v>223.03411298931084</v>
      </c>
      <c r="Y59" s="252">
        <f t="shared" si="22"/>
        <v>243.0699816417094</v>
      </c>
      <c r="Z59" s="252">
        <f t="shared" si="22"/>
        <v>288.40653145309767</v>
      </c>
      <c r="AA59" s="252"/>
      <c r="AB59" s="252">
        <f t="shared" si="22"/>
        <v>180.21869502965717</v>
      </c>
      <c r="AC59" s="252"/>
      <c r="AD59" s="252">
        <f t="shared" si="22"/>
        <v>480.30519187635093</v>
      </c>
      <c r="AE59" s="252">
        <f t="shared" si="22"/>
        <v>682.2599142280045</v>
      </c>
      <c r="AF59" s="252"/>
      <c r="AG59" s="252"/>
      <c r="AH59" s="252"/>
      <c r="AI59" s="252"/>
      <c r="AJ59" s="252"/>
      <c r="AK59" s="253">
        <f>(SUM(AK52:AK55)*1000000/AK18)*(AK60*1000000/AK18)/AK58</f>
        <v>381.72090694445711</v>
      </c>
    </row>
    <row r="60" spans="1:37" x14ac:dyDescent="0.25">
      <c r="A60" s="236" t="s">
        <v>777</v>
      </c>
      <c r="B60" s="8" t="s">
        <v>77</v>
      </c>
      <c r="C60" s="249"/>
      <c r="D60" s="249">
        <f>pvar!G292</f>
        <v>3.2367035264731864E-10</v>
      </c>
      <c r="E60" s="249"/>
      <c r="F60" s="249"/>
      <c r="G60" s="249">
        <f>pvar!J292</f>
        <v>38.884184678604967</v>
      </c>
      <c r="H60" s="249">
        <f>pvar!K292</f>
        <v>19.301573652818742</v>
      </c>
      <c r="I60" s="249">
        <f>pvar!L292</f>
        <v>26.449853514067403</v>
      </c>
      <c r="J60" s="249"/>
      <c r="K60" s="249"/>
      <c r="L60" s="249"/>
      <c r="M60" s="249">
        <f>pvar!P292</f>
        <v>82.912796997738099</v>
      </c>
      <c r="N60" s="249"/>
      <c r="O60" s="249">
        <f>pvar!R292</f>
        <v>18.626453963117243</v>
      </c>
      <c r="P60" s="249">
        <f>pvar!S292</f>
        <v>31.9869792115094</v>
      </c>
      <c r="Q60" s="249">
        <f>pvar!T292</f>
        <v>50.869733267391481</v>
      </c>
      <c r="R60" s="249"/>
      <c r="S60" s="249">
        <f>pvar!V292</f>
        <v>222.74660815185217</v>
      </c>
      <c r="T60" s="249">
        <f>pvar!W292</f>
        <v>39.587517470531139</v>
      </c>
      <c r="U60" s="249">
        <f>pvar!X292</f>
        <v>20.364117371247431</v>
      </c>
      <c r="V60" s="249">
        <f>pvar!Y292</f>
        <v>26.405324357872949</v>
      </c>
      <c r="W60" s="249">
        <f>pvar!Z292</f>
        <v>20.31379802864582</v>
      </c>
      <c r="X60" s="249">
        <f>pvar!AA292</f>
        <v>25.143429303411143</v>
      </c>
      <c r="Y60" s="249">
        <f>pvar!AB292</f>
        <v>35.805931425163095</v>
      </c>
      <c r="Z60" s="249">
        <f>pvar!AC292</f>
        <v>48.691157390726929</v>
      </c>
      <c r="AA60" s="249"/>
      <c r="AB60" s="249">
        <f>pvar!AE292</f>
        <v>28.016687212317759</v>
      </c>
      <c r="AC60" s="249"/>
      <c r="AD60" s="249">
        <f>pvar!AG292</f>
        <v>26.838748836470003</v>
      </c>
      <c r="AE60" s="249">
        <f>pvar!AH292</f>
        <v>51.559978887073513</v>
      </c>
      <c r="AF60" s="249"/>
      <c r="AG60" s="249"/>
      <c r="AH60" s="249"/>
      <c r="AI60" s="249"/>
      <c r="AJ60" s="236"/>
      <c r="AK60" s="245">
        <f>C60+D60+E60+F60+G60+H60+I60+J60+K60+L60+M60+N60+O60+P60+Q60+R60+S60+T60+U60+V60+W60+X60+Y60+Z60+AA60+AB60+AC60+AD60+AE60+AF60+AG60+AH60+AI60</f>
        <v>814.50487372088287</v>
      </c>
    </row>
    <row r="61" spans="1:37" x14ac:dyDescent="0.25">
      <c r="A61" s="236"/>
      <c r="B61" s="22" t="s">
        <v>57</v>
      </c>
      <c r="C61" s="256"/>
      <c r="D61" s="256">
        <f>D60/D18*1000000</f>
        <v>47.908909736949596</v>
      </c>
      <c r="E61" s="256"/>
      <c r="F61" s="256"/>
      <c r="G61" s="256">
        <f>G60/G18*1000000</f>
        <v>211.30564971822207</v>
      </c>
      <c r="H61" s="256">
        <f>H60/H18*1000000</f>
        <v>297.94188019713567</v>
      </c>
      <c r="I61" s="256">
        <f>I60/I18*1000000</f>
        <v>218.26761826932218</v>
      </c>
      <c r="J61" s="256"/>
      <c r="K61" s="256"/>
      <c r="L61" s="256"/>
      <c r="M61" s="256">
        <f>M60/M18*1000000</f>
        <v>210.14359709821468</v>
      </c>
      <c r="N61" s="256"/>
      <c r="O61" s="256">
        <f>O60/O18*1000000</f>
        <v>119.25645340880052</v>
      </c>
      <c r="P61" s="256">
        <f>P60/P18*1000000</f>
        <v>183.86424577578049</v>
      </c>
      <c r="Q61" s="256">
        <f>Q60/Q18*1000000</f>
        <v>144.79932479031939</v>
      </c>
      <c r="R61" s="256"/>
      <c r="S61" s="256">
        <f t="shared" ref="S61:Z61" si="23">S60/S18*1000000</f>
        <v>149.90820346103095</v>
      </c>
      <c r="T61" s="256">
        <f t="shared" si="23"/>
        <v>120.24207545038118</v>
      </c>
      <c r="U61" s="256">
        <f t="shared" si="23"/>
        <v>90.142403649717892</v>
      </c>
      <c r="V61" s="256">
        <f t="shared" si="23"/>
        <v>145.18575298798126</v>
      </c>
      <c r="W61" s="256">
        <f t="shared" si="23"/>
        <v>78.315118477510282</v>
      </c>
      <c r="X61" s="256">
        <f t="shared" si="23"/>
        <v>95.244501684117324</v>
      </c>
      <c r="Y61" s="256">
        <f t="shared" si="23"/>
        <v>87.27283131394789</v>
      </c>
      <c r="Z61" s="256">
        <f t="shared" si="23"/>
        <v>133.68815422856315</v>
      </c>
      <c r="AA61" s="256"/>
      <c r="AB61" s="256">
        <f>AB60/AB18*1000000</f>
        <v>94.1302625183353</v>
      </c>
      <c r="AC61" s="256"/>
      <c r="AD61" s="256">
        <f>AD60/AD18*1000000</f>
        <v>120.25934731639845</v>
      </c>
      <c r="AE61" s="256">
        <f>AE60/AE18*1000000</f>
        <v>124.0663938976115</v>
      </c>
      <c r="AF61" s="256"/>
      <c r="AG61" s="256"/>
      <c r="AH61" s="256"/>
      <c r="AI61" s="256"/>
      <c r="AJ61" s="256"/>
      <c r="AK61" s="245">
        <f>AK60/AK18*1000000</f>
        <v>137.97760701765748</v>
      </c>
    </row>
    <row r="62" spans="1:37" x14ac:dyDescent="0.25">
      <c r="A62" s="8" t="s">
        <v>778</v>
      </c>
      <c r="B62" s="22" t="s">
        <v>77</v>
      </c>
      <c r="C62" s="151">
        <f>pvar!F1242+((pvar!F29/100)*pvar!F27)*C18/1000000</f>
        <v>0</v>
      </c>
      <c r="D62" s="151">
        <f>pvar!G1242+((pvar!G29/100)*pvar!G27)*D18/1000000</f>
        <v>0</v>
      </c>
      <c r="E62" s="151">
        <f>pvar!H1242+((pvar!H29/100)*pvar!H27)*E18/1000000</f>
        <v>0</v>
      </c>
      <c r="F62" s="151">
        <f>pvar!I1242+((pvar!I29/100)*pvar!I27)*F18/1000000</f>
        <v>0</v>
      </c>
      <c r="G62" s="151">
        <f>pvar!J1242+((pvar!J29/100)*pvar!J27)*G18/1000000</f>
        <v>6.6495214875619473</v>
      </c>
      <c r="H62" s="151">
        <f>pvar!K1242+((pvar!K29/100)*pvar!K27)*H18/1000000</f>
        <v>2.8175066989440043</v>
      </c>
      <c r="I62" s="151">
        <f>pvar!L1242+((pvar!L29/100)*pvar!L27)*I18/1000000</f>
        <v>2.7378811391599167</v>
      </c>
      <c r="J62" s="151">
        <f>pvar!M1242+((pvar!M29/100)*pvar!M27)*J18/1000000</f>
        <v>0</v>
      </c>
      <c r="K62" s="151">
        <f>pvar!N1242+((pvar!N29/100)*pvar!N27)*K18/1000000</f>
        <v>0</v>
      </c>
      <c r="L62" s="151">
        <f>pvar!O1242+((pvar!O29/100)*pvar!O27)*L18/1000000</f>
        <v>0</v>
      </c>
      <c r="M62" s="151">
        <f>pvar!P1242+((pvar!P29/100)*pvar!P27)*M18/1000000</f>
        <v>10.009912436100546</v>
      </c>
      <c r="N62" s="151">
        <f>pvar!Q1242+((pvar!Q29/100)*pvar!Q27)*N18/1000000</f>
        <v>0</v>
      </c>
      <c r="O62" s="151">
        <f>pvar!R1242+((pvar!R29/100)*pvar!R27)*O18/1000000</f>
        <v>2.5194516020333593</v>
      </c>
      <c r="P62" s="151">
        <f>pvar!S1242+((pvar!S29/100)*pvar!S27)*P18/1000000</f>
        <v>4.327963207972898</v>
      </c>
      <c r="Q62" s="151">
        <f>pvar!T1242+((pvar!T29/100)*pvar!T27)*Q18/1000000</f>
        <v>7.6048251634306201</v>
      </c>
      <c r="R62" s="151">
        <f>pvar!U1242+((pvar!U29/100)*pvar!U27)*R18/1000000</f>
        <v>0</v>
      </c>
      <c r="S62" s="151">
        <f>pvar!V1242+((pvar!V29/100)*pvar!V27)*S18/1000000</f>
        <v>21.959303292579758</v>
      </c>
      <c r="T62" s="151">
        <f>pvar!W1242+((pvar!W29/100)*pvar!W27)*T18/1000000</f>
        <v>3.2450769421633785</v>
      </c>
      <c r="U62" s="151">
        <f>pvar!X1242+((pvar!X29/100)*pvar!X27)*U18/1000000</f>
        <v>1.7973968690603024</v>
      </c>
      <c r="V62" s="151">
        <f>pvar!Y1242+((pvar!Y29/100)*pvar!Y27)*V18/1000000</f>
        <v>2.4947686150344808</v>
      </c>
      <c r="W62" s="151">
        <f>pvar!Z1242+((pvar!Z29/100)*pvar!Z27)*W18/1000000</f>
        <v>3.2112672029088229</v>
      </c>
      <c r="X62" s="151">
        <f>pvar!AA1242+((pvar!AA29/100)*pvar!AA27)*X18/1000000</f>
        <v>3.3238403869329214</v>
      </c>
      <c r="Y62" s="151">
        <f>pvar!AB1242+((pvar!AB29/100)*pvar!AB27)*Y18/1000000</f>
        <v>4.1745176828683128</v>
      </c>
      <c r="Z62" s="151">
        <f>pvar!AC1242+((pvar!AC29/100)*pvar!AC27)*Z18/1000000</f>
        <v>8.0973186287989876</v>
      </c>
      <c r="AA62" s="151">
        <f>pvar!AD1242+((pvar!AD29/100)*pvar!AD27)*AA18/1000000</f>
        <v>0</v>
      </c>
      <c r="AB62" s="151">
        <f>pvar!AE1242+((pvar!AE29/100)*pvar!AE27)*AB18/1000000</f>
        <v>4.7000224481174335</v>
      </c>
      <c r="AC62" s="151">
        <f>pvar!AF1242+((pvar!AF29/100)*pvar!AF27)*AC18/1000000</f>
        <v>0</v>
      </c>
      <c r="AD62" s="151">
        <f>pvar!AG1242+((pvar!AG29/100)*pvar!AG27)*AD18/1000000</f>
        <v>2.8548174493007346</v>
      </c>
      <c r="AE62" s="151">
        <f>pvar!AH1242+((pvar!AH29/100)*pvar!AH27)*AE18/1000000</f>
        <v>4.3349785713688567</v>
      </c>
      <c r="AF62" s="151">
        <f>pvar!AI1242+((pvar!AI29/100)*pvar!AI27)*AF18/1000000</f>
        <v>0</v>
      </c>
      <c r="AG62" s="151">
        <f>pvar!AJ1242+((pvar!AJ29/100)*pvar!AJ27)*AG18/1000000</f>
        <v>0</v>
      </c>
      <c r="AH62" s="151">
        <f>pvar!AK1242+((pvar!AK29/100)*pvar!AK27)*AH18/1000000</f>
        <v>0</v>
      </c>
      <c r="AI62" s="151">
        <f>pvar!AL1242+((pvar!AL29/100)*pvar!AL27)*AI18/1000000</f>
        <v>0</v>
      </c>
      <c r="AJ62" s="236"/>
      <c r="AK62" s="245">
        <f>SUM(C62:AI62)</f>
        <v>96.860369824337283</v>
      </c>
    </row>
    <row r="63" spans="1:37" x14ac:dyDescent="0.25">
      <c r="A63" s="8"/>
      <c r="B63" s="236"/>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4"/>
      <c r="AI63" s="244"/>
      <c r="AJ63" s="236"/>
      <c r="AK63" s="245"/>
    </row>
    <row r="64" spans="1:37" x14ac:dyDescent="0.25">
      <c r="A64" s="8" t="s">
        <v>779</v>
      </c>
      <c r="B64" s="8" t="s">
        <v>77</v>
      </c>
      <c r="C64" s="25">
        <f>C46+C60</f>
        <v>100.31115156651636</v>
      </c>
      <c r="D64" s="25">
        <f t="shared" ref="D64:AI64" si="24">D46+D60</f>
        <v>70.045579764021852</v>
      </c>
      <c r="E64" s="25">
        <f t="shared" si="24"/>
        <v>51.445695399067191</v>
      </c>
      <c r="F64" s="25">
        <f t="shared" si="24"/>
        <v>238.83615050576091</v>
      </c>
      <c r="G64" s="25">
        <f t="shared" si="24"/>
        <v>139.75026207377016</v>
      </c>
      <c r="H64" s="25">
        <f t="shared" si="24"/>
        <v>53.423938376763971</v>
      </c>
      <c r="I64" s="25">
        <f t="shared" si="24"/>
        <v>76.710514695730723</v>
      </c>
      <c r="J64" s="25">
        <f t="shared" si="24"/>
        <v>143.30314028982292</v>
      </c>
      <c r="K64" s="25">
        <f t="shared" si="24"/>
        <v>189.51463732084565</v>
      </c>
      <c r="L64" s="25">
        <f t="shared" si="24"/>
        <v>87.738398100188149</v>
      </c>
      <c r="M64" s="25">
        <f t="shared" si="24"/>
        <v>184.13399358076833</v>
      </c>
      <c r="N64" s="25">
        <f t="shared" si="24"/>
        <v>50.466204284286484</v>
      </c>
      <c r="O64" s="25">
        <f t="shared" si="24"/>
        <v>183.40594391364135</v>
      </c>
      <c r="P64" s="25">
        <f t="shared" si="24"/>
        <v>149.58283278621121</v>
      </c>
      <c r="Q64" s="25">
        <f t="shared" si="24"/>
        <v>282.49763396237569</v>
      </c>
      <c r="R64" s="25">
        <f t="shared" si="24"/>
        <v>291.63187340532994</v>
      </c>
      <c r="S64" s="25">
        <f t="shared" si="24"/>
        <v>404.07577597916224</v>
      </c>
      <c r="T64" s="25">
        <f t="shared" si="24"/>
        <v>56.89082356902027</v>
      </c>
      <c r="U64" s="25">
        <f t="shared" si="24"/>
        <v>24.630711057240099</v>
      </c>
      <c r="V64" s="25">
        <f t="shared" si="24"/>
        <v>50.900342184810796</v>
      </c>
      <c r="W64" s="25">
        <f t="shared" si="24"/>
        <v>41.58874826588535</v>
      </c>
      <c r="X64" s="25">
        <f t="shared" si="24"/>
        <v>58.136057651994633</v>
      </c>
      <c r="Y64" s="25">
        <f t="shared" si="24"/>
        <v>69.386131138203126</v>
      </c>
      <c r="Z64" s="25">
        <f t="shared" si="24"/>
        <v>298.83281431925747</v>
      </c>
      <c r="AA64" s="25">
        <f t="shared" si="24"/>
        <v>10.663997249839694</v>
      </c>
      <c r="AB64" s="25">
        <f t="shared" si="24"/>
        <v>92.69071212099044</v>
      </c>
      <c r="AC64" s="25">
        <f t="shared" si="24"/>
        <v>17.784713565181757</v>
      </c>
      <c r="AD64" s="25">
        <f t="shared" si="24"/>
        <v>65.724398468216634</v>
      </c>
      <c r="AE64" s="25">
        <f t="shared" si="24"/>
        <v>69.409398418182178</v>
      </c>
      <c r="AF64" s="25">
        <f t="shared" si="24"/>
        <v>9.4079959428544981</v>
      </c>
      <c r="AG64" s="25">
        <f t="shared" si="24"/>
        <v>29.884079605056595</v>
      </c>
      <c r="AH64" s="25">
        <f t="shared" si="24"/>
        <v>10.114291145021189</v>
      </c>
      <c r="AI64" s="25">
        <f t="shared" si="24"/>
        <v>4.852465155316704</v>
      </c>
      <c r="AJ64" s="8"/>
      <c r="AK64" s="245">
        <f>C64+D64+E64+F64+G64+H64+I64+J64+K64+L64+M64+N64+O64+P64+Q64+R64+S64+T64+U64+V64+W64+X64+Y64+Z64+AA64+AB64+AC64+AD64+AE64+AF64+AG64+AH64+AI64</f>
        <v>3607.7714058613342</v>
      </c>
    </row>
    <row r="65" spans="1:37" x14ac:dyDescent="0.25">
      <c r="A65" s="8" t="s">
        <v>780</v>
      </c>
      <c r="B65" s="8" t="s">
        <v>77</v>
      </c>
      <c r="C65" s="25">
        <f>C57+C43</f>
        <v>29.013475162337599</v>
      </c>
      <c r="D65" s="25">
        <f t="shared" ref="D65:AI65" si="25">D57+D43</f>
        <v>19.843924989293651</v>
      </c>
      <c r="E65" s="25">
        <f t="shared" si="25"/>
        <v>22.951646203240543</v>
      </c>
      <c r="F65" s="25">
        <f t="shared" si="25"/>
        <v>67.175944519152296</v>
      </c>
      <c r="G65" s="25">
        <f t="shared" si="25"/>
        <v>71.409942358513007</v>
      </c>
      <c r="H65" s="25">
        <f t="shared" si="25"/>
        <v>29.647506281831628</v>
      </c>
      <c r="I65" s="25">
        <f t="shared" si="25"/>
        <v>26.649340683586733</v>
      </c>
      <c r="J65" s="25">
        <f t="shared" si="25"/>
        <v>41.964785798152263</v>
      </c>
      <c r="K65" s="25">
        <f t="shared" si="25"/>
        <v>83.683375707937699</v>
      </c>
      <c r="L65" s="25">
        <f t="shared" si="25"/>
        <v>39.710214812879414</v>
      </c>
      <c r="M65" s="25">
        <f t="shared" si="25"/>
        <v>78.86775043145316</v>
      </c>
      <c r="N65" s="25">
        <f t="shared" si="25"/>
        <v>15.837324193959354</v>
      </c>
      <c r="O65" s="25">
        <f t="shared" si="25"/>
        <v>95.507125992125879</v>
      </c>
      <c r="P65" s="25">
        <f t="shared" si="25"/>
        <v>71.665422274988984</v>
      </c>
      <c r="Q65" s="25">
        <f t="shared" si="25"/>
        <v>134.90458818785112</v>
      </c>
      <c r="R65" s="25">
        <f t="shared" si="25"/>
        <v>120.7290758571541</v>
      </c>
      <c r="S65" s="25">
        <f t="shared" si="25"/>
        <v>156.07563891718988</v>
      </c>
      <c r="T65" s="25">
        <f t="shared" si="25"/>
        <v>32.401679407297053</v>
      </c>
      <c r="U65" s="25">
        <f t="shared" si="25"/>
        <v>18.77028281855744</v>
      </c>
      <c r="V65" s="25">
        <f t="shared" si="25"/>
        <v>20.779100567183711</v>
      </c>
      <c r="W65" s="25">
        <f t="shared" si="25"/>
        <v>26.539432150277797</v>
      </c>
      <c r="X65" s="25">
        <f t="shared" si="25"/>
        <v>40.850973997486776</v>
      </c>
      <c r="Y65" s="25">
        <f t="shared" si="25"/>
        <v>70.353229709956238</v>
      </c>
      <c r="Z65" s="25">
        <f t="shared" si="25"/>
        <v>119.15059292366738</v>
      </c>
      <c r="AA65" s="25">
        <f t="shared" si="25"/>
        <v>6.5113008282385945</v>
      </c>
      <c r="AB65" s="25">
        <f t="shared" si="25"/>
        <v>49.069811229230808</v>
      </c>
      <c r="AC65" s="25">
        <f t="shared" si="25"/>
        <v>10.549031703199866</v>
      </c>
      <c r="AD65" s="25">
        <f t="shared" si="25"/>
        <v>31.38905236278309</v>
      </c>
      <c r="AE65" s="25">
        <f t="shared" si="25"/>
        <v>44.368850433816093</v>
      </c>
      <c r="AF65" s="25">
        <f t="shared" si="25"/>
        <v>9.5218194201704982</v>
      </c>
      <c r="AG65" s="25">
        <f t="shared" si="25"/>
        <v>9.2030378124679153</v>
      </c>
      <c r="AH65" s="25">
        <f t="shared" si="25"/>
        <v>10.194758948579269</v>
      </c>
      <c r="AI65" s="25">
        <f t="shared" si="25"/>
        <v>4.8870977930367712</v>
      </c>
      <c r="AJ65" s="8"/>
      <c r="AK65" s="245">
        <f>AK57+AK43</f>
        <v>1610.1771344775966</v>
      </c>
    </row>
    <row r="66" spans="1:37" x14ac:dyDescent="0.25">
      <c r="A66" s="8"/>
      <c r="B66" s="8" t="s">
        <v>57</v>
      </c>
      <c r="C66" s="25">
        <f t="shared" ref="C66:AI66" si="26">C65*1000000/C17</f>
        <v>50.717789846244585</v>
      </c>
      <c r="D66" s="25">
        <f t="shared" si="26"/>
        <v>50.42705573656383</v>
      </c>
      <c r="E66" s="25">
        <f t="shared" si="26"/>
        <v>50.527300603134861</v>
      </c>
      <c r="F66" s="25">
        <f t="shared" si="26"/>
        <v>50.070748616892175</v>
      </c>
      <c r="G66" s="25">
        <f t="shared" si="26"/>
        <v>85.370928100787836</v>
      </c>
      <c r="H66" s="25">
        <f t="shared" si="26"/>
        <v>72.998836348646293</v>
      </c>
      <c r="I66" s="25">
        <f t="shared" si="26"/>
        <v>58.401444039398719</v>
      </c>
      <c r="J66" s="25">
        <f t="shared" si="26"/>
        <v>50.636724854914739</v>
      </c>
      <c r="K66" s="25">
        <f t="shared" si="26"/>
        <v>51.178630233611273</v>
      </c>
      <c r="L66" s="25">
        <f t="shared" si="26"/>
        <v>52.155774599263935</v>
      </c>
      <c r="M66" s="25">
        <f t="shared" si="26"/>
        <v>55.780586236497982</v>
      </c>
      <c r="N66" s="25">
        <f t="shared" si="26"/>
        <v>50.092155345680403</v>
      </c>
      <c r="O66" s="25">
        <f t="shared" si="26"/>
        <v>57.067814111337697</v>
      </c>
      <c r="P66" s="25">
        <f t="shared" si="26"/>
        <v>59.680729048274792</v>
      </c>
      <c r="Q66" s="25">
        <f t="shared" si="26"/>
        <v>63.009265718899812</v>
      </c>
      <c r="R66" s="25">
        <f t="shared" si="26"/>
        <v>50.397692213124337</v>
      </c>
      <c r="S66" s="25">
        <f t="shared" si="26"/>
        <v>53.13639417569167</v>
      </c>
      <c r="T66" s="25">
        <f t="shared" si="26"/>
        <v>70.738086794752732</v>
      </c>
      <c r="U66" s="25">
        <f t="shared" si="26"/>
        <v>76.89826381787195</v>
      </c>
      <c r="V66" s="25">
        <f t="shared" si="26"/>
        <v>54.433606877270229</v>
      </c>
      <c r="W66" s="25">
        <f t="shared" si="26"/>
        <v>66.352192692761463</v>
      </c>
      <c r="X66" s="25">
        <f t="shared" si="26"/>
        <v>71.948237239082403</v>
      </c>
      <c r="Y66" s="25">
        <f t="shared" si="26"/>
        <v>89.859694401477</v>
      </c>
      <c r="Z66" s="25">
        <f t="shared" si="26"/>
        <v>62.72919483269677</v>
      </c>
      <c r="AA66" s="25">
        <f t="shared" si="26"/>
        <v>51.155481464756015</v>
      </c>
      <c r="AB66" s="25">
        <f t="shared" si="26"/>
        <v>75.048131831152574</v>
      </c>
      <c r="AC66" s="25">
        <f t="shared" si="26"/>
        <v>51.422512535291425</v>
      </c>
      <c r="AD66" s="25">
        <f t="shared" si="26"/>
        <v>55.91761743274477</v>
      </c>
      <c r="AE66" s="25">
        <f t="shared" si="26"/>
        <v>75.59302478847458</v>
      </c>
      <c r="AF66" s="25">
        <f t="shared" si="26"/>
        <v>51.460730575185799</v>
      </c>
      <c r="AG66" s="25">
        <f t="shared" si="26"/>
        <v>51.687440423417314</v>
      </c>
      <c r="AH66" s="25">
        <f t="shared" si="26"/>
        <v>50.300408003890212</v>
      </c>
      <c r="AI66" s="25">
        <f t="shared" si="26"/>
        <v>52.854863857755035</v>
      </c>
      <c r="AJ66" s="25"/>
      <c r="AK66" s="253">
        <f>AK65*1000000/AK17</f>
        <v>59.001059002689573</v>
      </c>
    </row>
    <row r="67" spans="1:37" x14ac:dyDescent="0.25">
      <c r="A67" s="8" t="s">
        <v>781</v>
      </c>
      <c r="B67" s="22" t="s">
        <v>77</v>
      </c>
      <c r="C67" s="54">
        <f>C48+C62</f>
        <v>5.4116607972820949</v>
      </c>
      <c r="D67" s="54">
        <f t="shared" ref="D67:AI67" si="27">D48+D62</f>
        <v>4.4270710011699181</v>
      </c>
      <c r="E67" s="54">
        <f t="shared" si="27"/>
        <v>3.9973338012833741</v>
      </c>
      <c r="F67" s="54">
        <f t="shared" si="27"/>
        <v>15.395095632686745</v>
      </c>
      <c r="G67" s="54">
        <f t="shared" si="27"/>
        <v>29.462230451438426</v>
      </c>
      <c r="H67" s="54">
        <f t="shared" si="27"/>
        <v>14.913495110394379</v>
      </c>
      <c r="I67" s="54">
        <f t="shared" si="27"/>
        <v>15.830014062089093</v>
      </c>
      <c r="J67" s="54">
        <f t="shared" si="27"/>
        <v>4.8730035601657944</v>
      </c>
      <c r="K67" s="54">
        <f t="shared" si="27"/>
        <v>16.997107709082801</v>
      </c>
      <c r="L67" s="54">
        <f t="shared" si="27"/>
        <v>6.9094976001366204</v>
      </c>
      <c r="M67" s="54">
        <f t="shared" si="27"/>
        <v>50.686085057639843</v>
      </c>
      <c r="N67" s="54">
        <f t="shared" si="27"/>
        <v>3.6943735387176395</v>
      </c>
      <c r="O67" s="54">
        <f t="shared" si="27"/>
        <v>74.077078323206123</v>
      </c>
      <c r="P67" s="54">
        <f t="shared" si="27"/>
        <v>47.488371842013891</v>
      </c>
      <c r="Q67" s="54">
        <f t="shared" si="27"/>
        <v>84.423240767707696</v>
      </c>
      <c r="R67" s="54">
        <f t="shared" si="27"/>
        <v>22.873298531895795</v>
      </c>
      <c r="S67" s="54">
        <f t="shared" si="27"/>
        <v>98.704448678468935</v>
      </c>
      <c r="T67" s="54">
        <f t="shared" si="27"/>
        <v>17.179774806608552</v>
      </c>
      <c r="U67" s="54">
        <f t="shared" si="27"/>
        <v>9.3674948701314111</v>
      </c>
      <c r="V67" s="54">
        <f t="shared" si="27"/>
        <v>14.247600394217731</v>
      </c>
      <c r="W67" s="54">
        <f t="shared" si="27"/>
        <v>13.186160238195271</v>
      </c>
      <c r="X67" s="54">
        <f t="shared" si="27"/>
        <v>22.073870226744319</v>
      </c>
      <c r="Y67" s="54">
        <f t="shared" si="27"/>
        <v>29.716300128663054</v>
      </c>
      <c r="Z67" s="54">
        <f t="shared" si="27"/>
        <v>78.560562866532322</v>
      </c>
      <c r="AA67" s="54">
        <f t="shared" si="27"/>
        <v>1.1932923611870061</v>
      </c>
      <c r="AB67" s="54">
        <f t="shared" si="27"/>
        <v>26.421037478805378</v>
      </c>
      <c r="AC67" s="54">
        <f t="shared" si="27"/>
        <v>2.0770853217566012</v>
      </c>
      <c r="AD67" s="54">
        <f t="shared" si="27"/>
        <v>21.635072006699527</v>
      </c>
      <c r="AE67" s="54">
        <f t="shared" si="27"/>
        <v>20.803810649318724</v>
      </c>
      <c r="AF67" s="54">
        <f t="shared" si="27"/>
        <v>0.67628752238322676</v>
      </c>
      <c r="AG67" s="54">
        <f t="shared" si="27"/>
        <v>1.6078070565269229</v>
      </c>
      <c r="AH67" s="54">
        <f t="shared" si="27"/>
        <v>0.7407861175634084</v>
      </c>
      <c r="AI67" s="54">
        <f t="shared" si="27"/>
        <v>0.37770969457574444</v>
      </c>
      <c r="AJ67" s="8"/>
      <c r="AK67" s="245">
        <f>AK48+AK62</f>
        <v>760.02805820528829</v>
      </c>
    </row>
    <row r="68" spans="1:37" x14ac:dyDescent="0.25">
      <c r="A68" s="236"/>
      <c r="B68" s="22" t="s">
        <v>57</v>
      </c>
      <c r="C68" s="54">
        <f t="shared" ref="C68:AI68" si="28">C67*1000000/C17</f>
        <v>9.4600000000000009</v>
      </c>
      <c r="D68" s="54">
        <f t="shared" si="28"/>
        <v>11.249999999806858</v>
      </c>
      <c r="E68" s="54">
        <f t="shared" si="28"/>
        <v>8.8000000000000007</v>
      </c>
      <c r="F68" s="54">
        <f t="shared" si="28"/>
        <v>11.475</v>
      </c>
      <c r="G68" s="54">
        <f t="shared" si="28"/>
        <v>35.222237611269328</v>
      </c>
      <c r="H68" s="54">
        <f t="shared" si="28"/>
        <v>36.720383110844146</v>
      </c>
      <c r="I68" s="54">
        <f t="shared" si="28"/>
        <v>34.691127685548551</v>
      </c>
      <c r="J68" s="54">
        <f t="shared" si="28"/>
        <v>5.88</v>
      </c>
      <c r="K68" s="54">
        <f t="shared" si="28"/>
        <v>10.394999999999998</v>
      </c>
      <c r="L68" s="54">
        <f t="shared" si="28"/>
        <v>9.0749999999999993</v>
      </c>
      <c r="M68" s="54">
        <f t="shared" si="28"/>
        <v>35.848613952866074</v>
      </c>
      <c r="N68" s="54">
        <f t="shared" si="28"/>
        <v>11.685</v>
      </c>
      <c r="O68" s="54">
        <f t="shared" si="28"/>
        <v>44.262843130765567</v>
      </c>
      <c r="P68" s="54">
        <f t="shared" si="28"/>
        <v>39.546835319995871</v>
      </c>
      <c r="Q68" s="54">
        <f t="shared" si="28"/>
        <v>39.431174890626835</v>
      </c>
      <c r="R68" s="54">
        <f t="shared" si="28"/>
        <v>9.5483333333333338</v>
      </c>
      <c r="S68" s="54">
        <f t="shared" si="28"/>
        <v>33.604209652835209</v>
      </c>
      <c r="T68" s="54">
        <f t="shared" si="28"/>
        <v>37.506216455882139</v>
      </c>
      <c r="U68" s="54">
        <f t="shared" si="28"/>
        <v>38.376837408318188</v>
      </c>
      <c r="V68" s="54">
        <f t="shared" si="28"/>
        <v>37.323476841346363</v>
      </c>
      <c r="W68" s="54">
        <f t="shared" si="28"/>
        <v>32.967195381126636</v>
      </c>
      <c r="X68" s="54">
        <f t="shared" si="28"/>
        <v>38.877311761433774</v>
      </c>
      <c r="Y68" s="54">
        <f t="shared" si="28"/>
        <v>37.95558013914944</v>
      </c>
      <c r="Z68" s="54">
        <f t="shared" si="28"/>
        <v>41.359767780409868</v>
      </c>
      <c r="AA68" s="54">
        <f t="shared" si="28"/>
        <v>9.375</v>
      </c>
      <c r="AB68" s="54">
        <f t="shared" si="28"/>
        <v>40.408745298861653</v>
      </c>
      <c r="AC68" s="54">
        <f t="shared" si="28"/>
        <v>10.125</v>
      </c>
      <c r="AD68" s="54">
        <f t="shared" si="28"/>
        <v>38.541516501304322</v>
      </c>
      <c r="AE68" s="54">
        <f t="shared" si="28"/>
        <v>35.444302900173724</v>
      </c>
      <c r="AF68" s="54">
        <f t="shared" si="28"/>
        <v>3.6549999999999994</v>
      </c>
      <c r="AG68" s="54">
        <f t="shared" si="28"/>
        <v>9.0299999999999994</v>
      </c>
      <c r="AH68" s="54">
        <f t="shared" si="28"/>
        <v>3.6550000000000002</v>
      </c>
      <c r="AI68" s="54">
        <f t="shared" si="28"/>
        <v>4.085</v>
      </c>
      <c r="AJ68" s="54"/>
      <c r="AK68" s="253">
        <f>AK67*1000000/AK17</f>
        <v>27.849395787388584</v>
      </c>
    </row>
    <row r="69" spans="1:37" x14ac:dyDescent="0.25">
      <c r="A69" s="8"/>
      <c r="B69" s="22"/>
      <c r="C69" s="250"/>
      <c r="D69" s="250"/>
      <c r="E69" s="250"/>
      <c r="F69" s="250"/>
      <c r="G69" s="250"/>
      <c r="H69" s="250"/>
      <c r="I69" s="250"/>
      <c r="J69" s="250"/>
      <c r="K69" s="250"/>
      <c r="L69" s="250"/>
      <c r="M69" s="250"/>
      <c r="N69" s="250"/>
      <c r="O69" s="250"/>
      <c r="P69" s="250"/>
      <c r="Q69" s="250"/>
      <c r="R69" s="250"/>
      <c r="S69" s="250"/>
      <c r="T69" s="250"/>
      <c r="U69" s="250"/>
      <c r="V69" s="250"/>
      <c r="W69" s="250"/>
      <c r="X69" s="250"/>
      <c r="Y69" s="250"/>
      <c r="Z69" s="250"/>
      <c r="AA69" s="250"/>
      <c r="AB69" s="250"/>
      <c r="AC69" s="250"/>
      <c r="AD69" s="250"/>
      <c r="AE69" s="250"/>
      <c r="AF69" s="250"/>
      <c r="AG69" s="250"/>
      <c r="AH69" s="250"/>
      <c r="AI69" s="250"/>
      <c r="AJ69" s="236"/>
      <c r="AK69" s="245"/>
    </row>
    <row r="70" spans="1:37" x14ac:dyDescent="0.25">
      <c r="A70" s="246" t="s">
        <v>1113</v>
      </c>
      <c r="B70" s="247"/>
      <c r="C70" s="249"/>
      <c r="D70" s="249"/>
      <c r="E70" s="249"/>
      <c r="F70" s="249"/>
      <c r="G70" s="249"/>
      <c r="H70" s="249"/>
      <c r="I70" s="249"/>
      <c r="J70" s="249"/>
      <c r="K70" s="249"/>
      <c r="L70" s="249"/>
      <c r="M70" s="249"/>
      <c r="N70" s="249"/>
      <c r="O70" s="249"/>
      <c r="P70" s="249"/>
      <c r="Q70" s="249"/>
      <c r="R70" s="249"/>
      <c r="S70" s="249"/>
      <c r="T70" s="249"/>
      <c r="U70" s="249"/>
      <c r="V70" s="249"/>
      <c r="W70" s="249"/>
      <c r="X70" s="249"/>
      <c r="Y70" s="249"/>
      <c r="Z70" s="249"/>
      <c r="AA70" s="249"/>
      <c r="AB70" s="249"/>
      <c r="AC70" s="249"/>
      <c r="AD70" s="249"/>
      <c r="AE70" s="249"/>
      <c r="AF70" s="249"/>
      <c r="AG70" s="249"/>
      <c r="AH70" s="249"/>
      <c r="AI70" s="249"/>
      <c r="AJ70" s="236"/>
      <c r="AK70" s="254"/>
    </row>
    <row r="71" spans="1:37" x14ac:dyDescent="0.25">
      <c r="A71" s="8" t="s">
        <v>782</v>
      </c>
      <c r="B71" s="8" t="s">
        <v>77</v>
      </c>
      <c r="C71" s="249">
        <f t="shared" ref="C71:AI71" si="29">C33</f>
        <v>0</v>
      </c>
      <c r="D71" s="249">
        <f t="shared" si="29"/>
        <v>0</v>
      </c>
      <c r="E71" s="249">
        <f t="shared" si="29"/>
        <v>0</v>
      </c>
      <c r="F71" s="249">
        <f t="shared" si="29"/>
        <v>0</v>
      </c>
      <c r="G71" s="249">
        <f t="shared" si="29"/>
        <v>80.599602846011265</v>
      </c>
      <c r="H71" s="249">
        <f t="shared" si="29"/>
        <v>49.870028182876219</v>
      </c>
      <c r="I71" s="249">
        <f t="shared" si="29"/>
        <v>32.237885013297003</v>
      </c>
      <c r="J71" s="249">
        <f t="shared" si="29"/>
        <v>0</v>
      </c>
      <c r="K71" s="249">
        <f t="shared" si="29"/>
        <v>0</v>
      </c>
      <c r="L71" s="249">
        <f t="shared" si="29"/>
        <v>0</v>
      </c>
      <c r="M71" s="249">
        <f t="shared" si="29"/>
        <v>151.17880296430457</v>
      </c>
      <c r="N71" s="249">
        <f t="shared" si="29"/>
        <v>0</v>
      </c>
      <c r="O71" s="249">
        <f t="shared" si="29"/>
        <v>243.8099436345056</v>
      </c>
      <c r="P71" s="249">
        <f t="shared" si="29"/>
        <v>149.06757042677131</v>
      </c>
      <c r="Q71" s="249">
        <f t="shared" si="29"/>
        <v>258.42070527280305</v>
      </c>
      <c r="R71" s="249">
        <f t="shared" si="29"/>
        <v>0</v>
      </c>
      <c r="S71" s="249">
        <f t="shared" si="29"/>
        <v>217.84872068673474</v>
      </c>
      <c r="T71" s="249">
        <f t="shared" si="29"/>
        <v>45.616436183000474</v>
      </c>
      <c r="U71" s="249">
        <f t="shared" si="29"/>
        <v>29.345082949418867</v>
      </c>
      <c r="V71" s="249">
        <f t="shared" si="29"/>
        <v>35.864021961453794</v>
      </c>
      <c r="W71" s="249">
        <f t="shared" si="29"/>
        <v>41.917693706351471</v>
      </c>
      <c r="X71" s="249">
        <f t="shared" si="29"/>
        <v>69.055733095959411</v>
      </c>
      <c r="Y71" s="249">
        <f t="shared" si="29"/>
        <v>87.489352083972989</v>
      </c>
      <c r="Z71" s="249">
        <f t="shared" si="29"/>
        <v>180.56248370905797</v>
      </c>
      <c r="AA71" s="249">
        <f t="shared" si="29"/>
        <v>0</v>
      </c>
      <c r="AB71" s="249">
        <f t="shared" si="29"/>
        <v>40.689415390481408</v>
      </c>
      <c r="AC71" s="249">
        <f t="shared" si="29"/>
        <v>0</v>
      </c>
      <c r="AD71" s="249">
        <f t="shared" si="29"/>
        <v>57.736781860253416</v>
      </c>
      <c r="AE71" s="249">
        <f t="shared" si="29"/>
        <v>45.961454238562027</v>
      </c>
      <c r="AF71" s="249">
        <f t="shared" si="29"/>
        <v>0</v>
      </c>
      <c r="AG71" s="249">
        <f t="shared" si="29"/>
        <v>0</v>
      </c>
      <c r="AH71" s="249">
        <f t="shared" si="29"/>
        <v>0</v>
      </c>
      <c r="AI71" s="249">
        <f t="shared" si="29"/>
        <v>0</v>
      </c>
      <c r="AJ71" s="249"/>
      <c r="AK71" s="254">
        <f>SUM(C71:AI71)</f>
        <v>1817.2717142058154</v>
      </c>
    </row>
    <row r="72" spans="1:37" x14ac:dyDescent="0.25">
      <c r="A72" s="22"/>
      <c r="B72" s="22"/>
      <c r="C72" s="252"/>
      <c r="D72" s="252"/>
      <c r="E72" s="252"/>
      <c r="F72" s="252"/>
      <c r="G72" s="252"/>
      <c r="H72" s="252"/>
      <c r="I72" s="252"/>
      <c r="J72" s="252"/>
      <c r="K72" s="252"/>
      <c r="L72" s="252"/>
      <c r="M72" s="252"/>
      <c r="N72" s="252"/>
      <c r="O72" s="252"/>
      <c r="P72" s="252"/>
      <c r="Q72" s="252"/>
      <c r="R72" s="252"/>
      <c r="S72" s="252"/>
      <c r="T72" s="252"/>
      <c r="U72" s="252"/>
      <c r="V72" s="252"/>
      <c r="W72" s="252"/>
      <c r="X72" s="252"/>
      <c r="Y72" s="252"/>
      <c r="Z72" s="252"/>
      <c r="AA72" s="252"/>
      <c r="AB72" s="252"/>
      <c r="AC72" s="252"/>
      <c r="AD72" s="252"/>
      <c r="AE72" s="252"/>
      <c r="AF72" s="252"/>
      <c r="AG72" s="252"/>
      <c r="AH72" s="252"/>
      <c r="AI72" s="252"/>
      <c r="AJ72" s="22"/>
      <c r="AK72" s="245"/>
    </row>
    <row r="73" spans="1:37" x14ac:dyDescent="0.25">
      <c r="A73" s="246" t="s">
        <v>783</v>
      </c>
      <c r="B73" s="247"/>
      <c r="C73" s="250"/>
      <c r="D73" s="250"/>
      <c r="E73" s="250"/>
      <c r="F73" s="250"/>
      <c r="G73" s="250"/>
      <c r="H73" s="250"/>
      <c r="I73" s="250"/>
      <c r="J73" s="250"/>
      <c r="K73" s="250"/>
      <c r="L73" s="250"/>
      <c r="M73" s="250"/>
      <c r="N73" s="250"/>
      <c r="O73" s="250"/>
      <c r="P73" s="250"/>
      <c r="Q73" s="250"/>
      <c r="R73" s="250"/>
      <c r="S73" s="250"/>
      <c r="T73" s="250"/>
      <c r="U73" s="250"/>
      <c r="V73" s="250"/>
      <c r="W73" s="250"/>
      <c r="X73" s="250"/>
      <c r="Y73" s="250"/>
      <c r="Z73" s="250"/>
      <c r="AA73" s="250"/>
      <c r="AB73" s="250"/>
      <c r="AC73" s="250"/>
      <c r="AD73" s="250"/>
      <c r="AE73" s="250"/>
      <c r="AF73" s="250"/>
      <c r="AG73" s="250"/>
      <c r="AH73" s="250"/>
      <c r="AI73" s="250"/>
      <c r="AJ73" s="22"/>
      <c r="AK73" s="245"/>
    </row>
    <row r="74" spans="1:37" x14ac:dyDescent="0.25">
      <c r="A74" s="8" t="s">
        <v>784</v>
      </c>
      <c r="B74" s="8" t="s">
        <v>77</v>
      </c>
      <c r="C74" s="17">
        <f t="shared" ref="C74:AI74" si="30">C9+C26-C64</f>
        <v>-69.328651566516356</v>
      </c>
      <c r="D74" s="17">
        <f t="shared" si="30"/>
        <v>-68.448079764021855</v>
      </c>
      <c r="E74" s="17">
        <f t="shared" si="30"/>
        <v>-50.320695399067191</v>
      </c>
      <c r="F74" s="17">
        <f t="shared" si="30"/>
        <v>-233.9761505057609</v>
      </c>
      <c r="G74" s="17">
        <f t="shared" si="30"/>
        <v>42.914864389467539</v>
      </c>
      <c r="H74" s="17">
        <f t="shared" si="30"/>
        <v>37.432680982051863</v>
      </c>
      <c r="I74" s="17">
        <f t="shared" si="30"/>
        <v>24.213996116503424</v>
      </c>
      <c r="J74" s="17">
        <f t="shared" si="30"/>
        <v>-133.40314028982291</v>
      </c>
      <c r="K74" s="17">
        <f t="shared" si="30"/>
        <v>-185.89213732084565</v>
      </c>
      <c r="L74" s="17">
        <f t="shared" si="30"/>
        <v>-85.983398100188154</v>
      </c>
      <c r="M74" s="17">
        <f t="shared" si="30"/>
        <v>123.13526389989289</v>
      </c>
      <c r="N74" s="17">
        <f t="shared" si="30"/>
        <v>-45.583704284286483</v>
      </c>
      <c r="O74" s="17">
        <f t="shared" si="30"/>
        <v>216.41690310356279</v>
      </c>
      <c r="P74" s="17">
        <f t="shared" si="30"/>
        <v>118.19743136123151</v>
      </c>
      <c r="Q74" s="17">
        <f t="shared" si="30"/>
        <v>201.58842598605861</v>
      </c>
      <c r="R74" s="17">
        <f t="shared" si="30"/>
        <v>-284.81437340532995</v>
      </c>
      <c r="S74" s="17">
        <f t="shared" si="30"/>
        <v>187.13591950548494</v>
      </c>
      <c r="T74" s="17">
        <f t="shared" si="30"/>
        <v>44.44826937460779</v>
      </c>
      <c r="U74" s="17">
        <f t="shared" si="30"/>
        <v>32.300190501752027</v>
      </c>
      <c r="V74" s="17">
        <f t="shared" si="30"/>
        <v>37.499285752868985</v>
      </c>
      <c r="W74" s="17">
        <f t="shared" si="30"/>
        <v>39.115376655309696</v>
      </c>
      <c r="X74" s="17">
        <f t="shared" si="30"/>
        <v>67.407364218615868</v>
      </c>
      <c r="Y74" s="17">
        <f t="shared" si="30"/>
        <v>87.158555618654049</v>
      </c>
      <c r="Z74" s="17">
        <f t="shared" si="30"/>
        <v>103.22110686588655</v>
      </c>
      <c r="AA74" s="17">
        <f t="shared" si="30"/>
        <v>-6.3889972498396945</v>
      </c>
      <c r="AB74" s="17">
        <f t="shared" si="30"/>
        <v>41.079988255692058</v>
      </c>
      <c r="AC74" s="17">
        <f t="shared" si="30"/>
        <v>-16.614713565181759</v>
      </c>
      <c r="AD74" s="17">
        <f t="shared" si="30"/>
        <v>53.936203747957578</v>
      </c>
      <c r="AE74" s="17">
        <f t="shared" si="30"/>
        <v>45.862698418574979</v>
      </c>
      <c r="AF74" s="17">
        <f t="shared" si="30"/>
        <v>-2.6354959428544991</v>
      </c>
      <c r="AG74" s="17">
        <f t="shared" si="30"/>
        <v>-24.079079605056595</v>
      </c>
      <c r="AH74" s="17">
        <f t="shared" si="30"/>
        <v>-4.8717911450211897</v>
      </c>
      <c r="AI74" s="17">
        <f t="shared" si="30"/>
        <v>-3.5249651553167043</v>
      </c>
      <c r="AJ74" s="17"/>
      <c r="AK74" s="245">
        <f>C74+D74+E74+F74+G74+H74+I74+J74+K74+L74+M74+N74+O74+P74+Q74+R74+S74+T74+U74+V74+W74+X74+Y74+Z74+AA74+AB74+AC74+AD74+AE74+AF74+AG74+AH74+AI74</f>
        <v>287.19915145506326</v>
      </c>
    </row>
    <row r="75" spans="1:37" x14ac:dyDescent="0.25">
      <c r="A75" s="8" t="s">
        <v>785</v>
      </c>
      <c r="B75" s="8" t="s">
        <v>77</v>
      </c>
      <c r="C75" s="17">
        <f t="shared" ref="C75:AI75" si="31">C10-C25</f>
        <v>60.588000000000001</v>
      </c>
      <c r="D75" s="17">
        <f t="shared" si="31"/>
        <v>3.1240000000000001</v>
      </c>
      <c r="E75" s="17">
        <f t="shared" si="31"/>
        <v>2.2000000000000002</v>
      </c>
      <c r="F75" s="17">
        <f t="shared" si="31"/>
        <v>9.5040000000000013</v>
      </c>
      <c r="G75" s="17">
        <f t="shared" si="31"/>
        <v>-17.053192461691729</v>
      </c>
      <c r="H75" s="17">
        <f t="shared" si="31"/>
        <v>-4.7408774430476175</v>
      </c>
      <c r="I75" s="17">
        <f t="shared" si="31"/>
        <v>-11.395141830230042</v>
      </c>
      <c r="J75" s="17">
        <f t="shared" si="31"/>
        <v>19.360000000000003</v>
      </c>
      <c r="K75" s="17">
        <f t="shared" si="31"/>
        <v>7.0840000000000014</v>
      </c>
      <c r="L75" s="17">
        <f t="shared" si="31"/>
        <v>3.4320000000000004</v>
      </c>
      <c r="M75" s="17">
        <f t="shared" si="31"/>
        <v>-22.511194149062852</v>
      </c>
      <c r="N75" s="17">
        <f t="shared" si="31"/>
        <v>9.548</v>
      </c>
      <c r="O75" s="17">
        <f t="shared" si="31"/>
        <v>-43.943541014086435</v>
      </c>
      <c r="P75" s="17">
        <f t="shared" si="31"/>
        <v>-19.585851274405456</v>
      </c>
      <c r="Q75" s="17">
        <f t="shared" si="31"/>
        <v>-40.363324460481564</v>
      </c>
      <c r="R75" s="17">
        <f t="shared" si="31"/>
        <v>13.332000000000001</v>
      </c>
      <c r="S75" s="17">
        <f t="shared" si="31"/>
        <v>-18.656873772046151</v>
      </c>
      <c r="T75" s="17">
        <f t="shared" si="31"/>
        <v>-9.4021929945873417</v>
      </c>
      <c r="U75" s="17">
        <f t="shared" si="31"/>
        <v>-0.90179984238440092</v>
      </c>
      <c r="V75" s="17">
        <f t="shared" si="31"/>
        <v>3.0468139944804538</v>
      </c>
      <c r="W75" s="17">
        <f t="shared" si="31"/>
        <v>-3.1057774734166066</v>
      </c>
      <c r="X75" s="17">
        <f t="shared" si="31"/>
        <v>-9.7871526903601236E-2</v>
      </c>
      <c r="Y75" s="17">
        <f t="shared" si="31"/>
        <v>-7.7355168620265973</v>
      </c>
      <c r="Z75" s="17">
        <f t="shared" si="31"/>
        <v>-15.256042988297622</v>
      </c>
      <c r="AA75" s="17">
        <f t="shared" si="31"/>
        <v>8.36</v>
      </c>
      <c r="AB75" s="17">
        <f t="shared" si="31"/>
        <v>-4.247044596016889</v>
      </c>
      <c r="AC75" s="17">
        <f t="shared" si="31"/>
        <v>2.2880000000000003</v>
      </c>
      <c r="AD75" s="17">
        <f t="shared" si="31"/>
        <v>-6.9886989697101898</v>
      </c>
      <c r="AE75" s="17">
        <f t="shared" si="31"/>
        <v>-4.431572540404793</v>
      </c>
      <c r="AF75" s="17">
        <f t="shared" si="31"/>
        <v>13.244</v>
      </c>
      <c r="AG75" s="17">
        <f t="shared" si="31"/>
        <v>11.352000000000002</v>
      </c>
      <c r="AH75" s="17">
        <f t="shared" si="31"/>
        <v>10.252000000000001</v>
      </c>
      <c r="AI75" s="17">
        <f t="shared" si="31"/>
        <v>2.5960000000000001</v>
      </c>
      <c r="AJ75" s="17"/>
      <c r="AK75" s="245">
        <f>SUM(C75:AI75)</f>
        <v>-51.105700204319419</v>
      </c>
    </row>
    <row r="76" spans="1:37" x14ac:dyDescent="0.25">
      <c r="A76" s="236"/>
      <c r="B76" s="236"/>
      <c r="C76" s="265"/>
      <c r="D76" s="236"/>
      <c r="E76" s="236"/>
      <c r="F76" s="236"/>
      <c r="G76" s="236"/>
      <c r="H76" s="236"/>
      <c r="I76" s="236"/>
      <c r="J76" s="236"/>
      <c r="K76" s="236"/>
      <c r="L76" s="236"/>
      <c r="M76" s="236"/>
      <c r="N76" s="236"/>
      <c r="O76" s="236"/>
      <c r="P76" s="236"/>
      <c r="Q76" s="236"/>
      <c r="R76" s="236"/>
      <c r="S76" s="236"/>
      <c r="T76" s="236"/>
      <c r="U76" s="236"/>
      <c r="V76" s="236"/>
      <c r="W76" s="236"/>
      <c r="X76" s="236"/>
      <c r="Y76" s="236"/>
      <c r="Z76" s="236"/>
      <c r="AA76" s="236"/>
      <c r="AB76" s="236"/>
      <c r="AC76" s="236"/>
      <c r="AD76" s="236"/>
      <c r="AE76" s="236"/>
      <c r="AF76" s="236"/>
      <c r="AG76" s="236"/>
      <c r="AH76" s="236"/>
      <c r="AI76" s="236"/>
      <c r="AJ76" s="236"/>
      <c r="AK76" s="243"/>
    </row>
    <row r="77" spans="1:37" x14ac:dyDescent="0.25">
      <c r="A77" s="258" t="s">
        <v>786</v>
      </c>
      <c r="B77" s="259"/>
      <c r="C77" s="259"/>
      <c r="D77" s="259"/>
      <c r="E77" s="259"/>
      <c r="F77" s="259"/>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59"/>
      <c r="AE77" s="259"/>
      <c r="AF77" s="259"/>
      <c r="AG77" s="259"/>
      <c r="AH77" s="259"/>
      <c r="AI77" s="259"/>
      <c r="AJ77" s="259"/>
      <c r="AK77" s="259"/>
    </row>
    <row r="78" spans="1:37" x14ac:dyDescent="0.25">
      <c r="A78" s="236"/>
      <c r="B78" s="236"/>
      <c r="C78" s="265"/>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36"/>
      <c r="AE78" s="236"/>
      <c r="AF78" s="236"/>
      <c r="AG78" s="236"/>
      <c r="AH78" s="236"/>
      <c r="AI78" s="236"/>
      <c r="AJ78" s="236"/>
      <c r="AK78" s="243"/>
    </row>
    <row r="79" spans="1:37" x14ac:dyDescent="0.25">
      <c r="A79" s="246" t="s">
        <v>787</v>
      </c>
      <c r="B79" s="247"/>
      <c r="C79" s="249"/>
      <c r="D79" s="249"/>
      <c r="E79" s="249"/>
      <c r="F79" s="249"/>
      <c r="G79" s="249"/>
      <c r="H79" s="249"/>
      <c r="I79" s="249"/>
      <c r="J79" s="249"/>
      <c r="K79" s="249"/>
      <c r="L79" s="249"/>
      <c r="M79" s="249"/>
      <c r="N79" s="249"/>
      <c r="O79" s="249"/>
      <c r="P79" s="249"/>
      <c r="Q79" s="249"/>
      <c r="R79" s="249"/>
      <c r="S79" s="249"/>
      <c r="T79" s="249"/>
      <c r="U79" s="249"/>
      <c r="V79" s="249"/>
      <c r="W79" s="249"/>
      <c r="X79" s="249"/>
      <c r="Y79" s="249"/>
      <c r="Z79" s="249"/>
      <c r="AA79" s="249"/>
      <c r="AB79" s="249"/>
      <c r="AC79" s="249"/>
      <c r="AD79" s="249"/>
      <c r="AE79" s="249"/>
      <c r="AF79" s="249"/>
      <c r="AG79" s="249"/>
      <c r="AH79" s="249"/>
      <c r="AI79" s="249"/>
      <c r="AJ79" s="236"/>
      <c r="AK79" s="254"/>
    </row>
    <row r="80" spans="1:37" x14ac:dyDescent="0.25">
      <c r="A80" s="134" t="s">
        <v>788</v>
      </c>
      <c r="B80" s="135" t="s">
        <v>59</v>
      </c>
      <c r="C80" s="152">
        <f>pvar!F26</f>
        <v>10.092106695017915</v>
      </c>
      <c r="D80" s="152">
        <f>pvar!G26</f>
        <v>8.6146410728814065</v>
      </c>
      <c r="E80" s="152">
        <f>pvar!H26</f>
        <v>6.0633158150727695</v>
      </c>
      <c r="F80" s="152">
        <f>pvar!I26</f>
        <v>34.207512482416867</v>
      </c>
      <c r="G80" s="152">
        <f>pvar!J26</f>
        <v>3.8249724411666115</v>
      </c>
      <c r="H80" s="152">
        <f>pvar!K26</f>
        <v>0</v>
      </c>
      <c r="I80" s="152">
        <f>pvar!L26</f>
        <v>0.2137249453618093</v>
      </c>
      <c r="J80" s="152">
        <f>pvar!M26</f>
        <v>20.377268259194469</v>
      </c>
      <c r="K80" s="152">
        <f>pvar!N26</f>
        <v>27.35580533534533</v>
      </c>
      <c r="L80" s="152">
        <f>pvar!O26</f>
        <v>12.794385757910456</v>
      </c>
      <c r="M80" s="152">
        <f>pvar!P26</f>
        <v>0</v>
      </c>
      <c r="N80" s="152">
        <f>pvar!Q26</f>
        <v>7.2442943942544202</v>
      </c>
      <c r="O80" s="152">
        <f>pvar!R26</f>
        <v>0</v>
      </c>
      <c r="P80" s="152">
        <f>pvar!S26</f>
        <v>0</v>
      </c>
      <c r="Q80" s="152">
        <f>pvar!T26</f>
        <v>0</v>
      </c>
      <c r="R80" s="152">
        <f>pvar!U26</f>
        <v>43.468851155914201</v>
      </c>
      <c r="S80" s="152">
        <f>pvar!V26</f>
        <v>0</v>
      </c>
      <c r="T80" s="152">
        <f>pvar!W26</f>
        <v>0</v>
      </c>
      <c r="U80" s="152">
        <f>pvar!X26</f>
        <v>0</v>
      </c>
      <c r="V80" s="152">
        <f>pvar!Y26</f>
        <v>0</v>
      </c>
      <c r="W80" s="152">
        <f>pvar!Z26</f>
        <v>0</v>
      </c>
      <c r="X80" s="152">
        <f>pvar!AA26</f>
        <v>0</v>
      </c>
      <c r="Y80" s="152">
        <f>pvar!AB26</f>
        <v>0</v>
      </c>
      <c r="Z80" s="152">
        <f>pvar!AC26</f>
        <v>1.5797882598984359</v>
      </c>
      <c r="AA80" s="152">
        <f>pvar!AD26</f>
        <v>1.0216726062092789</v>
      </c>
      <c r="AB80" s="152">
        <f>pvar!AE26</f>
        <v>0</v>
      </c>
      <c r="AC80" s="152">
        <f>pvar!AF26</f>
        <v>2.630706128352613</v>
      </c>
      <c r="AD80" s="152">
        <f>pvar!AG26</f>
        <v>0</v>
      </c>
      <c r="AE80" s="152">
        <f>pvar!AH26</f>
        <v>0</v>
      </c>
      <c r="AF80" s="152">
        <f>pvar!AI26</f>
        <v>0.1903937640980442</v>
      </c>
      <c r="AG80" s="152">
        <f>pvar!AJ26</f>
        <v>3.252084756323657</v>
      </c>
      <c r="AH80" s="152">
        <f>pvar!AK26</f>
        <v>0.68106736720647598</v>
      </c>
      <c r="AI80" s="152">
        <f>pvar!AL26</f>
        <v>0.82419690960084724</v>
      </c>
      <c r="AJ80" s="236"/>
      <c r="AK80" s="254">
        <f>C80+D80+E80+F80+G80+H80+I80+J80+K80+L80+M80+N80+O80+P80+Q80+R80+S80+T80+U80+V80+W80+X80+Y80+Z80+AA80+AB80+AC80+AD80+AE80+AF80+AG80+AH80+AI80</f>
        <v>184.43678814622564</v>
      </c>
    </row>
    <row r="81" spans="1:37" x14ac:dyDescent="0.25">
      <c r="A81" s="134" t="s">
        <v>789</v>
      </c>
      <c r="B81" s="8" t="s">
        <v>59</v>
      </c>
      <c r="C81" s="197">
        <f>pvar!F28</f>
        <v>0</v>
      </c>
      <c r="D81" s="197">
        <f>pvar!G28</f>
        <v>2.8875214095204493E-11</v>
      </c>
      <c r="E81" s="197">
        <f>pvar!H28</f>
        <v>0</v>
      </c>
      <c r="F81" s="197">
        <f>pvar!I28</f>
        <v>0</v>
      </c>
      <c r="G81" s="197">
        <f>pvar!J28</f>
        <v>0</v>
      </c>
      <c r="H81" s="197">
        <f>pvar!K28</f>
        <v>0</v>
      </c>
      <c r="I81" s="197">
        <f>pvar!L28</f>
        <v>0</v>
      </c>
      <c r="J81" s="197">
        <f>pvar!M28</f>
        <v>0</v>
      </c>
      <c r="K81" s="197">
        <f>pvar!N28</f>
        <v>0</v>
      </c>
      <c r="L81" s="197">
        <f>pvar!O28</f>
        <v>0</v>
      </c>
      <c r="M81" s="197">
        <f>pvar!P28</f>
        <v>0</v>
      </c>
      <c r="N81" s="197">
        <f>pvar!Q28</f>
        <v>0</v>
      </c>
      <c r="O81" s="197">
        <f>pvar!R28</f>
        <v>0</v>
      </c>
      <c r="P81" s="197">
        <f>pvar!S28</f>
        <v>0</v>
      </c>
      <c r="Q81" s="197">
        <f>pvar!T28</f>
        <v>0</v>
      </c>
      <c r="R81" s="197">
        <f>pvar!U28</f>
        <v>0</v>
      </c>
      <c r="S81" s="197">
        <f>pvar!V28</f>
        <v>0</v>
      </c>
      <c r="T81" s="197">
        <f>pvar!W28</f>
        <v>0.333854859634521</v>
      </c>
      <c r="U81" s="197">
        <f>pvar!X28</f>
        <v>0.12136931146411678</v>
      </c>
      <c r="V81" s="197">
        <f>pvar!Y28</f>
        <v>0</v>
      </c>
      <c r="W81" s="197">
        <f>pvar!Z28</f>
        <v>0</v>
      </c>
      <c r="X81" s="197">
        <f>pvar!AA28</f>
        <v>0</v>
      </c>
      <c r="Y81" s="197">
        <f>pvar!AB28</f>
        <v>0</v>
      </c>
      <c r="Z81" s="197">
        <f>pvar!AC28</f>
        <v>0</v>
      </c>
      <c r="AA81" s="197">
        <f>pvar!AD28</f>
        <v>0</v>
      </c>
      <c r="AB81" s="197">
        <f>pvar!AE28</f>
        <v>0</v>
      </c>
      <c r="AC81" s="197">
        <f>pvar!AF28</f>
        <v>0</v>
      </c>
      <c r="AD81" s="197">
        <f>pvar!AG28</f>
        <v>0</v>
      </c>
      <c r="AE81" s="197">
        <f>pvar!AH28</f>
        <v>0.39624399607517802</v>
      </c>
      <c r="AF81" s="197">
        <f>pvar!AI28</f>
        <v>0</v>
      </c>
      <c r="AG81" s="197">
        <f>pvar!AJ28</f>
        <v>0</v>
      </c>
      <c r="AH81" s="197">
        <f>pvar!AK28</f>
        <v>0</v>
      </c>
      <c r="AI81" s="197">
        <f>pvar!AL28</f>
        <v>0</v>
      </c>
      <c r="AJ81" s="249"/>
      <c r="AK81" s="254">
        <f>C81+D81+E81+F81+G81+H81+I81+J81+K81+L81+M81+N81+O81+P81+Q81+R81+S81+T81+U81+V81+W81+X81+Y81+Z81+AA81+AB81+AC81+AD81+AE81+AF81+AG81+AH81+AI81</f>
        <v>0.85146816720269103</v>
      </c>
    </row>
    <row r="82" spans="1:37" x14ac:dyDescent="0.25">
      <c r="A82" s="236"/>
      <c r="B82" s="236"/>
      <c r="C82" s="265"/>
      <c r="D82" s="236"/>
      <c r="E82" s="236"/>
      <c r="F82" s="236"/>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6"/>
      <c r="AE82" s="236"/>
      <c r="AF82" s="236"/>
      <c r="AG82" s="236"/>
      <c r="AH82" s="236"/>
      <c r="AI82" s="236"/>
      <c r="AJ82" s="236"/>
      <c r="AK82" s="243"/>
    </row>
    <row r="83" spans="1:37" x14ac:dyDescent="0.25">
      <c r="A83" s="258" t="s">
        <v>791</v>
      </c>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row>
    <row r="84" spans="1:37" x14ac:dyDescent="0.25">
      <c r="A84" s="21"/>
      <c r="B84" s="236"/>
      <c r="C84" s="265"/>
      <c r="D84" s="236"/>
      <c r="E84" s="236"/>
      <c r="F84" s="236"/>
      <c r="G84" s="236"/>
      <c r="H84" s="236"/>
      <c r="I84" s="236"/>
      <c r="J84" s="236"/>
      <c r="K84" s="236"/>
      <c r="L84" s="236"/>
      <c r="M84" s="236"/>
      <c r="N84" s="236"/>
      <c r="O84" s="236"/>
      <c r="P84" s="236"/>
      <c r="Q84" s="236"/>
      <c r="R84" s="236"/>
      <c r="S84" s="236"/>
      <c r="T84" s="236"/>
      <c r="U84" s="236"/>
      <c r="V84" s="236"/>
      <c r="W84" s="236"/>
      <c r="X84" s="236"/>
      <c r="Y84" s="236"/>
      <c r="Z84" s="236"/>
      <c r="AA84" s="236"/>
      <c r="AB84" s="236"/>
      <c r="AC84" s="236"/>
      <c r="AD84" s="236"/>
      <c r="AE84" s="236"/>
      <c r="AF84" s="236"/>
      <c r="AG84" s="236"/>
      <c r="AH84" s="236"/>
      <c r="AI84" s="236"/>
      <c r="AJ84" s="236"/>
      <c r="AK84" s="243"/>
    </row>
    <row r="85" spans="1:37" x14ac:dyDescent="0.25">
      <c r="A85" s="246" t="s">
        <v>38</v>
      </c>
      <c r="B85" s="247"/>
      <c r="C85" s="265"/>
      <c r="D85" s="236"/>
      <c r="E85" s="236"/>
      <c r="F85" s="236"/>
      <c r="G85" s="236"/>
      <c r="H85" s="236"/>
      <c r="I85" s="236"/>
      <c r="J85" s="236"/>
      <c r="K85" s="236"/>
      <c r="L85" s="236"/>
      <c r="M85" s="236"/>
      <c r="N85" s="236"/>
      <c r="O85" s="236"/>
      <c r="P85" s="236"/>
      <c r="Q85" s="236"/>
      <c r="R85" s="236"/>
      <c r="S85" s="236"/>
      <c r="T85" s="236"/>
      <c r="U85" s="236"/>
      <c r="V85" s="236"/>
      <c r="W85" s="236"/>
      <c r="X85" s="236"/>
      <c r="Y85" s="236"/>
      <c r="Z85" s="236"/>
      <c r="AA85" s="236"/>
      <c r="AB85" s="236"/>
      <c r="AC85" s="236"/>
      <c r="AD85" s="236"/>
      <c r="AE85" s="236"/>
      <c r="AF85" s="236"/>
      <c r="AG85" s="236"/>
      <c r="AH85" s="236"/>
      <c r="AI85" s="236"/>
      <c r="AJ85" s="236"/>
      <c r="AK85" s="243"/>
    </row>
    <row r="86" spans="1:37" x14ac:dyDescent="0.25">
      <c r="A86" s="8" t="s">
        <v>732</v>
      </c>
      <c r="B86" s="8" t="s">
        <v>83</v>
      </c>
      <c r="C86" s="244">
        <f t="shared" ref="C86:AI86" si="32">C87*C6</f>
        <v>2459.6166891447838</v>
      </c>
      <c r="D86" s="244">
        <f t="shared" si="32"/>
        <v>126.82119457464027</v>
      </c>
      <c r="E86" s="244">
        <f t="shared" si="32"/>
        <v>89.310700404676254</v>
      </c>
      <c r="F86" s="244">
        <f t="shared" si="32"/>
        <v>385.82222574820145</v>
      </c>
      <c r="G86" s="244">
        <f t="shared" si="32"/>
        <v>198.26975489838131</v>
      </c>
      <c r="H86" s="244">
        <f t="shared" si="32"/>
        <v>241.1388910926259</v>
      </c>
      <c r="I86" s="244">
        <f t="shared" si="32"/>
        <v>98.241770445143885</v>
      </c>
      <c r="J86" s="244">
        <f t="shared" si="32"/>
        <v>785.93416356115108</v>
      </c>
      <c r="K86" s="244">
        <f t="shared" si="32"/>
        <v>287.58045530305753</v>
      </c>
      <c r="L86" s="244">
        <f t="shared" si="32"/>
        <v>139.32469263129497</v>
      </c>
      <c r="M86" s="244">
        <f t="shared" si="32"/>
        <v>503.71235028237402</v>
      </c>
      <c r="N86" s="244">
        <f t="shared" si="32"/>
        <v>387.60843975629496</v>
      </c>
      <c r="O86" s="244">
        <f t="shared" si="32"/>
        <v>732.34774331834524</v>
      </c>
      <c r="P86" s="244">
        <f t="shared" si="32"/>
        <v>371.5325136834532</v>
      </c>
      <c r="Q86" s="244">
        <f t="shared" si="32"/>
        <v>750.20988339928056</v>
      </c>
      <c r="R86" s="244">
        <f t="shared" si="32"/>
        <v>541.22284445233811</v>
      </c>
      <c r="S86" s="244">
        <f t="shared" si="32"/>
        <v>653.75432696223015</v>
      </c>
      <c r="T86" s="244">
        <f t="shared" si="32"/>
        <v>192.91111287410072</v>
      </c>
      <c r="U86" s="244">
        <f t="shared" si="32"/>
        <v>271.50452923021584</v>
      </c>
      <c r="V86" s="244">
        <f t="shared" si="32"/>
        <v>523.3607043714029</v>
      </c>
      <c r="W86" s="244">
        <f t="shared" si="32"/>
        <v>67.876132307553959</v>
      </c>
      <c r="X86" s="244">
        <f t="shared" si="32"/>
        <v>471.56049813669063</v>
      </c>
      <c r="Y86" s="244">
        <f t="shared" si="32"/>
        <v>76.807202348021576</v>
      </c>
      <c r="Z86" s="244">
        <f t="shared" si="32"/>
        <v>698.40967716456828</v>
      </c>
      <c r="AA86" s="244">
        <f t="shared" si="32"/>
        <v>339.38066153776975</v>
      </c>
      <c r="AB86" s="244">
        <f t="shared" si="32"/>
        <v>191.12489886600719</v>
      </c>
      <c r="AC86" s="244">
        <f t="shared" si="32"/>
        <v>92.883128420863301</v>
      </c>
      <c r="AD86" s="244">
        <f t="shared" si="32"/>
        <v>128.6074085827338</v>
      </c>
      <c r="AE86" s="244">
        <f t="shared" si="32"/>
        <v>78.5934163561151</v>
      </c>
      <c r="AF86" s="244">
        <f t="shared" si="32"/>
        <v>537.65041643615098</v>
      </c>
      <c r="AG86" s="244">
        <f t="shared" si="32"/>
        <v>460.84321408812946</v>
      </c>
      <c r="AH86" s="244">
        <f t="shared" si="32"/>
        <v>416.18786388579133</v>
      </c>
      <c r="AI86" s="244">
        <f t="shared" si="32"/>
        <v>105.38662647751798</v>
      </c>
      <c r="AJ86" s="236"/>
      <c r="AK86" s="245">
        <f>SUM(C86:AI86)</f>
        <v>13405.536130741904</v>
      </c>
    </row>
    <row r="87" spans="1:37" x14ac:dyDescent="0.25">
      <c r="A87" s="8"/>
      <c r="B87" s="22" t="s">
        <v>792</v>
      </c>
      <c r="C87" s="249">
        <f>pvar!F11</f>
        <v>178.62140080935251</v>
      </c>
      <c r="D87" s="249">
        <f>pvar!G11</f>
        <v>178.62140080935251</v>
      </c>
      <c r="E87" s="249">
        <f>pvar!H11</f>
        <v>178.62140080935251</v>
      </c>
      <c r="F87" s="249">
        <f>pvar!I11</f>
        <v>178.62140080935251</v>
      </c>
      <c r="G87" s="249">
        <f>pvar!J11</f>
        <v>178.62140080935251</v>
      </c>
      <c r="H87" s="249">
        <f>pvar!K11</f>
        <v>178.62140080935251</v>
      </c>
      <c r="I87" s="249">
        <f>pvar!L11</f>
        <v>178.62140080935251</v>
      </c>
      <c r="J87" s="249">
        <f>pvar!M11</f>
        <v>178.62140080935251</v>
      </c>
      <c r="K87" s="249">
        <f>pvar!N11</f>
        <v>178.62140080935251</v>
      </c>
      <c r="L87" s="249">
        <f>pvar!O11</f>
        <v>178.62140080935251</v>
      </c>
      <c r="M87" s="249">
        <f>pvar!P11</f>
        <v>178.62140080935251</v>
      </c>
      <c r="N87" s="249">
        <f>pvar!Q11</f>
        <v>178.62140080935251</v>
      </c>
      <c r="O87" s="249">
        <f>pvar!R11</f>
        <v>178.62140080935251</v>
      </c>
      <c r="P87" s="249">
        <f>pvar!S11</f>
        <v>178.62140080935251</v>
      </c>
      <c r="Q87" s="249">
        <f>pvar!T11</f>
        <v>178.62140080935251</v>
      </c>
      <c r="R87" s="249">
        <f>pvar!U11</f>
        <v>178.62140080935251</v>
      </c>
      <c r="S87" s="249">
        <f>pvar!V11</f>
        <v>178.62140080935251</v>
      </c>
      <c r="T87" s="249">
        <f>pvar!W11</f>
        <v>178.62140080935251</v>
      </c>
      <c r="U87" s="249">
        <f>pvar!X11</f>
        <v>178.62140080935251</v>
      </c>
      <c r="V87" s="249">
        <f>pvar!Y11</f>
        <v>178.62140080935251</v>
      </c>
      <c r="W87" s="249">
        <f>pvar!Z11</f>
        <v>178.62140080935251</v>
      </c>
      <c r="X87" s="249">
        <f>pvar!AA11</f>
        <v>178.62140080935251</v>
      </c>
      <c r="Y87" s="249">
        <f>pvar!AB11</f>
        <v>178.62140080935251</v>
      </c>
      <c r="Z87" s="249">
        <f>pvar!AC11</f>
        <v>178.62140080935251</v>
      </c>
      <c r="AA87" s="249">
        <f>pvar!AD11</f>
        <v>178.62140080935251</v>
      </c>
      <c r="AB87" s="249">
        <f>pvar!AE11</f>
        <v>178.62140080935251</v>
      </c>
      <c r="AC87" s="249">
        <f>pvar!AF11</f>
        <v>178.62140080935251</v>
      </c>
      <c r="AD87" s="249">
        <f>pvar!AG11</f>
        <v>178.62140080935251</v>
      </c>
      <c r="AE87" s="249">
        <f>pvar!AH11</f>
        <v>178.62140080935251</v>
      </c>
      <c r="AF87" s="249">
        <f>pvar!AI11</f>
        <v>178.62140080935251</v>
      </c>
      <c r="AG87" s="249">
        <f>pvar!AJ11</f>
        <v>178.62140080935251</v>
      </c>
      <c r="AH87" s="249">
        <f>pvar!AK11</f>
        <v>178.62140080935251</v>
      </c>
      <c r="AI87" s="249">
        <f>pvar!AL11</f>
        <v>178.62140080935251</v>
      </c>
      <c r="AJ87" s="249"/>
      <c r="AK87" s="254"/>
    </row>
    <row r="88" spans="1:37" x14ac:dyDescent="0.25">
      <c r="A88" s="8" t="s">
        <v>793</v>
      </c>
      <c r="B88" s="8" t="s">
        <v>83</v>
      </c>
      <c r="C88" s="244">
        <f>C6*pvar!F12</f>
        <v>1106.013285</v>
      </c>
      <c r="D88" s="244">
        <f>D6*pvar!G12</f>
        <v>57.027554999999992</v>
      </c>
      <c r="E88" s="244">
        <f>E6*pvar!H12</f>
        <v>40.160249999999998</v>
      </c>
      <c r="F88" s="244">
        <f>F6*pvar!I12</f>
        <v>173.49227999999999</v>
      </c>
      <c r="G88" s="244">
        <f>G6*pvar!J12</f>
        <v>89.155754999999999</v>
      </c>
      <c r="H88" s="244">
        <f>H6*pvar!K12</f>
        <v>108.432675</v>
      </c>
      <c r="I88" s="244">
        <f>I6*pvar!L12</f>
        <v>44.176275000000004</v>
      </c>
      <c r="J88" s="244">
        <f>J6*pvar!M12</f>
        <v>353.41020000000003</v>
      </c>
      <c r="K88" s="244">
        <f>K6*pvar!N12</f>
        <v>129.31600499999999</v>
      </c>
      <c r="L88" s="244">
        <f>L6*pvar!O12</f>
        <v>62.649989999999995</v>
      </c>
      <c r="M88" s="244">
        <f>M6*pvar!P12</f>
        <v>226.50380999999999</v>
      </c>
      <c r="N88" s="244">
        <f>N6*pvar!Q12</f>
        <v>174.29548499999999</v>
      </c>
      <c r="O88" s="244">
        <f>O6*pvar!R12</f>
        <v>329.31404999999995</v>
      </c>
      <c r="P88" s="244">
        <f>P6*pvar!S12</f>
        <v>167.06664000000001</v>
      </c>
      <c r="Q88" s="244">
        <f>Q6*pvar!T12</f>
        <v>337.34609999999998</v>
      </c>
      <c r="R88" s="244">
        <f>R6*pvar!U12</f>
        <v>243.37111499999997</v>
      </c>
      <c r="S88" s="244">
        <f>S6*pvar!V12</f>
        <v>293.97302999999999</v>
      </c>
      <c r="T88" s="244">
        <f>T6*pvar!W12</f>
        <v>86.746139999999997</v>
      </c>
      <c r="U88" s="244">
        <f>U6*pvar!X12</f>
        <v>122.08716</v>
      </c>
      <c r="V88" s="244">
        <f>V6*pvar!Y12</f>
        <v>235.33906500000001</v>
      </c>
      <c r="W88" s="244">
        <f>W6*pvar!Z12</f>
        <v>30.521789999999999</v>
      </c>
      <c r="X88" s="244">
        <f>X6*pvar!AA12</f>
        <v>212.04612</v>
      </c>
      <c r="Y88" s="244">
        <f>Y6*pvar!AB12</f>
        <v>34.537814999999995</v>
      </c>
      <c r="Z88" s="244">
        <f>Z6*pvar!AC12</f>
        <v>314.053155</v>
      </c>
      <c r="AA88" s="244">
        <f>AA6*pvar!AD12</f>
        <v>152.60894999999999</v>
      </c>
      <c r="AB88" s="244">
        <f>AB6*pvar!AE12</f>
        <v>85.942935000000006</v>
      </c>
      <c r="AC88" s="244">
        <f>AC6*pvar!AF12</f>
        <v>41.766660000000002</v>
      </c>
      <c r="AD88" s="244">
        <f>AD6*pvar!AG12</f>
        <v>57.830759999999998</v>
      </c>
      <c r="AE88" s="244">
        <f>AE6*pvar!AH12</f>
        <v>35.34102</v>
      </c>
      <c r="AF88" s="244">
        <f>AF6*pvar!AI12</f>
        <v>241.76470499999996</v>
      </c>
      <c r="AG88" s="244">
        <f>AG6*pvar!AJ12</f>
        <v>207.22689</v>
      </c>
      <c r="AH88" s="244">
        <f>AH6*pvar!AK12</f>
        <v>187.14676499999999</v>
      </c>
      <c r="AI88" s="244">
        <f>AI6*pvar!AL12</f>
        <v>47.389094999999998</v>
      </c>
      <c r="AJ88" s="236"/>
      <c r="AK88" s="245">
        <f>SUM(C88:AI88)</f>
        <v>6028.0535249999994</v>
      </c>
    </row>
    <row r="89" spans="1:37" x14ac:dyDescent="0.25">
      <c r="A89" s="8" t="s">
        <v>794</v>
      </c>
      <c r="B89" s="8" t="s">
        <v>83</v>
      </c>
      <c r="C89" s="244">
        <f>C6*pvar!F13</f>
        <v>505.40581800000001</v>
      </c>
      <c r="D89" s="244">
        <f>D6*pvar!G13</f>
        <v>26.059414</v>
      </c>
      <c r="E89" s="244">
        <f>E6*pvar!H13</f>
        <v>18.351700000000001</v>
      </c>
      <c r="F89" s="244">
        <f>F6*pvar!I13</f>
        <v>79.279344000000009</v>
      </c>
      <c r="G89" s="244">
        <f>G6*pvar!J13</f>
        <v>40.740774000000009</v>
      </c>
      <c r="H89" s="244">
        <f>H6*pvar!K13</f>
        <v>49.549590000000009</v>
      </c>
      <c r="I89" s="244">
        <f>I6*pvar!L13</f>
        <v>20.186870000000003</v>
      </c>
      <c r="J89" s="244">
        <f>J6*pvar!M13</f>
        <v>161.49496000000002</v>
      </c>
      <c r="K89" s="244">
        <f>K6*pvar!N13</f>
        <v>59.09247400000001</v>
      </c>
      <c r="L89" s="244">
        <f>L6*pvar!O13</f>
        <v>28.628652000000002</v>
      </c>
      <c r="M89" s="244">
        <f>M6*pvar!P13</f>
        <v>103.50358799999999</v>
      </c>
      <c r="N89" s="244">
        <f>N6*pvar!Q13</f>
        <v>79.646377999999999</v>
      </c>
      <c r="O89" s="244">
        <f>O6*pvar!R13</f>
        <v>150.48393999999999</v>
      </c>
      <c r="P89" s="244">
        <f>P6*pvar!S13</f>
        <v>76.343072000000006</v>
      </c>
      <c r="Q89" s="244">
        <f>Q6*pvar!T13</f>
        <v>154.15428000000003</v>
      </c>
      <c r="R89" s="244">
        <f>R6*pvar!U13</f>
        <v>111.211302</v>
      </c>
      <c r="S89" s="244">
        <f>S6*pvar!V13</f>
        <v>134.33444400000002</v>
      </c>
      <c r="T89" s="244">
        <f>T6*pvar!W13</f>
        <v>39.639672000000004</v>
      </c>
      <c r="U89" s="244">
        <f>U6*pvar!X13</f>
        <v>55.789168000000004</v>
      </c>
      <c r="V89" s="244">
        <f>V6*pvar!Y13</f>
        <v>107.54096200000001</v>
      </c>
      <c r="W89" s="244">
        <f>W6*pvar!Z13</f>
        <v>13.947292000000001</v>
      </c>
      <c r="X89" s="244">
        <f>X6*pvar!AA13</f>
        <v>96.896976000000009</v>
      </c>
      <c r="Y89" s="244">
        <f>Y6*pvar!AB13</f>
        <v>15.782462000000001</v>
      </c>
      <c r="Z89" s="244">
        <f>Z6*pvar!AC13</f>
        <v>143.51029400000002</v>
      </c>
      <c r="AA89" s="244">
        <f>AA6*pvar!AD13</f>
        <v>69.736459999999994</v>
      </c>
      <c r="AB89" s="244">
        <f>AB6*pvar!AE13</f>
        <v>39.272638000000008</v>
      </c>
      <c r="AC89" s="244">
        <f>AC6*pvar!AF13</f>
        <v>19.085768000000002</v>
      </c>
      <c r="AD89" s="244">
        <f>AD6*pvar!AG13</f>
        <v>26.426448000000001</v>
      </c>
      <c r="AE89" s="244">
        <f>AE6*pvar!AH13</f>
        <v>16.149496000000003</v>
      </c>
      <c r="AF89" s="244">
        <f>AF6*pvar!AI13</f>
        <v>110.477234</v>
      </c>
      <c r="AG89" s="244">
        <f>AG6*pvar!AJ13</f>
        <v>94.694772000000015</v>
      </c>
      <c r="AH89" s="244">
        <f>AH6*pvar!AK13</f>
        <v>85.518922000000003</v>
      </c>
      <c r="AI89" s="244">
        <f>AI6*pvar!AL13</f>
        <v>21.655006</v>
      </c>
      <c r="AJ89" s="236"/>
      <c r="AK89" s="245">
        <f>SUM(C89:AI89)</f>
        <v>2754.5901700000009</v>
      </c>
    </row>
    <row r="90" spans="1:37" x14ac:dyDescent="0.25">
      <c r="A90" s="236" t="s">
        <v>737</v>
      </c>
      <c r="B90" s="8" t="s">
        <v>83</v>
      </c>
      <c r="C90" s="244">
        <f>C86*0.152</f>
        <v>373.86173675000714</v>
      </c>
      <c r="D90" s="244">
        <f t="shared" ref="D90:AI90" si="33">D86*0.152</f>
        <v>19.27682157534532</v>
      </c>
      <c r="E90" s="244">
        <f t="shared" si="33"/>
        <v>13.575226461510791</v>
      </c>
      <c r="F90" s="244">
        <f t="shared" si="33"/>
        <v>58.644978313726618</v>
      </c>
      <c r="G90" s="244">
        <f t="shared" si="33"/>
        <v>30.137002744553957</v>
      </c>
      <c r="H90" s="244">
        <f t="shared" si="33"/>
        <v>36.653111446079137</v>
      </c>
      <c r="I90" s="244">
        <f t="shared" si="33"/>
        <v>14.93274910766187</v>
      </c>
      <c r="J90" s="244">
        <f t="shared" si="33"/>
        <v>119.46199286129496</v>
      </c>
      <c r="K90" s="244">
        <f t="shared" si="33"/>
        <v>43.712229206064741</v>
      </c>
      <c r="L90" s="244">
        <f t="shared" si="33"/>
        <v>21.177353279956833</v>
      </c>
      <c r="M90" s="244">
        <f t="shared" si="33"/>
        <v>76.564277242920852</v>
      </c>
      <c r="N90" s="244">
        <f t="shared" si="33"/>
        <v>58.916482842956832</v>
      </c>
      <c r="O90" s="244">
        <f t="shared" si="33"/>
        <v>111.31685698438848</v>
      </c>
      <c r="P90" s="244">
        <f t="shared" si="33"/>
        <v>56.472942079884888</v>
      </c>
      <c r="Q90" s="244">
        <f t="shared" si="33"/>
        <v>114.03190227669064</v>
      </c>
      <c r="R90" s="244">
        <f t="shared" si="33"/>
        <v>82.265872356755395</v>
      </c>
      <c r="S90" s="244">
        <f t="shared" si="33"/>
        <v>99.370657698258981</v>
      </c>
      <c r="T90" s="244">
        <f t="shared" si="33"/>
        <v>29.322489156863309</v>
      </c>
      <c r="U90" s="244">
        <f t="shared" si="33"/>
        <v>41.268688442992804</v>
      </c>
      <c r="V90" s="244">
        <f t="shared" si="33"/>
        <v>79.550827064453244</v>
      </c>
      <c r="W90" s="244">
        <f t="shared" si="33"/>
        <v>10.317172110748201</v>
      </c>
      <c r="X90" s="244">
        <f t="shared" si="33"/>
        <v>71.677195716776978</v>
      </c>
      <c r="Y90" s="244">
        <f t="shared" si="33"/>
        <v>11.67469475689928</v>
      </c>
      <c r="Z90" s="244">
        <f t="shared" si="33"/>
        <v>106.15827092901438</v>
      </c>
      <c r="AA90" s="244">
        <f t="shared" si="33"/>
        <v>51.585860553741</v>
      </c>
      <c r="AB90" s="244">
        <f t="shared" si="33"/>
        <v>29.050984627633092</v>
      </c>
      <c r="AC90" s="244">
        <f t="shared" si="33"/>
        <v>14.118235519971222</v>
      </c>
      <c r="AD90" s="244">
        <f t="shared" si="33"/>
        <v>19.548326104575537</v>
      </c>
      <c r="AE90" s="244">
        <f t="shared" si="33"/>
        <v>11.946199286129495</v>
      </c>
      <c r="AF90" s="244">
        <f t="shared" si="33"/>
        <v>81.722863298294953</v>
      </c>
      <c r="AG90" s="244">
        <f t="shared" si="33"/>
        <v>70.048168541395682</v>
      </c>
      <c r="AH90" s="244">
        <f t="shared" si="33"/>
        <v>63.260555310640278</v>
      </c>
      <c r="AI90" s="244">
        <f t="shared" si="33"/>
        <v>16.018767224582732</v>
      </c>
      <c r="AJ90" s="236"/>
      <c r="AK90" s="245"/>
    </row>
    <row r="91" spans="1:37" x14ac:dyDescent="0.25">
      <c r="A91" s="236" t="s">
        <v>738</v>
      </c>
      <c r="B91" s="8" t="s">
        <v>83</v>
      </c>
      <c r="C91" s="244">
        <f>C86*0.183</f>
        <v>450.10985411349543</v>
      </c>
      <c r="D91" s="244">
        <f t="shared" ref="D91:AI91" si="34">D86*0.183</f>
        <v>23.208278607159169</v>
      </c>
      <c r="E91" s="244">
        <f t="shared" si="34"/>
        <v>16.343858174055754</v>
      </c>
      <c r="F91" s="244">
        <f t="shared" si="34"/>
        <v>70.605467311920862</v>
      </c>
      <c r="G91" s="244">
        <f t="shared" si="34"/>
        <v>36.283365146403781</v>
      </c>
      <c r="H91" s="244">
        <f t="shared" si="34"/>
        <v>44.128417069950537</v>
      </c>
      <c r="I91" s="244">
        <f t="shared" si="34"/>
        <v>17.97824399146133</v>
      </c>
      <c r="J91" s="244">
        <f t="shared" si="34"/>
        <v>143.82595193169064</v>
      </c>
      <c r="K91" s="244">
        <f t="shared" si="34"/>
        <v>52.627223320459528</v>
      </c>
      <c r="L91" s="244">
        <f t="shared" si="34"/>
        <v>25.496418751526978</v>
      </c>
      <c r="M91" s="244">
        <f t="shared" si="34"/>
        <v>92.179360101674447</v>
      </c>
      <c r="N91" s="244">
        <f t="shared" si="34"/>
        <v>70.932344475401976</v>
      </c>
      <c r="O91" s="244">
        <f t="shared" si="34"/>
        <v>134.01963702725718</v>
      </c>
      <c r="P91" s="244">
        <f t="shared" si="34"/>
        <v>67.990450004071931</v>
      </c>
      <c r="Q91" s="244">
        <f t="shared" si="34"/>
        <v>137.28840866206835</v>
      </c>
      <c r="R91" s="244">
        <f t="shared" si="34"/>
        <v>99.043780534777866</v>
      </c>
      <c r="S91" s="244">
        <f t="shared" si="34"/>
        <v>119.63704183408811</v>
      </c>
      <c r="T91" s="244">
        <f t="shared" si="34"/>
        <v>35.302733655960431</v>
      </c>
      <c r="U91" s="244">
        <f t="shared" si="34"/>
        <v>49.685328849129498</v>
      </c>
      <c r="V91" s="244">
        <f t="shared" si="34"/>
        <v>95.775008899966735</v>
      </c>
      <c r="W91" s="244">
        <f t="shared" si="34"/>
        <v>12.421332212282374</v>
      </c>
      <c r="X91" s="244">
        <f t="shared" si="34"/>
        <v>86.295571159014386</v>
      </c>
      <c r="Y91" s="244">
        <f t="shared" si="34"/>
        <v>14.055718029687949</v>
      </c>
      <c r="Z91" s="244">
        <f t="shared" si="34"/>
        <v>127.80897092111599</v>
      </c>
      <c r="AA91" s="244">
        <f t="shared" si="34"/>
        <v>62.106661061411863</v>
      </c>
      <c r="AB91" s="244">
        <f t="shared" si="34"/>
        <v>34.975856492479316</v>
      </c>
      <c r="AC91" s="244">
        <f t="shared" si="34"/>
        <v>16.997612501017983</v>
      </c>
      <c r="AD91" s="244">
        <f t="shared" si="34"/>
        <v>23.535155770640284</v>
      </c>
      <c r="AE91" s="244">
        <f t="shared" si="34"/>
        <v>14.382595193169063</v>
      </c>
      <c r="AF91" s="244">
        <f t="shared" si="34"/>
        <v>98.390026207815623</v>
      </c>
      <c r="AG91" s="244">
        <f t="shared" si="34"/>
        <v>84.334308178127685</v>
      </c>
      <c r="AH91" s="244">
        <f t="shared" si="34"/>
        <v>76.162379091099808</v>
      </c>
      <c r="AI91" s="244">
        <f t="shared" si="34"/>
        <v>19.285752645385788</v>
      </c>
      <c r="AJ91" s="236"/>
      <c r="AK91" s="245"/>
    </row>
    <row r="92" spans="1:37" x14ac:dyDescent="0.25">
      <c r="A92" s="236" t="s">
        <v>739</v>
      </c>
      <c r="B92" s="8" t="s">
        <v>83</v>
      </c>
      <c r="C92" s="244">
        <f>1.47*C91</f>
        <v>661.66148554683832</v>
      </c>
      <c r="D92" s="244">
        <f t="shared" ref="D92:AI92" si="35">1.47*D91</f>
        <v>34.116169552523978</v>
      </c>
      <c r="E92" s="244">
        <f t="shared" si="35"/>
        <v>24.025471515861959</v>
      </c>
      <c r="F92" s="244">
        <f t="shared" si="35"/>
        <v>103.79003694852366</v>
      </c>
      <c r="G92" s="244">
        <f t="shared" si="35"/>
        <v>53.336546765213555</v>
      </c>
      <c r="H92" s="244">
        <f t="shared" si="35"/>
        <v>64.868773092827283</v>
      </c>
      <c r="I92" s="244">
        <f t="shared" si="35"/>
        <v>26.428018667448153</v>
      </c>
      <c r="J92" s="244">
        <f t="shared" si="35"/>
        <v>211.42414933958523</v>
      </c>
      <c r="K92" s="244">
        <f t="shared" si="35"/>
        <v>77.362018281075507</v>
      </c>
      <c r="L92" s="244">
        <f t="shared" si="35"/>
        <v>37.479735564744658</v>
      </c>
      <c r="M92" s="244">
        <f t="shared" si="35"/>
        <v>135.50365934946143</v>
      </c>
      <c r="N92" s="244">
        <f t="shared" si="35"/>
        <v>104.2705463788409</v>
      </c>
      <c r="O92" s="244">
        <f t="shared" si="35"/>
        <v>197.00886643006805</v>
      </c>
      <c r="P92" s="244">
        <f t="shared" si="35"/>
        <v>99.945961505985736</v>
      </c>
      <c r="Q92" s="244">
        <f t="shared" si="35"/>
        <v>201.81396073324046</v>
      </c>
      <c r="R92" s="244">
        <f t="shared" si="35"/>
        <v>145.59435738612345</v>
      </c>
      <c r="S92" s="244">
        <f t="shared" si="35"/>
        <v>175.86645149610951</v>
      </c>
      <c r="T92" s="244">
        <f t="shared" si="35"/>
        <v>51.895018474261832</v>
      </c>
      <c r="U92" s="244">
        <f t="shared" si="35"/>
        <v>73.037433408220366</v>
      </c>
      <c r="V92" s="244">
        <f t="shared" si="35"/>
        <v>140.78926308295109</v>
      </c>
      <c r="W92" s="244">
        <f t="shared" si="35"/>
        <v>18.259358352055092</v>
      </c>
      <c r="X92" s="244">
        <f t="shared" si="35"/>
        <v>126.85448960375115</v>
      </c>
      <c r="Y92" s="244">
        <f t="shared" si="35"/>
        <v>20.661905503641286</v>
      </c>
      <c r="Z92" s="244">
        <f t="shared" si="35"/>
        <v>187.87918725404049</v>
      </c>
      <c r="AA92" s="244">
        <f t="shared" si="35"/>
        <v>91.29679176027544</v>
      </c>
      <c r="AB92" s="244">
        <f t="shared" si="35"/>
        <v>51.414509043944591</v>
      </c>
      <c r="AC92" s="244">
        <f t="shared" si="35"/>
        <v>24.986490376496434</v>
      </c>
      <c r="AD92" s="244">
        <f t="shared" si="35"/>
        <v>34.596678982841219</v>
      </c>
      <c r="AE92" s="244">
        <f t="shared" si="35"/>
        <v>21.142414933958523</v>
      </c>
      <c r="AF92" s="244">
        <f t="shared" si="35"/>
        <v>144.63333852548897</v>
      </c>
      <c r="AG92" s="244">
        <f t="shared" si="35"/>
        <v>123.9714330218477</v>
      </c>
      <c r="AH92" s="244">
        <f t="shared" si="35"/>
        <v>111.95869726391672</v>
      </c>
      <c r="AI92" s="244">
        <f t="shared" si="35"/>
        <v>28.350056388717107</v>
      </c>
      <c r="AJ92" s="236"/>
      <c r="AK92" s="245"/>
    </row>
    <row r="93" spans="1:37" x14ac:dyDescent="0.25">
      <c r="A93" s="236" t="s">
        <v>795</v>
      </c>
      <c r="B93" s="8" t="s">
        <v>83</v>
      </c>
      <c r="C93" s="244">
        <f>C92+C90</f>
        <v>1035.5232222968455</v>
      </c>
      <c r="D93" s="244">
        <f t="shared" ref="D93:AI93" si="36">D92+D90</f>
        <v>53.392991127869294</v>
      </c>
      <c r="E93" s="244">
        <f t="shared" si="36"/>
        <v>37.600697977372747</v>
      </c>
      <c r="F93" s="244">
        <f t="shared" si="36"/>
        <v>162.43501526225029</v>
      </c>
      <c r="G93" s="244">
        <f t="shared" si="36"/>
        <v>83.473549509767508</v>
      </c>
      <c r="H93" s="244">
        <f t="shared" si="36"/>
        <v>101.52188453890642</v>
      </c>
      <c r="I93" s="244">
        <f t="shared" si="36"/>
        <v>41.36076777511002</v>
      </c>
      <c r="J93" s="244">
        <f t="shared" si="36"/>
        <v>330.88614220088016</v>
      </c>
      <c r="K93" s="244">
        <f t="shared" si="36"/>
        <v>121.07424748714024</v>
      </c>
      <c r="L93" s="244">
        <f t="shared" si="36"/>
        <v>58.657088844701491</v>
      </c>
      <c r="M93" s="244">
        <f t="shared" si="36"/>
        <v>212.0679365923823</v>
      </c>
      <c r="N93" s="244">
        <f t="shared" si="36"/>
        <v>163.18702922179773</v>
      </c>
      <c r="O93" s="244">
        <f t="shared" si="36"/>
        <v>308.32572341445655</v>
      </c>
      <c r="P93" s="244">
        <f t="shared" si="36"/>
        <v>156.41890358587062</v>
      </c>
      <c r="Q93" s="244">
        <f t="shared" si="36"/>
        <v>315.84586300993112</v>
      </c>
      <c r="R93" s="244">
        <f t="shared" si="36"/>
        <v>227.86022974287886</v>
      </c>
      <c r="S93" s="244">
        <f t="shared" si="36"/>
        <v>275.23710919436849</v>
      </c>
      <c r="T93" s="244">
        <f t="shared" si="36"/>
        <v>81.217507631125144</v>
      </c>
      <c r="U93" s="244">
        <f t="shared" si="36"/>
        <v>114.30612185121316</v>
      </c>
      <c r="V93" s="244">
        <f t="shared" si="36"/>
        <v>220.34009014740434</v>
      </c>
      <c r="W93" s="244">
        <f t="shared" si="36"/>
        <v>28.576530462803291</v>
      </c>
      <c r="X93" s="244">
        <f t="shared" si="36"/>
        <v>198.53168532052814</v>
      </c>
      <c r="Y93" s="244">
        <f t="shared" si="36"/>
        <v>32.336600260540564</v>
      </c>
      <c r="Z93" s="244">
        <f t="shared" si="36"/>
        <v>294.03745818305487</v>
      </c>
      <c r="AA93" s="244">
        <f t="shared" si="36"/>
        <v>142.88265231401644</v>
      </c>
      <c r="AB93" s="244">
        <f t="shared" si="36"/>
        <v>80.46549367157769</v>
      </c>
      <c r="AC93" s="244">
        <f t="shared" si="36"/>
        <v>39.104725896467656</v>
      </c>
      <c r="AD93" s="244">
        <f t="shared" si="36"/>
        <v>54.145005087416756</v>
      </c>
      <c r="AE93" s="244">
        <f t="shared" si="36"/>
        <v>33.088614220088019</v>
      </c>
      <c r="AF93" s="244">
        <f t="shared" si="36"/>
        <v>226.35620182378392</v>
      </c>
      <c r="AG93" s="244">
        <f t="shared" si="36"/>
        <v>194.01960156324338</v>
      </c>
      <c r="AH93" s="244">
        <f t="shared" si="36"/>
        <v>175.219252574557</v>
      </c>
      <c r="AI93" s="244">
        <f t="shared" si="36"/>
        <v>44.368823613299838</v>
      </c>
      <c r="AJ93" s="236"/>
      <c r="AK93" s="245"/>
    </row>
    <row r="94" spans="1:37" x14ac:dyDescent="0.25">
      <c r="A94" s="236"/>
      <c r="B94" s="236"/>
      <c r="C94" s="265"/>
      <c r="D94" s="236"/>
      <c r="E94" s="236"/>
      <c r="F94" s="236"/>
      <c r="G94" s="236"/>
      <c r="H94" s="236"/>
      <c r="I94" s="236"/>
      <c r="J94" s="236"/>
      <c r="K94" s="236"/>
      <c r="L94" s="236"/>
      <c r="M94" s="236"/>
      <c r="N94" s="236"/>
      <c r="O94" s="236"/>
      <c r="P94" s="236"/>
      <c r="Q94" s="236"/>
      <c r="R94" s="236"/>
      <c r="S94" s="236"/>
      <c r="T94" s="236"/>
      <c r="U94" s="236"/>
      <c r="V94" s="236"/>
      <c r="W94" s="236"/>
      <c r="X94" s="236"/>
      <c r="Y94" s="236"/>
      <c r="Z94" s="236"/>
      <c r="AA94" s="236"/>
      <c r="AB94" s="236"/>
      <c r="AC94" s="236"/>
      <c r="AD94" s="236"/>
      <c r="AE94" s="236"/>
      <c r="AF94" s="236"/>
      <c r="AG94" s="236"/>
      <c r="AH94" s="236"/>
      <c r="AI94" s="236"/>
      <c r="AJ94" s="236"/>
      <c r="AK94" s="245"/>
    </row>
    <row r="95" spans="1:37" x14ac:dyDescent="0.25">
      <c r="A95" s="246" t="s">
        <v>745</v>
      </c>
      <c r="B95" s="247"/>
      <c r="C95" s="265"/>
      <c r="D95" s="236"/>
      <c r="E95" s="236"/>
      <c r="F95" s="236"/>
      <c r="G95" s="236"/>
      <c r="H95" s="236"/>
      <c r="I95" s="236"/>
      <c r="J95" s="236"/>
      <c r="K95" s="236"/>
      <c r="L95" s="236"/>
      <c r="M95" s="236"/>
      <c r="N95" s="236"/>
      <c r="O95" s="236"/>
      <c r="P95" s="236"/>
      <c r="Q95" s="236"/>
      <c r="R95" s="236"/>
      <c r="S95" s="236"/>
      <c r="T95" s="236"/>
      <c r="U95" s="236"/>
      <c r="V95" s="236"/>
      <c r="W95" s="236"/>
      <c r="X95" s="236"/>
      <c r="Y95" s="236"/>
      <c r="Z95" s="236"/>
      <c r="AA95" s="236"/>
      <c r="AB95" s="236"/>
      <c r="AC95" s="236"/>
      <c r="AD95" s="236"/>
      <c r="AE95" s="236"/>
      <c r="AF95" s="236"/>
      <c r="AG95" s="236"/>
      <c r="AH95" s="236"/>
      <c r="AI95" s="236"/>
      <c r="AJ95" s="236"/>
      <c r="AK95" s="245"/>
    </row>
    <row r="96" spans="1:37" x14ac:dyDescent="0.25">
      <c r="A96" s="8" t="s">
        <v>751</v>
      </c>
      <c r="B96" s="8" t="s">
        <v>83</v>
      </c>
      <c r="C96" s="249">
        <f>pvar!F1317</f>
        <v>0</v>
      </c>
      <c r="D96" s="249">
        <f>pvar!G1317</f>
        <v>0</v>
      </c>
      <c r="E96" s="249">
        <f>pvar!H1317</f>
        <v>0</v>
      </c>
      <c r="F96" s="249">
        <f>pvar!I1317</f>
        <v>0</v>
      </c>
      <c r="G96" s="249">
        <f>pvar!J1317</f>
        <v>195.44227494352489</v>
      </c>
      <c r="H96" s="249">
        <f>pvar!K1317</f>
        <v>94.140794122354762</v>
      </c>
      <c r="I96" s="249">
        <f>pvar!L1317</f>
        <v>127.43936172047272</v>
      </c>
      <c r="J96" s="249">
        <f>pvar!M1317</f>
        <v>0</v>
      </c>
      <c r="K96" s="249">
        <f>pvar!N1317</f>
        <v>0</v>
      </c>
      <c r="L96" s="249">
        <f>pvar!O1317</f>
        <v>0</v>
      </c>
      <c r="M96" s="249">
        <f>pvar!P1317</f>
        <v>314.24089009239503</v>
      </c>
      <c r="N96" s="249">
        <f>pvar!Q1317</f>
        <v>0</v>
      </c>
      <c r="O96" s="249">
        <f>pvar!R1317</f>
        <v>503.94997327322045</v>
      </c>
      <c r="P96" s="249">
        <f>pvar!S1317</f>
        <v>220.57193530428285</v>
      </c>
      <c r="Q96" s="249">
        <f>pvar!T1317</f>
        <v>480.66951356489938</v>
      </c>
      <c r="R96" s="249">
        <f>pvar!U1317</f>
        <v>0</v>
      </c>
      <c r="S96" s="249">
        <f>pvar!V1317</f>
        <v>276.8215934994081</v>
      </c>
      <c r="T96" s="249">
        <f>pvar!W1317</f>
        <v>136.22364516276116</v>
      </c>
      <c r="U96" s="249">
        <f>pvar!X1317</f>
        <v>69.268457676087507</v>
      </c>
      <c r="V96" s="249">
        <f>pvar!Y1317</f>
        <v>86.932668338977777</v>
      </c>
      <c r="W96" s="249">
        <f>pvar!Z1317</f>
        <v>33.178569320724449</v>
      </c>
      <c r="X96" s="249">
        <f>pvar!AA1317</f>
        <v>94.291626704752389</v>
      </c>
      <c r="Y96" s="249">
        <f>pvar!AB1317</f>
        <v>77.819907715391267</v>
      </c>
      <c r="Z96" s="249">
        <f>pvar!AC1317</f>
        <v>250.68733995395252</v>
      </c>
      <c r="AA96" s="249">
        <f>pvar!AD1317</f>
        <v>0</v>
      </c>
      <c r="AB96" s="249">
        <f>pvar!AE1317</f>
        <v>71.590844217708266</v>
      </c>
      <c r="AC96" s="249">
        <f>pvar!AF1317</f>
        <v>0</v>
      </c>
      <c r="AD96" s="249">
        <f>pvar!AG1317</f>
        <v>76.37094984295085</v>
      </c>
      <c r="AE96" s="249">
        <f>pvar!AH1317</f>
        <v>56.183452506654319</v>
      </c>
      <c r="AF96" s="249">
        <f>pvar!AI1317</f>
        <v>0</v>
      </c>
      <c r="AG96" s="249">
        <f>pvar!AJ1317</f>
        <v>0</v>
      </c>
      <c r="AH96" s="249">
        <f>pvar!AK1317</f>
        <v>0</v>
      </c>
      <c r="AI96" s="249">
        <f>pvar!AL1317</f>
        <v>0</v>
      </c>
      <c r="AJ96" s="236"/>
      <c r="AK96" s="245">
        <f>SUM(C96:AI96)</f>
        <v>3165.8237979605187</v>
      </c>
    </row>
    <row r="97" spans="1:37" x14ac:dyDescent="0.25">
      <c r="A97" s="8" t="s">
        <v>750</v>
      </c>
      <c r="B97" s="8" t="s">
        <v>83</v>
      </c>
      <c r="C97" s="249">
        <f>pvar!F1318</f>
        <v>0</v>
      </c>
      <c r="D97" s="249">
        <f>pvar!G1318</f>
        <v>0</v>
      </c>
      <c r="E97" s="249">
        <f>pvar!H1318</f>
        <v>0</v>
      </c>
      <c r="F97" s="249">
        <f>pvar!I1318</f>
        <v>0</v>
      </c>
      <c r="G97" s="249">
        <f>pvar!J1318</f>
        <v>280.32970195309179</v>
      </c>
      <c r="H97" s="249">
        <f>pvar!K1318</f>
        <v>138.73139068679416</v>
      </c>
      <c r="I97" s="249">
        <f>pvar!L1318</f>
        <v>169.55571514098153</v>
      </c>
      <c r="J97" s="249">
        <f>pvar!M1318</f>
        <v>0</v>
      </c>
      <c r="K97" s="249">
        <f>pvar!N1318</f>
        <v>0</v>
      </c>
      <c r="L97" s="249">
        <f>pvar!O1318</f>
        <v>0</v>
      </c>
      <c r="M97" s="249">
        <f>pvar!P1318</f>
        <v>444.46164513175984</v>
      </c>
      <c r="N97" s="249">
        <f>pvar!Q1318</f>
        <v>0</v>
      </c>
      <c r="O97" s="249">
        <f>pvar!R1318</f>
        <v>777.87312629681105</v>
      </c>
      <c r="P97" s="249">
        <f>pvar!S1318</f>
        <v>409.13078104992309</v>
      </c>
      <c r="Q97" s="249">
        <f>pvar!T1318</f>
        <v>795.63251559769355</v>
      </c>
      <c r="R97" s="249">
        <f>pvar!U1318</f>
        <v>0</v>
      </c>
      <c r="S97" s="249">
        <f>pvar!V1318</f>
        <v>488.17858632576929</v>
      </c>
      <c r="T97" s="249">
        <f>pvar!W1318</f>
        <v>162.10029384034019</v>
      </c>
      <c r="U97" s="249">
        <f>pvar!X1318</f>
        <v>89.805837960618305</v>
      </c>
      <c r="V97" s="249">
        <f>pvar!Y1318</f>
        <v>121.60776211069621</v>
      </c>
      <c r="W97" s="249">
        <f>pvar!Z1318</f>
        <v>63.437241298339671</v>
      </c>
      <c r="X97" s="249">
        <f>pvar!AA1318</f>
        <v>152.80262099133188</v>
      </c>
      <c r="Y97" s="249">
        <f>pvar!AB1318</f>
        <v>131.41173221479275</v>
      </c>
      <c r="Z97" s="249">
        <f>pvar!AC1318</f>
        <v>444.46068583462255</v>
      </c>
      <c r="AA97" s="249">
        <f>pvar!AD1318</f>
        <v>0</v>
      </c>
      <c r="AB97" s="249">
        <f>pvar!AE1318</f>
        <v>121.2799007748084</v>
      </c>
      <c r="AC97" s="249">
        <f>pvar!AF1318</f>
        <v>0</v>
      </c>
      <c r="AD97" s="249">
        <f>pvar!AG1318</f>
        <v>147.61799528767091</v>
      </c>
      <c r="AE97" s="249">
        <f>pvar!AH1318</f>
        <v>81.612053840884954</v>
      </c>
      <c r="AF97" s="249">
        <f>pvar!AI1318</f>
        <v>0</v>
      </c>
      <c r="AG97" s="249">
        <f>pvar!AJ1318</f>
        <v>0</v>
      </c>
      <c r="AH97" s="249">
        <f>pvar!AK1318</f>
        <v>0</v>
      </c>
      <c r="AI97" s="249">
        <f>pvar!AL1318</f>
        <v>0</v>
      </c>
      <c r="AJ97" s="236"/>
      <c r="AK97" s="245">
        <f>SUM(C97:AI97)</f>
        <v>5020.0295863369292</v>
      </c>
    </row>
    <row r="98" spans="1:37" x14ac:dyDescent="0.25">
      <c r="A98" s="8" t="s">
        <v>752</v>
      </c>
      <c r="B98" s="8" t="s">
        <v>83</v>
      </c>
      <c r="C98" s="244"/>
      <c r="D98" s="244">
        <f>D30/(D60/D123)+D31/(D46/D106)+D33/(D46/D106)</f>
        <v>0</v>
      </c>
      <c r="E98" s="244"/>
      <c r="F98" s="244"/>
      <c r="G98" s="244">
        <f>G30/(G60/G123)+G31/(G46/G106)+G33/(G46/G106)</f>
        <v>4086.7281941508327</v>
      </c>
      <c r="H98" s="244">
        <f>H30/(H60/H123)+H31/(H46/H106)+H33/(H46/H106)</f>
        <v>2032.6528385042609</v>
      </c>
      <c r="I98" s="244">
        <f>I30/(I60/I123)+I31/(I46/I106)+I33/(I46/I106)</f>
        <v>2178.6598431125112</v>
      </c>
      <c r="J98" s="244"/>
      <c r="K98" s="244"/>
      <c r="L98" s="244"/>
      <c r="M98" s="244">
        <f>M30/(M60/M123)+M31/(M46/M106)+M33/(M46/M106)</f>
        <v>6457.3663264222887</v>
      </c>
      <c r="N98" s="244"/>
      <c r="O98" s="244">
        <f>O30/(O60/O123)+O31/(O46/O106)+O33/(O46/O106)</f>
        <v>9759.8919973525699</v>
      </c>
      <c r="P98" s="244">
        <f>P30/(P60/P123)+P31/(P46/P106)+P33/(P46/P106)</f>
        <v>6235.0956788716276</v>
      </c>
      <c r="Q98" s="244">
        <f>Q30/(Q60/Q123)+Q31/(Q46/Q106)+Q33/(Q46/Q106)</f>
        <v>11440.770084726992</v>
      </c>
      <c r="R98" s="244"/>
      <c r="S98" s="244">
        <f t="shared" ref="S98:Z98" si="37">S30/(S60/S123)+S31/(S46/S106)+S33/(S46/S106)</f>
        <v>14060.13649805788</v>
      </c>
      <c r="T98" s="244">
        <f t="shared" si="37"/>
        <v>2365.0420780529244</v>
      </c>
      <c r="U98" s="244">
        <f t="shared" si="37"/>
        <v>1295.3826465445832</v>
      </c>
      <c r="V98" s="244">
        <f t="shared" si="37"/>
        <v>1893.1044890069074</v>
      </c>
      <c r="W98" s="244">
        <f t="shared" si="37"/>
        <v>1766.3824536484883</v>
      </c>
      <c r="X98" s="244">
        <f t="shared" si="37"/>
        <v>2715.6703946933812</v>
      </c>
      <c r="Y98" s="244">
        <f t="shared" si="37"/>
        <v>4116.2671204315066</v>
      </c>
      <c r="Z98" s="244">
        <f t="shared" si="37"/>
        <v>8744.4441017827976</v>
      </c>
      <c r="AA98" s="244"/>
      <c r="AB98" s="244">
        <f>AB30/(AB60/AB123)+AB31/(AB46/AB106)+AB33/(AB46/AB106)</f>
        <v>3196.5624188570482</v>
      </c>
      <c r="AC98" s="244"/>
      <c r="AD98" s="244">
        <f>AD30/(AD60/AD123)+AD31/(AD46/AD106)+AD33/(AD46/AD106)</f>
        <v>2891.5828135439024</v>
      </c>
      <c r="AE98" s="244">
        <f>AE30/(AE60/AE123)+AE31/(AE46/AE106)+AE33/(AE46/AE106)</f>
        <v>2951.6314832543858</v>
      </c>
      <c r="AF98" s="244"/>
      <c r="AG98" s="244"/>
      <c r="AH98" s="244"/>
      <c r="AI98" s="244"/>
      <c r="AJ98" s="236"/>
      <c r="AK98" s="245">
        <f>SUM(C98:AI98)</f>
        <v>88187.371461014904</v>
      </c>
    </row>
    <row r="99" spans="1:37" x14ac:dyDescent="0.25">
      <c r="A99" s="134" t="s">
        <v>753</v>
      </c>
      <c r="B99" s="8" t="s">
        <v>83</v>
      </c>
      <c r="C99" s="153">
        <f>pvar!F1335</f>
        <v>0</v>
      </c>
      <c r="D99" s="153">
        <f>pvar!G1335</f>
        <v>0</v>
      </c>
      <c r="E99" s="153">
        <f>pvar!H1335</f>
        <v>0</v>
      </c>
      <c r="F99" s="153">
        <f>pvar!I1335</f>
        <v>0</v>
      </c>
      <c r="G99" s="153">
        <f>pvar!J1335</f>
        <v>1392.0009560409167</v>
      </c>
      <c r="H99" s="153">
        <f>pvar!K1335</f>
        <v>704.50677924438639</v>
      </c>
      <c r="I99" s="153">
        <f>pvar!L1335</f>
        <v>780.19987943348269</v>
      </c>
      <c r="J99" s="153">
        <f>pvar!M1335</f>
        <v>0</v>
      </c>
      <c r="K99" s="153">
        <f>pvar!N1335</f>
        <v>0</v>
      </c>
      <c r="L99" s="153">
        <f>pvar!O1335</f>
        <v>0</v>
      </c>
      <c r="M99" s="153">
        <f>pvar!P1335</f>
        <v>2432.2973042825447</v>
      </c>
      <c r="N99" s="153">
        <f>pvar!Q1335</f>
        <v>0</v>
      </c>
      <c r="O99" s="153">
        <f>pvar!R1335</f>
        <v>2228.0609011692241</v>
      </c>
      <c r="P99" s="153">
        <f>pvar!S1335</f>
        <v>1900.8078438545824</v>
      </c>
      <c r="Q99" s="153">
        <f>pvar!T1335</f>
        <v>3444.0038322513351</v>
      </c>
      <c r="R99" s="153">
        <f>pvar!U1335</f>
        <v>0</v>
      </c>
      <c r="S99" s="153">
        <f>pvar!V1335</f>
        <v>5044.6194089828523</v>
      </c>
      <c r="T99" s="153">
        <f>pvar!W1335</f>
        <v>787.90845794912525</v>
      </c>
      <c r="U99" s="153">
        <f>pvar!X1335</f>
        <v>413.56740551672203</v>
      </c>
      <c r="V99" s="153">
        <f>pvar!Y1335</f>
        <v>568.91648266797756</v>
      </c>
      <c r="W99" s="153">
        <f>pvar!Z1335</f>
        <v>546.87886593850055</v>
      </c>
      <c r="X99" s="153">
        <f>pvar!AA1335</f>
        <v>793.0901176964677</v>
      </c>
      <c r="Y99" s="153">
        <f>pvar!AB1335</f>
        <v>1247.1247991674106</v>
      </c>
      <c r="Z99" s="153">
        <f>pvar!AC1335</f>
        <v>2934.4137073757097</v>
      </c>
      <c r="AA99" s="153">
        <f>pvar!AD1335</f>
        <v>0</v>
      </c>
      <c r="AB99" s="153">
        <f>pvar!AE1335</f>
        <v>1034.8138865408264</v>
      </c>
      <c r="AC99" s="153">
        <f>pvar!AF1335</f>
        <v>0</v>
      </c>
      <c r="AD99" s="153">
        <f>pvar!AG1335</f>
        <v>881.84367394768708</v>
      </c>
      <c r="AE99" s="153">
        <f>pvar!AH1335</f>
        <v>1013.285596652423</v>
      </c>
      <c r="AF99" s="153">
        <f>pvar!AI1335</f>
        <v>0</v>
      </c>
      <c r="AG99" s="153">
        <f>pvar!AJ1335</f>
        <v>0</v>
      </c>
      <c r="AH99" s="153">
        <f>pvar!AK1335</f>
        <v>0</v>
      </c>
      <c r="AI99" s="153">
        <f>pvar!AL1335</f>
        <v>0</v>
      </c>
      <c r="AJ99" s="236"/>
      <c r="AK99" s="245">
        <f>SUM(C99:AI99)</f>
        <v>28148.339898712169</v>
      </c>
    </row>
    <row r="100" spans="1:37" x14ac:dyDescent="0.25">
      <c r="A100" s="134"/>
      <c r="B100" s="8"/>
      <c r="C100" s="244"/>
      <c r="D100" s="244"/>
      <c r="E100" s="244"/>
      <c r="F100" s="244"/>
      <c r="G100" s="244"/>
      <c r="H100" s="244"/>
      <c r="I100" s="244"/>
      <c r="J100" s="244"/>
      <c r="K100" s="244"/>
      <c r="L100" s="244"/>
      <c r="M100" s="244"/>
      <c r="N100" s="244"/>
      <c r="O100" s="244"/>
      <c r="P100" s="244"/>
      <c r="Q100" s="244"/>
      <c r="R100" s="244"/>
      <c r="S100" s="244"/>
      <c r="T100" s="244"/>
      <c r="U100" s="244"/>
      <c r="V100" s="244"/>
      <c r="W100" s="244"/>
      <c r="X100" s="244"/>
      <c r="Y100" s="244"/>
      <c r="Z100" s="244"/>
      <c r="AA100" s="244"/>
      <c r="AB100" s="244"/>
      <c r="AC100" s="244"/>
      <c r="AD100" s="244"/>
      <c r="AE100" s="244"/>
      <c r="AF100" s="244"/>
      <c r="AG100" s="244"/>
      <c r="AH100" s="244"/>
      <c r="AI100" s="244"/>
      <c r="AJ100" s="236"/>
      <c r="AK100" s="245"/>
    </row>
    <row r="101" spans="1:37" x14ac:dyDescent="0.25">
      <c r="A101" s="134" t="s">
        <v>796</v>
      </c>
      <c r="B101" s="8" t="s">
        <v>83</v>
      </c>
      <c r="C101" s="244"/>
      <c r="D101" s="244">
        <f>D30/(D60/D123)</f>
        <v>0</v>
      </c>
      <c r="E101" s="244"/>
      <c r="F101" s="244"/>
      <c r="G101" s="244">
        <f>G30/(G60/G123)</f>
        <v>792.8580095442378</v>
      </c>
      <c r="H101" s="244">
        <f>H30/(H60/H123)</f>
        <v>393.5637944818651</v>
      </c>
      <c r="I101" s="244">
        <f>I30/(I60/I123)</f>
        <v>539.31896433561838</v>
      </c>
      <c r="J101" s="244"/>
      <c r="K101" s="244"/>
      <c r="L101" s="244"/>
      <c r="M101" s="244">
        <f>M30/(M60/M123)</f>
        <v>1690.6121534172939</v>
      </c>
      <c r="N101" s="244"/>
      <c r="O101" s="244">
        <f>O30/(O60/O123)</f>
        <v>379.79793934551253</v>
      </c>
      <c r="P101" s="244">
        <f>P30/(P60/P123)</f>
        <v>652.22230782492329</v>
      </c>
      <c r="Q101" s="244">
        <f>Q30/(Q60/Q123)</f>
        <v>1037.2462685741289</v>
      </c>
      <c r="R101" s="244"/>
      <c r="S101" s="244">
        <f t="shared" ref="S101:Z101" si="38">S30/(S60/S123)</f>
        <v>4541.8576686572796</v>
      </c>
      <c r="T101" s="244">
        <f t="shared" si="38"/>
        <v>807.19913671619599</v>
      </c>
      <c r="U101" s="244">
        <f t="shared" si="38"/>
        <v>415.22932005763062</v>
      </c>
      <c r="V101" s="244">
        <f t="shared" si="38"/>
        <v>538.41100398004357</v>
      </c>
      <c r="W101" s="244">
        <f t="shared" si="38"/>
        <v>414.20329638897329</v>
      </c>
      <c r="X101" s="244">
        <f t="shared" si="38"/>
        <v>512.68065604028584</v>
      </c>
      <c r="Y101" s="244">
        <f t="shared" si="38"/>
        <v>730.09167491308165</v>
      </c>
      <c r="Z101" s="244">
        <f t="shared" si="38"/>
        <v>992.82457508896857</v>
      </c>
      <c r="AA101" s="244"/>
      <c r="AB101" s="244">
        <f>AB30/(AB60/AB123)</f>
        <v>571.26708559750375</v>
      </c>
      <c r="AC101" s="244"/>
      <c r="AD101" s="244">
        <f>AD30/(AD60/AD123)</f>
        <v>547.24863481192506</v>
      </c>
      <c r="AE101" s="244">
        <f>AE30/(AE60/AE123)</f>
        <v>1051.3205451120357</v>
      </c>
      <c r="AF101" s="244"/>
      <c r="AG101" s="244"/>
      <c r="AH101" s="244"/>
      <c r="AI101" s="244"/>
      <c r="AJ101" s="236"/>
      <c r="AK101" s="245">
        <f>SUM(C101:AI101)</f>
        <v>16607.953034887505</v>
      </c>
    </row>
    <row r="102" spans="1:37" x14ac:dyDescent="0.25">
      <c r="A102" s="134" t="s">
        <v>797</v>
      </c>
      <c r="B102" s="8" t="s">
        <v>83</v>
      </c>
      <c r="C102" s="244"/>
      <c r="D102" s="244">
        <f>D31/(D46/D106)</f>
        <v>0</v>
      </c>
      <c r="E102" s="244"/>
      <c r="F102" s="244"/>
      <c r="G102" s="244">
        <f>G31/(G46/G106)</f>
        <v>1414.7778766041868</v>
      </c>
      <c r="H102" s="244">
        <f>H31/(H46/H106)</f>
        <v>446.08926597450835</v>
      </c>
      <c r="I102" s="244">
        <f>I31/(I46/I106)</f>
        <v>917.72790665611888</v>
      </c>
      <c r="J102" s="244">
        <f>J31/(J46/J106)</f>
        <v>0</v>
      </c>
      <c r="K102" s="244"/>
      <c r="L102" s="244"/>
      <c r="M102" s="244">
        <f>M31/(M46/M106)</f>
        <v>1461.2756981408443</v>
      </c>
      <c r="N102" s="244"/>
      <c r="O102" s="244">
        <f>O31/(O46/O106)</f>
        <v>3231.8787751277</v>
      </c>
      <c r="P102" s="244">
        <f>P31/(P46/P106)</f>
        <v>1981.9320852484814</v>
      </c>
      <c r="Q102" s="244">
        <f>Q31/(Q46/Q106)</f>
        <v>4059.2586100215249</v>
      </c>
      <c r="R102" s="244"/>
      <c r="S102" s="244">
        <f t="shared" ref="S102:AB102" si="39">S31/(S46/S106)</f>
        <v>3762.1109271650271</v>
      </c>
      <c r="T102" s="244">
        <f t="shared" si="39"/>
        <v>359.91044291795828</v>
      </c>
      <c r="U102" s="244">
        <f t="shared" si="39"/>
        <v>100.94734898775434</v>
      </c>
      <c r="V102" s="244">
        <f t="shared" si="39"/>
        <v>477.74086329398091</v>
      </c>
      <c r="W102" s="244">
        <f t="shared" si="39"/>
        <v>400.13547649809669</v>
      </c>
      <c r="X102" s="244">
        <f t="shared" si="39"/>
        <v>592.47646979654689</v>
      </c>
      <c r="Y102" s="244">
        <f t="shared" si="39"/>
        <v>912.67464642752452</v>
      </c>
      <c r="Z102" s="244">
        <f t="shared" si="39"/>
        <v>3689.5395041917222</v>
      </c>
      <c r="AA102" s="244">
        <f t="shared" si="39"/>
        <v>0</v>
      </c>
      <c r="AB102" s="244">
        <f t="shared" si="39"/>
        <v>1591.6684689666183</v>
      </c>
      <c r="AC102" s="244"/>
      <c r="AD102" s="244">
        <f t="shared" ref="AD102:AI102" si="40">AD31/(AD46/AD106)</f>
        <v>860.21619133254706</v>
      </c>
      <c r="AE102" s="244">
        <f t="shared" si="40"/>
        <v>507.80288711425158</v>
      </c>
      <c r="AF102" s="244">
        <f t="shared" si="40"/>
        <v>0</v>
      </c>
      <c r="AG102" s="244">
        <f t="shared" si="40"/>
        <v>0</v>
      </c>
      <c r="AH102" s="244">
        <f t="shared" si="40"/>
        <v>0</v>
      </c>
      <c r="AI102" s="244">
        <f t="shared" si="40"/>
        <v>0</v>
      </c>
      <c r="AJ102" s="236"/>
      <c r="AK102" s="245">
        <f>SUM(C102:AI102)</f>
        <v>26768.16344446539</v>
      </c>
    </row>
    <row r="103" spans="1:37" x14ac:dyDescent="0.25">
      <c r="A103" s="134" t="s">
        <v>798</v>
      </c>
      <c r="B103" s="8" t="s">
        <v>83</v>
      </c>
      <c r="C103" s="244"/>
      <c r="D103" s="244">
        <f>D33/(D46/D106)</f>
        <v>0</v>
      </c>
      <c r="E103" s="244"/>
      <c r="F103" s="244"/>
      <c r="G103" s="244">
        <f>G33/(G46/G106)</f>
        <v>1879.0923080024079</v>
      </c>
      <c r="H103" s="244">
        <f>H33/(H46/H106)</f>
        <v>1192.9997780478875</v>
      </c>
      <c r="I103" s="244">
        <f>I33/(I46/I106)</f>
        <v>721.61297212077375</v>
      </c>
      <c r="J103" s="244">
        <f>J33/(J46/J106)</f>
        <v>0</v>
      </c>
      <c r="K103" s="244"/>
      <c r="L103" s="244"/>
      <c r="M103" s="244">
        <f>M33/(M46/M106)</f>
        <v>3305.4784748641509</v>
      </c>
      <c r="N103" s="244"/>
      <c r="O103" s="244">
        <f>O33/(O46/O106)</f>
        <v>6148.2152828793578</v>
      </c>
      <c r="P103" s="244">
        <f>P33/(P46/P106)</f>
        <v>3600.9412857982229</v>
      </c>
      <c r="Q103" s="244">
        <f>Q33/(Q46/Q106)</f>
        <v>6344.2652061313383</v>
      </c>
      <c r="R103" s="244"/>
      <c r="S103" s="244">
        <f t="shared" ref="S103:AB103" si="41">S33/(S46/S106)</f>
        <v>5756.1679022355729</v>
      </c>
      <c r="T103" s="244">
        <f t="shared" si="41"/>
        <v>1197.9324984187701</v>
      </c>
      <c r="U103" s="244">
        <f t="shared" si="41"/>
        <v>779.20597749919807</v>
      </c>
      <c r="V103" s="244">
        <f t="shared" si="41"/>
        <v>876.95262173288302</v>
      </c>
      <c r="W103" s="244">
        <f t="shared" si="41"/>
        <v>952.04368076141827</v>
      </c>
      <c r="X103" s="244">
        <f t="shared" si="41"/>
        <v>1610.5132688565488</v>
      </c>
      <c r="Y103" s="244">
        <f t="shared" si="41"/>
        <v>2473.5007990908998</v>
      </c>
      <c r="Z103" s="244">
        <f t="shared" si="41"/>
        <v>4062.0800225021071</v>
      </c>
      <c r="AA103" s="244">
        <f t="shared" si="41"/>
        <v>0</v>
      </c>
      <c r="AB103" s="244">
        <f t="shared" si="41"/>
        <v>1033.626864292926</v>
      </c>
      <c r="AC103" s="244"/>
      <c r="AD103" s="244">
        <f t="shared" ref="AD103:AI103" si="42">AD33/(AD46/AD106)</f>
        <v>1484.1179873994299</v>
      </c>
      <c r="AE103" s="244">
        <f t="shared" si="42"/>
        <v>1392.5080510280984</v>
      </c>
      <c r="AF103" s="244">
        <f t="shared" si="42"/>
        <v>0</v>
      </c>
      <c r="AG103" s="244">
        <f t="shared" si="42"/>
        <v>0</v>
      </c>
      <c r="AH103" s="244">
        <f t="shared" si="42"/>
        <v>0</v>
      </c>
      <c r="AI103" s="244">
        <f t="shared" si="42"/>
        <v>0</v>
      </c>
      <c r="AJ103" s="236"/>
      <c r="AK103" s="245">
        <f>SUM(C103:AI103)</f>
        <v>44811.254981661994</v>
      </c>
    </row>
    <row r="104" spans="1:37" x14ac:dyDescent="0.25">
      <c r="A104" s="134"/>
      <c r="B104" s="8"/>
      <c r="C104" s="244"/>
      <c r="D104" s="244"/>
      <c r="E104" s="244"/>
      <c r="F104" s="244"/>
      <c r="G104" s="244"/>
      <c r="H104" s="244"/>
      <c r="I104" s="244"/>
      <c r="J104" s="244"/>
      <c r="K104" s="244"/>
      <c r="L104" s="244"/>
      <c r="M104" s="244"/>
      <c r="N104" s="244"/>
      <c r="O104" s="244"/>
      <c r="P104" s="244"/>
      <c r="Q104" s="244"/>
      <c r="R104" s="244"/>
      <c r="S104" s="244"/>
      <c r="T104" s="244"/>
      <c r="U104" s="244"/>
      <c r="V104" s="244"/>
      <c r="W104" s="244"/>
      <c r="X104" s="244"/>
      <c r="Y104" s="244"/>
      <c r="Z104" s="244"/>
      <c r="AA104" s="244"/>
      <c r="AB104" s="244"/>
      <c r="AC104" s="244"/>
      <c r="AD104" s="244"/>
      <c r="AE104" s="244"/>
      <c r="AF104" s="244"/>
      <c r="AG104" s="244"/>
      <c r="AH104" s="244"/>
      <c r="AI104" s="244"/>
      <c r="AJ104" s="236"/>
      <c r="AK104" s="245"/>
    </row>
    <row r="105" spans="1:37" x14ac:dyDescent="0.25">
      <c r="A105" s="246" t="s">
        <v>799</v>
      </c>
      <c r="B105" s="8" t="s">
        <v>83</v>
      </c>
      <c r="C105" s="265"/>
      <c r="D105" s="236"/>
      <c r="E105" s="236"/>
      <c r="F105" s="236"/>
      <c r="G105" s="236"/>
      <c r="H105" s="236"/>
      <c r="I105" s="236"/>
      <c r="J105" s="236"/>
      <c r="K105" s="236"/>
      <c r="L105" s="236"/>
      <c r="M105" s="236"/>
      <c r="N105" s="236"/>
      <c r="O105" s="236"/>
      <c r="P105" s="236"/>
      <c r="Q105" s="236"/>
      <c r="R105" s="236"/>
      <c r="S105" s="236"/>
      <c r="T105" s="236"/>
      <c r="U105" s="236"/>
      <c r="V105" s="236"/>
      <c r="W105" s="236"/>
      <c r="X105" s="236"/>
      <c r="Y105" s="236"/>
      <c r="Z105" s="236"/>
      <c r="AA105" s="236"/>
      <c r="AB105" s="236"/>
      <c r="AC105" s="236"/>
      <c r="AD105" s="236"/>
      <c r="AE105" s="236"/>
      <c r="AF105" s="236"/>
      <c r="AG105" s="236"/>
      <c r="AH105" s="236"/>
      <c r="AI105" s="236"/>
      <c r="AJ105" s="236"/>
      <c r="AK105" s="245"/>
    </row>
    <row r="106" spans="1:37" x14ac:dyDescent="0.25">
      <c r="A106" s="8" t="s">
        <v>800</v>
      </c>
      <c r="B106" s="8" t="s">
        <v>83</v>
      </c>
      <c r="C106" s="244">
        <f>pvar!F529</f>
        <v>2092.5335189031211</v>
      </c>
      <c r="D106" s="244">
        <f>pvar!G529</f>
        <v>1432.8790052308334</v>
      </c>
      <c r="E106" s="244">
        <f>pvar!H529</f>
        <v>982.81049354460299</v>
      </c>
      <c r="F106" s="244">
        <f>pvar!I529</f>
        <v>5578.1344212683225</v>
      </c>
      <c r="G106" s="244">
        <f>pvar!J529</f>
        <v>2351.5831775715797</v>
      </c>
      <c r="H106" s="244">
        <f>pvar!K529</f>
        <v>816.28134222939048</v>
      </c>
      <c r="I106" s="244">
        <f>pvar!L529</f>
        <v>1125.0348799586475</v>
      </c>
      <c r="J106" s="244">
        <f>pvar!M529</f>
        <v>3421.6870315989322</v>
      </c>
      <c r="K106" s="244">
        <f>pvar!N529</f>
        <v>4091.6971031683511</v>
      </c>
      <c r="L106" s="244">
        <f>pvar!O529</f>
        <v>1851.5676846357399</v>
      </c>
      <c r="M106" s="244">
        <f>pvar!P529</f>
        <v>2213.1706293785064</v>
      </c>
      <c r="N106" s="244">
        <f>pvar!Q529</f>
        <v>1211.1433234236956</v>
      </c>
      <c r="O106" s="244">
        <f>pvar!R529</f>
        <v>4155.2849047765312</v>
      </c>
      <c r="P106" s="244">
        <f>pvar!S529</f>
        <v>2840.6967589496389</v>
      </c>
      <c r="Q106" s="244">
        <f>pvar!T529</f>
        <v>5686.4980288523675</v>
      </c>
      <c r="R106" s="244">
        <f>pvar!U529</f>
        <v>6433.6381726639938</v>
      </c>
      <c r="S106" s="244">
        <f>pvar!V529</f>
        <v>4791.2199451819233</v>
      </c>
      <c r="T106" s="244">
        <f>pvar!W529</f>
        <v>454.40184371948897</v>
      </c>
      <c r="U106" s="244">
        <f>pvar!X529</f>
        <v>113.29173304489365</v>
      </c>
      <c r="V106" s="244">
        <f>pvar!Y529</f>
        <v>598.95597113492545</v>
      </c>
      <c r="W106" s="244">
        <f>pvar!Z529</f>
        <v>483.20124846965263</v>
      </c>
      <c r="X106" s="244">
        <f>pvar!AA529</f>
        <v>769.45191003924742</v>
      </c>
      <c r="Y106" s="244">
        <f>pvar!AB529</f>
        <v>949.38011135474233</v>
      </c>
      <c r="Z106" s="244">
        <f>pvar!AC529</f>
        <v>5627.3895137718846</v>
      </c>
      <c r="AA106" s="244">
        <f>pvar!AD529</f>
        <v>254.10884665013302</v>
      </c>
      <c r="AB106" s="244">
        <f>pvar!AE529</f>
        <v>1642.9041539680629</v>
      </c>
      <c r="AC106" s="244">
        <f>pvar!AF529</f>
        <v>433.25539733140511</v>
      </c>
      <c r="AD106" s="244">
        <f>pvar!AG529</f>
        <v>999.55158931218409</v>
      </c>
      <c r="AE106" s="244">
        <f>pvar!AH529</f>
        <v>540.78925079774956</v>
      </c>
      <c r="AF106" s="244">
        <f>pvar!AI529</f>
        <v>239.79549351691617</v>
      </c>
      <c r="AG106" s="244">
        <f>pvar!AJ529</f>
        <v>761.10231019992693</v>
      </c>
      <c r="AH106" s="244">
        <f>pvar!AK529</f>
        <v>239.72413390531452</v>
      </c>
      <c r="AI106" s="244">
        <f>pvar!AL529</f>
        <v>159.82083779406548</v>
      </c>
      <c r="AJ106" s="236"/>
      <c r="AK106" s="245">
        <f t="shared" ref="AK106:AK111" si="43">SUM(C106:AI106)</f>
        <v>65342.984766346781</v>
      </c>
    </row>
    <row r="107" spans="1:37" x14ac:dyDescent="0.25">
      <c r="A107" s="8" t="s">
        <v>801</v>
      </c>
      <c r="B107" s="8" t="s">
        <v>83</v>
      </c>
      <c r="C107" s="244">
        <f>C106+C108</f>
        <v>4999.46429080281</v>
      </c>
      <c r="D107" s="244">
        <f t="shared" ref="D107:AI107" si="44">D106+D108</f>
        <v>3273.3833519672335</v>
      </c>
      <c r="E107" s="244">
        <f t="shared" si="44"/>
        <v>2742.6461536713764</v>
      </c>
      <c r="F107" s="244">
        <f t="shared" si="44"/>
        <v>11214.665507088976</v>
      </c>
      <c r="G107" s="244">
        <f t="shared" si="44"/>
        <v>4210.2189601886739</v>
      </c>
      <c r="H107" s="244">
        <f t="shared" si="44"/>
        <v>1669.6173612541604</v>
      </c>
      <c r="I107" s="244">
        <f t="shared" si="44"/>
        <v>1839.1288969776017</v>
      </c>
      <c r="J107" s="244">
        <f t="shared" si="44"/>
        <v>6344.9251102210574</v>
      </c>
      <c r="K107" s="244">
        <f t="shared" si="44"/>
        <v>9184.1413427744228</v>
      </c>
      <c r="L107" s="244">
        <f t="shared" si="44"/>
        <v>4290.1085822475079</v>
      </c>
      <c r="M107" s="244">
        <f t="shared" si="44"/>
        <v>4899.5199322180852</v>
      </c>
      <c r="N107" s="244">
        <f t="shared" si="44"/>
        <v>2778.5668645188025</v>
      </c>
      <c r="O107" s="244">
        <f t="shared" si="44"/>
        <v>7615.5672051033671</v>
      </c>
      <c r="P107" s="244">
        <f t="shared" si="44"/>
        <v>5902.3729529669581</v>
      </c>
      <c r="Q107" s="244">
        <f t="shared" si="44"/>
        <v>11084.797344783081</v>
      </c>
      <c r="R107" s="244">
        <f t="shared" si="44"/>
        <v>14608.653453318955</v>
      </c>
      <c r="S107" s="244">
        <f t="shared" si="44"/>
        <v>8663.8148287795739</v>
      </c>
      <c r="T107" s="244">
        <f t="shared" si="44"/>
        <v>832.32505303909215</v>
      </c>
      <c r="U107" s="244">
        <f t="shared" si="44"/>
        <v>188.16863156797029</v>
      </c>
      <c r="V107" s="244">
        <f t="shared" si="44"/>
        <v>1287.7499595422612</v>
      </c>
      <c r="W107" s="244">
        <f t="shared" si="44"/>
        <v>788.76978847111479</v>
      </c>
      <c r="X107" s="244">
        <f t="shared" si="44"/>
        <v>1600.3313568422959</v>
      </c>
      <c r="Y107" s="244">
        <f t="shared" si="44"/>
        <v>1515.9723013051987</v>
      </c>
      <c r="Z107" s="244">
        <f t="shared" si="44"/>
        <v>12266.436835235661</v>
      </c>
      <c r="AA107" s="244">
        <f t="shared" si="44"/>
        <v>627.17361247008955</v>
      </c>
      <c r="AB107" s="244">
        <f t="shared" si="44"/>
        <v>3356.3127832328182</v>
      </c>
      <c r="AC107" s="244">
        <f t="shared" si="44"/>
        <v>1145.636374366476</v>
      </c>
      <c r="AD107" s="244">
        <f t="shared" si="44"/>
        <v>1776.222651772388</v>
      </c>
      <c r="AE107" s="244">
        <f t="shared" si="44"/>
        <v>854.80027668065895</v>
      </c>
      <c r="AF107" s="244">
        <f t="shared" si="44"/>
        <v>533.8387038268927</v>
      </c>
      <c r="AG107" s="244">
        <f t="shared" si="44"/>
        <v>1421.0377100039918</v>
      </c>
      <c r="AH107" s="244">
        <f t="shared" si="44"/>
        <v>534.65227588368748</v>
      </c>
      <c r="AI107" s="244">
        <f t="shared" si="44"/>
        <v>201.63950568788769</v>
      </c>
      <c r="AJ107" s="236"/>
      <c r="AK107" s="245">
        <f t="shared" si="43"/>
        <v>134252.6599588111</v>
      </c>
    </row>
    <row r="108" spans="1:37" x14ac:dyDescent="0.25">
      <c r="A108" s="8" t="s">
        <v>802</v>
      </c>
      <c r="B108" s="8" t="s">
        <v>83</v>
      </c>
      <c r="C108" s="225">
        <f>pvar!F652+pvar!F731</f>
        <v>2906.9307718996888</v>
      </c>
      <c r="D108" s="225">
        <f>pvar!G652+pvar!G731</f>
        <v>1840.5043467364001</v>
      </c>
      <c r="E108" s="225">
        <f>pvar!H652+pvar!H731</f>
        <v>1759.8356601267735</v>
      </c>
      <c r="F108" s="225">
        <f>pvar!I652+pvar!I731</f>
        <v>5636.5310858206522</v>
      </c>
      <c r="G108" s="225">
        <f>pvar!J652+pvar!J731</f>
        <v>1858.6357826170943</v>
      </c>
      <c r="H108" s="225">
        <f>pvar!K652+pvar!K731</f>
        <v>853.33601902476994</v>
      </c>
      <c r="I108" s="225">
        <f>pvar!L652+pvar!L731</f>
        <v>714.09401701895422</v>
      </c>
      <c r="J108" s="225">
        <f>pvar!M652+pvar!M731</f>
        <v>2923.2380786221252</v>
      </c>
      <c r="K108" s="225">
        <f>pvar!N652+pvar!N731</f>
        <v>5092.4442396060713</v>
      </c>
      <c r="L108" s="225">
        <f>pvar!O652+pvar!O731</f>
        <v>2438.5408976117678</v>
      </c>
      <c r="M108" s="225">
        <f>pvar!P652+pvar!P731</f>
        <v>2686.3493028395783</v>
      </c>
      <c r="N108" s="225">
        <f>pvar!Q652+pvar!Q731</f>
        <v>1567.4235410951071</v>
      </c>
      <c r="O108" s="225">
        <f>pvar!R652+pvar!R731</f>
        <v>3460.2823003268359</v>
      </c>
      <c r="P108" s="225">
        <f>pvar!S652+pvar!S731</f>
        <v>3061.6761940173196</v>
      </c>
      <c r="Q108" s="225">
        <f>pvar!T652+pvar!T731</f>
        <v>5398.2993159307125</v>
      </c>
      <c r="R108" s="225">
        <f>pvar!U652+pvar!U731</f>
        <v>8175.0152806549613</v>
      </c>
      <c r="S108" s="225">
        <f>pvar!V652+pvar!V731</f>
        <v>3872.5948835976506</v>
      </c>
      <c r="T108" s="225">
        <f>pvar!W652+pvar!W731</f>
        <v>377.92320931960319</v>
      </c>
      <c r="U108" s="225">
        <f>pvar!X652+pvar!X731</f>
        <v>74.876898523076633</v>
      </c>
      <c r="V108" s="225">
        <f>pvar!Y652+pvar!Y731</f>
        <v>688.79398840733575</v>
      </c>
      <c r="W108" s="225">
        <f>pvar!Z652+pvar!Z731</f>
        <v>305.56854000146217</v>
      </c>
      <c r="X108" s="225">
        <f>pvar!AA652+pvar!AA731</f>
        <v>830.87944680304861</v>
      </c>
      <c r="Y108" s="225">
        <f>pvar!AB652+pvar!AB731</f>
        <v>566.59218995045637</v>
      </c>
      <c r="Z108" s="225">
        <f>pvar!AC652+pvar!AC731</f>
        <v>6639.0473214637759</v>
      </c>
      <c r="AA108" s="225">
        <f>pvar!AD652+pvar!AD731</f>
        <v>373.06476581995651</v>
      </c>
      <c r="AB108" s="225">
        <f>pvar!AE652+pvar!AE731</f>
        <v>1713.4086292647555</v>
      </c>
      <c r="AC108" s="225">
        <f>pvar!AF652+pvar!AF731</f>
        <v>712.38097703507094</v>
      </c>
      <c r="AD108" s="225">
        <f>pvar!AG652+pvar!AG731</f>
        <v>776.67106246020376</v>
      </c>
      <c r="AE108" s="225">
        <f>pvar!AH652+pvar!AH731</f>
        <v>314.01102588290939</v>
      </c>
      <c r="AF108" s="225">
        <f>pvar!AI652+pvar!AI731</f>
        <v>294.04321030997653</v>
      </c>
      <c r="AG108" s="225">
        <f>pvar!AJ652+pvar!AJ731</f>
        <v>659.93539980406479</v>
      </c>
      <c r="AH108" s="225">
        <f>pvar!AK652+pvar!AK731</f>
        <v>294.92814197837293</v>
      </c>
      <c r="AI108" s="225">
        <f>pvar!AL652+pvar!AL730</f>
        <v>41.818667893822216</v>
      </c>
      <c r="AJ108" s="236"/>
      <c r="AK108" s="245">
        <f t="shared" si="43"/>
        <v>68909.675192464361</v>
      </c>
    </row>
    <row r="109" spans="1:37" x14ac:dyDescent="0.25">
      <c r="A109" s="8" t="s">
        <v>760</v>
      </c>
      <c r="B109" s="8" t="s">
        <v>83</v>
      </c>
      <c r="C109" s="226">
        <f>pvar!F1383</f>
        <v>0</v>
      </c>
      <c r="D109" s="226">
        <f>pvar!G1383</f>
        <v>0</v>
      </c>
      <c r="E109" s="226">
        <f>pvar!H1383</f>
        <v>0</v>
      </c>
      <c r="F109" s="226">
        <f>pvar!I1383</f>
        <v>0</v>
      </c>
      <c r="G109" s="226">
        <f>pvar!J1383</f>
        <v>719.67596190891231</v>
      </c>
      <c r="H109" s="226">
        <f>pvar!K1383</f>
        <v>410.991231333168</v>
      </c>
      <c r="I109" s="226">
        <f>pvar!L1383</f>
        <v>482.99180474997365</v>
      </c>
      <c r="J109" s="226">
        <f>pvar!M1383</f>
        <v>0</v>
      </c>
      <c r="K109" s="226">
        <f>pvar!N1383</f>
        <v>0</v>
      </c>
      <c r="L109" s="226">
        <f>pvar!O1383</f>
        <v>0</v>
      </c>
      <c r="M109" s="226">
        <f>pvar!P1383</f>
        <v>1423.4999544327034</v>
      </c>
      <c r="N109" s="226">
        <f>pvar!Q1383</f>
        <v>0</v>
      </c>
      <c r="O109" s="226">
        <f>pvar!R1383</f>
        <v>1733.7754711376997</v>
      </c>
      <c r="P109" s="226">
        <f>pvar!S1383</f>
        <v>1372.7648152859695</v>
      </c>
      <c r="Q109" s="226">
        <f>pvar!T1383</f>
        <v>2503.5910064307736</v>
      </c>
      <c r="R109" s="226">
        <f>pvar!U1383</f>
        <v>0</v>
      </c>
      <c r="S109" s="226">
        <f>pvar!V1383</f>
        <v>2866.0293997178901</v>
      </c>
      <c r="T109" s="226">
        <f>pvar!W1383</f>
        <v>517.2835545576138</v>
      </c>
      <c r="U109" s="226">
        <f>pvar!X1383</f>
        <v>231.54432805392165</v>
      </c>
      <c r="V109" s="226">
        <f>pvar!Y1383</f>
        <v>362.89101456008507</v>
      </c>
      <c r="W109" s="226">
        <f>pvar!Z1383</f>
        <v>355.512872337148</v>
      </c>
      <c r="X109" s="226">
        <f>pvar!AA1383</f>
        <v>541.72536326538295</v>
      </c>
      <c r="Y109" s="226">
        <f>pvar!AB1383</f>
        <v>900.00725215079615</v>
      </c>
      <c r="Z109" s="226">
        <f>pvar!AC1383</f>
        <v>2169.2956220585379</v>
      </c>
      <c r="AA109" s="226">
        <f>pvar!AD1383</f>
        <v>0</v>
      </c>
      <c r="AB109" s="226">
        <f>pvar!AE1383</f>
        <v>689.00724748278992</v>
      </c>
      <c r="AC109" s="226">
        <f>pvar!AF1383</f>
        <v>0</v>
      </c>
      <c r="AD109" s="226">
        <f>pvar!AG1383</f>
        <v>623.29906678709483</v>
      </c>
      <c r="AE109" s="226">
        <f>pvar!AH1383</f>
        <v>554.96682752439528</v>
      </c>
      <c r="AF109" s="226">
        <f>pvar!AI1383</f>
        <v>0</v>
      </c>
      <c r="AG109" s="226">
        <f>pvar!AJ1383</f>
        <v>0</v>
      </c>
      <c r="AH109" s="226">
        <f>pvar!AK1383</f>
        <v>0</v>
      </c>
      <c r="AI109" s="226">
        <f>pvar!AL1383</f>
        <v>0</v>
      </c>
      <c r="AJ109" s="236"/>
      <c r="AK109" s="245">
        <f t="shared" si="43"/>
        <v>18458.852793774859</v>
      </c>
    </row>
    <row r="110" spans="1:37" x14ac:dyDescent="0.25">
      <c r="A110" s="8" t="s">
        <v>763</v>
      </c>
      <c r="B110" s="8" t="s">
        <v>83</v>
      </c>
      <c r="C110" s="249">
        <f>pvar!F49</f>
        <v>17.149067486313992</v>
      </c>
      <c r="D110" s="249">
        <f>pvar!G49</f>
        <v>7.0196632067349132</v>
      </c>
      <c r="E110" s="249">
        <f>pvar!H49</f>
        <v>6.6426596505873237</v>
      </c>
      <c r="F110" s="249">
        <f>pvar!I49</f>
        <v>11.68212485808662</v>
      </c>
      <c r="G110" s="249">
        <f>pvar!J49</f>
        <v>2.5776796719231174</v>
      </c>
      <c r="H110" s="249">
        <f>pvar!K49</f>
        <v>3.7280771030846425</v>
      </c>
      <c r="I110" s="249">
        <f>pvar!L49</f>
        <v>1.5255693361463465</v>
      </c>
      <c r="J110" s="249">
        <f>pvar!M49</f>
        <v>12.952298556794883</v>
      </c>
      <c r="K110" s="249">
        <f>pvar!N49</f>
        <v>3.6312079635569416</v>
      </c>
      <c r="L110" s="249">
        <f>pvar!O49</f>
        <v>1.9917901815760637</v>
      </c>
      <c r="M110" s="249">
        <f>pvar!P49</f>
        <v>6.3317523350273968</v>
      </c>
      <c r="N110" s="249">
        <f>pvar!Q49</f>
        <v>5.9614776660783715</v>
      </c>
      <c r="O110" s="249">
        <f>pvar!R49</f>
        <v>9.7474507243479458</v>
      </c>
      <c r="P110" s="249">
        <f>pvar!S49</f>
        <v>4.4048915305368421</v>
      </c>
      <c r="Q110" s="249">
        <f>pvar!T49</f>
        <v>9.3111294105877001</v>
      </c>
      <c r="R110" s="249">
        <f>pvar!U49</f>
        <v>6.8219584511607865</v>
      </c>
      <c r="S110" s="249">
        <f>pvar!V49</f>
        <v>7.5083515693137217</v>
      </c>
      <c r="T110" s="249">
        <f>pvar!W49</f>
        <v>2.7855298269974598</v>
      </c>
      <c r="U110" s="249">
        <f>pvar!X49</f>
        <v>4.3348255432864438</v>
      </c>
      <c r="V110" s="249">
        <f>pvar!Y49</f>
        <v>7.9836339369182596</v>
      </c>
      <c r="W110" s="249">
        <f>pvar!Z49</f>
        <v>1.2509608346384442</v>
      </c>
      <c r="X110" s="249">
        <f>pvar!AA49</f>
        <v>6.7332370837980928</v>
      </c>
      <c r="Y110" s="249">
        <f>pvar!AB49</f>
        <v>1.3320674387223603</v>
      </c>
      <c r="Z110" s="249">
        <f>pvar!AC49</f>
        <v>8.5643783032908907</v>
      </c>
      <c r="AA110" s="249">
        <f>pvar!AD49</f>
        <v>5.5341731332343826</v>
      </c>
      <c r="AB110" s="249">
        <f>pvar!AE49</f>
        <v>2.8719612581563787</v>
      </c>
      <c r="AC110" s="249">
        <f>pvar!AF49</f>
        <v>1.521820603889579</v>
      </c>
      <c r="AD110" s="249">
        <f>pvar!AG49</f>
        <v>1.7470412418889396</v>
      </c>
      <c r="AE110" s="249">
        <f>pvar!AH49</f>
        <v>1.3390155091158065</v>
      </c>
      <c r="AF110" s="249">
        <f>pvar!AI49</f>
        <v>9.6150352291990018</v>
      </c>
      <c r="AG110" s="249">
        <f>pvar!AJ49</f>
        <v>8.336708945304709</v>
      </c>
      <c r="AH110" s="249">
        <f>pvar!AK49</f>
        <v>6.8030352449787195</v>
      </c>
      <c r="AI110" s="249">
        <f>pvar!AL49</f>
        <v>1.8729676619077222</v>
      </c>
      <c r="AJ110" s="236"/>
      <c r="AK110" s="245">
        <f t="shared" si="43"/>
        <v>191.6135414971848</v>
      </c>
    </row>
    <row r="111" spans="1:37" x14ac:dyDescent="0.25">
      <c r="A111" s="8" t="s">
        <v>803</v>
      </c>
      <c r="B111" s="8" t="s">
        <v>83</v>
      </c>
      <c r="C111" s="244">
        <f>SUM(C108:C110)</f>
        <v>2924.0798393860027</v>
      </c>
      <c r="D111" s="244">
        <f t="shared" ref="D111:AI111" si="45">SUM(D108:D110)</f>
        <v>1847.5240099431351</v>
      </c>
      <c r="E111" s="244">
        <f t="shared" si="45"/>
        <v>1766.4783197773609</v>
      </c>
      <c r="F111" s="244">
        <f t="shared" si="45"/>
        <v>5648.2132106787385</v>
      </c>
      <c r="G111" s="244">
        <f t="shared" si="45"/>
        <v>2580.8894241979301</v>
      </c>
      <c r="H111" s="244">
        <f t="shared" si="45"/>
        <v>1268.0553274610224</v>
      </c>
      <c r="I111" s="244">
        <f t="shared" si="45"/>
        <v>1198.6113911050743</v>
      </c>
      <c r="J111" s="244">
        <f t="shared" si="45"/>
        <v>2936.1903771789202</v>
      </c>
      <c r="K111" s="244">
        <f t="shared" si="45"/>
        <v>5096.0754475696285</v>
      </c>
      <c r="L111" s="244">
        <f t="shared" si="45"/>
        <v>2440.5326877933439</v>
      </c>
      <c r="M111" s="244">
        <f t="shared" si="45"/>
        <v>4116.1810096073086</v>
      </c>
      <c r="N111" s="244">
        <f t="shared" si="45"/>
        <v>1573.3850187611854</v>
      </c>
      <c r="O111" s="244">
        <f t="shared" si="45"/>
        <v>5203.8052221888829</v>
      </c>
      <c r="P111" s="244">
        <f t="shared" si="45"/>
        <v>4438.8459008338259</v>
      </c>
      <c r="Q111" s="244">
        <f t="shared" si="45"/>
        <v>7911.2014517720736</v>
      </c>
      <c r="R111" s="244">
        <f t="shared" si="45"/>
        <v>8181.8372391061221</v>
      </c>
      <c r="S111" s="244">
        <f t="shared" si="45"/>
        <v>6746.1326348848552</v>
      </c>
      <c r="T111" s="244">
        <f t="shared" si="45"/>
        <v>897.99229370421449</v>
      </c>
      <c r="U111" s="244">
        <f t="shared" si="45"/>
        <v>310.75605212028472</v>
      </c>
      <c r="V111" s="244">
        <f t="shared" si="45"/>
        <v>1059.6686369043391</v>
      </c>
      <c r="W111" s="244">
        <f t="shared" si="45"/>
        <v>662.33237317324858</v>
      </c>
      <c r="X111" s="244">
        <f t="shared" si="45"/>
        <v>1379.3380471522296</v>
      </c>
      <c r="Y111" s="244">
        <f t="shared" si="45"/>
        <v>1467.9315095399747</v>
      </c>
      <c r="Z111" s="244">
        <f t="shared" si="45"/>
        <v>8816.9073218256035</v>
      </c>
      <c r="AA111" s="244">
        <f t="shared" si="45"/>
        <v>378.5989389531909</v>
      </c>
      <c r="AB111" s="244">
        <f t="shared" si="45"/>
        <v>2405.2878380057018</v>
      </c>
      <c r="AC111" s="244">
        <f t="shared" si="45"/>
        <v>713.90279763896046</v>
      </c>
      <c r="AD111" s="244">
        <f t="shared" si="45"/>
        <v>1401.7171704891875</v>
      </c>
      <c r="AE111" s="244">
        <f t="shared" si="45"/>
        <v>870.3168689164205</v>
      </c>
      <c r="AF111" s="244">
        <f t="shared" si="45"/>
        <v>303.65824553917554</v>
      </c>
      <c r="AG111" s="244">
        <f t="shared" si="45"/>
        <v>668.27210874936952</v>
      </c>
      <c r="AH111" s="244">
        <f t="shared" si="45"/>
        <v>301.73117722335166</v>
      </c>
      <c r="AI111" s="244">
        <f t="shared" si="45"/>
        <v>43.691635555729938</v>
      </c>
      <c r="AJ111" s="236"/>
      <c r="AK111" s="245">
        <f t="shared" si="43"/>
        <v>87560.141527736414</v>
      </c>
    </row>
    <row r="112" spans="1:37" x14ac:dyDescent="0.25">
      <c r="A112" s="236"/>
      <c r="B112" s="8" t="s">
        <v>804</v>
      </c>
      <c r="C112" s="249">
        <f t="shared" ref="C112:AI112" si="46">C111/C19*1000</f>
        <v>5.1115168368431751</v>
      </c>
      <c r="D112" s="249">
        <f t="shared" si="46"/>
        <v>4.6948976211060591</v>
      </c>
      <c r="E112" s="249">
        <f t="shared" si="46"/>
        <v>3.8888444115049721</v>
      </c>
      <c r="F112" s="249">
        <f t="shared" si="46"/>
        <v>4.209993113321592</v>
      </c>
      <c r="G112" s="249">
        <f t="shared" si="46"/>
        <v>3.9557008803082234</v>
      </c>
      <c r="H112" s="249">
        <f t="shared" si="46"/>
        <v>3.7147843971873593</v>
      </c>
      <c r="I112" s="249">
        <f t="shared" si="46"/>
        <v>3.5765330251644007</v>
      </c>
      <c r="J112" s="249">
        <f t="shared" si="46"/>
        <v>3.5429482463223665</v>
      </c>
      <c r="K112" s="249">
        <f t="shared" si="46"/>
        <v>3.1166304987982478</v>
      </c>
      <c r="L112" s="249">
        <f t="shared" si="46"/>
        <v>3.2054188920026068</v>
      </c>
      <c r="M112" s="249">
        <f t="shared" si="46"/>
        <v>4.0380867804370109</v>
      </c>
      <c r="N112" s="249">
        <f t="shared" si="46"/>
        <v>4.9764875564277942</v>
      </c>
      <c r="O112" s="249">
        <f t="shared" si="46"/>
        <v>3.4294576617692618</v>
      </c>
      <c r="P112" s="249">
        <f t="shared" si="46"/>
        <v>4.3228095067594694</v>
      </c>
      <c r="Q112" s="249">
        <f t="shared" si="46"/>
        <v>4.4203673738024767</v>
      </c>
      <c r="R112" s="249">
        <f t="shared" si="46"/>
        <v>3.4154631929944888</v>
      </c>
      <c r="S112" s="249">
        <f t="shared" si="46"/>
        <v>4.6480889936535181</v>
      </c>
      <c r="T112" s="249">
        <f t="shared" si="46"/>
        <v>6.9709304209262957</v>
      </c>
      <c r="U112" s="249">
        <f t="shared" si="46"/>
        <v>17.091512876302776</v>
      </c>
      <c r="V112" s="249">
        <f t="shared" si="46"/>
        <v>5.3020482648969809</v>
      </c>
      <c r="W112" s="249">
        <f t="shared" si="46"/>
        <v>4.7109968987458073</v>
      </c>
      <c r="X112" s="249">
        <f t="shared" si="46"/>
        <v>4.5403641857555526</v>
      </c>
      <c r="Y112" s="249">
        <f t="shared" si="46"/>
        <v>3.9391982118524025</v>
      </c>
      <c r="Z112" s="249">
        <f t="shared" si="46"/>
        <v>5.7430547102673843</v>
      </c>
      <c r="AA112" s="249">
        <f t="shared" si="46"/>
        <v>2.9744303811309893</v>
      </c>
      <c r="AB112" s="249">
        <f t="shared" si="46"/>
        <v>6.7524976693202978</v>
      </c>
      <c r="AC112" s="249">
        <f t="shared" si="46"/>
        <v>3.4800042879227973</v>
      </c>
      <c r="AD112" s="249">
        <f t="shared" si="46"/>
        <v>4.1449990541961599</v>
      </c>
      <c r="AE112" s="249">
        <f t="shared" si="46"/>
        <v>5.0788815309869468</v>
      </c>
      <c r="AF112" s="249">
        <f t="shared" si="46"/>
        <v>1.6411228223382248</v>
      </c>
      <c r="AG112" s="249">
        <f t="shared" si="46"/>
        <v>3.7532470811778391</v>
      </c>
      <c r="AH112" s="249">
        <f t="shared" si="46"/>
        <v>1.4887258637874683</v>
      </c>
      <c r="AI112" s="249">
        <f t="shared" si="46"/>
        <v>0.472533095677175</v>
      </c>
      <c r="AJ112" s="249"/>
      <c r="AK112" s="254">
        <f>AK111/AK19*1000</f>
        <v>4.0939904015604895</v>
      </c>
    </row>
    <row r="113" spans="1:37" x14ac:dyDescent="0.25">
      <c r="A113" s="236"/>
      <c r="B113" s="8"/>
      <c r="C113" s="265"/>
      <c r="D113" s="236"/>
      <c r="E113" s="236"/>
      <c r="F113" s="236"/>
      <c r="G113" s="236"/>
      <c r="H113" s="236"/>
      <c r="I113" s="236"/>
      <c r="J113" s="236"/>
      <c r="K113" s="236"/>
      <c r="L113" s="236"/>
      <c r="M113" s="236"/>
      <c r="N113" s="236"/>
      <c r="O113" s="236"/>
      <c r="P113" s="236"/>
      <c r="Q113" s="236"/>
      <c r="R113" s="236"/>
      <c r="S113" s="236"/>
      <c r="T113" s="236"/>
      <c r="U113" s="236"/>
      <c r="V113" s="236"/>
      <c r="W113" s="236"/>
      <c r="X113" s="236"/>
      <c r="Y113" s="236"/>
      <c r="Z113" s="236"/>
      <c r="AA113" s="236"/>
      <c r="AB113" s="236"/>
      <c r="AC113" s="236"/>
      <c r="AD113" s="236"/>
      <c r="AE113" s="236"/>
      <c r="AF113" s="236"/>
      <c r="AG113" s="236"/>
      <c r="AH113" s="236"/>
      <c r="AI113" s="236"/>
      <c r="AJ113" s="236"/>
      <c r="AK113" s="245"/>
    </row>
    <row r="114" spans="1:37" x14ac:dyDescent="0.25">
      <c r="A114" s="246" t="s">
        <v>805</v>
      </c>
      <c r="B114" s="8"/>
      <c r="C114" s="265"/>
      <c r="D114" s="236"/>
      <c r="E114" s="236"/>
      <c r="F114" s="236"/>
      <c r="G114" s="236"/>
      <c r="H114" s="236"/>
      <c r="I114" s="236"/>
      <c r="J114" s="236"/>
      <c r="K114" s="236"/>
      <c r="L114" s="236"/>
      <c r="M114" s="236"/>
      <c r="N114" s="236"/>
      <c r="O114" s="236"/>
      <c r="P114" s="236"/>
      <c r="Q114" s="236"/>
      <c r="R114" s="236"/>
      <c r="S114" s="236"/>
      <c r="T114" s="236"/>
      <c r="U114" s="236"/>
      <c r="V114" s="236"/>
      <c r="W114" s="236"/>
      <c r="X114" s="236"/>
      <c r="Y114" s="236"/>
      <c r="Z114" s="236"/>
      <c r="AA114" s="236"/>
      <c r="AB114" s="236"/>
      <c r="AC114" s="236"/>
      <c r="AD114" s="236"/>
      <c r="AE114" s="236"/>
      <c r="AF114" s="236"/>
      <c r="AG114" s="236"/>
      <c r="AH114" s="236"/>
      <c r="AI114" s="236"/>
      <c r="AJ114" s="236"/>
      <c r="AK114" s="245"/>
    </row>
    <row r="115" spans="1:37" x14ac:dyDescent="0.25">
      <c r="A115" s="8" t="s">
        <v>806</v>
      </c>
      <c r="B115" s="8" t="s">
        <v>83</v>
      </c>
      <c r="C115" s="244">
        <f>pvar!F881</f>
        <v>688.62602411989337</v>
      </c>
      <c r="D115" s="244">
        <f>pvar!G881</f>
        <v>437.45450540515088</v>
      </c>
      <c r="E115" s="244">
        <f>pvar!H881</f>
        <v>417.51222473178791</v>
      </c>
      <c r="F115" s="244">
        <f>pvar!I881</f>
        <v>1362.409116982253</v>
      </c>
      <c r="G115" s="244">
        <f>pvar!J881</f>
        <v>462.18059246833377</v>
      </c>
      <c r="H115" s="244">
        <f>pvar!K881</f>
        <v>212.63740858191096</v>
      </c>
      <c r="I115" s="244">
        <f>pvar!L881</f>
        <v>195.28616901356889</v>
      </c>
      <c r="J115" s="244">
        <f>pvar!M881</f>
        <v>715.01904756062743</v>
      </c>
      <c r="K115" s="244">
        <f>pvar!N881</f>
        <v>1248.3298750761815</v>
      </c>
      <c r="L115" s="244">
        <f>pvar!O881</f>
        <v>581.54910609670833</v>
      </c>
      <c r="M115" s="244">
        <f>pvar!P881</f>
        <v>649.31170147923706</v>
      </c>
      <c r="N115" s="244">
        <f>pvar!Q881</f>
        <v>363.5416837014937</v>
      </c>
      <c r="O115" s="244">
        <f>pvar!R881</f>
        <v>943.13537718182602</v>
      </c>
      <c r="P115" s="244">
        <f>pvar!S881</f>
        <v>759.52923489316174</v>
      </c>
      <c r="Q115" s="244">
        <f>pvar!T881</f>
        <v>1372.2212827913409</v>
      </c>
      <c r="R115" s="244">
        <f>pvar!U881</f>
        <v>1958.7927278439595</v>
      </c>
      <c r="S115" s="244">
        <f>pvar!V881</f>
        <v>991.94561205078321</v>
      </c>
      <c r="T115" s="244">
        <f>pvar!W881</f>
        <v>95.634691485364868</v>
      </c>
      <c r="U115" s="244">
        <f>pvar!X881</f>
        <v>18.471934874385582</v>
      </c>
      <c r="V115" s="244">
        <f>pvar!Y881</f>
        <v>168.31812321275527</v>
      </c>
      <c r="W115" s="244">
        <f>pvar!Z881</f>
        <v>83.391986075285814</v>
      </c>
      <c r="X115" s="244">
        <f>pvar!AA881</f>
        <v>205.32031268497644</v>
      </c>
      <c r="Y115" s="244">
        <f>pvar!AB881</f>
        <v>169.36300382125847</v>
      </c>
      <c r="Z115" s="244">
        <f>pvar!AC881</f>
        <v>1580.7046918317992</v>
      </c>
      <c r="AA115" s="244">
        <f>pvar!AD881</f>
        <v>89.702655190651711</v>
      </c>
      <c r="AB115" s="244">
        <f>pvar!AE881</f>
        <v>417.8684124372524</v>
      </c>
      <c r="AC115" s="244">
        <f>pvar!AF881</f>
        <v>169.13547944730064</v>
      </c>
      <c r="AD115" s="244">
        <f>pvar!AG881</f>
        <v>202.19937140816953</v>
      </c>
      <c r="AE115" s="244">
        <f>pvar!AH881</f>
        <v>98.169124992440302</v>
      </c>
      <c r="AF115" s="244">
        <f>pvar!AI881</f>
        <v>79.189871204693844</v>
      </c>
      <c r="AG115" s="244">
        <f>pvar!AJ881</f>
        <v>158.6473149041343</v>
      </c>
      <c r="AH115" s="244">
        <f>pvar!AK881</f>
        <v>76.009471402687979</v>
      </c>
      <c r="AI115" s="244">
        <f>pvar!AL881</f>
        <v>34.623159854006133</v>
      </c>
      <c r="AJ115" s="248"/>
      <c r="AK115" s="245">
        <f>SUM(C115:AI115)</f>
        <v>17006.231294805384</v>
      </c>
    </row>
    <row r="116" spans="1:37" x14ac:dyDescent="0.25">
      <c r="A116" s="8" t="s">
        <v>807</v>
      </c>
      <c r="B116" s="8" t="s">
        <v>83</v>
      </c>
      <c r="C116" s="244">
        <f>pvar!F1401</f>
        <v>0</v>
      </c>
      <c r="D116" s="244">
        <f>pvar!G1401</f>
        <v>0</v>
      </c>
      <c r="E116" s="244">
        <f>pvar!H1401</f>
        <v>0</v>
      </c>
      <c r="F116" s="244">
        <f>pvar!I1401</f>
        <v>0</v>
      </c>
      <c r="G116" s="244">
        <f>pvar!J1401</f>
        <v>266.42361823030609</v>
      </c>
      <c r="H116" s="244">
        <f>pvar!K1401</f>
        <v>155.45440751487374</v>
      </c>
      <c r="I116" s="244">
        <f>pvar!L1401</f>
        <v>169.15634266521667</v>
      </c>
      <c r="J116" s="244">
        <f>pvar!M1401</f>
        <v>0</v>
      </c>
      <c r="K116" s="244">
        <f>pvar!N1401</f>
        <v>0</v>
      </c>
      <c r="L116" s="244">
        <f>pvar!O1401</f>
        <v>0</v>
      </c>
      <c r="M116" s="244">
        <f>pvar!P1401</f>
        <v>536.63361353248933</v>
      </c>
      <c r="N116" s="244">
        <f>pvar!Q1401</f>
        <v>0</v>
      </c>
      <c r="O116" s="244">
        <f>pvar!R1401</f>
        <v>471.43814493910679</v>
      </c>
      <c r="P116" s="244">
        <f>pvar!S1401</f>
        <v>480.29462154963124</v>
      </c>
      <c r="Q116" s="244">
        <f>pvar!T1401</f>
        <v>858.72359563510099</v>
      </c>
      <c r="R116" s="244">
        <f>pvar!U1401</f>
        <v>0</v>
      </c>
      <c r="S116" s="244">
        <f>pvar!V1401</f>
        <v>1099.5708439541049</v>
      </c>
      <c r="T116" s="244">
        <f>pvar!W1401</f>
        <v>180.56916885644239</v>
      </c>
      <c r="U116" s="244">
        <f>pvar!X1401</f>
        <v>88.425808991244168</v>
      </c>
      <c r="V116" s="244">
        <f>pvar!Y1401</f>
        <v>124.54534013934416</v>
      </c>
      <c r="W116" s="244">
        <f>pvar!Z1401</f>
        <v>157.95098768668501</v>
      </c>
      <c r="X116" s="244">
        <f>pvar!AA1401</f>
        <v>206.31871170974108</v>
      </c>
      <c r="Y116" s="244">
        <f>pvar!AB1401</f>
        <v>391.83108906006305</v>
      </c>
      <c r="Z116" s="244">
        <f>pvar!AC1401</f>
        <v>846.41960214083042</v>
      </c>
      <c r="AA116" s="244">
        <f>pvar!AD1401</f>
        <v>0</v>
      </c>
      <c r="AB116" s="244">
        <f>pvar!AE1401</f>
        <v>288.38063994090976</v>
      </c>
      <c r="AC116" s="244">
        <f>pvar!AF1401</f>
        <v>0</v>
      </c>
      <c r="AD116" s="244">
        <f>pvar!AG1401</f>
        <v>244.62953578650723</v>
      </c>
      <c r="AE116" s="244">
        <f>pvar!AH1401</f>
        <v>206.0947507174393</v>
      </c>
      <c r="AF116" s="244">
        <f>pvar!AI1401</f>
        <v>0</v>
      </c>
      <c r="AG116" s="244">
        <f>pvar!AJ1401</f>
        <v>0</v>
      </c>
      <c r="AH116" s="244">
        <f>pvar!AK1401</f>
        <v>0</v>
      </c>
      <c r="AI116" s="244">
        <f>pvar!AL1401</f>
        <v>0</v>
      </c>
      <c r="AJ116" s="248"/>
      <c r="AK116" s="245">
        <f>SUM(C116:AI116)</f>
        <v>6772.8608230500377</v>
      </c>
    </row>
    <row r="117" spans="1:37" x14ac:dyDescent="0.25">
      <c r="A117" s="8" t="s">
        <v>808</v>
      </c>
      <c r="B117" s="8" t="s">
        <v>83</v>
      </c>
      <c r="C117" s="244">
        <f>C115+C116</f>
        <v>688.62602411989337</v>
      </c>
      <c r="D117" s="244">
        <f t="shared" ref="D117:AI117" si="47">D115+D116</f>
        <v>437.45450540515088</v>
      </c>
      <c r="E117" s="244">
        <f t="shared" si="47"/>
        <v>417.51222473178791</v>
      </c>
      <c r="F117" s="244">
        <f t="shared" si="47"/>
        <v>1362.409116982253</v>
      </c>
      <c r="G117" s="244">
        <f t="shared" si="47"/>
        <v>728.60421069863992</v>
      </c>
      <c r="H117" s="244">
        <f t="shared" si="47"/>
        <v>368.09181609678467</v>
      </c>
      <c r="I117" s="244">
        <f t="shared" si="47"/>
        <v>364.44251167878554</v>
      </c>
      <c r="J117" s="244">
        <f t="shared" si="47"/>
        <v>715.01904756062743</v>
      </c>
      <c r="K117" s="244">
        <f t="shared" si="47"/>
        <v>1248.3298750761815</v>
      </c>
      <c r="L117" s="244">
        <f t="shared" si="47"/>
        <v>581.54910609670833</v>
      </c>
      <c r="M117" s="244">
        <f t="shared" si="47"/>
        <v>1185.9453150117265</v>
      </c>
      <c r="N117" s="244">
        <f t="shared" si="47"/>
        <v>363.5416837014937</v>
      </c>
      <c r="O117" s="244">
        <f t="shared" si="47"/>
        <v>1414.5735221209329</v>
      </c>
      <c r="P117" s="244">
        <f t="shared" si="47"/>
        <v>1239.8238564427929</v>
      </c>
      <c r="Q117" s="244">
        <f t="shared" si="47"/>
        <v>2230.9448784264418</v>
      </c>
      <c r="R117" s="244">
        <f t="shared" si="47"/>
        <v>1958.7927278439595</v>
      </c>
      <c r="S117" s="244">
        <f t="shared" si="47"/>
        <v>2091.5164560048879</v>
      </c>
      <c r="T117" s="244">
        <f t="shared" si="47"/>
        <v>276.20386034180729</v>
      </c>
      <c r="U117" s="244">
        <f t="shared" si="47"/>
        <v>106.89774386562975</v>
      </c>
      <c r="V117" s="244">
        <f t="shared" si="47"/>
        <v>292.86346335209942</v>
      </c>
      <c r="W117" s="244">
        <f t="shared" si="47"/>
        <v>241.34297376197082</v>
      </c>
      <c r="X117" s="244">
        <f t="shared" si="47"/>
        <v>411.63902439471752</v>
      </c>
      <c r="Y117" s="244">
        <f t="shared" si="47"/>
        <v>561.19409288132147</v>
      </c>
      <c r="Z117" s="244">
        <f t="shared" si="47"/>
        <v>2427.1242939726299</v>
      </c>
      <c r="AA117" s="244">
        <f t="shared" si="47"/>
        <v>89.702655190651711</v>
      </c>
      <c r="AB117" s="244">
        <f t="shared" si="47"/>
        <v>706.24905237816211</v>
      </c>
      <c r="AC117" s="244">
        <f t="shared" si="47"/>
        <v>169.13547944730064</v>
      </c>
      <c r="AD117" s="244">
        <f t="shared" si="47"/>
        <v>446.82890719467673</v>
      </c>
      <c r="AE117" s="244">
        <f t="shared" si="47"/>
        <v>304.26387570987958</v>
      </c>
      <c r="AF117" s="244">
        <f t="shared" si="47"/>
        <v>79.189871204693844</v>
      </c>
      <c r="AG117" s="244">
        <f t="shared" si="47"/>
        <v>158.6473149041343</v>
      </c>
      <c r="AH117" s="244">
        <f t="shared" si="47"/>
        <v>76.009471402687979</v>
      </c>
      <c r="AI117" s="244">
        <f t="shared" si="47"/>
        <v>34.623159854006133</v>
      </c>
      <c r="AJ117" s="244"/>
      <c r="AK117" s="245">
        <f>SUM(C117:AI117)</f>
        <v>23779.09211785542</v>
      </c>
    </row>
    <row r="118" spans="1:37" s="269" customFormat="1" x14ac:dyDescent="0.25">
      <c r="A118" s="8" t="s">
        <v>806</v>
      </c>
      <c r="B118" s="22" t="s">
        <v>809</v>
      </c>
      <c r="C118" s="256">
        <f t="shared" ref="C118:AI118" si="48">C115*1000/C19</f>
        <v>1.2037713434378459</v>
      </c>
      <c r="D118" s="256">
        <f t="shared" si="48"/>
        <v>1.1116521927268401</v>
      </c>
      <c r="E118" s="256">
        <f t="shared" si="48"/>
        <v>0.91913954657980634</v>
      </c>
      <c r="F118" s="256">
        <f t="shared" si="48"/>
        <v>1.0154951284731302</v>
      </c>
      <c r="G118" s="256">
        <f t="shared" si="48"/>
        <v>0.70837911897621642</v>
      </c>
      <c r="H118" s="256">
        <f t="shared" si="48"/>
        <v>0.6229240243326184</v>
      </c>
      <c r="I118" s="256">
        <f t="shared" si="48"/>
        <v>0.58271382870049648</v>
      </c>
      <c r="J118" s="256">
        <f t="shared" si="48"/>
        <v>0.86277630372046055</v>
      </c>
      <c r="K118" s="256">
        <f t="shared" si="48"/>
        <v>0.76344689187812043</v>
      </c>
      <c r="L118" s="256">
        <f t="shared" si="48"/>
        <v>0.76381213848649077</v>
      </c>
      <c r="M118" s="256">
        <f t="shared" si="48"/>
        <v>0.63699263759455305</v>
      </c>
      <c r="N118" s="256">
        <f t="shared" si="48"/>
        <v>1.1498524795969818</v>
      </c>
      <c r="O118" s="256">
        <f t="shared" si="48"/>
        <v>0.62155340318470798</v>
      </c>
      <c r="P118" s="256">
        <f t="shared" si="48"/>
        <v>0.73967429160835385</v>
      </c>
      <c r="Q118" s="256">
        <f t="shared" si="48"/>
        <v>0.76672579064833846</v>
      </c>
      <c r="R118" s="256">
        <f t="shared" si="48"/>
        <v>0.81768730776991438</v>
      </c>
      <c r="S118" s="256">
        <f t="shared" si="48"/>
        <v>0.68345105725227762</v>
      </c>
      <c r="T118" s="256">
        <f t="shared" si="48"/>
        <v>0.7423925403872339</v>
      </c>
      <c r="U118" s="256">
        <f t="shared" si="48"/>
        <v>1.0159522577329692</v>
      </c>
      <c r="V118" s="256">
        <f t="shared" si="48"/>
        <v>0.84217913227856445</v>
      </c>
      <c r="W118" s="256">
        <f t="shared" si="48"/>
        <v>0.59314538091914071</v>
      </c>
      <c r="X118" s="256">
        <f t="shared" si="48"/>
        <v>0.67585244693834912</v>
      </c>
      <c r="Y118" s="256">
        <f t="shared" si="48"/>
        <v>0.45448608294792175</v>
      </c>
      <c r="Z118" s="256">
        <f t="shared" si="48"/>
        <v>1.0296210671846653</v>
      </c>
      <c r="AA118" s="256">
        <f t="shared" si="48"/>
        <v>0.70474128534253555</v>
      </c>
      <c r="AB118" s="256">
        <f t="shared" si="48"/>
        <v>1.173105121341586</v>
      </c>
      <c r="AC118" s="256">
        <f t="shared" si="48"/>
        <v>0.82447105637223039</v>
      </c>
      <c r="AD118" s="256">
        <f t="shared" si="48"/>
        <v>0.59792105061638445</v>
      </c>
      <c r="AE118" s="256">
        <f t="shared" si="48"/>
        <v>0.5728825599554539</v>
      </c>
      <c r="AF118" s="256">
        <f t="shared" si="48"/>
        <v>0.42798213729151396</v>
      </c>
      <c r="AG118" s="256">
        <f t="shared" si="48"/>
        <v>0.89101814037245708</v>
      </c>
      <c r="AH118" s="256">
        <f t="shared" si="48"/>
        <v>0.37502676061291701</v>
      </c>
      <c r="AI118" s="256">
        <f t="shared" si="48"/>
        <v>0.37445585865218528</v>
      </c>
      <c r="AJ118" s="244"/>
      <c r="AK118" s="257">
        <f>AK115*1000/AK19</f>
        <v>0.79514887108304044</v>
      </c>
    </row>
    <row r="119" spans="1:37" s="269" customFormat="1" x14ac:dyDescent="0.25">
      <c r="A119" s="8" t="s">
        <v>807</v>
      </c>
      <c r="B119" s="22" t="s">
        <v>809</v>
      </c>
      <c r="C119" s="256">
        <f t="shared" ref="C119:AI119" si="49">C116*1000/C19</f>
        <v>0</v>
      </c>
      <c r="D119" s="256">
        <f t="shared" si="49"/>
        <v>0</v>
      </c>
      <c r="E119" s="256">
        <f t="shared" si="49"/>
        <v>0</v>
      </c>
      <c r="F119" s="256">
        <f t="shared" si="49"/>
        <v>0</v>
      </c>
      <c r="G119" s="256">
        <f t="shared" si="49"/>
        <v>0.40834455412441573</v>
      </c>
      <c r="H119" s="256">
        <f t="shared" si="49"/>
        <v>0.45540568696361472</v>
      </c>
      <c r="I119" s="256">
        <f t="shared" si="49"/>
        <v>0.50474511626357277</v>
      </c>
      <c r="J119" s="256">
        <f t="shared" si="49"/>
        <v>0</v>
      </c>
      <c r="K119" s="256">
        <f t="shared" si="49"/>
        <v>0</v>
      </c>
      <c r="L119" s="256">
        <f t="shared" si="49"/>
        <v>0</v>
      </c>
      <c r="M119" s="256">
        <f t="shared" si="49"/>
        <v>0.52645233425981475</v>
      </c>
      <c r="N119" s="256">
        <f t="shared" si="49"/>
        <v>0</v>
      </c>
      <c r="O119" s="256">
        <f t="shared" si="49"/>
        <v>0.31069132859120357</v>
      </c>
      <c r="P119" s="256">
        <f t="shared" si="49"/>
        <v>0.46773918321655955</v>
      </c>
      <c r="Q119" s="256">
        <f t="shared" si="49"/>
        <v>0.47981002486158314</v>
      </c>
      <c r="R119" s="256">
        <f t="shared" si="49"/>
        <v>0</v>
      </c>
      <c r="S119" s="256">
        <f t="shared" si="49"/>
        <v>0.75760489959780031</v>
      </c>
      <c r="T119" s="256">
        <f t="shared" si="49"/>
        <v>1.4017215081773966</v>
      </c>
      <c r="U119" s="256">
        <f t="shared" si="49"/>
        <v>4.8633995787356277</v>
      </c>
      <c r="V119" s="256">
        <f t="shared" si="49"/>
        <v>0.6231621674827641</v>
      </c>
      <c r="W119" s="256">
        <f t="shared" si="49"/>
        <v>1.1234640541285634</v>
      </c>
      <c r="X119" s="256">
        <f t="shared" si="49"/>
        <v>0.67913887493509262</v>
      </c>
      <c r="Y119" s="256">
        <f t="shared" si="49"/>
        <v>1.0514797968042031</v>
      </c>
      <c r="Z119" s="256">
        <f t="shared" si="49"/>
        <v>0.55133097190490021</v>
      </c>
      <c r="AA119" s="256">
        <f t="shared" si="49"/>
        <v>0</v>
      </c>
      <c r="AB119" s="256">
        <f t="shared" si="49"/>
        <v>0.80958693105630408</v>
      </c>
      <c r="AC119" s="256">
        <f t="shared" si="49"/>
        <v>0</v>
      </c>
      <c r="AD119" s="256">
        <f t="shared" si="49"/>
        <v>0.72339072090387846</v>
      </c>
      <c r="AE119" s="256">
        <f t="shared" si="49"/>
        <v>1.2027008328074615</v>
      </c>
      <c r="AF119" s="256">
        <f t="shared" si="49"/>
        <v>0</v>
      </c>
      <c r="AG119" s="256">
        <f t="shared" si="49"/>
        <v>0</v>
      </c>
      <c r="AH119" s="256">
        <f t="shared" si="49"/>
        <v>0</v>
      </c>
      <c r="AI119" s="256">
        <f t="shared" si="49"/>
        <v>0</v>
      </c>
      <c r="AJ119" s="244"/>
      <c r="AK119" s="257">
        <f>AK116*1000/AK19</f>
        <v>0.31667407928855995</v>
      </c>
    </row>
    <row r="120" spans="1:37" x14ac:dyDescent="0.25">
      <c r="A120" s="8" t="s">
        <v>808</v>
      </c>
      <c r="B120" s="22" t="s">
        <v>809</v>
      </c>
      <c r="C120" s="250">
        <f t="shared" ref="C120:AI120" si="50">C117*1000/C19</f>
        <v>1.2037713434378459</v>
      </c>
      <c r="D120" s="256">
        <f t="shared" si="50"/>
        <v>1.1116521927268401</v>
      </c>
      <c r="E120" s="256">
        <f t="shared" si="50"/>
        <v>0.91913954657980634</v>
      </c>
      <c r="F120" s="256">
        <f t="shared" si="50"/>
        <v>1.0154951284731302</v>
      </c>
      <c r="G120" s="256">
        <f t="shared" si="50"/>
        <v>1.1167236731006325</v>
      </c>
      <c r="H120" s="256">
        <f t="shared" si="50"/>
        <v>1.0783297112962329</v>
      </c>
      <c r="I120" s="256">
        <f t="shared" si="50"/>
        <v>1.0874589449640693</v>
      </c>
      <c r="J120" s="256">
        <f t="shared" si="50"/>
        <v>0.86277630372046055</v>
      </c>
      <c r="K120" s="256">
        <f t="shared" si="50"/>
        <v>0.76344689187812043</v>
      </c>
      <c r="L120" s="256">
        <f t="shared" si="50"/>
        <v>0.76381213848649077</v>
      </c>
      <c r="M120" s="256">
        <f t="shared" si="50"/>
        <v>1.1634449718543678</v>
      </c>
      <c r="N120" s="256">
        <f t="shared" si="50"/>
        <v>1.1498524795969818</v>
      </c>
      <c r="O120" s="256">
        <f t="shared" si="50"/>
        <v>0.93224473177591161</v>
      </c>
      <c r="P120" s="256">
        <f t="shared" si="50"/>
        <v>1.2074134748249135</v>
      </c>
      <c r="Q120" s="256">
        <f t="shared" si="50"/>
        <v>1.2465358155099215</v>
      </c>
      <c r="R120" s="256">
        <f t="shared" si="50"/>
        <v>0.81768730776991438</v>
      </c>
      <c r="S120" s="256">
        <f t="shared" si="50"/>
        <v>1.4410559568500776</v>
      </c>
      <c r="T120" s="256">
        <f t="shared" si="50"/>
        <v>2.1441140485646311</v>
      </c>
      <c r="U120" s="256">
        <f t="shared" si="50"/>
        <v>5.8793518364685964</v>
      </c>
      <c r="V120" s="256">
        <f t="shared" si="50"/>
        <v>1.4653412997613284</v>
      </c>
      <c r="W120" s="256">
        <f t="shared" si="50"/>
        <v>1.7166094350477039</v>
      </c>
      <c r="X120" s="256">
        <f t="shared" si="50"/>
        <v>1.354991321873442</v>
      </c>
      <c r="Y120" s="256">
        <f t="shared" si="50"/>
        <v>1.5059658797521247</v>
      </c>
      <c r="Z120" s="256">
        <f t="shared" si="50"/>
        <v>1.5809520390895659</v>
      </c>
      <c r="AA120" s="256">
        <f t="shared" si="50"/>
        <v>0.70474128534253555</v>
      </c>
      <c r="AB120" s="256">
        <f t="shared" si="50"/>
        <v>1.9826920523978899</v>
      </c>
      <c r="AC120" s="256">
        <f t="shared" si="50"/>
        <v>0.82447105637223039</v>
      </c>
      <c r="AD120" s="256">
        <f t="shared" si="50"/>
        <v>1.3213117715202629</v>
      </c>
      <c r="AE120" s="256">
        <f t="shared" si="50"/>
        <v>1.7755833927629152</v>
      </c>
      <c r="AF120" s="256">
        <f t="shared" si="50"/>
        <v>0.42798213729151396</v>
      </c>
      <c r="AG120" s="256">
        <f t="shared" si="50"/>
        <v>0.89101814037245708</v>
      </c>
      <c r="AH120" s="256">
        <f t="shared" si="50"/>
        <v>0.37502676061291701</v>
      </c>
      <c r="AI120" s="256">
        <f t="shared" si="50"/>
        <v>0.37445585865218528</v>
      </c>
      <c r="AJ120" s="260"/>
      <c r="AK120" s="257">
        <f>AK117*1000/AK19</f>
        <v>1.1118229503716002</v>
      </c>
    </row>
    <row r="121" spans="1:37" x14ac:dyDescent="0.25">
      <c r="A121" s="236"/>
      <c r="B121" s="236"/>
      <c r="C121" s="265"/>
      <c r="D121" s="236"/>
      <c r="E121" s="236"/>
      <c r="F121" s="236"/>
      <c r="G121" s="236"/>
      <c r="H121" s="236"/>
      <c r="I121" s="236"/>
      <c r="J121" s="236"/>
      <c r="K121" s="236"/>
      <c r="L121" s="236"/>
      <c r="M121" s="236"/>
      <c r="N121" s="236"/>
      <c r="O121" s="236"/>
      <c r="P121" s="236"/>
      <c r="Q121" s="236"/>
      <c r="R121" s="236"/>
      <c r="S121" s="236"/>
      <c r="T121" s="236"/>
      <c r="U121" s="236"/>
      <c r="V121" s="236"/>
      <c r="W121" s="236"/>
      <c r="X121" s="236"/>
      <c r="Y121" s="236"/>
      <c r="Z121" s="236"/>
      <c r="AA121" s="236"/>
      <c r="AB121" s="236"/>
      <c r="AC121" s="236"/>
      <c r="AD121" s="236"/>
      <c r="AE121" s="236"/>
      <c r="AF121" s="236"/>
      <c r="AG121" s="236"/>
      <c r="AH121" s="236"/>
      <c r="AI121" s="236"/>
      <c r="AJ121" s="260"/>
      <c r="AK121" s="245"/>
    </row>
    <row r="122" spans="1:37" x14ac:dyDescent="0.25">
      <c r="A122" s="246" t="s">
        <v>810</v>
      </c>
      <c r="B122" s="236"/>
      <c r="C122" s="265"/>
      <c r="D122" s="236"/>
      <c r="E122" s="236"/>
      <c r="F122" s="236"/>
      <c r="G122" s="236"/>
      <c r="H122" s="236"/>
      <c r="I122" s="236"/>
      <c r="J122" s="236"/>
      <c r="K122" s="236"/>
      <c r="L122" s="236"/>
      <c r="M122" s="236"/>
      <c r="N122" s="236"/>
      <c r="O122" s="236"/>
      <c r="P122" s="236"/>
      <c r="Q122" s="236"/>
      <c r="R122" s="236"/>
      <c r="S122" s="236"/>
      <c r="T122" s="236"/>
      <c r="U122" s="236"/>
      <c r="V122" s="236"/>
      <c r="W122" s="236"/>
      <c r="X122" s="236"/>
      <c r="Y122" s="236"/>
      <c r="Z122" s="236"/>
      <c r="AA122" s="236"/>
      <c r="AB122" s="236"/>
      <c r="AC122" s="236"/>
      <c r="AD122" s="236"/>
      <c r="AE122" s="236"/>
      <c r="AF122" s="236"/>
      <c r="AG122" s="236"/>
      <c r="AH122" s="236"/>
      <c r="AI122" s="236"/>
      <c r="AJ122" s="236"/>
      <c r="AK122" s="245"/>
    </row>
    <row r="123" spans="1:37" x14ac:dyDescent="0.25">
      <c r="A123" s="8" t="s">
        <v>811</v>
      </c>
      <c r="B123" s="8" t="s">
        <v>176</v>
      </c>
      <c r="C123" s="244">
        <f>pvar!F530</f>
        <v>0</v>
      </c>
      <c r="D123" s="244">
        <f>pvar!G530</f>
        <v>6.5997174344672782E-9</v>
      </c>
      <c r="E123" s="244">
        <f>pvar!H530</f>
        <v>0</v>
      </c>
      <c r="F123" s="244">
        <f>pvar!I530</f>
        <v>0</v>
      </c>
      <c r="G123" s="244">
        <f>pvar!J530</f>
        <v>792.8580095442378</v>
      </c>
      <c r="H123" s="244">
        <f>pvar!K530</f>
        <v>393.5637944818651</v>
      </c>
      <c r="I123" s="244">
        <f>pvar!L530</f>
        <v>539.31896433561838</v>
      </c>
      <c r="J123" s="244">
        <f>pvar!M530</f>
        <v>0</v>
      </c>
      <c r="K123" s="244">
        <f>pvar!N530</f>
        <v>0</v>
      </c>
      <c r="L123" s="244">
        <f>pvar!O530</f>
        <v>0</v>
      </c>
      <c r="M123" s="244">
        <f>pvar!P530</f>
        <v>1690.6121534172939</v>
      </c>
      <c r="N123" s="244">
        <f>pvar!Q530</f>
        <v>0</v>
      </c>
      <c r="O123" s="244">
        <f>pvar!R530</f>
        <v>379.79793934551253</v>
      </c>
      <c r="P123" s="244">
        <f>pvar!S530</f>
        <v>652.22230782492329</v>
      </c>
      <c r="Q123" s="244">
        <f>pvar!T530</f>
        <v>1037.2462685741289</v>
      </c>
      <c r="R123" s="244">
        <f>pvar!U530</f>
        <v>0</v>
      </c>
      <c r="S123" s="244">
        <f>pvar!V530</f>
        <v>4541.8576686572796</v>
      </c>
      <c r="T123" s="244">
        <f>pvar!W530</f>
        <v>807.19913671619599</v>
      </c>
      <c r="U123" s="244">
        <f>pvar!X530</f>
        <v>415.22932005763062</v>
      </c>
      <c r="V123" s="244">
        <f>pvar!Y530</f>
        <v>538.41100398004357</v>
      </c>
      <c r="W123" s="244">
        <f>pvar!Z530</f>
        <v>414.20329638897329</v>
      </c>
      <c r="X123" s="244">
        <f>pvar!AA530</f>
        <v>512.68065604028584</v>
      </c>
      <c r="Y123" s="244">
        <f>pvar!AB530</f>
        <v>730.09167491308165</v>
      </c>
      <c r="Z123" s="244">
        <f>pvar!AC530</f>
        <v>992.82457508896857</v>
      </c>
      <c r="AA123" s="244">
        <f>pvar!AD530</f>
        <v>0</v>
      </c>
      <c r="AB123" s="244">
        <f>pvar!AE530</f>
        <v>571.26708559750375</v>
      </c>
      <c r="AC123" s="244">
        <f>pvar!AF530</f>
        <v>0</v>
      </c>
      <c r="AD123" s="244">
        <f>pvar!AG530</f>
        <v>547.24863481192506</v>
      </c>
      <c r="AE123" s="244">
        <f>pvar!AH530</f>
        <v>1051.3205451120357</v>
      </c>
      <c r="AF123" s="244">
        <f>pvar!AI530</f>
        <v>0</v>
      </c>
      <c r="AG123" s="244">
        <f>pvar!AJ530</f>
        <v>0</v>
      </c>
      <c r="AH123" s="244">
        <f>pvar!AK530</f>
        <v>0</v>
      </c>
      <c r="AI123" s="244">
        <f>pvar!AL530</f>
        <v>0</v>
      </c>
      <c r="AJ123" s="236"/>
      <c r="AK123" s="245">
        <f>SUM(C123:AI123)</f>
        <v>16607.953034894104</v>
      </c>
    </row>
    <row r="124" spans="1:37" x14ac:dyDescent="0.25">
      <c r="A124" s="8" t="s">
        <v>812</v>
      </c>
      <c r="B124" s="8" t="s">
        <v>176</v>
      </c>
      <c r="C124" s="244">
        <f>C123+C125</f>
        <v>0</v>
      </c>
      <c r="D124" s="244">
        <f t="shared" ref="D124:AH124" si="51">D123+D125</f>
        <v>1.3398616853962785E-8</v>
      </c>
      <c r="E124" s="244">
        <f t="shared" si="51"/>
        <v>0</v>
      </c>
      <c r="F124" s="244">
        <f t="shared" si="51"/>
        <v>0</v>
      </c>
      <c r="G124" s="244">
        <f t="shared" si="51"/>
        <v>1081.9440116542496</v>
      </c>
      <c r="H124" s="244">
        <f t="shared" si="51"/>
        <v>530.46437053521799</v>
      </c>
      <c r="I124" s="244">
        <f t="shared" si="51"/>
        <v>760.17959702118912</v>
      </c>
      <c r="J124" s="244">
        <f t="shared" si="51"/>
        <v>0</v>
      </c>
      <c r="K124" s="244">
        <f t="shared" si="51"/>
        <v>0</v>
      </c>
      <c r="L124" s="244">
        <f t="shared" si="51"/>
        <v>0</v>
      </c>
      <c r="M124" s="244">
        <f t="shared" si="51"/>
        <v>2287.5126596268897</v>
      </c>
      <c r="N124" s="244">
        <f t="shared" si="51"/>
        <v>0</v>
      </c>
      <c r="O124" s="244">
        <f t="shared" si="51"/>
        <v>560.44033356523312</v>
      </c>
      <c r="P124" s="244">
        <f t="shared" si="51"/>
        <v>894.20771626937767</v>
      </c>
      <c r="Q124" s="244">
        <f t="shared" si="51"/>
        <v>1500.9295563686601</v>
      </c>
      <c r="R124" s="244">
        <f t="shared" si="51"/>
        <v>0</v>
      </c>
      <c r="S124" s="244">
        <f t="shared" si="51"/>
        <v>6266.8558609488346</v>
      </c>
      <c r="T124" s="244">
        <f t="shared" si="51"/>
        <v>1136.4483154380714</v>
      </c>
      <c r="U124" s="244">
        <f t="shared" si="51"/>
        <v>594.2975512819504</v>
      </c>
      <c r="V124" s="244">
        <f t="shared" si="51"/>
        <v>758.15468738973334</v>
      </c>
      <c r="W124" s="244">
        <f t="shared" si="51"/>
        <v>551.37718287538405</v>
      </c>
      <c r="X124" s="244">
        <f t="shared" si="51"/>
        <v>725.37253731727628</v>
      </c>
      <c r="Y124" s="244">
        <f t="shared" si="51"/>
        <v>1043.3402375245471</v>
      </c>
      <c r="Z124" s="244">
        <f t="shared" si="51"/>
        <v>1351.4243932733195</v>
      </c>
      <c r="AA124" s="244">
        <f t="shared" si="51"/>
        <v>0</v>
      </c>
      <c r="AB124" s="244">
        <f t="shared" si="51"/>
        <v>816.44533898394559</v>
      </c>
      <c r="AC124" s="244">
        <f t="shared" si="51"/>
        <v>0</v>
      </c>
      <c r="AD124" s="244">
        <f t="shared" si="51"/>
        <v>762.19050291437009</v>
      </c>
      <c r="AE124" s="244">
        <f t="shared" si="51"/>
        <v>1499.9729699510274</v>
      </c>
      <c r="AF124" s="244">
        <f t="shared" si="51"/>
        <v>0</v>
      </c>
      <c r="AG124" s="244">
        <f t="shared" si="51"/>
        <v>0</v>
      </c>
      <c r="AH124" s="244">
        <f t="shared" si="51"/>
        <v>0</v>
      </c>
      <c r="AI124" s="244"/>
      <c r="AJ124" s="236"/>
      <c r="AK124" s="245">
        <f>SUM(C124:AI124)</f>
        <v>23121.557822952676</v>
      </c>
    </row>
    <row r="125" spans="1:37" x14ac:dyDescent="0.25">
      <c r="A125" s="8" t="s">
        <v>813</v>
      </c>
      <c r="B125" s="8" t="s">
        <v>176</v>
      </c>
      <c r="C125" s="154">
        <f>pvar!F653+pvar!F732</f>
        <v>0</v>
      </c>
      <c r="D125" s="154">
        <f>pvar!G653+pvar!G732</f>
        <v>6.7988994194955067E-9</v>
      </c>
      <c r="E125" s="154">
        <f>pvar!H653+pvar!H732</f>
        <v>0</v>
      </c>
      <c r="F125" s="154">
        <f>pvar!I653+pvar!I732</f>
        <v>0</v>
      </c>
      <c r="G125" s="154">
        <f>pvar!J653+pvar!J732</f>
        <v>289.08600211001169</v>
      </c>
      <c r="H125" s="154">
        <f>pvar!K653+pvar!K732</f>
        <v>136.90057605335295</v>
      </c>
      <c r="I125" s="154">
        <f>pvar!L653+pvar!L732</f>
        <v>220.86063268557075</v>
      </c>
      <c r="J125" s="154">
        <f>pvar!M653+pvar!M732</f>
        <v>0</v>
      </c>
      <c r="K125" s="154">
        <f>pvar!N653+pvar!N732</f>
        <v>0</v>
      </c>
      <c r="L125" s="154">
        <f>pvar!O653+pvar!O732</f>
        <v>0</v>
      </c>
      <c r="M125" s="154">
        <f>pvar!P653+pvar!P732</f>
        <v>596.90050620959573</v>
      </c>
      <c r="N125" s="154">
        <f>pvar!Q653+pvar!Q732</f>
        <v>0</v>
      </c>
      <c r="O125" s="154">
        <f>pvar!R653+pvar!R732</f>
        <v>180.64239421972056</v>
      </c>
      <c r="P125" s="154">
        <f>pvar!S653+pvar!S732</f>
        <v>241.98540844445438</v>
      </c>
      <c r="Q125" s="154">
        <f>pvar!T653+pvar!T732</f>
        <v>463.68328779453117</v>
      </c>
      <c r="R125" s="154">
        <f>pvar!U653+pvar!U732</f>
        <v>0</v>
      </c>
      <c r="S125" s="154">
        <f>pvar!V653+pvar!V732</f>
        <v>1724.9981922915549</v>
      </c>
      <c r="T125" s="154">
        <f>pvar!W653+pvar!W732</f>
        <v>329.24917872187541</v>
      </c>
      <c r="U125" s="154">
        <f>pvar!X653+pvar!X732</f>
        <v>179.06823122431982</v>
      </c>
      <c r="V125" s="154">
        <f>pvar!Y653+pvar!Y732</f>
        <v>219.74368340968977</v>
      </c>
      <c r="W125" s="154">
        <f>pvar!Z653+pvar!Z732</f>
        <v>137.17388648641077</v>
      </c>
      <c r="X125" s="154">
        <f>pvar!AA653+pvar!AA732</f>
        <v>212.69188127699047</v>
      </c>
      <c r="Y125" s="154">
        <f>pvar!AB653+pvar!AB732</f>
        <v>313.24856261146539</v>
      </c>
      <c r="Z125" s="154">
        <f>pvar!AC653+pvar!AC732</f>
        <v>358.59981818435091</v>
      </c>
      <c r="AA125" s="154">
        <f>pvar!AD653+pvar!AD732</f>
        <v>0</v>
      </c>
      <c r="AB125" s="154">
        <f>pvar!AE653+pvar!AE732</f>
        <v>245.17825338644184</v>
      </c>
      <c r="AC125" s="154">
        <f>pvar!AF653+pvar!AF732</f>
        <v>0</v>
      </c>
      <c r="AD125" s="154">
        <f>pvar!AG653+pvar!AG732</f>
        <v>214.94186810244503</v>
      </c>
      <c r="AE125" s="154">
        <f>pvar!AH653+pvar!AH732</f>
        <v>448.65242483899164</v>
      </c>
      <c r="AF125" s="154">
        <f>pvar!AI653+pvar!AI732</f>
        <v>0</v>
      </c>
      <c r="AG125" s="154">
        <f>pvar!AJ653+pvar!AJ732</f>
        <v>0</v>
      </c>
      <c r="AH125" s="154">
        <f>pvar!AK653+pvar!AK732</f>
        <v>0</v>
      </c>
      <c r="AI125" s="154"/>
      <c r="AJ125" s="236"/>
      <c r="AK125" s="245">
        <f>SUM(C125:AI125)</f>
        <v>6513.6047880585729</v>
      </c>
    </row>
    <row r="126" spans="1:37" x14ac:dyDescent="0.25">
      <c r="A126" s="8" t="s">
        <v>814</v>
      </c>
      <c r="B126" s="8" t="s">
        <v>176</v>
      </c>
      <c r="C126" s="153">
        <f>pvar!F1384</f>
        <v>0</v>
      </c>
      <c r="D126" s="153">
        <f>pvar!G1384</f>
        <v>0</v>
      </c>
      <c r="E126" s="153">
        <f>pvar!H1384</f>
        <v>0</v>
      </c>
      <c r="F126" s="153">
        <f>pvar!I1384</f>
        <v>0</v>
      </c>
      <c r="G126" s="153">
        <f>pvar!J1384</f>
        <v>550.20142080933022</v>
      </c>
      <c r="H126" s="153">
        <f>pvar!K1384</f>
        <v>237.64967290208432</v>
      </c>
      <c r="I126" s="153">
        <f>pvar!L1384</f>
        <v>227.08870329968343</v>
      </c>
      <c r="J126" s="153">
        <f>pvar!M1384</f>
        <v>0</v>
      </c>
      <c r="K126" s="153">
        <f>pvar!N1384</f>
        <v>0</v>
      </c>
      <c r="L126" s="153">
        <f>pvar!O1384</f>
        <v>0</v>
      </c>
      <c r="M126" s="153">
        <f>pvar!P1384</f>
        <v>891.31911891795153</v>
      </c>
      <c r="N126" s="153">
        <f>pvar!Q1384</f>
        <v>0</v>
      </c>
      <c r="O126" s="153">
        <f>pvar!R1384</f>
        <v>204.280526558453</v>
      </c>
      <c r="P126" s="153">
        <f>pvar!S1384</f>
        <v>355.53994274106009</v>
      </c>
      <c r="Q126" s="153">
        <f>pvar!T1384</f>
        <v>620.80895645799615</v>
      </c>
      <c r="R126" s="153">
        <f>pvar!U1384</f>
        <v>0</v>
      </c>
      <c r="S126" s="153">
        <f>pvar!V1384</f>
        <v>1841.395883059281</v>
      </c>
      <c r="T126" s="153">
        <f>pvar!W1384</f>
        <v>261.69415322166338</v>
      </c>
      <c r="U126" s="153">
        <f>pvar!X1384</f>
        <v>157.53985917654094</v>
      </c>
      <c r="V126" s="153">
        <f>pvar!Y1384</f>
        <v>196.20398502666222</v>
      </c>
      <c r="W126" s="153">
        <f>pvar!Z1384</f>
        <v>289.89278967038655</v>
      </c>
      <c r="X126" s="153">
        <f>pvar!AA1384</f>
        <v>257.20213269624497</v>
      </c>
      <c r="Y126" s="153">
        <f>pvar!AB1384</f>
        <v>321.68505482936843</v>
      </c>
      <c r="Z126" s="153">
        <f>pvar!AC1384</f>
        <v>656.39510496939806</v>
      </c>
      <c r="AA126" s="153">
        <f>pvar!AD1384</f>
        <v>0</v>
      </c>
      <c r="AB126" s="153">
        <f>pvar!AE1384</f>
        <v>327.96520515241559</v>
      </c>
      <c r="AC126" s="153">
        <f>pvar!AF1384</f>
        <v>0</v>
      </c>
      <c r="AD126" s="153">
        <f>pvar!AG1384</f>
        <v>220.94854579204807</v>
      </c>
      <c r="AE126" s="153">
        <f>pvar!AH1384</f>
        <v>368.00529395965691</v>
      </c>
      <c r="AF126" s="153">
        <f>pvar!AI1384</f>
        <v>0</v>
      </c>
      <c r="AG126" s="153">
        <f>pvar!AJ1384</f>
        <v>0</v>
      </c>
      <c r="AH126" s="153">
        <f>pvar!AK1384</f>
        <v>0</v>
      </c>
      <c r="AI126" s="153">
        <f>pvar!AL1384</f>
        <v>0</v>
      </c>
      <c r="AJ126" s="236"/>
      <c r="AK126" s="245">
        <f>SUM(C126:AI126)</f>
        <v>7985.8163492402246</v>
      </c>
    </row>
    <row r="127" spans="1:37" x14ac:dyDescent="0.25">
      <c r="A127" s="8" t="s">
        <v>815</v>
      </c>
      <c r="B127" s="8" t="s">
        <v>176</v>
      </c>
      <c r="C127" s="244">
        <f>SUM(C125:C126)</f>
        <v>0</v>
      </c>
      <c r="D127" s="244">
        <f t="shared" ref="D127:AI127" si="52">SUM(D125:D126)</f>
        <v>6.7988994194955067E-9</v>
      </c>
      <c r="E127" s="244">
        <f t="shared" si="52"/>
        <v>0</v>
      </c>
      <c r="F127" s="244">
        <f t="shared" si="52"/>
        <v>0</v>
      </c>
      <c r="G127" s="244">
        <f t="shared" si="52"/>
        <v>839.28742291934191</v>
      </c>
      <c r="H127" s="244">
        <f t="shared" si="52"/>
        <v>374.55024895543727</v>
      </c>
      <c r="I127" s="244">
        <f t="shared" si="52"/>
        <v>447.94933598525415</v>
      </c>
      <c r="J127" s="244">
        <f t="shared" si="52"/>
        <v>0</v>
      </c>
      <c r="K127" s="244">
        <f t="shared" si="52"/>
        <v>0</v>
      </c>
      <c r="L127" s="244">
        <f t="shared" si="52"/>
        <v>0</v>
      </c>
      <c r="M127" s="244">
        <f t="shared" si="52"/>
        <v>1488.2196251275473</v>
      </c>
      <c r="N127" s="244">
        <f t="shared" si="52"/>
        <v>0</v>
      </c>
      <c r="O127" s="244">
        <f t="shared" si="52"/>
        <v>384.92292077817353</v>
      </c>
      <c r="P127" s="244">
        <f t="shared" si="52"/>
        <v>597.52535118551441</v>
      </c>
      <c r="Q127" s="244">
        <f t="shared" si="52"/>
        <v>1084.4922442525274</v>
      </c>
      <c r="R127" s="244">
        <f t="shared" si="52"/>
        <v>0</v>
      </c>
      <c r="S127" s="244">
        <f t="shared" si="52"/>
        <v>3566.3940753508359</v>
      </c>
      <c r="T127" s="244">
        <f t="shared" si="52"/>
        <v>590.94333194353885</v>
      </c>
      <c r="U127" s="244">
        <f t="shared" si="52"/>
        <v>336.60809040086076</v>
      </c>
      <c r="V127" s="244">
        <f t="shared" si="52"/>
        <v>415.94766843635199</v>
      </c>
      <c r="W127" s="244">
        <f t="shared" si="52"/>
        <v>427.06667615679731</v>
      </c>
      <c r="X127" s="244">
        <f t="shared" si="52"/>
        <v>469.89401397323547</v>
      </c>
      <c r="Y127" s="244">
        <f t="shared" si="52"/>
        <v>634.93361744083381</v>
      </c>
      <c r="Z127" s="244">
        <f t="shared" si="52"/>
        <v>1014.9949231537489</v>
      </c>
      <c r="AA127" s="244">
        <f t="shared" si="52"/>
        <v>0</v>
      </c>
      <c r="AB127" s="244">
        <f t="shared" si="52"/>
        <v>573.14345853885743</v>
      </c>
      <c r="AC127" s="244">
        <f t="shared" si="52"/>
        <v>0</v>
      </c>
      <c r="AD127" s="244">
        <f t="shared" si="52"/>
        <v>435.89041389449312</v>
      </c>
      <c r="AE127" s="244">
        <f t="shared" si="52"/>
        <v>816.6577187986486</v>
      </c>
      <c r="AF127" s="244">
        <f t="shared" si="52"/>
        <v>0</v>
      </c>
      <c r="AG127" s="244">
        <f t="shared" si="52"/>
        <v>0</v>
      </c>
      <c r="AH127" s="244">
        <f t="shared" si="52"/>
        <v>0</v>
      </c>
      <c r="AI127" s="244">
        <f t="shared" si="52"/>
        <v>0</v>
      </c>
      <c r="AJ127" s="236"/>
      <c r="AK127" s="245">
        <f>SUM(C127:AI127)</f>
        <v>14499.421137298799</v>
      </c>
    </row>
    <row r="128" spans="1:37" x14ac:dyDescent="0.25">
      <c r="A128" s="236"/>
      <c r="B128" s="8" t="s">
        <v>804</v>
      </c>
      <c r="C128" s="249"/>
      <c r="D128" s="249"/>
      <c r="E128" s="249"/>
      <c r="F128" s="249"/>
      <c r="G128" s="249">
        <f>G127/G18*1000</f>
        <v>4.5608819026591032</v>
      </c>
      <c r="H128" s="249">
        <f>H127/H18*1000</f>
        <v>5.781611769555969</v>
      </c>
      <c r="I128" s="249">
        <f>I127/I18*1000</f>
        <v>3.6965359607313188</v>
      </c>
      <c r="J128" s="249"/>
      <c r="K128" s="249"/>
      <c r="L128" s="249"/>
      <c r="M128" s="249">
        <f>M127/M18*1000</f>
        <v>3.771912619290736</v>
      </c>
      <c r="N128" s="249"/>
      <c r="O128" s="249">
        <f>O127/O18*1000</f>
        <v>2.4644810256777014</v>
      </c>
      <c r="P128" s="249">
        <f>P127/P18*1000</f>
        <v>3.4346334269696341</v>
      </c>
      <c r="Q128" s="249">
        <f>Q127/Q18*1000</f>
        <v>3.0869779458577558</v>
      </c>
      <c r="R128" s="249"/>
      <c r="S128" s="249">
        <f t="shared" ref="S128:Z128" si="53">S127/S18*1000</f>
        <v>2.4001789886085994</v>
      </c>
      <c r="T128" s="249">
        <f t="shared" si="53"/>
        <v>1.794915600841825</v>
      </c>
      <c r="U128" s="249">
        <f t="shared" si="53"/>
        <v>1.4900062597123225</v>
      </c>
      <c r="V128" s="249">
        <f t="shared" si="53"/>
        <v>2.2870264582650841</v>
      </c>
      <c r="W128" s="249">
        <f t="shared" si="53"/>
        <v>1.6464561326174461</v>
      </c>
      <c r="X128" s="249">
        <f t="shared" si="53"/>
        <v>1.7799807920059143</v>
      </c>
      <c r="Y128" s="249">
        <f t="shared" si="53"/>
        <v>1.547577518163004</v>
      </c>
      <c r="Z128" s="249">
        <f t="shared" si="53"/>
        <v>2.7868057589781023</v>
      </c>
      <c r="AA128" s="249"/>
      <c r="AB128" s="249">
        <f>AB127/AB18*1000</f>
        <v>1.9256432355503352</v>
      </c>
      <c r="AC128" s="249"/>
      <c r="AD128" s="249">
        <f>AD127/AD18*1000</f>
        <v>1.9531423389303233</v>
      </c>
      <c r="AE128" s="249">
        <f>AE127/AE18*1000</f>
        <v>1.9650857197189355</v>
      </c>
      <c r="AF128" s="249">
        <v>0</v>
      </c>
      <c r="AG128" s="249">
        <v>0</v>
      </c>
      <c r="AH128" s="249">
        <v>0</v>
      </c>
      <c r="AI128" s="249">
        <v>0</v>
      </c>
      <c r="AJ128" s="249"/>
      <c r="AK128" s="254">
        <f>AK127/AK18*1000</f>
        <v>2.4562105104742447</v>
      </c>
    </row>
    <row r="129" spans="1:37" x14ac:dyDescent="0.25">
      <c r="A129" s="236"/>
      <c r="B129" s="8"/>
      <c r="C129" s="249"/>
      <c r="D129" s="249"/>
      <c r="E129" s="249"/>
      <c r="F129" s="249"/>
      <c r="G129" s="249"/>
      <c r="H129" s="249"/>
      <c r="I129" s="249"/>
      <c r="J129" s="249"/>
      <c r="K129" s="249"/>
      <c r="L129" s="249"/>
      <c r="M129" s="249"/>
      <c r="N129" s="249"/>
      <c r="O129" s="249"/>
      <c r="P129" s="249"/>
      <c r="Q129" s="249"/>
      <c r="R129" s="249"/>
      <c r="S129" s="249"/>
      <c r="T129" s="249"/>
      <c r="U129" s="249"/>
      <c r="V129" s="249"/>
      <c r="W129" s="249"/>
      <c r="X129" s="249"/>
      <c r="Y129" s="249"/>
      <c r="Z129" s="249"/>
      <c r="AA129" s="249"/>
      <c r="AB129" s="249"/>
      <c r="AC129" s="249"/>
      <c r="AD129" s="249"/>
      <c r="AE129" s="249"/>
      <c r="AF129" s="249"/>
      <c r="AG129" s="249"/>
      <c r="AH129" s="249"/>
      <c r="AI129" s="249"/>
      <c r="AJ129" s="236"/>
      <c r="AK129" s="245"/>
    </row>
    <row r="130" spans="1:37" x14ac:dyDescent="0.25">
      <c r="A130" s="246" t="s">
        <v>816</v>
      </c>
      <c r="B130" s="8"/>
      <c r="C130" s="249"/>
      <c r="D130" s="249"/>
      <c r="E130" s="249"/>
      <c r="F130" s="249"/>
      <c r="G130" s="249"/>
      <c r="H130" s="249"/>
      <c r="I130" s="249"/>
      <c r="J130" s="249"/>
      <c r="K130" s="249"/>
      <c r="L130" s="249"/>
      <c r="M130" s="249"/>
      <c r="N130" s="249"/>
      <c r="O130" s="249"/>
      <c r="P130" s="249"/>
      <c r="Q130" s="249"/>
      <c r="R130" s="249"/>
      <c r="S130" s="249"/>
      <c r="T130" s="249"/>
      <c r="U130" s="249"/>
      <c r="V130" s="249"/>
      <c r="W130" s="249"/>
      <c r="X130" s="249"/>
      <c r="Y130" s="249"/>
      <c r="Z130" s="249"/>
      <c r="AA130" s="249"/>
      <c r="AB130" s="249"/>
      <c r="AC130" s="249"/>
      <c r="AD130" s="249"/>
      <c r="AE130" s="249"/>
      <c r="AF130" s="249"/>
      <c r="AG130" s="249"/>
      <c r="AH130" s="249"/>
      <c r="AI130" s="249"/>
      <c r="AJ130" s="236"/>
      <c r="AK130" s="245"/>
    </row>
    <row r="131" spans="1:37" x14ac:dyDescent="0.25">
      <c r="A131" s="8" t="s">
        <v>817</v>
      </c>
      <c r="B131" s="8" t="s">
        <v>83</v>
      </c>
      <c r="C131" s="249">
        <f>pvar!F882</f>
        <v>0</v>
      </c>
      <c r="D131" s="249">
        <f>pvar!G882</f>
        <v>2.5450743642586006E-9</v>
      </c>
      <c r="E131" s="249">
        <f>pvar!H882</f>
        <v>0</v>
      </c>
      <c r="F131" s="249">
        <f>pvar!I882</f>
        <v>0</v>
      </c>
      <c r="G131" s="249">
        <f>pvar!J882</f>
        <v>94.672571626524075</v>
      </c>
      <c r="H131" s="249">
        <f>pvar!K882</f>
        <v>44.355067142666897</v>
      </c>
      <c r="I131" s="249">
        <f>pvar!L882</f>
        <v>74.085568810383506</v>
      </c>
      <c r="J131" s="249">
        <f>pvar!M882</f>
        <v>0</v>
      </c>
      <c r="K131" s="249">
        <f>pvar!N882</f>
        <v>0</v>
      </c>
      <c r="L131" s="249">
        <f>pvar!O882</f>
        <v>0</v>
      </c>
      <c r="M131" s="249">
        <f>pvar!P882</f>
        <v>194.06326708515121</v>
      </c>
      <c r="N131" s="249">
        <f>pvar!Q882</f>
        <v>0</v>
      </c>
      <c r="O131" s="249">
        <f>pvar!R882</f>
        <v>62.215740413324653</v>
      </c>
      <c r="P131" s="249">
        <f>pvar!S882</f>
        <v>79.550505038104873</v>
      </c>
      <c r="Q131" s="249">
        <f>pvar!T882</f>
        <v>158.05027230738756</v>
      </c>
      <c r="R131" s="249">
        <f>pvar!U882</f>
        <v>0</v>
      </c>
      <c r="S131" s="249">
        <f>pvar!V882</f>
        <v>569.92021656226416</v>
      </c>
      <c r="T131" s="249">
        <f>pvar!W882</f>
        <v>110.35868704429825</v>
      </c>
      <c r="U131" s="249">
        <f>pvar!X882</f>
        <v>60.649329237339288</v>
      </c>
      <c r="V131" s="249">
        <f>pvar!Y882</f>
        <v>73.662794041244638</v>
      </c>
      <c r="W131" s="249">
        <f>pvar!Z882</f>
        <v>43.918717678362711</v>
      </c>
      <c r="X131" s="249">
        <f>pvar!AA882</f>
        <v>71.522340212937237</v>
      </c>
      <c r="Y131" s="249">
        <f>pvar!AB882</f>
        <v>105.99703190684176</v>
      </c>
      <c r="Z131" s="249">
        <f>pvar!AC882</f>
        <v>117.19131915550261</v>
      </c>
      <c r="AA131" s="249">
        <f>pvar!AD882</f>
        <v>0</v>
      </c>
      <c r="AB131" s="249">
        <f>pvar!AE882</f>
        <v>82.967962620890631</v>
      </c>
      <c r="AC131" s="249">
        <f>pvar!AF882</f>
        <v>0</v>
      </c>
      <c r="AD131" s="249">
        <f>pvar!AG882</f>
        <v>71.508415857126451</v>
      </c>
      <c r="AE131" s="249">
        <f>pvar!AH882</f>
        <v>151.66582697912318</v>
      </c>
      <c r="AF131" s="249">
        <f>pvar!AI882</f>
        <v>0</v>
      </c>
      <c r="AG131" s="249">
        <f>pvar!AJ882</f>
        <v>0</v>
      </c>
      <c r="AH131" s="249">
        <f>pvar!AK882</f>
        <v>0</v>
      </c>
      <c r="AI131" s="249">
        <f>pvar!AL882</f>
        <v>0</v>
      </c>
      <c r="AJ131" s="236"/>
      <c r="AK131" s="245">
        <f>SUM(C131:AJ131)</f>
        <v>2166.3556337220189</v>
      </c>
    </row>
    <row r="132" spans="1:37" x14ac:dyDescent="0.25">
      <c r="A132" s="8" t="s">
        <v>818</v>
      </c>
      <c r="B132" s="8" t="s">
        <v>83</v>
      </c>
      <c r="C132" s="249">
        <f>pvar!F1402</f>
        <v>0</v>
      </c>
      <c r="D132" s="249">
        <f>pvar!G1402</f>
        <v>0</v>
      </c>
      <c r="E132" s="249">
        <f>pvar!H1402</f>
        <v>0</v>
      </c>
      <c r="F132" s="249">
        <f>pvar!I1402</f>
        <v>0</v>
      </c>
      <c r="G132" s="249">
        <f>pvar!J1402</f>
        <v>143.05236941042585</v>
      </c>
      <c r="H132" s="249">
        <f>pvar!K1402</f>
        <v>61.78891495454193</v>
      </c>
      <c r="I132" s="249">
        <f>pvar!L1402</f>
        <v>59.04306285791769</v>
      </c>
      <c r="J132" s="249">
        <f>pvar!M1402</f>
        <v>0</v>
      </c>
      <c r="K132" s="249">
        <f>pvar!N1402</f>
        <v>0</v>
      </c>
      <c r="L132" s="249">
        <f>pvar!O1402</f>
        <v>0</v>
      </c>
      <c r="M132" s="249">
        <f>pvar!P1402</f>
        <v>231.7429709186674</v>
      </c>
      <c r="N132" s="249">
        <f>pvar!Q1402</f>
        <v>0</v>
      </c>
      <c r="O132" s="249">
        <f>pvar!R1402</f>
        <v>53.112936905197785</v>
      </c>
      <c r="P132" s="249">
        <f>pvar!S1402</f>
        <v>92.440385112675614</v>
      </c>
      <c r="Q132" s="249">
        <f>pvar!T1402</f>
        <v>161.41032867907902</v>
      </c>
      <c r="R132" s="249">
        <f>pvar!U1402</f>
        <v>0</v>
      </c>
      <c r="S132" s="249">
        <f>pvar!V1402</f>
        <v>478.76292959541314</v>
      </c>
      <c r="T132" s="249">
        <f>pvar!W1402</f>
        <v>68.040479837632503</v>
      </c>
      <c r="U132" s="249">
        <f>pvar!X1402</f>
        <v>40.960363385900642</v>
      </c>
      <c r="V132" s="249">
        <f>pvar!Y1402</f>
        <v>51.013036106932176</v>
      </c>
      <c r="W132" s="249">
        <f>pvar!Z1402</f>
        <v>75.37212531430049</v>
      </c>
      <c r="X132" s="249">
        <f>pvar!AA1402</f>
        <v>66.8725545010237</v>
      </c>
      <c r="Y132" s="249">
        <f>pvar!AB1402</f>
        <v>83.638114255635784</v>
      </c>
      <c r="Z132" s="249">
        <f>pvar!AC1402</f>
        <v>170.66272729204348</v>
      </c>
      <c r="AA132" s="249">
        <f>pvar!AD1402</f>
        <v>0</v>
      </c>
      <c r="AB132" s="249">
        <f>pvar!AE1402</f>
        <v>85.270953339628065</v>
      </c>
      <c r="AC132" s="249">
        <f>pvar!AF1402</f>
        <v>0</v>
      </c>
      <c r="AD132" s="249">
        <f>pvar!AG1402</f>
        <v>57.446621905932503</v>
      </c>
      <c r="AE132" s="249">
        <f>pvar!AH1402</f>
        <v>95.681376429510806</v>
      </c>
      <c r="AF132" s="249">
        <f>pvar!AI1402</f>
        <v>0</v>
      </c>
      <c r="AG132" s="249">
        <f>pvar!AJ1402</f>
        <v>0</v>
      </c>
      <c r="AH132" s="249">
        <f>pvar!AK1402</f>
        <v>0</v>
      </c>
      <c r="AI132" s="249">
        <f>pvar!AL1402</f>
        <v>0</v>
      </c>
      <c r="AJ132" s="244"/>
      <c r="AK132" s="245">
        <f>SUM(C132:AJ132)</f>
        <v>2076.3122508024585</v>
      </c>
    </row>
    <row r="133" spans="1:37" x14ac:dyDescent="0.25">
      <c r="A133" s="236" t="s">
        <v>819</v>
      </c>
      <c r="B133" s="8" t="s">
        <v>83</v>
      </c>
      <c r="C133" s="244">
        <f>C131+C132</f>
        <v>0</v>
      </c>
      <c r="D133" s="244">
        <f t="shared" ref="D133:AI133" si="54">D131+D132</f>
        <v>2.5450743642586006E-9</v>
      </c>
      <c r="E133" s="244">
        <f t="shared" si="54"/>
        <v>0</v>
      </c>
      <c r="F133" s="244">
        <f t="shared" si="54"/>
        <v>0</v>
      </c>
      <c r="G133" s="244">
        <f t="shared" si="54"/>
        <v>237.72494103694993</v>
      </c>
      <c r="H133" s="244">
        <f t="shared" si="54"/>
        <v>106.14398209720883</v>
      </c>
      <c r="I133" s="244">
        <f t="shared" si="54"/>
        <v>133.12863166830118</v>
      </c>
      <c r="J133" s="244">
        <f t="shared" si="54"/>
        <v>0</v>
      </c>
      <c r="K133" s="244">
        <f t="shared" si="54"/>
        <v>0</v>
      </c>
      <c r="L133" s="244">
        <f t="shared" si="54"/>
        <v>0</v>
      </c>
      <c r="M133" s="244">
        <f t="shared" si="54"/>
        <v>425.80623800381863</v>
      </c>
      <c r="N133" s="244">
        <f t="shared" si="54"/>
        <v>0</v>
      </c>
      <c r="O133" s="244">
        <f t="shared" si="54"/>
        <v>115.32867731852244</v>
      </c>
      <c r="P133" s="244">
        <f t="shared" si="54"/>
        <v>171.9908901507805</v>
      </c>
      <c r="Q133" s="244">
        <f t="shared" si="54"/>
        <v>319.4606009864666</v>
      </c>
      <c r="R133" s="244">
        <f t="shared" si="54"/>
        <v>0</v>
      </c>
      <c r="S133" s="244">
        <f t="shared" si="54"/>
        <v>1048.6831461576774</v>
      </c>
      <c r="T133" s="244">
        <f t="shared" si="54"/>
        <v>178.39916688193074</v>
      </c>
      <c r="U133" s="244">
        <f t="shared" si="54"/>
        <v>101.60969262323994</v>
      </c>
      <c r="V133" s="244">
        <f t="shared" si="54"/>
        <v>124.67583014817681</v>
      </c>
      <c r="W133" s="244">
        <f t="shared" si="54"/>
        <v>119.2908429926632</v>
      </c>
      <c r="X133" s="244">
        <f t="shared" si="54"/>
        <v>138.39489471396092</v>
      </c>
      <c r="Y133" s="244">
        <f t="shared" si="54"/>
        <v>189.63514616247755</v>
      </c>
      <c r="Z133" s="244">
        <f t="shared" si="54"/>
        <v>287.85404644754612</v>
      </c>
      <c r="AA133" s="244">
        <f t="shared" si="54"/>
        <v>0</v>
      </c>
      <c r="AB133" s="244">
        <f t="shared" si="54"/>
        <v>168.23891596051868</v>
      </c>
      <c r="AC133" s="244">
        <f t="shared" si="54"/>
        <v>0</v>
      </c>
      <c r="AD133" s="244">
        <f t="shared" si="54"/>
        <v>128.95503776305895</v>
      </c>
      <c r="AE133" s="244">
        <f t="shared" si="54"/>
        <v>247.34720340863399</v>
      </c>
      <c r="AF133" s="244">
        <f t="shared" si="54"/>
        <v>0</v>
      </c>
      <c r="AG133" s="244">
        <f t="shared" si="54"/>
        <v>0</v>
      </c>
      <c r="AH133" s="244">
        <f t="shared" si="54"/>
        <v>0</v>
      </c>
      <c r="AI133" s="244">
        <f t="shared" si="54"/>
        <v>0</v>
      </c>
      <c r="AJ133" s="260"/>
      <c r="AK133" s="245">
        <f>SUM(C133:AJ133)</f>
        <v>4242.6678845244787</v>
      </c>
    </row>
    <row r="134" spans="1:37" x14ac:dyDescent="0.25">
      <c r="A134" s="236"/>
      <c r="B134" s="8" t="s">
        <v>809</v>
      </c>
      <c r="C134" s="249"/>
      <c r="D134" s="249"/>
      <c r="E134" s="249"/>
      <c r="F134" s="249"/>
      <c r="G134" s="249">
        <f>G133*1000/G18</f>
        <v>1.2918522925254481</v>
      </c>
      <c r="H134" s="249">
        <f>H133*1000/H18</f>
        <v>1.6384538466393455</v>
      </c>
      <c r="I134" s="249">
        <f>I133*1000/I18</f>
        <v>1.0985947178210111</v>
      </c>
      <c r="J134" s="249"/>
      <c r="K134" s="249"/>
      <c r="L134" s="249"/>
      <c r="M134" s="249">
        <f>M133*1000/M18</f>
        <v>1.0792116266855891</v>
      </c>
      <c r="N134" s="249"/>
      <c r="O134" s="249">
        <f>O133*1000/O18</f>
        <v>0.73839545952058416</v>
      </c>
      <c r="P134" s="249">
        <f>P133*1000/P18</f>
        <v>0.98862024728174214</v>
      </c>
      <c r="Q134" s="249">
        <f>Q133*1000/Q18</f>
        <v>0.90933599114430796</v>
      </c>
      <c r="R134" s="249"/>
      <c r="S134" s="249">
        <f t="shared" ref="S134:Z134" si="55">S133*1000/S18</f>
        <v>0.70576251528457656</v>
      </c>
      <c r="T134" s="249">
        <f t="shared" si="55"/>
        <v>0.54186489719822417</v>
      </c>
      <c r="U134" s="249">
        <f t="shared" si="55"/>
        <v>0.44977848831789508</v>
      </c>
      <c r="V134" s="249">
        <f t="shared" si="55"/>
        <v>0.68551152919534974</v>
      </c>
      <c r="W134" s="249">
        <f t="shared" si="55"/>
        <v>0.4598980697296654</v>
      </c>
      <c r="X134" s="249">
        <f t="shared" si="55"/>
        <v>0.52424641935652005</v>
      </c>
      <c r="Y134" s="249">
        <f t="shared" si="55"/>
        <v>0.46221381384322902</v>
      </c>
      <c r="Z134" s="249">
        <f t="shared" si="55"/>
        <v>0.79034219392214378</v>
      </c>
      <c r="AA134" s="249"/>
      <c r="AB134" s="249">
        <f>AB133*1000/AB18</f>
        <v>0.56524788977196372</v>
      </c>
      <c r="AC134" s="249"/>
      <c r="AD134" s="249">
        <f>AD133*1000/AD18</f>
        <v>0.57782308590606779</v>
      </c>
      <c r="AE134" s="249">
        <f>AE133*1000/AE18</f>
        <v>0.59518014223356885</v>
      </c>
      <c r="AF134" s="249">
        <v>0</v>
      </c>
      <c r="AG134" s="249">
        <v>0</v>
      </c>
      <c r="AH134" s="249">
        <v>0</v>
      </c>
      <c r="AI134" s="249">
        <v>0</v>
      </c>
      <c r="AJ134" s="249"/>
      <c r="AK134" s="254">
        <f>AK133*1000/AK18</f>
        <v>0.71871044724768474</v>
      </c>
    </row>
    <row r="135" spans="1:37" x14ac:dyDescent="0.25">
      <c r="A135" s="236"/>
      <c r="B135" s="236"/>
      <c r="C135" s="265"/>
      <c r="D135" s="236"/>
      <c r="E135" s="236"/>
      <c r="F135" s="236"/>
      <c r="G135" s="236"/>
      <c r="H135" s="236"/>
      <c r="I135" s="236"/>
      <c r="J135" s="236"/>
      <c r="K135" s="236"/>
      <c r="L135" s="236"/>
      <c r="M135" s="236"/>
      <c r="N135" s="236"/>
      <c r="O135" s="236"/>
      <c r="P135" s="236"/>
      <c r="Q135" s="236"/>
      <c r="R135" s="236"/>
      <c r="S135" s="236"/>
      <c r="T135" s="236"/>
      <c r="U135" s="236"/>
      <c r="V135" s="236"/>
      <c r="W135" s="236"/>
      <c r="X135" s="236"/>
      <c r="Y135" s="236"/>
      <c r="Z135" s="236"/>
      <c r="AA135" s="236"/>
      <c r="AB135" s="236"/>
      <c r="AC135" s="236"/>
      <c r="AD135" s="236"/>
      <c r="AE135" s="236"/>
      <c r="AF135" s="236"/>
      <c r="AG135" s="236"/>
      <c r="AH135" s="236"/>
      <c r="AI135" s="236"/>
      <c r="AJ135" s="236"/>
      <c r="AK135" s="245"/>
    </row>
    <row r="136" spans="1:37" x14ac:dyDescent="0.25">
      <c r="A136" s="8" t="s">
        <v>820</v>
      </c>
      <c r="B136" s="8" t="s">
        <v>83</v>
      </c>
      <c r="C136" s="244">
        <f>C106+C123</f>
        <v>2092.5335189031211</v>
      </c>
      <c r="D136" s="244">
        <f t="shared" ref="D136:AI136" si="56">D106+D123</f>
        <v>1432.8790052374331</v>
      </c>
      <c r="E136" s="244">
        <f t="shared" si="56"/>
        <v>982.81049354460299</v>
      </c>
      <c r="F136" s="244">
        <f t="shared" si="56"/>
        <v>5578.1344212683225</v>
      </c>
      <c r="G136" s="244">
        <f t="shared" si="56"/>
        <v>3144.4411871158172</v>
      </c>
      <c r="H136" s="244">
        <f t="shared" si="56"/>
        <v>1209.8451367112557</v>
      </c>
      <c r="I136" s="244">
        <f t="shared" si="56"/>
        <v>1664.3538442942659</v>
      </c>
      <c r="J136" s="244">
        <f t="shared" si="56"/>
        <v>3421.6870315989322</v>
      </c>
      <c r="K136" s="244">
        <f t="shared" si="56"/>
        <v>4091.6971031683511</v>
      </c>
      <c r="L136" s="244">
        <f t="shared" si="56"/>
        <v>1851.5676846357399</v>
      </c>
      <c r="M136" s="244">
        <f t="shared" si="56"/>
        <v>3903.7827827958004</v>
      </c>
      <c r="N136" s="244">
        <f t="shared" si="56"/>
        <v>1211.1433234236956</v>
      </c>
      <c r="O136" s="244">
        <f t="shared" si="56"/>
        <v>4535.0828441220438</v>
      </c>
      <c r="P136" s="244">
        <f t="shared" si="56"/>
        <v>3492.9190667745625</v>
      </c>
      <c r="Q136" s="244">
        <f t="shared" si="56"/>
        <v>6723.7442974264959</v>
      </c>
      <c r="R136" s="244">
        <f t="shared" si="56"/>
        <v>6433.6381726639938</v>
      </c>
      <c r="S136" s="244">
        <f t="shared" si="56"/>
        <v>9333.077613839203</v>
      </c>
      <c r="T136" s="244">
        <f t="shared" si="56"/>
        <v>1261.600980435685</v>
      </c>
      <c r="U136" s="244">
        <f t="shared" si="56"/>
        <v>528.52105310252432</v>
      </c>
      <c r="V136" s="244">
        <f t="shared" si="56"/>
        <v>1137.3669751149691</v>
      </c>
      <c r="W136" s="244">
        <f t="shared" si="56"/>
        <v>897.40454485862597</v>
      </c>
      <c r="X136" s="244">
        <f t="shared" si="56"/>
        <v>1282.1325660795333</v>
      </c>
      <c r="Y136" s="244">
        <f t="shared" si="56"/>
        <v>1679.471786267824</v>
      </c>
      <c r="Z136" s="244">
        <f t="shared" si="56"/>
        <v>6620.2140888608528</v>
      </c>
      <c r="AA136" s="244">
        <f t="shared" si="56"/>
        <v>254.10884665013302</v>
      </c>
      <c r="AB136" s="244">
        <f t="shared" si="56"/>
        <v>2214.1712395655668</v>
      </c>
      <c r="AC136" s="244">
        <f t="shared" si="56"/>
        <v>433.25539733140511</v>
      </c>
      <c r="AD136" s="244">
        <f t="shared" si="56"/>
        <v>1546.8002241241093</v>
      </c>
      <c r="AE136" s="244">
        <f t="shared" si="56"/>
        <v>1592.1097959097851</v>
      </c>
      <c r="AF136" s="244">
        <f t="shared" si="56"/>
        <v>239.79549351691617</v>
      </c>
      <c r="AG136" s="244">
        <f t="shared" si="56"/>
        <v>761.10231019992693</v>
      </c>
      <c r="AH136" s="244">
        <f t="shared" si="56"/>
        <v>239.72413390531452</v>
      </c>
      <c r="AI136" s="244">
        <f t="shared" si="56"/>
        <v>159.82083779406548</v>
      </c>
      <c r="AJ136" s="236"/>
      <c r="AK136" s="245">
        <f>SUM(C136:AI136)</f>
        <v>81950.937801240871</v>
      </c>
    </row>
    <row r="137" spans="1:37" x14ac:dyDescent="0.25">
      <c r="A137" s="8" t="s">
        <v>821</v>
      </c>
      <c r="B137" s="8" t="s">
        <v>83</v>
      </c>
      <c r="C137" s="244">
        <f>C133+C117</f>
        <v>688.62602411989337</v>
      </c>
      <c r="D137" s="244">
        <f t="shared" ref="D137:AI137" si="57">D133+D117</f>
        <v>437.45450540769593</v>
      </c>
      <c r="E137" s="244">
        <f t="shared" si="57"/>
        <v>417.51222473178791</v>
      </c>
      <c r="F137" s="244">
        <f t="shared" si="57"/>
        <v>1362.409116982253</v>
      </c>
      <c r="G137" s="244">
        <f t="shared" si="57"/>
        <v>966.3291517355899</v>
      </c>
      <c r="H137" s="244">
        <f t="shared" si="57"/>
        <v>474.2357981939935</v>
      </c>
      <c r="I137" s="244">
        <f t="shared" si="57"/>
        <v>497.57114334708672</v>
      </c>
      <c r="J137" s="244">
        <f t="shared" si="57"/>
        <v>715.01904756062743</v>
      </c>
      <c r="K137" s="244">
        <f t="shared" si="57"/>
        <v>1248.3298750761815</v>
      </c>
      <c r="L137" s="244">
        <f t="shared" si="57"/>
        <v>581.54910609670833</v>
      </c>
      <c r="M137" s="244">
        <f t="shared" si="57"/>
        <v>1611.7515530155451</v>
      </c>
      <c r="N137" s="244">
        <f t="shared" si="57"/>
        <v>363.5416837014937</v>
      </c>
      <c r="O137" s="244">
        <f t="shared" si="57"/>
        <v>1529.9021994394554</v>
      </c>
      <c r="P137" s="244">
        <f t="shared" si="57"/>
        <v>1411.8147465935735</v>
      </c>
      <c r="Q137" s="244">
        <f t="shared" si="57"/>
        <v>2550.4054794129083</v>
      </c>
      <c r="R137" s="244">
        <f t="shared" si="57"/>
        <v>1958.7927278439595</v>
      </c>
      <c r="S137" s="244">
        <f t="shared" si="57"/>
        <v>3140.1996021625655</v>
      </c>
      <c r="T137" s="244">
        <f t="shared" si="57"/>
        <v>454.60302722373802</v>
      </c>
      <c r="U137" s="244">
        <f t="shared" si="57"/>
        <v>208.5074364888697</v>
      </c>
      <c r="V137" s="244">
        <f t="shared" si="57"/>
        <v>417.53929350027624</v>
      </c>
      <c r="W137" s="244">
        <f t="shared" si="57"/>
        <v>360.63381675463404</v>
      </c>
      <c r="X137" s="244">
        <f t="shared" si="57"/>
        <v>550.03391910867845</v>
      </c>
      <c r="Y137" s="244">
        <f t="shared" si="57"/>
        <v>750.82923904379902</v>
      </c>
      <c r="Z137" s="244">
        <f t="shared" si="57"/>
        <v>2714.9783404201762</v>
      </c>
      <c r="AA137" s="244">
        <f t="shared" si="57"/>
        <v>89.702655190651711</v>
      </c>
      <c r="AB137" s="244">
        <f t="shared" si="57"/>
        <v>874.48796833868073</v>
      </c>
      <c r="AC137" s="244">
        <f t="shared" si="57"/>
        <v>169.13547944730064</v>
      </c>
      <c r="AD137" s="244">
        <f t="shared" si="57"/>
        <v>575.78394495773568</v>
      </c>
      <c r="AE137" s="244">
        <f t="shared" si="57"/>
        <v>551.61107911851354</v>
      </c>
      <c r="AF137" s="244">
        <f t="shared" si="57"/>
        <v>79.189871204693844</v>
      </c>
      <c r="AG137" s="244">
        <f t="shared" si="57"/>
        <v>158.6473149041343</v>
      </c>
      <c r="AH137" s="244">
        <f t="shared" si="57"/>
        <v>76.009471402687979</v>
      </c>
      <c r="AI137" s="244">
        <f t="shared" si="57"/>
        <v>34.623159854006133</v>
      </c>
      <c r="AJ137" s="236"/>
      <c r="AK137" s="245">
        <f>SUM(C137:AI137)</f>
        <v>28021.760002379899</v>
      </c>
    </row>
    <row r="138" spans="1:37" x14ac:dyDescent="0.25">
      <c r="A138" s="8"/>
      <c r="B138" s="22" t="s">
        <v>809</v>
      </c>
      <c r="C138" s="249">
        <f t="shared" ref="C138:AI138" si="58">C137*1000/C17</f>
        <v>1.2037713434378459</v>
      </c>
      <c r="D138" s="249">
        <f t="shared" si="58"/>
        <v>1.1116521927142227</v>
      </c>
      <c r="E138" s="249">
        <f t="shared" si="58"/>
        <v>0.91913954657980634</v>
      </c>
      <c r="F138" s="249">
        <f t="shared" si="58"/>
        <v>1.0154951284731302</v>
      </c>
      <c r="G138" s="249">
        <f t="shared" si="58"/>
        <v>1.1552511290422529</v>
      </c>
      <c r="H138" s="249">
        <f t="shared" si="58"/>
        <v>1.167675321288244</v>
      </c>
      <c r="I138" s="249">
        <f t="shared" si="58"/>
        <v>1.0904162181281212</v>
      </c>
      <c r="J138" s="249">
        <f t="shared" si="58"/>
        <v>0.86277630372046055</v>
      </c>
      <c r="K138" s="249">
        <f t="shared" si="58"/>
        <v>0.76344689187812043</v>
      </c>
      <c r="L138" s="249">
        <f t="shared" si="58"/>
        <v>0.76381213848649077</v>
      </c>
      <c r="M138" s="249">
        <f t="shared" si="58"/>
        <v>1.1399392781328588</v>
      </c>
      <c r="N138" s="249">
        <f t="shared" si="58"/>
        <v>1.1498524795969818</v>
      </c>
      <c r="O138" s="249">
        <f t="shared" si="58"/>
        <v>0.9141535086432786</v>
      </c>
      <c r="P138" s="249">
        <f t="shared" si="58"/>
        <v>1.1757152987182724</v>
      </c>
      <c r="Q138" s="249">
        <f t="shared" si="58"/>
        <v>1.1912061606051276</v>
      </c>
      <c r="R138" s="249">
        <f t="shared" si="58"/>
        <v>0.81768730776991438</v>
      </c>
      <c r="S138" s="249">
        <f t="shared" si="58"/>
        <v>1.0690898657117893</v>
      </c>
      <c r="T138" s="249">
        <f t="shared" si="58"/>
        <v>0.99247165533240844</v>
      </c>
      <c r="U138" s="249">
        <f t="shared" si="58"/>
        <v>0.85421514497678397</v>
      </c>
      <c r="V138" s="249">
        <f t="shared" si="58"/>
        <v>1.0937994974672594</v>
      </c>
      <c r="W138" s="249">
        <f t="shared" si="58"/>
        <v>0.90163362823040027</v>
      </c>
      <c r="X138" s="249">
        <f t="shared" si="58"/>
        <v>0.96873995963983905</v>
      </c>
      <c r="Y138" s="249">
        <f t="shared" si="58"/>
        <v>0.95900765673905064</v>
      </c>
      <c r="Z138" s="249">
        <f t="shared" si="58"/>
        <v>1.4293542407453679</v>
      </c>
      <c r="AA138" s="249">
        <f t="shared" si="58"/>
        <v>0.70474128534253555</v>
      </c>
      <c r="AB138" s="249">
        <f t="shared" si="58"/>
        <v>1.3374554881829908</v>
      </c>
      <c r="AC138" s="249">
        <f t="shared" si="58"/>
        <v>0.82447105637223039</v>
      </c>
      <c r="AD138" s="249">
        <f t="shared" si="58"/>
        <v>1.0257227897786896</v>
      </c>
      <c r="AE138" s="249">
        <f t="shared" si="58"/>
        <v>0.93980235164313752</v>
      </c>
      <c r="AF138" s="249">
        <f t="shared" si="58"/>
        <v>0.42798213729151396</v>
      </c>
      <c r="AG138" s="249">
        <f t="shared" si="58"/>
        <v>0.89101814037245708</v>
      </c>
      <c r="AH138" s="249">
        <f t="shared" si="58"/>
        <v>0.37502676061291701</v>
      </c>
      <c r="AI138" s="249">
        <f t="shared" si="58"/>
        <v>0.37445585865218528</v>
      </c>
      <c r="AJ138" s="249"/>
      <c r="AK138" s="254">
        <f>AK137*1000/AK17</f>
        <v>1.026789835638811</v>
      </c>
    </row>
    <row r="139" spans="1:37" x14ac:dyDescent="0.25">
      <c r="A139" s="8"/>
      <c r="B139" s="22"/>
      <c r="C139" s="265"/>
      <c r="D139" s="236"/>
      <c r="E139" s="236"/>
      <c r="F139" s="236"/>
      <c r="G139" s="236"/>
      <c r="H139" s="236"/>
      <c r="I139" s="236"/>
      <c r="J139" s="236"/>
      <c r="K139" s="236"/>
      <c r="L139" s="236"/>
      <c r="M139" s="236"/>
      <c r="N139" s="236"/>
      <c r="O139" s="236"/>
      <c r="P139" s="236"/>
      <c r="Q139" s="236"/>
      <c r="R139" s="236"/>
      <c r="S139" s="236"/>
      <c r="T139" s="236"/>
      <c r="U139" s="236"/>
      <c r="V139" s="236"/>
      <c r="W139" s="236"/>
      <c r="X139" s="236"/>
      <c r="Y139" s="236"/>
      <c r="Z139" s="236"/>
      <c r="AA139" s="236"/>
      <c r="AB139" s="236"/>
      <c r="AC139" s="236"/>
      <c r="AD139" s="236"/>
      <c r="AE139" s="236"/>
      <c r="AF139" s="236"/>
      <c r="AG139" s="236"/>
      <c r="AH139" s="236"/>
      <c r="AI139" s="236"/>
      <c r="AJ139" s="236"/>
      <c r="AK139" s="243"/>
    </row>
    <row r="140" spans="1:37" x14ac:dyDescent="0.25">
      <c r="A140" s="246" t="s">
        <v>790</v>
      </c>
      <c r="B140" s="247"/>
      <c r="C140" s="265"/>
      <c r="D140" s="236"/>
      <c r="E140" s="236"/>
      <c r="F140" s="236"/>
      <c r="G140" s="236"/>
      <c r="H140" s="236"/>
      <c r="I140" s="236"/>
      <c r="J140" s="236"/>
      <c r="K140" s="236"/>
      <c r="L140" s="236"/>
      <c r="M140" s="236"/>
      <c r="N140" s="236"/>
      <c r="O140" s="236"/>
      <c r="P140" s="236"/>
      <c r="Q140" s="236"/>
      <c r="R140" s="236"/>
      <c r="S140" s="236"/>
      <c r="T140" s="236"/>
      <c r="U140" s="236"/>
      <c r="V140" s="236"/>
      <c r="W140" s="236"/>
      <c r="X140" s="236"/>
      <c r="Y140" s="236"/>
      <c r="Z140" s="236"/>
      <c r="AA140" s="236"/>
      <c r="AB140" s="236"/>
      <c r="AC140" s="236"/>
      <c r="AD140" s="236"/>
      <c r="AE140" s="236"/>
      <c r="AF140" s="236"/>
      <c r="AG140" s="236"/>
      <c r="AH140" s="236"/>
      <c r="AI140" s="236"/>
      <c r="AJ140" s="236"/>
      <c r="AK140" s="243"/>
    </row>
    <row r="141" spans="1:37" x14ac:dyDescent="0.25">
      <c r="A141" s="8" t="s">
        <v>822</v>
      </c>
      <c r="B141" s="8" t="s">
        <v>83</v>
      </c>
      <c r="C141" s="244">
        <f>C103</f>
        <v>0</v>
      </c>
      <c r="D141" s="244">
        <f t="shared" ref="D141:AI141" si="59">D103</f>
        <v>0</v>
      </c>
      <c r="E141" s="244">
        <f t="shared" si="59"/>
        <v>0</v>
      </c>
      <c r="F141" s="244">
        <f t="shared" si="59"/>
        <v>0</v>
      </c>
      <c r="G141" s="244">
        <f t="shared" si="59"/>
        <v>1879.0923080024079</v>
      </c>
      <c r="H141" s="244">
        <f t="shared" si="59"/>
        <v>1192.9997780478875</v>
      </c>
      <c r="I141" s="244">
        <f t="shared" si="59"/>
        <v>721.61297212077375</v>
      </c>
      <c r="J141" s="244">
        <f t="shared" si="59"/>
        <v>0</v>
      </c>
      <c r="K141" s="244">
        <f t="shared" si="59"/>
        <v>0</v>
      </c>
      <c r="L141" s="244">
        <f t="shared" si="59"/>
        <v>0</v>
      </c>
      <c r="M141" s="244">
        <f t="shared" si="59"/>
        <v>3305.4784748641509</v>
      </c>
      <c r="N141" s="244">
        <f t="shared" si="59"/>
        <v>0</v>
      </c>
      <c r="O141" s="244">
        <f t="shared" si="59"/>
        <v>6148.2152828793578</v>
      </c>
      <c r="P141" s="244">
        <f t="shared" si="59"/>
        <v>3600.9412857982229</v>
      </c>
      <c r="Q141" s="244">
        <f t="shared" si="59"/>
        <v>6344.2652061313383</v>
      </c>
      <c r="R141" s="244">
        <f t="shared" si="59"/>
        <v>0</v>
      </c>
      <c r="S141" s="244">
        <f t="shared" si="59"/>
        <v>5756.1679022355729</v>
      </c>
      <c r="T141" s="244">
        <f t="shared" si="59"/>
        <v>1197.9324984187701</v>
      </c>
      <c r="U141" s="244">
        <f t="shared" si="59"/>
        <v>779.20597749919807</v>
      </c>
      <c r="V141" s="244">
        <f t="shared" si="59"/>
        <v>876.95262173288302</v>
      </c>
      <c r="W141" s="244">
        <f t="shared" si="59"/>
        <v>952.04368076141827</v>
      </c>
      <c r="X141" s="244">
        <f t="shared" si="59"/>
        <v>1610.5132688565488</v>
      </c>
      <c r="Y141" s="244">
        <f t="shared" si="59"/>
        <v>2473.5007990908998</v>
      </c>
      <c r="Z141" s="244">
        <f t="shared" si="59"/>
        <v>4062.0800225021071</v>
      </c>
      <c r="AA141" s="244">
        <f t="shared" si="59"/>
        <v>0</v>
      </c>
      <c r="AB141" s="244">
        <f t="shared" si="59"/>
        <v>1033.626864292926</v>
      </c>
      <c r="AC141" s="244">
        <f t="shared" si="59"/>
        <v>0</v>
      </c>
      <c r="AD141" s="244">
        <f t="shared" si="59"/>
        <v>1484.1179873994299</v>
      </c>
      <c r="AE141" s="244">
        <f t="shared" si="59"/>
        <v>1392.5080510280984</v>
      </c>
      <c r="AF141" s="244">
        <f t="shared" si="59"/>
        <v>0</v>
      </c>
      <c r="AG141" s="244">
        <f t="shared" si="59"/>
        <v>0</v>
      </c>
      <c r="AH141" s="244">
        <f t="shared" si="59"/>
        <v>0</v>
      </c>
      <c r="AI141" s="244">
        <f t="shared" si="59"/>
        <v>0</v>
      </c>
      <c r="AJ141" s="236"/>
      <c r="AK141" s="245">
        <f>SUM(C141:AI141)</f>
        <v>44811.254981661994</v>
      </c>
    </row>
    <row r="142" spans="1:37" x14ac:dyDescent="0.25">
      <c r="A142" s="8" t="s">
        <v>823</v>
      </c>
      <c r="B142" s="8" t="s">
        <v>83</v>
      </c>
      <c r="C142" s="244">
        <f>C88+C102-C106-C103</f>
        <v>-986.52023390312115</v>
      </c>
      <c r="D142" s="244">
        <f t="shared" ref="D142:AI142" si="60">D88+D102-D106-D103</f>
        <v>-1375.8514502308335</v>
      </c>
      <c r="E142" s="244">
        <f t="shared" si="60"/>
        <v>-942.65024354460297</v>
      </c>
      <c r="F142" s="244">
        <f t="shared" si="60"/>
        <v>-5404.6421412683221</v>
      </c>
      <c r="G142" s="244">
        <f t="shared" si="60"/>
        <v>-2726.741853969801</v>
      </c>
      <c r="H142" s="244">
        <f t="shared" si="60"/>
        <v>-1454.7591793027696</v>
      </c>
      <c r="I142" s="244">
        <f t="shared" si="60"/>
        <v>-884.74367042330232</v>
      </c>
      <c r="J142" s="244">
        <f t="shared" si="60"/>
        <v>-3068.2768315989324</v>
      </c>
      <c r="K142" s="244">
        <f t="shared" si="60"/>
        <v>-3962.3810981683509</v>
      </c>
      <c r="L142" s="244">
        <f t="shared" si="60"/>
        <v>-1788.91769463574</v>
      </c>
      <c r="M142" s="244">
        <f t="shared" si="60"/>
        <v>-3830.8695961018129</v>
      </c>
      <c r="N142" s="244">
        <f t="shared" si="60"/>
        <v>-1036.8478384236955</v>
      </c>
      <c r="O142" s="244">
        <f t="shared" si="60"/>
        <v>-6742.3073625281886</v>
      </c>
      <c r="P142" s="244">
        <f t="shared" si="60"/>
        <v>-4292.6393194993798</v>
      </c>
      <c r="Q142" s="244">
        <f t="shared" si="60"/>
        <v>-7634.1585249621812</v>
      </c>
      <c r="R142" s="244">
        <f t="shared" si="60"/>
        <v>-6190.2670576639939</v>
      </c>
      <c r="S142" s="244">
        <f t="shared" si="60"/>
        <v>-6491.3038902524695</v>
      </c>
      <c r="T142" s="244">
        <f t="shared" si="60"/>
        <v>-1205.6777592203007</v>
      </c>
      <c r="U142" s="244">
        <f t="shared" si="60"/>
        <v>-669.46320155633737</v>
      </c>
      <c r="V142" s="244">
        <f t="shared" si="60"/>
        <v>-762.82866457382761</v>
      </c>
      <c r="W142" s="244">
        <f t="shared" si="60"/>
        <v>-1004.5876627329742</v>
      </c>
      <c r="X142" s="244">
        <f t="shared" si="60"/>
        <v>-1575.4425890992493</v>
      </c>
      <c r="Y142" s="244">
        <f t="shared" si="60"/>
        <v>-2475.6684490181178</v>
      </c>
      <c r="Z142" s="244">
        <f t="shared" si="60"/>
        <v>-5685.8768770822699</v>
      </c>
      <c r="AA142" s="244">
        <f t="shared" si="60"/>
        <v>-101.49989665013302</v>
      </c>
      <c r="AB142" s="244">
        <f t="shared" si="60"/>
        <v>-998.9196142943706</v>
      </c>
      <c r="AC142" s="244">
        <f t="shared" si="60"/>
        <v>-391.4887373314051</v>
      </c>
      <c r="AD142" s="244">
        <f t="shared" si="60"/>
        <v>-1565.6226253790669</v>
      </c>
      <c r="AE142" s="244">
        <f t="shared" si="60"/>
        <v>-1390.1533947115963</v>
      </c>
      <c r="AF142" s="244">
        <f t="shared" si="60"/>
        <v>1.9692114830837966</v>
      </c>
      <c r="AG142" s="244">
        <f t="shared" si="60"/>
        <v>-553.87542019992691</v>
      </c>
      <c r="AH142" s="244">
        <f t="shared" si="60"/>
        <v>-52.577368905314529</v>
      </c>
      <c r="AI142" s="244">
        <f t="shared" si="60"/>
        <v>-112.43174279406549</v>
      </c>
      <c r="AJ142" s="236"/>
      <c r="AK142" s="245">
        <f>SUM(C142:AI142)</f>
        <v>-77358.022778543367</v>
      </c>
    </row>
    <row r="143" spans="1:37" x14ac:dyDescent="0.25">
      <c r="A143" s="8" t="s">
        <v>824</v>
      </c>
      <c r="B143" s="8" t="s">
        <v>83</v>
      </c>
      <c r="C143" s="244">
        <f>C89-C96</f>
        <v>505.40581800000001</v>
      </c>
      <c r="D143" s="244">
        <f t="shared" ref="D143:AI143" si="61">D89-D96</f>
        <v>26.059414</v>
      </c>
      <c r="E143" s="244">
        <f t="shared" si="61"/>
        <v>18.351700000000001</v>
      </c>
      <c r="F143" s="244">
        <f t="shared" si="61"/>
        <v>79.279344000000009</v>
      </c>
      <c r="G143" s="244">
        <f t="shared" si="61"/>
        <v>-154.70150094352488</v>
      </c>
      <c r="H143" s="244">
        <f t="shared" si="61"/>
        <v>-44.591204122354753</v>
      </c>
      <c r="I143" s="244">
        <f t="shared" si="61"/>
        <v>-107.25249172047272</v>
      </c>
      <c r="J143" s="244">
        <f t="shared" si="61"/>
        <v>161.49496000000002</v>
      </c>
      <c r="K143" s="244">
        <f t="shared" si="61"/>
        <v>59.09247400000001</v>
      </c>
      <c r="L143" s="244">
        <f t="shared" si="61"/>
        <v>28.628652000000002</v>
      </c>
      <c r="M143" s="244">
        <f t="shared" si="61"/>
        <v>-210.73730209239505</v>
      </c>
      <c r="N143" s="244">
        <f t="shared" si="61"/>
        <v>79.646377999999999</v>
      </c>
      <c r="O143" s="244">
        <f t="shared" si="61"/>
        <v>-353.46603327322043</v>
      </c>
      <c r="P143" s="244">
        <f t="shared" si="61"/>
        <v>-144.22886330428284</v>
      </c>
      <c r="Q143" s="244">
        <f t="shared" si="61"/>
        <v>-326.51523356489935</v>
      </c>
      <c r="R143" s="244">
        <f t="shared" si="61"/>
        <v>111.211302</v>
      </c>
      <c r="S143" s="244">
        <f t="shared" si="61"/>
        <v>-142.48714949940808</v>
      </c>
      <c r="T143" s="244">
        <f t="shared" si="61"/>
        <v>-96.583973162761154</v>
      </c>
      <c r="U143" s="244">
        <f t="shared" si="61"/>
        <v>-13.479289676087504</v>
      </c>
      <c r="V143" s="244">
        <f t="shared" si="61"/>
        <v>20.60829366102223</v>
      </c>
      <c r="W143" s="244">
        <f t="shared" si="61"/>
        <v>-19.231277320724448</v>
      </c>
      <c r="X143" s="244">
        <f t="shared" si="61"/>
        <v>2.6053492952476205</v>
      </c>
      <c r="Y143" s="244">
        <f t="shared" si="61"/>
        <v>-62.037445715391264</v>
      </c>
      <c r="Z143" s="244">
        <f t="shared" si="61"/>
        <v>-107.1770459539525</v>
      </c>
      <c r="AA143" s="244">
        <f t="shared" si="61"/>
        <v>69.736459999999994</v>
      </c>
      <c r="AB143" s="244">
        <f t="shared" si="61"/>
        <v>-32.318206217708259</v>
      </c>
      <c r="AC143" s="244">
        <f t="shared" si="61"/>
        <v>19.085768000000002</v>
      </c>
      <c r="AD143" s="244">
        <f t="shared" si="61"/>
        <v>-49.944501842950849</v>
      </c>
      <c r="AE143" s="244">
        <f t="shared" si="61"/>
        <v>-40.03395650665432</v>
      </c>
      <c r="AF143" s="244">
        <f t="shared" si="61"/>
        <v>110.477234</v>
      </c>
      <c r="AG143" s="244">
        <f t="shared" si="61"/>
        <v>94.694772000000015</v>
      </c>
      <c r="AH143" s="244">
        <f t="shared" si="61"/>
        <v>85.518922000000003</v>
      </c>
      <c r="AI143" s="244">
        <f t="shared" si="61"/>
        <v>21.655006</v>
      </c>
      <c r="AJ143" s="236"/>
      <c r="AK143" s="245">
        <f>SUM(C143:AI143)</f>
        <v>-411.23362796051862</v>
      </c>
    </row>
    <row r="144" spans="1:37" s="286" customFormat="1" x14ac:dyDescent="0.25">
      <c r="A144" s="8"/>
      <c r="B144" s="8"/>
      <c r="C144" s="244"/>
      <c r="D144" s="244"/>
      <c r="E144" s="244"/>
      <c r="F144" s="244"/>
      <c r="G144" s="244"/>
      <c r="H144" s="244"/>
      <c r="I144" s="244"/>
      <c r="J144" s="244"/>
      <c r="K144" s="244"/>
      <c r="L144" s="244"/>
      <c r="M144" s="244"/>
      <c r="N144" s="244"/>
      <c r="O144" s="244"/>
      <c r="P144" s="244"/>
      <c r="Q144" s="244"/>
      <c r="R144" s="244"/>
      <c r="S144" s="244"/>
      <c r="T144" s="244"/>
      <c r="U144" s="244"/>
      <c r="V144" s="244"/>
      <c r="W144" s="244"/>
      <c r="X144" s="244"/>
      <c r="Y144" s="244"/>
      <c r="Z144" s="244"/>
      <c r="AA144" s="244"/>
      <c r="AB144" s="244"/>
      <c r="AC144" s="244"/>
      <c r="AD144" s="244"/>
      <c r="AE144" s="244"/>
      <c r="AF144" s="244"/>
      <c r="AG144" s="244"/>
      <c r="AH144" s="244"/>
      <c r="AI144" s="244"/>
      <c r="AJ144" s="265"/>
      <c r="AK144" s="245"/>
    </row>
    <row r="145" spans="1:37" s="286" customFormat="1" x14ac:dyDescent="0.25">
      <c r="A145" s="246" t="s">
        <v>1043</v>
      </c>
      <c r="B145" s="8"/>
      <c r="C145" s="244"/>
      <c r="D145" s="244"/>
      <c r="E145" s="244"/>
      <c r="F145" s="244"/>
      <c r="G145" s="244"/>
      <c r="H145" s="244"/>
      <c r="I145" s="244"/>
      <c r="J145" s="244"/>
      <c r="K145" s="244"/>
      <c r="L145" s="244"/>
      <c r="M145" s="244"/>
      <c r="N145" s="244"/>
      <c r="O145" s="244"/>
      <c r="P145" s="244"/>
      <c r="Q145" s="244"/>
      <c r="R145" s="244"/>
      <c r="S145" s="244"/>
      <c r="T145" s="244"/>
      <c r="U145" s="244"/>
      <c r="V145" s="244"/>
      <c r="W145" s="244"/>
      <c r="X145" s="244"/>
      <c r="Y145" s="244"/>
      <c r="Z145" s="244"/>
      <c r="AA145" s="244"/>
      <c r="AB145" s="244"/>
      <c r="AC145" s="244"/>
      <c r="AD145" s="244"/>
      <c r="AE145" s="244"/>
      <c r="AF145" s="244"/>
      <c r="AG145" s="244"/>
      <c r="AH145" s="244"/>
      <c r="AI145" s="244"/>
      <c r="AJ145" s="265"/>
      <c r="AK145" s="245"/>
    </row>
    <row r="146" spans="1:37" s="286" customFormat="1" x14ac:dyDescent="0.25">
      <c r="A146" s="21" t="s">
        <v>1044</v>
      </c>
      <c r="B146" s="8"/>
      <c r="C146" s="244"/>
      <c r="D146" s="244"/>
      <c r="E146" s="244"/>
      <c r="F146" s="244"/>
      <c r="G146" s="244"/>
      <c r="H146" s="244"/>
      <c r="I146" s="244"/>
      <c r="J146" s="244"/>
      <c r="K146" s="244"/>
      <c r="L146" s="244"/>
      <c r="M146" s="244"/>
      <c r="N146" s="244"/>
      <c r="O146" s="244"/>
      <c r="P146" s="244"/>
      <c r="Q146" s="244"/>
      <c r="R146" s="244"/>
      <c r="S146" s="244"/>
      <c r="T146" s="244"/>
      <c r="U146" s="244"/>
      <c r="V146" s="244"/>
      <c r="W146" s="244"/>
      <c r="X146" s="244"/>
      <c r="Y146" s="244"/>
      <c r="Z146" s="244"/>
      <c r="AA146" s="244"/>
      <c r="AB146" s="244"/>
      <c r="AC146" s="244"/>
      <c r="AD146" s="244"/>
      <c r="AE146" s="244"/>
      <c r="AF146" s="244"/>
      <c r="AG146" s="244"/>
      <c r="AH146" s="244"/>
      <c r="AI146" s="244"/>
      <c r="AJ146" s="249"/>
      <c r="AK146" s="245">
        <f>SUM(C146:AI146)</f>
        <v>0</v>
      </c>
    </row>
    <row r="147" spans="1:37" s="286" customFormat="1" x14ac:dyDescent="0.25">
      <c r="A147" s="8" t="s">
        <v>1026</v>
      </c>
      <c r="B147" s="8" t="s">
        <v>1033</v>
      </c>
      <c r="C147" s="244">
        <f>(C33*1000*pvar!F1405)/1000</f>
        <v>0</v>
      </c>
      <c r="D147" s="244">
        <f>(D33*1000*pvar!G1405)/1000</f>
        <v>0</v>
      </c>
      <c r="E147" s="244">
        <f>(E33*1000*pvar!H1405)/1000</f>
        <v>0</v>
      </c>
      <c r="F147" s="244">
        <f>(F33*1000*pvar!I1405)/1000</f>
        <v>0</v>
      </c>
      <c r="G147" s="244">
        <f>(G33*1000*pvar!J1405)/1000</f>
        <v>107922.8682108091</v>
      </c>
      <c r="H147" s="244">
        <f>(H33*1000*pvar!K1405)/1000</f>
        <v>66775.967736871244</v>
      </c>
      <c r="I147" s="244">
        <f>(I33*1000*pvar!L1405)/1000</f>
        <v>43166.528032804694</v>
      </c>
      <c r="J147" s="244">
        <f>(J33*1000*pvar!M1405)/1000</f>
        <v>0</v>
      </c>
      <c r="K147" s="244">
        <f>(K33*1000*pvar!N1405)/1000</f>
        <v>0</v>
      </c>
      <c r="L147" s="244">
        <f>(L33*1000*pvar!O1405)/1000</f>
        <v>0</v>
      </c>
      <c r="M147" s="244">
        <f>(M33*1000*pvar!P1405)/1000</f>
        <v>202428.41716920381</v>
      </c>
      <c r="N147" s="244">
        <f>(N33*1000*pvar!Q1405)/1000</f>
        <v>0</v>
      </c>
      <c r="O147" s="244">
        <f>(O33*1000*pvar!R1405)/1000</f>
        <v>326461.51452660299</v>
      </c>
      <c r="P147" s="244">
        <f>(P33*1000*pvar!S1405)/1000</f>
        <v>199601.47680144676</v>
      </c>
      <c r="Q147" s="244">
        <f>(Q33*1000*pvar!T1405)/1000</f>
        <v>346025.32436028332</v>
      </c>
      <c r="R147" s="244">
        <f>(R33*1000*pvar!U1405)/1000</f>
        <v>0</v>
      </c>
      <c r="S147" s="244">
        <f>(S33*1000*pvar!V1405)/1000</f>
        <v>291699.43699953781</v>
      </c>
      <c r="T147" s="244">
        <f>(T33*1000*pvar!W1405)/1000</f>
        <v>61080.408049037629</v>
      </c>
      <c r="U147" s="244">
        <f>(U33*1000*pvar!X1405)/1000</f>
        <v>39293.066069271859</v>
      </c>
      <c r="V147" s="244">
        <f>(V33*1000*pvar!Y1405)/1000</f>
        <v>48021.925406386632</v>
      </c>
      <c r="W147" s="244">
        <f>(W33*1000*pvar!Z1405)/1000</f>
        <v>56127.791872804621</v>
      </c>
      <c r="X147" s="244">
        <f>(X33*1000*pvar!AA1405)/1000</f>
        <v>92465.626615489644</v>
      </c>
      <c r="Y147" s="244">
        <f>(Y33*1000*pvar!AB1405)/1000</f>
        <v>117148.24244043983</v>
      </c>
      <c r="Z147" s="244">
        <f>(Z33*1000*pvar!AC1405)/1000</f>
        <v>241773.16568642861</v>
      </c>
      <c r="AA147" s="244">
        <f>(AA33*1000*pvar!AD1405)/1000</f>
        <v>0</v>
      </c>
      <c r="AB147" s="244">
        <f>(AB33*1000*pvar!AE1405)/1000</f>
        <v>54483.127207854603</v>
      </c>
      <c r="AC147" s="244">
        <f>(AC33*1000*pvar!AF1405)/1000</f>
        <v>0</v>
      </c>
      <c r="AD147" s="244">
        <f>(AD33*1000*pvar!AG1405)/1000</f>
        <v>77309.550910879334</v>
      </c>
      <c r="AE147" s="244">
        <f>(AE33*1000*pvar!AH1405)/1000</f>
        <v>61542.387225434555</v>
      </c>
      <c r="AF147" s="244">
        <f>(AF33*1000*pvar!AI1405)/1000</f>
        <v>0</v>
      </c>
      <c r="AG147" s="244">
        <f>(AG33*1000*pvar!AJ1405)/1000</f>
        <v>0</v>
      </c>
      <c r="AH147" s="244">
        <f>(AH33*1000*pvar!AK1405)/1000</f>
        <v>0</v>
      </c>
      <c r="AI147" s="244">
        <f>(AI33*1000*pvar!AL1405)/1000</f>
        <v>0</v>
      </c>
      <c r="AJ147" s="244"/>
      <c r="AK147" s="245">
        <f>SUM(C147:AI147)</f>
        <v>2433326.8253215873</v>
      </c>
    </row>
    <row r="148" spans="1:37" s="286" customFormat="1" x14ac:dyDescent="0.25">
      <c r="A148" s="8" t="s">
        <v>1027</v>
      </c>
      <c r="B148" s="8" t="s">
        <v>1033</v>
      </c>
      <c r="C148" s="244">
        <f>pvar!F1406*(GRAFS!C37+C53)</f>
        <v>134652.94395797307</v>
      </c>
      <c r="D148" s="244">
        <f>pvar!G1406*(GRAFS!D37+D53)</f>
        <v>94039.842206851405</v>
      </c>
      <c r="E148" s="244">
        <f>pvar!H1406*(GRAFS!E37+E53)</f>
        <v>76785.875170798128</v>
      </c>
      <c r="F148" s="244">
        <f>pvar!I1406*(GRAFS!F37+F53)</f>
        <v>320272.92852076952</v>
      </c>
      <c r="G148" s="244">
        <f>pvar!J1406*(GRAFS!G37+G53)</f>
        <v>76083.992124426208</v>
      </c>
      <c r="H148" s="244">
        <f>pvar!K1406*(GRAFS!H37+H53)</f>
        <v>15992.001046766421</v>
      </c>
      <c r="I148" s="244">
        <f>pvar!L1406*(GRAFS!I37+I53)</f>
        <v>25213.876668408851</v>
      </c>
      <c r="J148" s="244">
        <f>pvar!M1406*(GRAFS!J37+J53)</f>
        <v>189124.05274349748</v>
      </c>
      <c r="K148" s="244">
        <f>pvar!N1406*(GRAFS!K37+K53)</f>
        <v>282628.44657734979</v>
      </c>
      <c r="L148" s="244">
        <f>pvar!O1406*(GRAFS!L37+L53)</f>
        <v>132726.42380946077</v>
      </c>
      <c r="M148" s="244">
        <f>pvar!P1406*(GRAFS!M37+M53)</f>
        <v>26906.462766561923</v>
      </c>
      <c r="N148" s="244">
        <f>pvar!Q1406*(GRAFS!N37+N53)</f>
        <v>68331.262599263166</v>
      </c>
      <c r="O148" s="244">
        <f>pvar!R1406*(GRAFS!O37+O53)</f>
        <v>16341.083480546833</v>
      </c>
      <c r="P148" s="244">
        <f>pvar!S1406*(GRAFS!P37+P53)</f>
        <v>33257.436674006727</v>
      </c>
      <c r="Q148" s="244">
        <f>pvar!T1406*(GRAFS!Q37+Q53)</f>
        <v>75693.126494178447</v>
      </c>
      <c r="R148" s="244">
        <f>pvar!U1406*(GRAFS!R37+R53)</f>
        <v>429721.67761806742</v>
      </c>
      <c r="S148" s="244">
        <f>pvar!V1406*(GRAFS!S37+S53)</f>
        <v>46609.717987227821</v>
      </c>
      <c r="T148" s="244">
        <f>pvar!W1406*(GRAFS!T37+T53)</f>
        <v>8144.1640993657556</v>
      </c>
      <c r="U148" s="244">
        <f>pvar!X1406*(GRAFS!U37+U53)</f>
        <v>1427.7573251869283</v>
      </c>
      <c r="V148" s="244">
        <f>pvar!Y1406*(GRAFS!V37+V53)</f>
        <v>4494.2842062565551</v>
      </c>
      <c r="W148" s="244">
        <f>pvar!Z1406*(GRAFS!W37+W53)</f>
        <v>3293.9382999662498</v>
      </c>
      <c r="X148" s="244">
        <f>pvar!AA1406*(GRAFS!X37+X53)</f>
        <v>6523.4542951923004</v>
      </c>
      <c r="Y148" s="244">
        <f>pvar!AB1406*(GRAFS!Y37+Y53)</f>
        <v>12610.260224708512</v>
      </c>
      <c r="Z148" s="244">
        <f>pvar!AC1406*(GRAFS!Z37+Z53)</f>
        <v>130514.73209341479</v>
      </c>
      <c r="AA148" s="244">
        <f>pvar!AD1406*(GRAFS!AA37+AA53)</f>
        <v>16453.91060428723</v>
      </c>
      <c r="AB148" s="244">
        <f>pvar!AE1406*(GRAFS!AB37+AB53)</f>
        <v>35326.131718367396</v>
      </c>
      <c r="AC148" s="244">
        <f>pvar!AF1406*(GRAFS!AC37+AC53)</f>
        <v>28640.237139927853</v>
      </c>
      <c r="AD148" s="244">
        <f>pvar!AG1406*(GRAFS!AD37+AD53)</f>
        <v>5813.5464688773391</v>
      </c>
      <c r="AE148" s="244">
        <f>pvar!AH1406*(GRAFS!AE37+AE53)</f>
        <v>9485.0458951584587</v>
      </c>
      <c r="AF148" s="244">
        <f>pvar!AI1406*(GRAFS!AF37+AF53)</f>
        <v>16827.386131939449</v>
      </c>
      <c r="AG148" s="244">
        <f>pvar!AJ1406*(GRAFS!AG37+AG53)</f>
        <v>40005.455180502897</v>
      </c>
      <c r="AH148" s="244">
        <f>pvar!AK1406*(GRAFS!AH37+AH53)</f>
        <v>18432.240177212727</v>
      </c>
      <c r="AI148" s="244">
        <f>pvar!AL1406*(GRAFS!AI37+AI53)</f>
        <v>9398.1726204336755</v>
      </c>
      <c r="AJ148" s="244"/>
      <c r="AK148" s="245">
        <f>SUM(C148:AI148)</f>
        <v>2391771.8669269523</v>
      </c>
    </row>
    <row r="149" spans="1:37" s="286" customFormat="1" x14ac:dyDescent="0.25">
      <c r="A149" s="8" t="s">
        <v>1029</v>
      </c>
      <c r="B149" s="8" t="s">
        <v>1033</v>
      </c>
      <c r="C149" s="244">
        <f>pvar!F1407*(C80+C81)</f>
        <v>4642.3690797082409</v>
      </c>
      <c r="D149" s="244">
        <f>pvar!G1407*(D80+D81)</f>
        <v>3962.7348935387295</v>
      </c>
      <c r="E149" s="244">
        <f>pvar!H1407*(E80+E81)</f>
        <v>2789.125274933474</v>
      </c>
      <c r="F149" s="244">
        <f>pvar!I1407*(F80+F81)</f>
        <v>15735.455741911759</v>
      </c>
      <c r="G149" s="244">
        <f>pvar!J1407*(G80+G81)</f>
        <v>1759.4873229366412</v>
      </c>
      <c r="H149" s="244">
        <f>pvar!K1407*(H80+H81)</f>
        <v>0</v>
      </c>
      <c r="I149" s="244">
        <f>pvar!L1407*(I80+I81)</f>
        <v>98.313474866432273</v>
      </c>
      <c r="J149" s="244">
        <f>pvar!M1407*(J80+J81)</f>
        <v>9373.5433992294566</v>
      </c>
      <c r="K149" s="244">
        <f>pvar!N1407*(K80+K81)</f>
        <v>12583.670454258852</v>
      </c>
      <c r="L149" s="244">
        <f>pvar!O1407*(L80+L81)</f>
        <v>5885.4174486388101</v>
      </c>
      <c r="M149" s="244">
        <f>pvar!P1407*(M80+M81)</f>
        <v>0</v>
      </c>
      <c r="N149" s="244">
        <f>pvar!Q1407*(N80+N81)</f>
        <v>3332.3754213570332</v>
      </c>
      <c r="O149" s="244">
        <f>pvar!R1407*(O80+O81)</f>
        <v>0</v>
      </c>
      <c r="P149" s="244">
        <f>pvar!S1407*(P80+P81)</f>
        <v>0</v>
      </c>
      <c r="Q149" s="244">
        <f>pvar!T1407*(Q80+Q81)</f>
        <v>0</v>
      </c>
      <c r="R149" s="244">
        <f>pvar!U1407*(R80+R81)</f>
        <v>19995.671531720534</v>
      </c>
      <c r="S149" s="244">
        <f>pvar!V1407*(S80+S81)</f>
        <v>0</v>
      </c>
      <c r="T149" s="244">
        <f>pvar!W1407*(T80+T81)</f>
        <v>153.57323543187965</v>
      </c>
      <c r="U149" s="244">
        <f>pvar!X1407*(U80+U81)</f>
        <v>55.829883273493721</v>
      </c>
      <c r="V149" s="244">
        <f>pvar!Y1407*(V80+V81)</f>
        <v>0</v>
      </c>
      <c r="W149" s="244">
        <f>pvar!Z1407*(W80+W81)</f>
        <v>0</v>
      </c>
      <c r="X149" s="244">
        <f>pvar!AA1407*(X80+X81)</f>
        <v>0</v>
      </c>
      <c r="Y149" s="244">
        <f>pvar!AB1407*(Y80+Y81)</f>
        <v>0</v>
      </c>
      <c r="Z149" s="244">
        <f>pvar!AC1407*(Z80+Z81)</f>
        <v>726.70259955328049</v>
      </c>
      <c r="AA149" s="244">
        <f>pvar!AD1407*(AA80+AA81)</f>
        <v>469.9693988562683</v>
      </c>
      <c r="AB149" s="244">
        <f>pvar!AE1407*(AB80+AB81)</f>
        <v>0</v>
      </c>
      <c r="AC149" s="244">
        <f>pvar!AF1407*(AC80+AC81)</f>
        <v>1210.124819042202</v>
      </c>
      <c r="AD149" s="244">
        <f>pvar!AG1407*(AD80+AD81)</f>
        <v>0</v>
      </c>
      <c r="AE149" s="244">
        <f>pvar!AH1407*(AE80+AE81)</f>
        <v>182.27223819458189</v>
      </c>
      <c r="AF149" s="244">
        <f>pvar!AI1407*(AF80+AF81)</f>
        <v>87.581131485100329</v>
      </c>
      <c r="AG149" s="244">
        <f>pvar!AJ1407*(AG80+AG81)</f>
        <v>1495.9589879088821</v>
      </c>
      <c r="AH149" s="244">
        <f>pvar!AK1407*(AH80+AH81)</f>
        <v>313.29098891497893</v>
      </c>
      <c r="AI149" s="244">
        <f>pvar!AL1407*(AI80+AI81)</f>
        <v>379.13057841638971</v>
      </c>
      <c r="AJ149" s="244"/>
      <c r="AK149" s="245">
        <f>SUM(C149:AI149)</f>
        <v>85232.597904177004</v>
      </c>
    </row>
    <row r="150" spans="1:37" s="286" customFormat="1" x14ac:dyDescent="0.25">
      <c r="A150" s="8" t="s">
        <v>1055</v>
      </c>
      <c r="B150" s="8" t="s">
        <v>1033</v>
      </c>
      <c r="C150" s="244">
        <f>pvar!F1408*C17/1000</f>
        <v>14873.486335024783</v>
      </c>
      <c r="D150" s="244">
        <f>pvar!G1408*D17/1000</f>
        <v>10231.452980657243</v>
      </c>
      <c r="E150" s="244">
        <f>pvar!H1408*E17/1000</f>
        <v>11810.304412882695</v>
      </c>
      <c r="F150" s="244">
        <f>pvar!I1408*F17/1000</f>
        <v>34882.133895412233</v>
      </c>
      <c r="G150" s="244">
        <f>pvar!J1408*G17/1000</f>
        <v>21748.135373781934</v>
      </c>
      <c r="H150" s="244">
        <f>pvar!K1408*H17/1000</f>
        <v>10559.554122836604</v>
      </c>
      <c r="I150" s="244">
        <f>pvar!L1408*I17/1000</f>
        <v>11864.139135084111</v>
      </c>
      <c r="J150" s="244">
        <f>pvar!M1408*J17/1000</f>
        <v>21547.294653794328</v>
      </c>
      <c r="K150" s="244">
        <f>pvar!N1408*K17/1000</f>
        <v>42513.20831516623</v>
      </c>
      <c r="L150" s="244">
        <f>pvar!O1408*L17/1000</f>
        <v>19795.805796534671</v>
      </c>
      <c r="M150" s="244">
        <f>pvar!P1408*M17/1000</f>
        <v>36761.204023991995</v>
      </c>
      <c r="N150" s="244">
        <f>pvar!Q1408*N17/1000</f>
        <v>8220.2577669369821</v>
      </c>
      <c r="O150" s="244">
        <f>pvar!R1408*O17/1000</f>
        <v>43512.885756420394</v>
      </c>
      <c r="P150" s="244">
        <f>pvar!S1408*P17/1000</f>
        <v>31221.149755769889</v>
      </c>
      <c r="Q150" s="244">
        <f>pvar!T1408*Q17/1000</f>
        <v>55666.722233076885</v>
      </c>
      <c r="R150" s="244">
        <f>pvar!U1408*R17/1000</f>
        <v>62283.724401741034</v>
      </c>
      <c r="S150" s="244">
        <f>pvar!V1408*S17/1000</f>
        <v>76368.87438070339</v>
      </c>
      <c r="T150" s="244">
        <f>pvar!W1408*T17/1000</f>
        <v>11909.336296217371</v>
      </c>
      <c r="U150" s="244">
        <f>pvar!X1408*U17/1000</f>
        <v>6346.4027541421674</v>
      </c>
      <c r="V150" s="244">
        <f>pvar!Y1408*V17/1000</f>
        <v>9925.0563344971124</v>
      </c>
      <c r="W150" s="244">
        <f>pvar!Z1408*W17/1000</f>
        <v>10399.433807746635</v>
      </c>
      <c r="X150" s="244">
        <f>pvar!AA1408*X17/1000</f>
        <v>14762.353668307915</v>
      </c>
      <c r="Y150" s="244">
        <f>pvar!AB1408*Y17/1000</f>
        <v>20356.000369714107</v>
      </c>
      <c r="Z150" s="244">
        <f>pvar!AC1408*Z17/1000</f>
        <v>49385.544072065844</v>
      </c>
      <c r="AA150" s="244">
        <f>pvar!AD1408*AA17/1000</f>
        <v>3309.3974816919635</v>
      </c>
      <c r="AB150" s="244">
        <f>pvar!AE1408*AB17/1000</f>
        <v>16999.958038001532</v>
      </c>
      <c r="AC150" s="244">
        <f>pvar!AF1408*AC17/1000</f>
        <v>5333.7499620416429</v>
      </c>
      <c r="AD150" s="244">
        <f>pvar!AG1408*AD17/1000</f>
        <v>14594.959494008264</v>
      </c>
      <c r="AE150" s="244">
        <f>pvar!AH1408*AE17/1000</f>
        <v>15260.536464934557</v>
      </c>
      <c r="AF150" s="244">
        <f>pvar!AI1408*AF17/1000</f>
        <v>4810.8004328218594</v>
      </c>
      <c r="AG150" s="244">
        <f>pvar!AJ1408*AG17/1000</f>
        <v>4629.3447917718713</v>
      </c>
      <c r="AH150" s="244">
        <f>pvar!AK1408*AH17/1000</f>
        <v>5269.6139689873107</v>
      </c>
      <c r="AI150" s="244">
        <f>pvar!AL1408*AI17/1000</f>
        <v>2404.0274318162442</v>
      </c>
      <c r="AJ150" s="244"/>
      <c r="AK150" s="245"/>
    </row>
    <row r="151" spans="1:37" s="286" customFormat="1" x14ac:dyDescent="0.25">
      <c r="A151" s="8" t="s">
        <v>1040</v>
      </c>
      <c r="B151" s="8" t="s">
        <v>1033</v>
      </c>
      <c r="C151" s="244">
        <f>pvar!F1409*GRAFS!C19/1000</f>
        <v>44048.40183834263</v>
      </c>
      <c r="D151" s="244">
        <f>pvar!G1409*GRAFS!D19/1000</f>
        <v>30300.841519118552</v>
      </c>
      <c r="E151" s="244">
        <f>pvar!H1409*GRAFS!E19/1000</f>
        <v>34976.670761229521</v>
      </c>
      <c r="F151" s="244">
        <f>pvar!I1409*GRAFS!F19/1000</f>
        <v>103304.78115179777</v>
      </c>
      <c r="G151" s="244">
        <f>pvar!J1409*GRAFS!G19/1000</f>
        <v>50238.501766532943</v>
      </c>
      <c r="H151" s="244">
        <f>pvar!K1409*GRAFS!H19/1000</f>
        <v>26284.233423728936</v>
      </c>
      <c r="I151" s="244">
        <f>pvar!L1409*GRAFS!I19/1000</f>
        <v>25805.179615487636</v>
      </c>
      <c r="J151" s="244">
        <f>pvar!M1409*GRAFS!J19/1000</f>
        <v>63813.141859313982</v>
      </c>
      <c r="K151" s="244">
        <f>pvar!N1409*GRAFS!K19/1000</f>
        <v>125904.50154876152</v>
      </c>
      <c r="L151" s="244">
        <f>pvar!O1409*GRAFS!L19/1000</f>
        <v>58626.040243583448</v>
      </c>
      <c r="M151" s="244">
        <f>pvar!P1409*GRAFS!M19/1000</f>
        <v>78489.134823759829</v>
      </c>
      <c r="N151" s="244">
        <f>pvar!Q1409*GRAFS!N19/1000</f>
        <v>24344.609540544137</v>
      </c>
      <c r="O151" s="244">
        <f>pvar!R1409*GRAFS!O19/1000</f>
        <v>116838.59129546038</v>
      </c>
      <c r="P151" s="244">
        <f>pvar!S1409*GRAFS!P19/1000</f>
        <v>79066.897079261616</v>
      </c>
      <c r="Q151" s="244">
        <f>pvar!T1409*GRAFS!Q19/1000</f>
        <v>137808.11870901976</v>
      </c>
      <c r="R151" s="244">
        <f>pvar!U1409*GRAFS!R19/1000</f>
        <v>184455.64534361768</v>
      </c>
      <c r="S151" s="244">
        <f>pvar!V1409*GRAFS!S19/1000</f>
        <v>111756.08160587972</v>
      </c>
      <c r="T151" s="244">
        <f>pvar!W1409*GRAFS!T19/1000</f>
        <v>9919.1072697633517</v>
      </c>
      <c r="U151" s="244">
        <f>pvar!X1409*GRAFS!U19/1000</f>
        <v>1400.0057330464977</v>
      </c>
      <c r="V151" s="244">
        <f>pvar!Y1409*GRAFS!V19/1000</f>
        <v>15389.238453720391</v>
      </c>
      <c r="W151" s="244">
        <f>pvar!Z1409*GRAFS!W19/1000</f>
        <v>10825.647698455838</v>
      </c>
      <c r="X151" s="244">
        <f>pvar!AA1409*GRAFS!X19/1000</f>
        <v>23392.18293632269</v>
      </c>
      <c r="Y151" s="244">
        <f>pvar!AB1409*GRAFS!Y19/1000</f>
        <v>28693.840765485504</v>
      </c>
      <c r="Z151" s="244">
        <f>pvar!AC1409*GRAFS!Z19/1000</f>
        <v>118212.67566315128</v>
      </c>
      <c r="AA151" s="244">
        <f>pvar!AD1409*GRAFS!AA19/1000</f>
        <v>9800.9079265492765</v>
      </c>
      <c r="AB151" s="244">
        <f>pvar!AE1409*GRAFS!AB19/1000</f>
        <v>27427.949270966856</v>
      </c>
      <c r="AC151" s="244">
        <f>pvar!AF1409*GRAFS!AC19/1000</f>
        <v>15796.105656815633</v>
      </c>
      <c r="AD151" s="244">
        <f>pvar!AG1409*GRAFS!AD19/1000</f>
        <v>26039.142763712585</v>
      </c>
      <c r="AE151" s="244">
        <f>pvar!AH1409*GRAFS!AE19/1000</f>
        <v>13194.715903038968</v>
      </c>
      <c r="AF151" s="244">
        <f>pvar!AI1409*GRAFS!AF19/1000</f>
        <v>14247.370512587815</v>
      </c>
      <c r="AG151" s="244">
        <f>pvar!AJ1409*GRAFS!AG19/1000</f>
        <v>13709.982652555156</v>
      </c>
      <c r="AH151" s="244">
        <f>pvar!AK1409*GRAFS!AH19/1000</f>
        <v>15606.164446616263</v>
      </c>
      <c r="AI151" s="244">
        <f>pvar!AL1409*GRAFS!AI19/1000</f>
        <v>7119.6197019173378</v>
      </c>
      <c r="AJ151" s="244"/>
      <c r="AK151" s="245">
        <f>SUM(C151:AI151)</f>
        <v>1646836.0294801453</v>
      </c>
    </row>
    <row r="152" spans="1:37" s="286" customFormat="1" x14ac:dyDescent="0.25">
      <c r="A152" s="8" t="s">
        <v>1045</v>
      </c>
      <c r="B152" s="8" t="s">
        <v>1033</v>
      </c>
      <c r="C152" s="244">
        <f>pvar!F1410*GRAFS!C18/1000</f>
        <v>0</v>
      </c>
      <c r="D152" s="244">
        <f>pvar!G1410*GRAFS!D18/1000</f>
        <v>3.7157742669048652E-7</v>
      </c>
      <c r="E152" s="244">
        <f>pvar!H1410*GRAFS!E18/1000</f>
        <v>0</v>
      </c>
      <c r="F152" s="244">
        <f>pvar!I1410*GRAFS!F18/1000</f>
        <v>0</v>
      </c>
      <c r="G152" s="244">
        <f>pvar!J1410*GRAFS!G18/1000</f>
        <v>10121.026864048146</v>
      </c>
      <c r="H152" s="244">
        <f>pvar!K1410*GRAFS!H18/1000</f>
        <v>3563.0658912490694</v>
      </c>
      <c r="I152" s="244">
        <f>pvar!L1410*GRAFS!I18/1000</f>
        <v>6664.9462472197292</v>
      </c>
      <c r="J152" s="244">
        <f>pvar!M1410*GRAFS!J18/1000</f>
        <v>0</v>
      </c>
      <c r="K152" s="244">
        <f>pvar!N1410*GRAFS!K18/1000</f>
        <v>0</v>
      </c>
      <c r="L152" s="244">
        <f>pvar!O1410*GRAFS!L18/1000</f>
        <v>0</v>
      </c>
      <c r="M152" s="244">
        <f>pvar!P1410*GRAFS!M18/1000</f>
        <v>21700.41770411066</v>
      </c>
      <c r="N152" s="244">
        <f>pvar!Q1410*GRAFS!N18/1000</f>
        <v>0</v>
      </c>
      <c r="O152" s="244">
        <f>pvar!R1410*GRAFS!O18/1000</f>
        <v>8590.3524605054936</v>
      </c>
      <c r="P152" s="244">
        <f>pvar!S1410*GRAFS!P18/1000</f>
        <v>9568.3848113593303</v>
      </c>
      <c r="Q152" s="244">
        <f>pvar!T1410*GRAFS!Q18/1000</f>
        <v>19322.157294296871</v>
      </c>
      <c r="R152" s="244">
        <f>pvar!U1410*GRAFS!R18/1000</f>
        <v>0</v>
      </c>
      <c r="S152" s="244">
        <f>pvar!V1410*GRAFS!S18/1000</f>
        <v>81723.769383551902</v>
      </c>
      <c r="T152" s="244">
        <f>pvar!W1410*GRAFS!T18/1000</f>
        <v>18107.750159200288</v>
      </c>
      <c r="U152" s="244">
        <f>pvar!X1410*GRAFS!U18/1000</f>
        <v>12425.078654113679</v>
      </c>
      <c r="V152" s="244">
        <f>pvar!Y1410*GRAFS!V18/1000</f>
        <v>10002.998295591964</v>
      </c>
      <c r="W152" s="244">
        <f>pvar!Z1410*GRAFS!W18/1000</f>
        <v>14266.196786720853</v>
      </c>
      <c r="X152" s="244">
        <f>pvar!AA1410*GRAFS!X18/1000</f>
        <v>14519.353739431857</v>
      </c>
      <c r="Y152" s="244">
        <f>pvar!AB1410*GRAFS!Y18/1000</f>
        <v>22565.169466081403</v>
      </c>
      <c r="Z152" s="244">
        <f>pvar!AC1410*GRAFS!Z18/1000</f>
        <v>20031.794678767506</v>
      </c>
      <c r="AA152" s="244">
        <f>pvar!AD1410*GRAFS!AA18/1000</f>
        <v>0</v>
      </c>
      <c r="AB152" s="244">
        <f>pvar!AE1410*GRAFS!AB18/1000</f>
        <v>16370.057359367578</v>
      </c>
      <c r="AC152" s="244">
        <f>pvar!AF1410*GRAFS!AC18/1000</f>
        <v>0</v>
      </c>
      <c r="AD152" s="244">
        <f>pvar!AG1410*GRAFS!AD18/1000</f>
        <v>12274.56508742058</v>
      </c>
      <c r="AE152" s="244">
        <f>pvar!AH1410*GRAFS!AE18/1000</f>
        <v>22857.106986839222</v>
      </c>
      <c r="AF152" s="244">
        <f>pvar!AI1410*GRAFS!AF18/1000</f>
        <v>0</v>
      </c>
      <c r="AG152" s="244">
        <f>pvar!AJ1410*GRAFS!AG18/1000</f>
        <v>0</v>
      </c>
      <c r="AH152" s="244">
        <f>pvar!AK1410*GRAFS!AH18/1000</f>
        <v>0</v>
      </c>
      <c r="AI152" s="244">
        <f>pvar!AL1410*GRAFS!AI18/1000</f>
        <v>0</v>
      </c>
      <c r="AJ152" s="244"/>
      <c r="AK152" s="245">
        <f>SUM(C152:AI152)</f>
        <v>324674.19187024765</v>
      </c>
    </row>
    <row r="153" spans="1:37" s="286" customFormat="1" x14ac:dyDescent="0.25">
      <c r="A153" s="8" t="s">
        <v>1031</v>
      </c>
      <c r="B153" s="8" t="s">
        <v>1033</v>
      </c>
      <c r="C153" s="244">
        <f>pvar!F1411*GRAFS!C22*1000</f>
        <v>0</v>
      </c>
      <c r="D153" s="244">
        <f>pvar!G1411*GRAFS!D22*1000</f>
        <v>0</v>
      </c>
      <c r="E153" s="244">
        <f>pvar!H1411*GRAFS!E22*1000</f>
        <v>0</v>
      </c>
      <c r="F153" s="244">
        <f>pvar!I1411*GRAFS!F22*1000</f>
        <v>0</v>
      </c>
      <c r="G153" s="244">
        <f>pvar!J1411*GRAFS!G22*1000</f>
        <v>99195.115189014439</v>
      </c>
      <c r="H153" s="244">
        <f>pvar!K1411*GRAFS!H22*1000</f>
        <v>48163.034189227583</v>
      </c>
      <c r="I153" s="244">
        <f>pvar!L1411*GRAFS!I22*1000</f>
        <v>54113.358588980918</v>
      </c>
      <c r="J153" s="244">
        <f>pvar!M1411*GRAFS!J22*1000</f>
        <v>0</v>
      </c>
      <c r="K153" s="244">
        <f>pvar!N1411*GRAFS!K22*1000</f>
        <v>0</v>
      </c>
      <c r="L153" s="244">
        <f>pvar!O1411*GRAFS!L22*1000</f>
        <v>0</v>
      </c>
      <c r="M153" s="244">
        <f>pvar!P1411*GRAFS!M22*1000</f>
        <v>167671.01201893183</v>
      </c>
      <c r="N153" s="244">
        <f>pvar!Q1411*GRAFS!N22*1000</f>
        <v>0</v>
      </c>
      <c r="O153" s="244">
        <f>pvar!R1411*GRAFS!O22*1000</f>
        <v>198466.01286186316</v>
      </c>
      <c r="P153" s="244">
        <f>pvar!S1411*GRAFS!P22*1000</f>
        <v>142402.34820731246</v>
      </c>
      <c r="Q153" s="244">
        <f>pvar!T1411*GRAFS!Q22*1000</f>
        <v>253900.70593186197</v>
      </c>
      <c r="R153" s="244">
        <f>pvar!U1411*GRAFS!R22*1000</f>
        <v>0</v>
      </c>
      <c r="S153" s="244">
        <f>pvar!V1411*GRAFS!S22*1000</f>
        <v>348325.00170022191</v>
      </c>
      <c r="T153" s="244">
        <f>pvar!W1411*GRAFS!T22*1000</f>
        <v>54319.506726638516</v>
      </c>
      <c r="U153" s="244">
        <f>pvar!X1411*GRAFS!U22*1000</f>
        <v>28946.488579978752</v>
      </c>
      <c r="V153" s="244">
        <f>pvar!Y1411*GRAFS!V22*1000</f>
        <v>45269.035227027554</v>
      </c>
      <c r="W153" s="244">
        <f>pvar!Z1411*GRAFS!W22*1000</f>
        <v>47432.711666102303</v>
      </c>
      <c r="X153" s="244">
        <f>pvar!AA1411*GRAFS!X22*1000</f>
        <v>67332.364242779993</v>
      </c>
      <c r="Y153" s="244">
        <f>pvar!AB1411*GRAFS!Y22*1000</f>
        <v>92845.467749646239</v>
      </c>
      <c r="Z153" s="244">
        <f>pvar!AC1411*GRAFS!Z22*1000</f>
        <v>225251.71232869852</v>
      </c>
      <c r="AA153" s="244">
        <f>pvar!AD1411*GRAFS!AA22*1000</f>
        <v>0</v>
      </c>
      <c r="AB153" s="244">
        <f>pvar!AE1411*GRAFS!AB22*1000</f>
        <v>77538.270146178926</v>
      </c>
      <c r="AC153" s="244">
        <f>pvar!AF1411*GRAFS!AC22*1000</f>
        <v>0</v>
      </c>
      <c r="AD153" s="244">
        <f>pvar!AG1411*GRAFS!AD22*1000</f>
        <v>66568.865022444937</v>
      </c>
      <c r="AE153" s="244">
        <f>pvar!AH1411*GRAFS!AE22*1000</f>
        <v>69604.618808389307</v>
      </c>
      <c r="AF153" s="244">
        <f>pvar!AI1411*GRAFS!AF22*1000</f>
        <v>0</v>
      </c>
      <c r="AG153" s="244">
        <f>pvar!AJ1411*GRAFS!AG22*1000</f>
        <v>0</v>
      </c>
      <c r="AH153" s="244">
        <f>pvar!AK1411*GRAFS!AH22*1000</f>
        <v>0</v>
      </c>
      <c r="AI153" s="244">
        <f>pvar!AL1411*GRAFS!AI22*1000</f>
        <v>0</v>
      </c>
      <c r="AJ153" s="244"/>
      <c r="AK153" s="245">
        <f>SUM(C153:AI153)</f>
        <v>2087345.6291852992</v>
      </c>
    </row>
    <row r="154" spans="1:37" s="286" customFormat="1" x14ac:dyDescent="0.25">
      <c r="A154" s="22" t="s">
        <v>1044</v>
      </c>
      <c r="B154" s="22" t="s">
        <v>1050</v>
      </c>
      <c r="C154" s="346">
        <f t="shared" ref="C154:AH154" si="62">SUM(C147:C153)*1000/C17</f>
        <v>346.49893880974071</v>
      </c>
      <c r="D154" s="346">
        <f t="shared" si="62"/>
        <v>352.04253671726281</v>
      </c>
      <c r="E154" s="346">
        <f t="shared" si="62"/>
        <v>278.18176833208537</v>
      </c>
      <c r="F154" s="346">
        <f t="shared" si="62"/>
        <v>353.44964327651746</v>
      </c>
      <c r="G154" s="346">
        <f t="shared" si="62"/>
        <v>438.83289919399863</v>
      </c>
      <c r="H154" s="346">
        <f t="shared" si="62"/>
        <v>421.87238351698437</v>
      </c>
      <c r="I154" s="346">
        <f t="shared" si="62"/>
        <v>365.81540695184987</v>
      </c>
      <c r="J154" s="346">
        <f t="shared" si="62"/>
        <v>342.51672739584944</v>
      </c>
      <c r="K154" s="346">
        <f t="shared" si="62"/>
        <v>283.54424370704692</v>
      </c>
      <c r="L154" s="346">
        <f t="shared" si="62"/>
        <v>285.0541133688767</v>
      </c>
      <c r="M154" s="346">
        <f t="shared" si="62"/>
        <v>377.65011320385429</v>
      </c>
      <c r="N154" s="346">
        <f t="shared" si="62"/>
        <v>329.66619969393093</v>
      </c>
      <c r="O154" s="346">
        <f t="shared" si="62"/>
        <v>424.36788847523798</v>
      </c>
      <c r="P154" s="346">
        <f t="shared" si="62"/>
        <v>412.31857658217865</v>
      </c>
      <c r="Q154" s="346">
        <f t="shared" si="62"/>
        <v>414.94844862386111</v>
      </c>
      <c r="R154" s="346">
        <f t="shared" si="62"/>
        <v>290.73204701881377</v>
      </c>
      <c r="S154" s="346">
        <f t="shared" si="62"/>
        <v>325.63731147213139</v>
      </c>
      <c r="T154" s="346">
        <f t="shared" si="62"/>
        <v>357.23905059917792</v>
      </c>
      <c r="U154" s="346">
        <f t="shared" si="62"/>
        <v>368.28112625673901</v>
      </c>
      <c r="V154" s="346">
        <f t="shared" si="62"/>
        <v>348.67973232373924</v>
      </c>
      <c r="W154" s="346">
        <f t="shared" si="62"/>
        <v>355.88367519295213</v>
      </c>
      <c r="X154" s="346">
        <f t="shared" si="62"/>
        <v>385.7026359664689</v>
      </c>
      <c r="Y154" s="346">
        <f t="shared" si="62"/>
        <v>375.79550832585306</v>
      </c>
      <c r="Z154" s="346">
        <f t="shared" si="62"/>
        <v>413.75072177714151</v>
      </c>
      <c r="AA154" s="346">
        <f t="shared" si="62"/>
        <v>235.96102463242514</v>
      </c>
      <c r="AB154" s="346">
        <f t="shared" si="62"/>
        <v>348.92926347225756</v>
      </c>
      <c r="AC154" s="346">
        <f t="shared" si="62"/>
        <v>248.50914768343279</v>
      </c>
      <c r="AD154" s="346">
        <f t="shared" si="62"/>
        <v>360.92024617084115</v>
      </c>
      <c r="AE154" s="346">
        <f t="shared" si="62"/>
        <v>327.33408704535691</v>
      </c>
      <c r="AF154" s="346">
        <f t="shared" si="62"/>
        <v>194.4170427541664</v>
      </c>
      <c r="AG154" s="346">
        <f t="shared" si="62"/>
        <v>336.08628259804067</v>
      </c>
      <c r="AH154" s="346">
        <f t="shared" si="62"/>
        <v>195.48947137070527</v>
      </c>
      <c r="AI154" s="244"/>
      <c r="AJ154" s="244"/>
      <c r="AK154" s="245"/>
    </row>
    <row r="155" spans="1:37" s="286" customFormat="1" x14ac:dyDescent="0.25">
      <c r="A155" s="22"/>
      <c r="B155" s="22"/>
      <c r="C155" s="346"/>
      <c r="D155" s="346"/>
      <c r="E155" s="346"/>
      <c r="F155" s="346"/>
      <c r="G155" s="346"/>
      <c r="H155" s="346"/>
      <c r="I155" s="346"/>
      <c r="J155" s="346"/>
      <c r="K155" s="346"/>
      <c r="L155" s="346"/>
      <c r="M155" s="346"/>
      <c r="N155" s="346"/>
      <c r="O155" s="346"/>
      <c r="P155" s="346"/>
      <c r="Q155" s="346"/>
      <c r="R155" s="346"/>
      <c r="S155" s="346"/>
      <c r="T155" s="346"/>
      <c r="U155" s="346"/>
      <c r="V155" s="346"/>
      <c r="W155" s="346"/>
      <c r="X155" s="346"/>
      <c r="Y155" s="346"/>
      <c r="Z155" s="346"/>
      <c r="AA155" s="346"/>
      <c r="AB155" s="346"/>
      <c r="AC155" s="346"/>
      <c r="AD155" s="346"/>
      <c r="AE155" s="346"/>
      <c r="AF155" s="346"/>
      <c r="AG155" s="346"/>
      <c r="AH155" s="346"/>
      <c r="AI155" s="244"/>
      <c r="AJ155" s="265"/>
      <c r="AK155" s="245"/>
    </row>
    <row r="156" spans="1:37" s="286" customFormat="1" x14ac:dyDescent="0.25">
      <c r="A156" s="246" t="s">
        <v>1046</v>
      </c>
      <c r="B156" s="8"/>
      <c r="C156" s="244"/>
      <c r="D156" s="244"/>
      <c r="E156" s="244"/>
      <c r="F156" s="244"/>
      <c r="G156" s="244"/>
      <c r="H156" s="244"/>
      <c r="I156" s="244"/>
      <c r="J156" s="244"/>
      <c r="K156" s="244"/>
      <c r="L156" s="244"/>
      <c r="M156" s="244"/>
      <c r="N156" s="244"/>
      <c r="O156" s="244"/>
      <c r="P156" s="244"/>
      <c r="Q156" s="244"/>
      <c r="R156" s="244"/>
      <c r="S156" s="244"/>
      <c r="T156" s="244"/>
      <c r="U156" s="244"/>
      <c r="V156" s="244"/>
      <c r="W156" s="244"/>
      <c r="X156" s="244"/>
      <c r="Y156" s="244"/>
      <c r="Z156" s="244"/>
      <c r="AA156" s="244"/>
      <c r="AB156" s="244"/>
      <c r="AC156" s="244"/>
      <c r="AD156" s="244"/>
      <c r="AE156" s="244"/>
      <c r="AF156" s="244"/>
      <c r="AG156" s="244"/>
      <c r="AH156" s="244"/>
      <c r="AI156" s="244"/>
      <c r="AJ156" s="265"/>
      <c r="AK156" s="245"/>
    </row>
    <row r="157" spans="1:37" s="286" customFormat="1" x14ac:dyDescent="0.25">
      <c r="A157" s="8" t="s">
        <v>1034</v>
      </c>
      <c r="B157" s="8" t="s">
        <v>1033</v>
      </c>
      <c r="C157" s="244">
        <v>71926.345087097943</v>
      </c>
      <c r="D157" s="244">
        <v>109950.72962414306</v>
      </c>
      <c r="E157" s="244">
        <v>8164.5166603962589</v>
      </c>
      <c r="F157" s="244">
        <v>213350.43336835186</v>
      </c>
      <c r="G157" s="244">
        <v>338392.20392520633</v>
      </c>
      <c r="H157" s="244">
        <v>78977.237761215598</v>
      </c>
      <c r="I157" s="244">
        <v>126479.99966191819</v>
      </c>
      <c r="J157" s="244">
        <v>263457.81159042328</v>
      </c>
      <c r="K157" s="244">
        <v>280320.33606649522</v>
      </c>
      <c r="L157" s="244">
        <v>404525.88480064762</v>
      </c>
      <c r="M157" s="244">
        <v>381765.9826112084</v>
      </c>
      <c r="N157" s="244">
        <v>112255.46102094359</v>
      </c>
      <c r="O157" s="244">
        <v>-18752.344946227593</v>
      </c>
      <c r="P157" s="244">
        <v>131264.37908811326</v>
      </c>
      <c r="Q157" s="244">
        <v>388421.14402480941</v>
      </c>
      <c r="R157" s="244">
        <v>395375.21476983954</v>
      </c>
      <c r="S157" s="244">
        <v>640270.0329119853</v>
      </c>
      <c r="T157" s="244">
        <v>-9838.6769504088534</v>
      </c>
      <c r="U157" s="244">
        <v>-28260.874667806933</v>
      </c>
      <c r="V157" s="244">
        <v>1992.7485296383552</v>
      </c>
      <c r="W157" s="244">
        <v>132956.05478550936</v>
      </c>
      <c r="X157" s="244">
        <v>92974.515410570297</v>
      </c>
      <c r="Y157" s="244">
        <v>133809.86481130144</v>
      </c>
      <c r="Z157" s="244">
        <v>570068.2317397024</v>
      </c>
      <c r="AA157" s="244">
        <v>85515.281265395432</v>
      </c>
      <c r="AB157" s="244">
        <v>232159.71493823596</v>
      </c>
      <c r="AC157" s="244">
        <v>3816.5830850633852</v>
      </c>
      <c r="AD157" s="244">
        <v>123623.56517801523</v>
      </c>
      <c r="AE157" s="244">
        <v>116987.83310728392</v>
      </c>
      <c r="AF157" s="244">
        <v>105984.22481849149</v>
      </c>
      <c r="AG157" s="244">
        <v>174304.8159455717</v>
      </c>
      <c r="AH157" s="244">
        <v>147636.43346106063</v>
      </c>
      <c r="AI157" s="244"/>
      <c r="AJ157" s="265"/>
      <c r="AK157" s="245">
        <f>SUM(C157:AI157)</f>
        <v>5809875.6834841911</v>
      </c>
    </row>
    <row r="158" spans="1:37" s="286" customFormat="1" x14ac:dyDescent="0.25">
      <c r="A158" s="8" t="s">
        <v>1047</v>
      </c>
      <c r="B158" s="8" t="s">
        <v>1033</v>
      </c>
      <c r="C158" s="244">
        <v>-45695.131752851921</v>
      </c>
      <c r="D158" s="244">
        <v>-86347.28635346012</v>
      </c>
      <c r="E158" s="244">
        <v>-26539.857971687601</v>
      </c>
      <c r="F158" s="244">
        <v>-200960.40065794004</v>
      </c>
      <c r="G158" s="244">
        <v>-193618.78201948901</v>
      </c>
      <c r="H158" s="244">
        <v>-60201.184251409722</v>
      </c>
      <c r="I158" s="244">
        <v>-118259.04173331248</v>
      </c>
      <c r="J158" s="244">
        <v>-277621.58749640087</v>
      </c>
      <c r="K158" s="244">
        <v>-329464.38466601563</v>
      </c>
      <c r="L158" s="244">
        <v>-400838.6963496994</v>
      </c>
      <c r="M158" s="244">
        <v>-159993.09381555059</v>
      </c>
      <c r="N158" s="244">
        <v>-103967.68064180469</v>
      </c>
      <c r="O158" s="244">
        <v>-60449.02816385615</v>
      </c>
      <c r="P158" s="244">
        <v>-23583.255352080814</v>
      </c>
      <c r="Q158" s="244">
        <v>-148706.71379953783</v>
      </c>
      <c r="R158" s="244">
        <v>-397172.10722524091</v>
      </c>
      <c r="S158" s="244">
        <v>-175520.40558348523</v>
      </c>
      <c r="T158" s="244">
        <v>70698.12777311384</v>
      </c>
      <c r="U158" s="244">
        <v>41605.167710720183</v>
      </c>
      <c r="V158" s="244">
        <v>21986.05201716175</v>
      </c>
      <c r="W158" s="244">
        <v>-21282.00790085355</v>
      </c>
      <c r="X158" s="244">
        <v>-24194.963878662176</v>
      </c>
      <c r="Y158" s="244">
        <v>-22679.224272557622</v>
      </c>
      <c r="Z158" s="244">
        <v>-10422.11158696169</v>
      </c>
      <c r="AA158" s="244">
        <v>-101778.11679547325</v>
      </c>
      <c r="AB158" s="244">
        <v>-36598.66438148942</v>
      </c>
      <c r="AC158" s="244">
        <v>-15030.850113519906</v>
      </c>
      <c r="AD158" s="244">
        <v>-34256.898832127546</v>
      </c>
      <c r="AE158" s="244">
        <v>-20007.96659151476</v>
      </c>
      <c r="AF158" s="244">
        <v>-112489.37380181716</v>
      </c>
      <c r="AG158" s="244">
        <v>-149667.48075543967</v>
      </c>
      <c r="AH158" s="244">
        <v>-160285.6515051536</v>
      </c>
      <c r="AI158" s="244"/>
      <c r="AJ158" s="265"/>
      <c r="AK158" s="245">
        <f>SUM(C158:AI158)</f>
        <v>-3383342.6007483974</v>
      </c>
    </row>
    <row r="159" spans="1:37" s="261" customFormat="1" x14ac:dyDescent="0.25">
      <c r="A159" s="22" t="s">
        <v>1046</v>
      </c>
      <c r="B159" s="22" t="s">
        <v>1051</v>
      </c>
      <c r="C159" s="346">
        <f t="shared" ref="C159:AH159" si="63">SUM(C157:C158)*1000/C17</f>
        <v>45.85418181911821</v>
      </c>
      <c r="D159" s="346">
        <f t="shared" si="63"/>
        <v>59.98068174656602</v>
      </c>
      <c r="E159" s="346">
        <f t="shared" si="63"/>
        <v>-40.452714628797786</v>
      </c>
      <c r="F159" s="346">
        <f t="shared" si="63"/>
        <v>9.2351245321340816</v>
      </c>
      <c r="G159" s="346">
        <f t="shared" si="63"/>
        <v>173.07731926693828</v>
      </c>
      <c r="H159" s="346">
        <f t="shared" si="63"/>
        <v>46.230871642505889</v>
      </c>
      <c r="I159" s="346">
        <f t="shared" si="63"/>
        <v>18.016048506348973</v>
      </c>
      <c r="J159" s="346">
        <f t="shared" si="63"/>
        <v>-17.090691869782802</v>
      </c>
      <c r="K159" s="346">
        <f t="shared" si="63"/>
        <v>-30.055253748790957</v>
      </c>
      <c r="L159" s="346">
        <f t="shared" si="63"/>
        <v>4.8427884527658653</v>
      </c>
      <c r="M159" s="346">
        <f t="shared" si="63"/>
        <v>156.85272726442511</v>
      </c>
      <c r="N159" s="346">
        <f t="shared" si="63"/>
        <v>26.213568475226062</v>
      </c>
      <c r="O159" s="346">
        <f t="shared" si="63"/>
        <v>-47.324733008734867</v>
      </c>
      <c r="P159" s="346">
        <f t="shared" si="63"/>
        <v>89.673482207984264</v>
      </c>
      <c r="Q159" s="346">
        <f t="shared" si="63"/>
        <v>111.96231672777918</v>
      </c>
      <c r="R159" s="346">
        <f t="shared" si="63"/>
        <v>-0.75010292478799689</v>
      </c>
      <c r="S159" s="346">
        <f t="shared" si="63"/>
        <v>158.22532947525298</v>
      </c>
      <c r="T159" s="346">
        <f t="shared" si="63"/>
        <v>132.8659869897966</v>
      </c>
      <c r="U159" s="346">
        <f t="shared" si="63"/>
        <v>54.669020003386379</v>
      </c>
      <c r="V159" s="346">
        <f t="shared" si="63"/>
        <v>62.81564488957553</v>
      </c>
      <c r="W159" s="346">
        <f t="shared" si="63"/>
        <v>279.20031731325491</v>
      </c>
      <c r="X159" s="346">
        <f t="shared" si="63"/>
        <v>121.13707475175163</v>
      </c>
      <c r="Y159" s="346">
        <f t="shared" si="63"/>
        <v>141.94324039737282</v>
      </c>
      <c r="Z159" s="346">
        <f t="shared" si="63"/>
        <v>294.63680915893133</v>
      </c>
      <c r="AA159" s="346">
        <f t="shared" si="63"/>
        <v>-127.76758492178621</v>
      </c>
      <c r="AB159" s="346">
        <f t="shared" si="63"/>
        <v>299.09410970952842</v>
      </c>
      <c r="AC159" s="346">
        <f t="shared" si="63"/>
        <v>-54.665281427677307</v>
      </c>
      <c r="AD159" s="346">
        <f t="shared" si="63"/>
        <v>159.20108075304836</v>
      </c>
      <c r="AE159" s="346">
        <f t="shared" si="63"/>
        <v>165.22856422536722</v>
      </c>
      <c r="AF159" s="346">
        <f t="shared" si="63"/>
        <v>-35.157116976323792</v>
      </c>
      <c r="AG159" s="346">
        <f t="shared" si="63"/>
        <v>138.37178774887835</v>
      </c>
      <c r="AH159" s="346">
        <f t="shared" si="63"/>
        <v>-62.410580942349306</v>
      </c>
      <c r="AI159" s="346"/>
      <c r="AJ159" s="347"/>
      <c r="AK159" s="348"/>
    </row>
    <row r="160" spans="1:37" s="261" customFormat="1" x14ac:dyDescent="0.25">
      <c r="A160" s="22" t="s">
        <v>1052</v>
      </c>
      <c r="B160" s="22" t="s">
        <v>1053</v>
      </c>
      <c r="C160" s="346">
        <f t="shared" ref="C160:AH160" si="64">C157*1000/C19</f>
        <v>125.73279257740552</v>
      </c>
      <c r="D160" s="346">
        <f t="shared" si="64"/>
        <v>279.4049853604626</v>
      </c>
      <c r="E160" s="346">
        <f t="shared" si="64"/>
        <v>17.973917161589014</v>
      </c>
      <c r="F160" s="346">
        <f t="shared" si="64"/>
        <v>159.02442448644794</v>
      </c>
      <c r="G160" s="346">
        <f t="shared" si="64"/>
        <v>518.65001514831351</v>
      </c>
      <c r="H160" s="346">
        <f t="shared" si="64"/>
        <v>231.36483417939669</v>
      </c>
      <c r="I160" s="346">
        <f t="shared" si="64"/>
        <v>377.40330116216734</v>
      </c>
      <c r="J160" s="346">
        <f t="shared" si="64"/>
        <v>317.90084144715519</v>
      </c>
      <c r="K160" s="346">
        <f t="shared" si="64"/>
        <v>171.43680814907651</v>
      </c>
      <c r="L160" s="346">
        <f t="shared" si="64"/>
        <v>531.30815249046316</v>
      </c>
      <c r="M160" s="346">
        <f t="shared" si="64"/>
        <v>374.52292890052911</v>
      </c>
      <c r="N160" s="346">
        <f t="shared" si="64"/>
        <v>355.05480111386737</v>
      </c>
      <c r="O160" s="346">
        <f t="shared" si="64"/>
        <v>-12.358335930361619</v>
      </c>
      <c r="P160" s="346">
        <f t="shared" si="64"/>
        <v>127.8329814770962</v>
      </c>
      <c r="Q160" s="346">
        <f t="shared" si="64"/>
        <v>217.02950718790106</v>
      </c>
      <c r="R160" s="346">
        <f t="shared" si="64"/>
        <v>165.04722032532266</v>
      </c>
      <c r="S160" s="346">
        <f t="shared" si="64"/>
        <v>441.14639512941773</v>
      </c>
      <c r="T160" s="346">
        <f t="shared" si="64"/>
        <v>-76.37563588921202</v>
      </c>
      <c r="U160" s="346">
        <f t="shared" si="64"/>
        <v>-1554.3417416483255</v>
      </c>
      <c r="V160" s="346">
        <f t="shared" si="64"/>
        <v>9.9707101974924814</v>
      </c>
      <c r="W160" s="346">
        <f t="shared" si="64"/>
        <v>945.68163528400305</v>
      </c>
      <c r="X160" s="346">
        <f t="shared" si="64"/>
        <v>306.04401932483057</v>
      </c>
      <c r="Y160" s="346">
        <f t="shared" si="64"/>
        <v>359.07913738977902</v>
      </c>
      <c r="Z160" s="346">
        <f t="shared" si="64"/>
        <v>371.32442521677825</v>
      </c>
      <c r="AA160" s="346">
        <f t="shared" si="64"/>
        <v>671.84353804594866</v>
      </c>
      <c r="AB160" s="346">
        <f t="shared" si="64"/>
        <v>651.75481672509363</v>
      </c>
      <c r="AC160" s="346">
        <f t="shared" si="64"/>
        <v>18.604389204188436</v>
      </c>
      <c r="AD160" s="346">
        <f t="shared" si="64"/>
        <v>365.5655873576838</v>
      </c>
      <c r="AE160" s="346">
        <f t="shared" si="64"/>
        <v>682.70231928117153</v>
      </c>
      <c r="AF160" s="346">
        <f t="shared" si="64"/>
        <v>572.79238325511642</v>
      </c>
      <c r="AG160" s="346">
        <f t="shared" si="64"/>
        <v>978.95607660069754</v>
      </c>
      <c r="AH160" s="346">
        <f t="shared" si="64"/>
        <v>728.43044909516414</v>
      </c>
      <c r="AI160" s="346"/>
      <c r="AJ160" s="347"/>
      <c r="AK160" s="348"/>
    </row>
    <row r="161" spans="1:37" s="286" customFormat="1" x14ac:dyDescent="0.25">
      <c r="A161" s="8"/>
      <c r="B161" s="8"/>
      <c r="C161" s="244"/>
      <c r="D161" s="244"/>
      <c r="E161" s="244"/>
      <c r="F161" s="244"/>
      <c r="G161" s="244"/>
      <c r="H161" s="244"/>
      <c r="I161" s="244"/>
      <c r="J161" s="244"/>
      <c r="K161" s="244"/>
      <c r="L161" s="244"/>
      <c r="M161" s="244"/>
      <c r="N161" s="244"/>
      <c r="O161" s="244"/>
      <c r="P161" s="244"/>
      <c r="Q161" s="244"/>
      <c r="R161" s="244"/>
      <c r="S161" s="244"/>
      <c r="T161" s="244"/>
      <c r="U161" s="244"/>
      <c r="V161" s="244"/>
      <c r="W161" s="244"/>
      <c r="X161" s="244"/>
      <c r="Y161" s="244"/>
      <c r="Z161" s="244"/>
      <c r="AA161" s="244"/>
      <c r="AB161" s="244"/>
      <c r="AC161" s="244"/>
      <c r="AD161" s="244"/>
      <c r="AE161" s="244"/>
      <c r="AF161" s="244"/>
      <c r="AG161" s="244"/>
      <c r="AH161" s="244"/>
      <c r="AI161" s="244"/>
      <c r="AJ161" s="265"/>
      <c r="AK161" s="245"/>
    </row>
    <row r="162" spans="1:37" s="286" customFormat="1" x14ac:dyDescent="0.25">
      <c r="A162" s="246" t="s">
        <v>1048</v>
      </c>
      <c r="B162" s="8"/>
      <c r="C162" s="244"/>
      <c r="D162" s="244"/>
      <c r="E162" s="244"/>
      <c r="F162" s="244"/>
      <c r="G162" s="244"/>
      <c r="H162" s="244"/>
      <c r="I162" s="244"/>
      <c r="J162" s="244"/>
      <c r="K162" s="244"/>
      <c r="L162" s="244"/>
      <c r="M162" s="244"/>
      <c r="N162" s="244"/>
      <c r="O162" s="244"/>
      <c r="P162" s="244"/>
      <c r="Q162" s="244"/>
      <c r="R162" s="244"/>
      <c r="S162" s="244"/>
      <c r="T162" s="244"/>
      <c r="U162" s="244"/>
      <c r="V162" s="244"/>
      <c r="W162" s="244"/>
      <c r="X162" s="244"/>
      <c r="Y162" s="244"/>
      <c r="Z162" s="244"/>
      <c r="AA162" s="244"/>
      <c r="AB162" s="244"/>
      <c r="AC162" s="244"/>
      <c r="AD162" s="244"/>
      <c r="AE162" s="244"/>
      <c r="AF162" s="244"/>
      <c r="AG162" s="244"/>
      <c r="AH162" s="244"/>
      <c r="AI162" s="244"/>
      <c r="AJ162" s="265"/>
      <c r="AK162" s="245"/>
    </row>
    <row r="163" spans="1:37" s="286" customFormat="1" x14ac:dyDescent="0.25">
      <c r="A163" s="21" t="s">
        <v>1049</v>
      </c>
      <c r="B163" s="21" t="s">
        <v>1035</v>
      </c>
      <c r="C163" s="244">
        <f t="shared" ref="C163:AH163" si="65">(C157+C158-SUM(C147:C153))/1000</f>
        <v>-171.98598787680271</v>
      </c>
      <c r="D163" s="244">
        <f t="shared" si="65"/>
        <v>-114.93142832985457</v>
      </c>
      <c r="E163" s="244">
        <f t="shared" si="65"/>
        <v>-144.73731693113513</v>
      </c>
      <c r="F163" s="244">
        <f t="shared" si="65"/>
        <v>-461.80526659947947</v>
      </c>
      <c r="G163" s="244">
        <f t="shared" si="65"/>
        <v>-222.29570494583206</v>
      </c>
      <c r="H163" s="244">
        <f t="shared" si="65"/>
        <v>-152.561802900874</v>
      </c>
      <c r="I163" s="244">
        <f t="shared" si="65"/>
        <v>-158.70538383424667</v>
      </c>
      <c r="J163" s="244">
        <f t="shared" si="65"/>
        <v>-298.02180856181286</v>
      </c>
      <c r="K163" s="244">
        <f t="shared" si="65"/>
        <v>-512.77387549505681</v>
      </c>
      <c r="L163" s="244">
        <f t="shared" si="65"/>
        <v>-213.34649884726949</v>
      </c>
      <c r="M163" s="244">
        <f t="shared" si="65"/>
        <v>-312.18375971090222</v>
      </c>
      <c r="N163" s="244">
        <f t="shared" si="65"/>
        <v>-95.940724948962412</v>
      </c>
      <c r="O163" s="244">
        <f t="shared" si="65"/>
        <v>-789.41181349148303</v>
      </c>
      <c r="P163" s="244">
        <f t="shared" si="65"/>
        <v>-387.43656959312432</v>
      </c>
      <c r="Q163" s="244">
        <f t="shared" si="65"/>
        <v>-648.70172479744565</v>
      </c>
      <c r="R163" s="244">
        <f t="shared" si="65"/>
        <v>-698.25361135054811</v>
      </c>
      <c r="S163" s="244">
        <f t="shared" si="65"/>
        <v>-491.73325472862251</v>
      </c>
      <c r="T163" s="244">
        <f t="shared" si="65"/>
        <v>-102.77439501294977</v>
      </c>
      <c r="U163" s="244">
        <f t="shared" si="65"/>
        <v>-76.550335956100113</v>
      </c>
      <c r="V163" s="244">
        <f t="shared" si="65"/>
        <v>-109.1237373766801</v>
      </c>
      <c r="W163" s="244">
        <f t="shared" si="65"/>
        <v>-30.671673247140685</v>
      </c>
      <c r="X163" s="244">
        <f t="shared" si="65"/>
        <v>-150.21578396561631</v>
      </c>
      <c r="Y163" s="244">
        <f t="shared" si="65"/>
        <v>-183.08834047733177</v>
      </c>
      <c r="Z163" s="244">
        <f t="shared" si="65"/>
        <v>-226.25020696933916</v>
      </c>
      <c r="AA163" s="244">
        <f t="shared" si="65"/>
        <v>-46.297020941462556</v>
      </c>
      <c r="AB163" s="244">
        <f t="shared" si="65"/>
        <v>-32.584443183990373</v>
      </c>
      <c r="AC163" s="244">
        <f t="shared" si="65"/>
        <v>-62.194484606283851</v>
      </c>
      <c r="AD163" s="244">
        <f t="shared" si="65"/>
        <v>-113.23396340145534</v>
      </c>
      <c r="AE163" s="244">
        <f t="shared" si="65"/>
        <v>-95.146817006220516</v>
      </c>
      <c r="AF163" s="244">
        <f t="shared" si="65"/>
        <v>-42.478287192159883</v>
      </c>
      <c r="AG163" s="244">
        <f t="shared" si="65"/>
        <v>-35.203406422606776</v>
      </c>
      <c r="AH163" s="244">
        <f t="shared" si="65"/>
        <v>-52.270527625824244</v>
      </c>
      <c r="AI163" s="244"/>
      <c r="AJ163" s="265"/>
      <c r="AK163" s="245">
        <f>SUM(C163:AI163)</f>
        <v>-7232.9099563286127</v>
      </c>
    </row>
    <row r="164" spans="1:37" s="261" customFormat="1" x14ac:dyDescent="0.25">
      <c r="A164" s="53"/>
      <c r="B164" s="22" t="s">
        <v>1051</v>
      </c>
      <c r="C164" s="346">
        <f t="shared" ref="C164:AH164" si="66">C163*1000000/C17</f>
        <v>-300.64475699062251</v>
      </c>
      <c r="D164" s="346">
        <f t="shared" si="66"/>
        <v>-292.06185497069674</v>
      </c>
      <c r="E164" s="346">
        <f t="shared" si="66"/>
        <v>-318.63448296088308</v>
      </c>
      <c r="F164" s="346">
        <f t="shared" si="66"/>
        <v>-344.21451874438338</v>
      </c>
      <c r="G164" s="346">
        <f t="shared" si="66"/>
        <v>-265.7555799270603</v>
      </c>
      <c r="H164" s="346">
        <f t="shared" si="66"/>
        <v>-375.64151187447851</v>
      </c>
      <c r="I164" s="346">
        <f t="shared" si="66"/>
        <v>-347.79935844550084</v>
      </c>
      <c r="J164" s="346">
        <f t="shared" si="66"/>
        <v>-359.6074192656323</v>
      </c>
      <c r="K164" s="346">
        <f t="shared" si="66"/>
        <v>-313.59949745583788</v>
      </c>
      <c r="L164" s="346">
        <f t="shared" si="66"/>
        <v>-280.21132491611081</v>
      </c>
      <c r="M164" s="346">
        <f t="shared" si="66"/>
        <v>-220.79738593942918</v>
      </c>
      <c r="N164" s="346">
        <f t="shared" si="66"/>
        <v>-303.45263121870488</v>
      </c>
      <c r="O164" s="346">
        <f t="shared" si="66"/>
        <v>-471.6926214839728</v>
      </c>
      <c r="P164" s="346">
        <f t="shared" si="66"/>
        <v>-322.6450943741944</v>
      </c>
      <c r="Q164" s="346">
        <f t="shared" si="66"/>
        <v>-302.98613189608187</v>
      </c>
      <c r="R164" s="346">
        <f t="shared" si="66"/>
        <v>-291.48214994360183</v>
      </c>
      <c r="S164" s="346">
        <f t="shared" si="66"/>
        <v>-167.41198199687841</v>
      </c>
      <c r="T164" s="346">
        <f t="shared" si="66"/>
        <v>-224.37306360938132</v>
      </c>
      <c r="U164" s="346">
        <f t="shared" si="66"/>
        <v>-313.61210625335258</v>
      </c>
      <c r="V164" s="346">
        <f t="shared" si="66"/>
        <v>-285.86408743416365</v>
      </c>
      <c r="W164" s="346">
        <f t="shared" si="66"/>
        <v>-76.68335787969724</v>
      </c>
      <c r="X164" s="346">
        <f t="shared" si="66"/>
        <v>-264.56556121471726</v>
      </c>
      <c r="Y164" s="346">
        <f t="shared" si="66"/>
        <v>-233.85226792848022</v>
      </c>
      <c r="Z164" s="346">
        <f t="shared" si="66"/>
        <v>-119.11391261821016</v>
      </c>
      <c r="AA164" s="346">
        <f t="shared" si="66"/>
        <v>-363.72860955421135</v>
      </c>
      <c r="AB164" s="346">
        <f t="shared" si="66"/>
        <v>-49.835153762729149</v>
      </c>
      <c r="AC164" s="346">
        <f t="shared" si="66"/>
        <v>-303.1744291111101</v>
      </c>
      <c r="AD164" s="346">
        <f t="shared" si="66"/>
        <v>-201.71916541779282</v>
      </c>
      <c r="AE164" s="346">
        <f t="shared" si="66"/>
        <v>-162.10552281998966</v>
      </c>
      <c r="AF164" s="346">
        <f t="shared" si="66"/>
        <v>-229.57415973049018</v>
      </c>
      <c r="AG164" s="346">
        <f t="shared" si="66"/>
        <v>-197.71449484916235</v>
      </c>
      <c r="AH164" s="346">
        <f t="shared" si="66"/>
        <v>-257.90005231305457</v>
      </c>
      <c r="AI164" s="346"/>
      <c r="AJ164" s="347"/>
      <c r="AK164" s="348"/>
    </row>
  </sheetData>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B1:B31"/>
  <sheetViews>
    <sheetView workbookViewId="0">
      <selection sqref="A1:XFD1048576"/>
    </sheetView>
  </sheetViews>
  <sheetFormatPr defaultColWidth="8.85546875" defaultRowHeight="15" x14ac:dyDescent="0.25"/>
  <cols>
    <col min="1" max="1" width="8.85546875" style="357"/>
    <col min="2" max="2" width="164.28515625" style="357" customWidth="1"/>
    <col min="3" max="16384" width="8.85546875" style="357"/>
  </cols>
  <sheetData>
    <row r="1" spans="2:2" x14ac:dyDescent="0.25">
      <c r="B1" s="358" t="s">
        <v>1083</v>
      </c>
    </row>
    <row r="3" spans="2:2" x14ac:dyDescent="0.25">
      <c r="B3" s="357" t="s">
        <v>1084</v>
      </c>
    </row>
    <row r="4" spans="2:2" x14ac:dyDescent="0.25">
      <c r="B4" s="357" t="s">
        <v>1085</v>
      </c>
    </row>
    <row r="5" spans="2:2" x14ac:dyDescent="0.25">
      <c r="B5" s="359" t="s">
        <v>1086</v>
      </c>
    </row>
    <row r="6" spans="2:2" x14ac:dyDescent="0.25">
      <c r="B6" s="360" t="s">
        <v>1087</v>
      </c>
    </row>
    <row r="7" spans="2:2" x14ac:dyDescent="0.25">
      <c r="B7" s="360" t="s">
        <v>1088</v>
      </c>
    </row>
    <row r="8" spans="2:2" x14ac:dyDescent="0.25">
      <c r="B8" s="357" t="s">
        <v>1089</v>
      </c>
    </row>
    <row r="9" spans="2:2" x14ac:dyDescent="0.25">
      <c r="B9" s="357" t="s">
        <v>1090</v>
      </c>
    </row>
    <row r="10" spans="2:2" x14ac:dyDescent="0.25">
      <c r="B10" s="361" t="s">
        <v>1091</v>
      </c>
    </row>
    <row r="11" spans="2:2" x14ac:dyDescent="0.25">
      <c r="B11" s="357" t="s">
        <v>1092</v>
      </c>
    </row>
    <row r="12" spans="2:2" x14ac:dyDescent="0.25">
      <c r="B12" s="357" t="s">
        <v>1093</v>
      </c>
    </row>
    <row r="13" spans="2:2" x14ac:dyDescent="0.25">
      <c r="B13" s="357" t="s">
        <v>1094</v>
      </c>
    </row>
    <row r="14" spans="2:2" x14ac:dyDescent="0.25">
      <c r="B14" s="362" t="s">
        <v>1095</v>
      </c>
    </row>
    <row r="15" spans="2:2" x14ac:dyDescent="0.25">
      <c r="B15" s="359" t="s">
        <v>1096</v>
      </c>
    </row>
    <row r="16" spans="2:2" x14ac:dyDescent="0.25">
      <c r="B16" s="357" t="s">
        <v>1097</v>
      </c>
    </row>
    <row r="17" spans="2:2" x14ac:dyDescent="0.25">
      <c r="B17" s="359" t="s">
        <v>1098</v>
      </c>
    </row>
    <row r="18" spans="2:2" ht="30" x14ac:dyDescent="0.25">
      <c r="B18" s="359" t="s">
        <v>1099</v>
      </c>
    </row>
    <row r="19" spans="2:2" x14ac:dyDescent="0.25">
      <c r="B19" s="357" t="s">
        <v>1100</v>
      </c>
    </row>
    <row r="20" spans="2:2" x14ac:dyDescent="0.25">
      <c r="B20" s="361" t="s">
        <v>1101</v>
      </c>
    </row>
    <row r="21" spans="2:2" x14ac:dyDescent="0.25">
      <c r="B21" s="359" t="s">
        <v>1102</v>
      </c>
    </row>
    <row r="22" spans="2:2" ht="30" x14ac:dyDescent="0.25">
      <c r="B22" s="359" t="s">
        <v>1103</v>
      </c>
    </row>
    <row r="23" spans="2:2" ht="30" x14ac:dyDescent="0.25">
      <c r="B23" s="359" t="s">
        <v>1104</v>
      </c>
    </row>
    <row r="24" spans="2:2" ht="30" x14ac:dyDescent="0.25">
      <c r="B24" s="359" t="s">
        <v>1105</v>
      </c>
    </row>
    <row r="25" spans="2:2" x14ac:dyDescent="0.25">
      <c r="B25" s="362" t="s">
        <v>1106</v>
      </c>
    </row>
    <row r="26" spans="2:2" x14ac:dyDescent="0.25">
      <c r="B26" s="362" t="s">
        <v>1107</v>
      </c>
    </row>
    <row r="27" spans="2:2" x14ac:dyDescent="0.25">
      <c r="B27" s="360" t="s">
        <v>1108</v>
      </c>
    </row>
    <row r="28" spans="2:2" x14ac:dyDescent="0.25">
      <c r="B28" s="360" t="s">
        <v>1109</v>
      </c>
    </row>
    <row r="29" spans="2:2" x14ac:dyDescent="0.25">
      <c r="B29" s="361" t="s">
        <v>1110</v>
      </c>
    </row>
    <row r="30" spans="2:2" x14ac:dyDescent="0.25">
      <c r="B30" s="361" t="s">
        <v>1111</v>
      </c>
    </row>
    <row r="31" spans="2:2" x14ac:dyDescent="0.25">
      <c r="B31" s="357" t="s">
        <v>1112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Read me</vt:lpstr>
      <vt:lpstr>hypo</vt:lpstr>
      <vt:lpstr>pvar</vt:lpstr>
      <vt:lpstr>GRAFS</vt:lpstr>
      <vt:lpstr>Sources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2019-03-21T14:07:55Z</dcterms:modified>
</cp:coreProperties>
</file>