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5780" yWindow="1740" windowWidth="31860" windowHeight="18600" tabRatio="500"/>
  </bookViews>
  <sheets>
    <sheet name="species" sheetId="1" r:id="rId1"/>
    <sheet name="dilution_uneven_1" sheetId="4" r:id="rId2"/>
    <sheet name="dilution_uneven_2" sheetId="2" r:id="rId3"/>
    <sheet name="ITS_content_calc" sheetId="5" r:id="rId4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13" i="5" l="1"/>
  <c r="G12" i="5"/>
  <c r="G11" i="5"/>
  <c r="G10" i="5"/>
  <c r="D9" i="5"/>
  <c r="D12" i="5"/>
  <c r="D13" i="5"/>
  <c r="H13" i="5"/>
  <c r="H12" i="5"/>
  <c r="H11" i="5"/>
  <c r="H10" i="5"/>
  <c r="J13" i="5"/>
  <c r="J12" i="5"/>
  <c r="J11" i="5"/>
  <c r="J10" i="5"/>
  <c r="I13" i="5"/>
  <c r="I12" i="5"/>
  <c r="I11" i="5"/>
  <c r="I10" i="5"/>
  <c r="J6" i="2"/>
  <c r="I12" i="2"/>
  <c r="H18" i="2"/>
  <c r="J6" i="4"/>
  <c r="I12" i="4"/>
  <c r="H18" i="4"/>
  <c r="D2" i="2"/>
  <c r="D3" i="2"/>
  <c r="D4" i="2"/>
  <c r="D5" i="2"/>
  <c r="D6" i="2"/>
  <c r="D7" i="2"/>
  <c r="E3" i="2"/>
  <c r="F3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E25" i="2"/>
  <c r="F25" i="2"/>
  <c r="G25" i="2"/>
  <c r="J8" i="2"/>
  <c r="J10" i="2"/>
  <c r="K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H24" i="2"/>
  <c r="H20" i="2"/>
  <c r="H22" i="2"/>
  <c r="I21" i="2"/>
  <c r="H21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H16" i="2"/>
  <c r="H19" i="2"/>
  <c r="I20" i="2"/>
  <c r="I14" i="2"/>
  <c r="I16" i="2"/>
  <c r="J15" i="2"/>
  <c r="I15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I10" i="2"/>
  <c r="I13" i="2"/>
  <c r="J14" i="2"/>
  <c r="J9" i="2"/>
  <c r="E2" i="2"/>
  <c r="F2" i="2"/>
  <c r="G2" i="2"/>
  <c r="G3" i="2"/>
  <c r="E4" i="2"/>
  <c r="F4" i="2"/>
  <c r="G4" i="2"/>
  <c r="E5" i="2"/>
  <c r="F5" i="2"/>
  <c r="G5" i="2"/>
  <c r="E6" i="2"/>
  <c r="F6" i="2"/>
  <c r="G6" i="2"/>
  <c r="E7" i="2"/>
  <c r="F7" i="2"/>
  <c r="G7" i="2"/>
  <c r="J4" i="2"/>
  <c r="J7" i="2"/>
  <c r="K8" i="2"/>
  <c r="K10" i="2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E25" i="4"/>
  <c r="F25" i="4"/>
  <c r="G25" i="4"/>
  <c r="J8" i="4"/>
  <c r="J10" i="4"/>
  <c r="K9" i="4"/>
  <c r="E20" i="4"/>
  <c r="F20" i="4"/>
  <c r="G20" i="4"/>
  <c r="E21" i="4"/>
  <c r="F21" i="4"/>
  <c r="G21" i="4"/>
  <c r="E22" i="4"/>
  <c r="F22" i="4"/>
  <c r="G22" i="4"/>
  <c r="E23" i="4"/>
  <c r="F23" i="4"/>
  <c r="G23" i="4"/>
  <c r="E24" i="4"/>
  <c r="F24" i="4"/>
  <c r="G24" i="4"/>
  <c r="H24" i="4"/>
  <c r="H20" i="4"/>
  <c r="H22" i="4"/>
  <c r="I21" i="4"/>
  <c r="H21" i="4"/>
  <c r="E14" i="4"/>
  <c r="F14" i="4"/>
  <c r="G14" i="4"/>
  <c r="E15" i="4"/>
  <c r="F15" i="4"/>
  <c r="G15" i="4"/>
  <c r="E16" i="4"/>
  <c r="F16" i="4"/>
  <c r="G16" i="4"/>
  <c r="E17" i="4"/>
  <c r="F17" i="4"/>
  <c r="G17" i="4"/>
  <c r="E18" i="4"/>
  <c r="F18" i="4"/>
  <c r="G18" i="4"/>
  <c r="E19" i="4"/>
  <c r="F19" i="4"/>
  <c r="G19" i="4"/>
  <c r="H16" i="4"/>
  <c r="H19" i="4"/>
  <c r="I20" i="4"/>
  <c r="I14" i="4"/>
  <c r="I16" i="4"/>
  <c r="J15" i="4"/>
  <c r="I15" i="4"/>
  <c r="E8" i="4"/>
  <c r="F8" i="4"/>
  <c r="G8" i="4"/>
  <c r="E9" i="4"/>
  <c r="F9" i="4"/>
  <c r="G9" i="4"/>
  <c r="E10" i="4"/>
  <c r="F10" i="4"/>
  <c r="G10" i="4"/>
  <c r="E11" i="4"/>
  <c r="F11" i="4"/>
  <c r="G11" i="4"/>
  <c r="E12" i="4"/>
  <c r="F12" i="4"/>
  <c r="G12" i="4"/>
  <c r="E13" i="4"/>
  <c r="F13" i="4"/>
  <c r="G13" i="4"/>
  <c r="I10" i="4"/>
  <c r="I13" i="4"/>
  <c r="J14" i="4"/>
  <c r="J9" i="4"/>
  <c r="E2" i="4"/>
  <c r="F2" i="4"/>
  <c r="G2" i="4"/>
  <c r="E3" i="4"/>
  <c r="F3" i="4"/>
  <c r="G3" i="4"/>
  <c r="E4" i="4"/>
  <c r="F4" i="4"/>
  <c r="G4" i="4"/>
  <c r="E5" i="4"/>
  <c r="F5" i="4"/>
  <c r="G5" i="4"/>
  <c r="E6" i="4"/>
  <c r="F6" i="4"/>
  <c r="G6" i="4"/>
  <c r="E7" i="4"/>
  <c r="F7" i="4"/>
  <c r="G7" i="4"/>
  <c r="J4" i="4"/>
  <c r="J7" i="4"/>
  <c r="K8" i="4"/>
  <c r="K10" i="4"/>
</calcChain>
</file>

<file path=xl/sharedStrings.xml><?xml version="1.0" encoding="utf-8"?>
<sst xmlns="http://schemas.openxmlformats.org/spreadsheetml/2006/main" count="318" uniqueCount="191">
  <si>
    <t>phylum</t>
  </si>
  <si>
    <t>class</t>
  </si>
  <si>
    <t>order</t>
  </si>
  <si>
    <t>family</t>
  </si>
  <si>
    <t>genus</t>
  </si>
  <si>
    <t>species</t>
  </si>
  <si>
    <t>Basidiomycota</t>
  </si>
  <si>
    <t>Agaricomycetes</t>
  </si>
  <si>
    <t>Agaricales</t>
  </si>
  <si>
    <t>Cortinariaceae</t>
  </si>
  <si>
    <t>Hebeloma</t>
  </si>
  <si>
    <t>Hebeloma crustiliniforme</t>
  </si>
  <si>
    <t>Boletales</t>
  </si>
  <si>
    <t>Coniophoraceae</t>
  </si>
  <si>
    <t>Coniophora</t>
  </si>
  <si>
    <t>Coniophora puteana</t>
  </si>
  <si>
    <t>Polyporales</t>
  </si>
  <si>
    <t>Coriolaceae</t>
  </si>
  <si>
    <t>Fomitopsis</t>
  </si>
  <si>
    <t>Fomitopsis pinicola</t>
  </si>
  <si>
    <t>Russulales</t>
  </si>
  <si>
    <t>Bondarzewiaceae</t>
  </si>
  <si>
    <t>Heterobasidion</t>
  </si>
  <si>
    <t>Heterobasidion annosum</t>
  </si>
  <si>
    <t>Cystobasidiomycetes</t>
  </si>
  <si>
    <t>Erythrobasidiales</t>
  </si>
  <si>
    <t>Erythrobasidiaceae</t>
  </si>
  <si>
    <t>Erythrobasidium</t>
  </si>
  <si>
    <t>Erythrobasidium hasegawianum</t>
  </si>
  <si>
    <t>Tremellomycetes</t>
  </si>
  <si>
    <t>Tremellales</t>
  </si>
  <si>
    <t>Rhynchogastremataceae</t>
  </si>
  <si>
    <t>Papiliotrema</t>
  </si>
  <si>
    <t>Papiliotrema flavescens</t>
  </si>
  <si>
    <t>Ascomycota</t>
  </si>
  <si>
    <t>Dothideomycetes</t>
  </si>
  <si>
    <t>Capnodiales</t>
  </si>
  <si>
    <t>Mycosphaerellaceae</t>
  </si>
  <si>
    <t>Septoria</t>
  </si>
  <si>
    <t>Septoria sp.</t>
  </si>
  <si>
    <t>Aureobasidium pullulans</t>
  </si>
  <si>
    <t>Dothideales</t>
  </si>
  <si>
    <t>Dothioraceae</t>
  </si>
  <si>
    <t>Aureobasidium</t>
  </si>
  <si>
    <t>Pleosporales</t>
  </si>
  <si>
    <t>Didymellaceae</t>
  </si>
  <si>
    <t>Boeremia</t>
  </si>
  <si>
    <t>Epicoccum</t>
  </si>
  <si>
    <t>Epicoccum nigrum</t>
  </si>
  <si>
    <t>Venturiales</t>
  </si>
  <si>
    <t>Venturiaceae</t>
  </si>
  <si>
    <t>Venturia</t>
  </si>
  <si>
    <t>Venturia fraxini</t>
  </si>
  <si>
    <t>Eurotiomycetes</t>
  </si>
  <si>
    <t>Eurotiales</t>
  </si>
  <si>
    <t>Aspergillaceae</t>
  </si>
  <si>
    <t>Penicillium</t>
  </si>
  <si>
    <t>Penicillium sp.</t>
  </si>
  <si>
    <t>Phialocephala fortinii</t>
  </si>
  <si>
    <t>Leotiomycetes</t>
  </si>
  <si>
    <t>Helotiales</t>
  </si>
  <si>
    <t>Phialocephala</t>
  </si>
  <si>
    <t>Helotiaceae</t>
  </si>
  <si>
    <t>Hymenoscyphus</t>
  </si>
  <si>
    <t>Hymenoscyphus fraxineus</t>
  </si>
  <si>
    <t>Saccharomyces cervisiae</t>
  </si>
  <si>
    <t>Saccharomycetes</t>
  </si>
  <si>
    <t>Saccharomycetales</t>
  </si>
  <si>
    <t>Saccharomycetaceae</t>
  </si>
  <si>
    <t>Saccharomyces</t>
  </si>
  <si>
    <t>Pezizomycetes</t>
  </si>
  <si>
    <t>Pezizales</t>
  </si>
  <si>
    <t>Sarcoscyphaceae</t>
  </si>
  <si>
    <t>Pithya</t>
  </si>
  <si>
    <t>Pithya vulgaris</t>
  </si>
  <si>
    <t>Sordariomycetes</t>
  </si>
  <si>
    <t>Diaporthales</t>
  </si>
  <si>
    <t>Diaporthaceae</t>
  </si>
  <si>
    <t>Diaporthe</t>
  </si>
  <si>
    <t>Diaporthe eres</t>
  </si>
  <si>
    <t>Glomerellales</t>
  </si>
  <si>
    <t>Glomerellaceae</t>
  </si>
  <si>
    <t>Colletotrichum</t>
  </si>
  <si>
    <t>Colletotrichum acutatum</t>
  </si>
  <si>
    <t>Hypocreales</t>
  </si>
  <si>
    <t>Nectriaceae</t>
  </si>
  <si>
    <t>Fusarium</t>
  </si>
  <si>
    <t>Fusarium tritinctum</t>
  </si>
  <si>
    <t>Ophiostomatales</t>
  </si>
  <si>
    <t>Ophiostomataceae</t>
  </si>
  <si>
    <t>Ophiostoma</t>
  </si>
  <si>
    <t>Ophiostoma minus</t>
  </si>
  <si>
    <t>Xylariaceae_isolate</t>
  </si>
  <si>
    <t>Xylariales</t>
  </si>
  <si>
    <t>Xylariaceae</t>
  </si>
  <si>
    <t>Nemania</t>
  </si>
  <si>
    <t>Nemania serpens</t>
  </si>
  <si>
    <t>(Zygomycota)</t>
  </si>
  <si>
    <t>Mucorales</t>
  </si>
  <si>
    <t>Backusellaceae</t>
  </si>
  <si>
    <t>Backusella</t>
  </si>
  <si>
    <t>Backusella tuberculispora</t>
  </si>
  <si>
    <t>days in liquid culture</t>
  </si>
  <si>
    <t>rel. abundance</t>
  </si>
  <si>
    <t>isolation source</t>
  </si>
  <si>
    <t>Genbank accession</t>
  </si>
  <si>
    <t>commercial baker's yeast</t>
  </si>
  <si>
    <t>forest soil</t>
  </si>
  <si>
    <r>
      <rPr>
        <i/>
        <sz val="12"/>
        <color theme="1"/>
        <rFont val="Calibri"/>
        <family val="2"/>
        <scheme val="minor"/>
      </rPr>
      <t>Abies balsamea</t>
    </r>
    <r>
      <rPr>
        <sz val="12"/>
        <color theme="1"/>
        <rFont val="Calibri"/>
        <family val="2"/>
        <charset val="238"/>
        <scheme val="minor"/>
      </rPr>
      <t xml:space="preserve"> needle (endophytic)</t>
    </r>
  </si>
  <si>
    <r>
      <rPr>
        <i/>
        <sz val="12"/>
        <color theme="1"/>
        <rFont val="Calibri"/>
        <family val="2"/>
        <scheme val="minor"/>
      </rPr>
      <t>Pinus sylvestris</t>
    </r>
    <r>
      <rPr>
        <sz val="12"/>
        <color theme="1"/>
        <rFont val="Calibri"/>
        <family val="2"/>
        <charset val="238"/>
        <scheme val="minor"/>
      </rPr>
      <t xml:space="preserve"> wood (stem)</t>
    </r>
  </si>
  <si>
    <r>
      <t xml:space="preserve">root from mixed </t>
    </r>
    <r>
      <rPr>
        <i/>
        <sz val="12"/>
        <color theme="1"/>
        <rFont val="Calibri"/>
        <family val="2"/>
        <scheme val="minor"/>
      </rPr>
      <t>Picea mariana</t>
    </r>
    <r>
      <rPr>
        <sz val="12"/>
        <color theme="1"/>
        <rFont val="Calibri"/>
        <family val="2"/>
        <charset val="238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P. glauca</t>
    </r>
    <r>
      <rPr>
        <sz val="12"/>
        <color theme="1"/>
        <rFont val="Calibri"/>
        <family val="2"/>
        <charset val="238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Pinus contorta</t>
    </r>
    <r>
      <rPr>
        <sz val="12"/>
        <color theme="1"/>
        <rFont val="Calibri"/>
        <family val="2"/>
        <charset val="238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Populus</t>
    </r>
    <r>
      <rPr>
        <sz val="12"/>
        <color theme="1"/>
        <rFont val="Calibri"/>
        <family val="2"/>
        <charset val="238"/>
        <scheme val="minor"/>
      </rPr>
      <t xml:space="preserve"> woods (UAMH 5460)</t>
    </r>
  </si>
  <si>
    <r>
      <rPr>
        <i/>
        <sz val="12"/>
        <color theme="1"/>
        <rFont val="Calibri"/>
        <family val="2"/>
        <scheme val="minor"/>
      </rPr>
      <t>Picea abies</t>
    </r>
    <r>
      <rPr>
        <sz val="12"/>
        <color theme="1"/>
        <rFont val="Calibri"/>
        <family val="2"/>
        <charset val="238"/>
        <scheme val="minor"/>
      </rPr>
      <t xml:space="preserve"> fine root (UAMH 11012)</t>
    </r>
  </si>
  <si>
    <t>group</t>
  </si>
  <si>
    <t>conc. [ng/µl]</t>
  </si>
  <si>
    <t>volume to pipet</t>
  </si>
  <si>
    <t>↓</t>
  </si>
  <si>
    <t>↑</t>
  </si>
  <si>
    <t>* rel. abundance of lower (diluted) group in upper pool</t>
  </si>
  <si>
    <t>total:</t>
  </si>
  <si>
    <t>rel. abund in group</t>
  </si>
  <si>
    <t>Sub-pools</t>
  </si>
  <si>
    <t>(4+5+3) + 2</t>
  </si>
  <si>
    <t>(4+5+3+2) + 1</t>
  </si>
  <si>
    <t>4 + 5</t>
  </si>
  <si>
    <t>(4+5) + 3</t>
  </si>
  <si>
    <t>combination of sub-pools:</t>
  </si>
  <si>
    <t>mean</t>
  </si>
  <si>
    <t>std. dev.</t>
  </si>
  <si>
    <t>mass to pipet</t>
  </si>
  <si>
    <r>
      <t>F. excelsior</t>
    </r>
    <r>
      <rPr>
        <sz val="12"/>
        <color theme="1"/>
        <rFont val="Calibri"/>
        <family val="2"/>
        <charset val="238"/>
        <scheme val="minor"/>
      </rPr>
      <t>leaves (epiphytic)</t>
    </r>
  </si>
  <si>
    <t>F. excelsior leaves</t>
  </si>
  <si>
    <t>Total:</t>
  </si>
  <si>
    <t>Boeremia sp. 1</t>
  </si>
  <si>
    <t>Boeremia sp. 2</t>
  </si>
  <si>
    <t>k</t>
  </si>
  <si>
    <t>(dilution factor)</t>
  </si>
  <si>
    <t>dead wood</t>
  </si>
  <si>
    <t>#</t>
  </si>
  <si>
    <t>fruiting body</t>
  </si>
  <si>
    <r>
      <t>Boeremia sp. 2</t>
    </r>
    <r>
      <rPr>
        <vertAlign val="superscript"/>
        <sz val="12"/>
        <color theme="1"/>
        <rFont val="Calibri"/>
        <scheme val="minor"/>
      </rPr>
      <t>1</t>
    </r>
  </si>
  <si>
    <r>
      <rPr>
        <vertAlign val="superscript"/>
        <sz val="12"/>
        <color theme="1"/>
        <rFont val="Calibri"/>
        <scheme val="minor"/>
      </rPr>
      <t>1</t>
    </r>
    <r>
      <rPr>
        <sz val="12"/>
        <color theme="1"/>
        <rFont val="Calibri"/>
        <family val="2"/>
        <charset val="238"/>
        <scheme val="minor"/>
      </rPr>
      <t xml:space="preserve"> Similar to sp. 1, ITS2 sequence differs by 1 substitution and 2 InDels</t>
    </r>
  </si>
  <si>
    <r>
      <t xml:space="preserve">expected frequency (qPCR) </t>
    </r>
    <r>
      <rPr>
        <b/>
        <vertAlign val="superscript"/>
        <sz val="12"/>
        <color theme="1"/>
        <rFont val="Calibri"/>
      </rPr>
      <t>2</t>
    </r>
  </si>
  <si>
    <r>
      <rPr>
        <vertAlign val="super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Expected relative amount of each species in the even mock community as calculated from the qPCR results (N0)</t>
    </r>
  </si>
  <si>
    <r>
      <rPr>
        <i/>
        <sz val="12"/>
        <color theme="1"/>
        <rFont val="Calibri"/>
        <family val="2"/>
        <scheme val="minor"/>
      </rPr>
      <t xml:space="preserve">F. excelsior </t>
    </r>
    <r>
      <rPr>
        <sz val="12"/>
        <color theme="1"/>
        <rFont val="Calibri"/>
        <family val="2"/>
        <charset val="238"/>
        <scheme val="minor"/>
      </rPr>
      <t>necrosis, Vienna</t>
    </r>
  </si>
  <si>
    <t>amount of gDNA in 1 ul</t>
  </si>
  <si>
    <t>Mbp</t>
  </si>
  <si>
    <t>bp</t>
  </si>
  <si>
    <t># genomes</t>
  </si>
  <si>
    <t># ITS units</t>
  </si>
  <si>
    <t>ng/µl</t>
  </si>
  <si>
    <t>genome properties</t>
  </si>
  <si>
    <t># rDNA repeats</t>
  </si>
  <si>
    <t>Number of ITS units in the undiluted</t>
  </si>
  <si>
    <t>communities (0.75ng/µl)</t>
  </si>
  <si>
    <t>Frequency of single species</t>
  </si>
  <si>
    <t>dil. factor</t>
  </si>
  <si>
    <t>This worksheet calculates the number of ITS molecules given a hypothetical gnenome of 30 Mbp size with 60 rDNA repeats</t>
  </si>
  <si>
    <t>and different frequencies of single hypothetical species</t>
  </si>
  <si>
    <r>
      <t xml:space="preserve">Number of ITS molecules in </t>
    </r>
    <r>
      <rPr>
        <b/>
        <sz val="12"/>
        <color theme="1"/>
        <rFont val="Calibri"/>
        <family val="2"/>
        <scheme val="minor"/>
      </rPr>
      <t>4.5µl</t>
    </r>
    <r>
      <rPr>
        <sz val="12"/>
        <color theme="1"/>
        <rFont val="Calibri"/>
        <family val="2"/>
        <charset val="238"/>
        <scheme val="minor"/>
      </rPr>
      <t xml:space="preserve"> at different dilutions of the communities </t>
    </r>
  </si>
  <si>
    <r>
      <t xml:space="preserve">Formulas according to </t>
    </r>
    <r>
      <rPr>
        <u/>
        <sz val="12"/>
        <color theme="1"/>
        <rFont val="Calibri"/>
        <scheme val="minor"/>
      </rPr>
      <t>https://bitesizebio.com/20669/how-to-calculate-the-number-of-molecules-in-any-piece-of-dna</t>
    </r>
  </si>
  <si>
    <t>Epiphytic</t>
  </si>
  <si>
    <r>
      <t xml:space="preserve">final conc. </t>
    </r>
    <r>
      <rPr>
        <sz val="12"/>
        <rFont val="Calibri"/>
        <family val="2"/>
        <scheme val="minor"/>
      </rPr>
      <t>[pg/µl]</t>
    </r>
  </si>
  <si>
    <t>Xylariaceae isolate</t>
  </si>
  <si>
    <r>
      <rPr>
        <i/>
        <sz val="12"/>
        <color theme="1"/>
        <rFont val="Calibri"/>
        <family val="2"/>
        <scheme val="minor"/>
      </rPr>
      <t>epiphytic on Pinus sylvestris</t>
    </r>
  </si>
  <si>
    <r>
      <t xml:space="preserve">F. excelsior </t>
    </r>
    <r>
      <rPr>
        <sz val="12"/>
        <color rgb="FF000000"/>
        <rFont val="Calibri"/>
        <family val="2"/>
        <scheme val="minor"/>
      </rPr>
      <t>leaves (epiphytic)</t>
    </r>
  </si>
  <si>
    <t>Fusarium tricinctum</t>
  </si>
  <si>
    <r>
      <t>Supplementary Table File 4:</t>
    </r>
    <r>
      <rPr>
        <sz val="12"/>
        <color theme="1"/>
        <rFont val="Calibri"/>
      </rPr>
      <t xml:space="preserve"> List of isolates that were used for the assembly of the mock communities.</t>
    </r>
  </si>
  <si>
    <t>MH931275</t>
  </si>
  <si>
    <t>MH931268</t>
  </si>
  <si>
    <t>MH931272</t>
  </si>
  <si>
    <t>MH931274</t>
  </si>
  <si>
    <t>MH931270</t>
  </si>
  <si>
    <t>MH931267</t>
  </si>
  <si>
    <t>MH931283</t>
  </si>
  <si>
    <t>MH931262</t>
  </si>
  <si>
    <t>MH931264</t>
  </si>
  <si>
    <t>MH931265</t>
  </si>
  <si>
    <t>MH931271</t>
  </si>
  <si>
    <t>MH931284</t>
  </si>
  <si>
    <t>MH931281</t>
  </si>
  <si>
    <t>MH931279</t>
  </si>
  <si>
    <t>MH931276</t>
  </si>
  <si>
    <t>MH931282</t>
  </si>
  <si>
    <t>MH931280</t>
  </si>
  <si>
    <t>MH931269</t>
  </si>
  <si>
    <t>MH931266</t>
  </si>
  <si>
    <t>MH931273</t>
  </si>
  <si>
    <t>MH931278</t>
  </si>
  <si>
    <t>MH931277</t>
  </si>
  <si>
    <t>MH931285</t>
  </si>
  <si>
    <t>MH931263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</si>
</sst>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0.000"/>
    <numFmt numFmtId="165" formatCode="0.0"/>
    <numFmt numFmtId="166" formatCode="0.0E+00"/>
    <numFmt numFmtId="167" formatCode="0.0\ \n\g"/>
    <numFmt numFmtId="168" formatCode="0.00\ \µ\l"/>
    <numFmt numFmtId="169" formatCode="0.0%\ \*"/>
    <numFmt numFmtId="170" formatCode="0\ \n\g"/>
    <numFmt numFmtId="171" formatCode="0.00\ \n\g"/>
    <numFmt numFmtId="172" formatCode="0.00\ \µ\l\ \➞"/>
    <numFmt numFmtId="173" formatCode="0.00%\ \*"/>
    <numFmt numFmtId="174" formatCode="\⇒\ 0.00\ \µ\l"/>
    <numFmt numFmtId="175" formatCode="0.000\ \n\g"/>
    <numFmt numFmtId="176" formatCode="0.00\ \n\g\/\µ\l"/>
    <numFmt numFmtId="177" formatCode="0.0%"/>
  </numFmts>
  <fonts count="24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9"/>
      <color rgb="FF808080"/>
      <name val="Calibri"/>
      <family val="2"/>
      <scheme val="minor"/>
    </font>
    <font>
      <sz val="11"/>
      <color rgb="FF69320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80808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theme="1"/>
      <name val="Calibri"/>
    </font>
    <font>
      <sz val="12"/>
      <color theme="1"/>
      <name val="Calibri"/>
    </font>
    <font>
      <vertAlign val="superscript"/>
      <sz val="12"/>
      <color theme="1"/>
      <name val="Calibri"/>
      <scheme val="minor"/>
    </font>
    <font>
      <b/>
      <vertAlign val="superscript"/>
      <sz val="12"/>
      <color theme="1"/>
      <name val="Calibri"/>
    </font>
    <font>
      <u/>
      <sz val="12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4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3">
    <xf numFmtId="0" fontId="0" fillId="0" borderId="0" xfId="0"/>
    <xf numFmtId="165" fontId="0" fillId="0" borderId="0" xfId="0" applyNumberFormat="1"/>
    <xf numFmtId="11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5" fillId="0" borderId="1" xfId="0" applyFont="1" applyBorder="1"/>
    <xf numFmtId="167" fontId="5" fillId="3" borderId="0" xfId="0" applyNumberFormat="1" applyFont="1" applyFill="1"/>
    <xf numFmtId="168" fontId="10" fillId="2" borderId="5" xfId="0" applyNumberFormat="1" applyFont="1" applyFill="1" applyBorder="1"/>
    <xf numFmtId="164" fontId="10" fillId="3" borderId="6" xfId="0" applyNumberFormat="1" applyFont="1" applyFill="1" applyBorder="1" applyAlignment="1">
      <alignment horizontal="center"/>
    </xf>
    <xf numFmtId="164" fontId="10" fillId="3" borderId="7" xfId="0" applyNumberFormat="1" applyFont="1" applyFill="1" applyBorder="1" applyAlignment="1">
      <alignment horizontal="center"/>
    </xf>
    <xf numFmtId="0" fontId="5" fillId="0" borderId="0" xfId="0" applyFont="1"/>
    <xf numFmtId="0" fontId="5" fillId="3" borderId="8" xfId="0" applyFont="1" applyFill="1" applyBorder="1" applyAlignment="1">
      <alignment horizontal="center"/>
    </xf>
    <xf numFmtId="169" fontId="11" fillId="4" borderId="8" xfId="0" applyNumberFormat="1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70" fontId="12" fillId="3" borderId="9" xfId="0" applyNumberFormat="1" applyFont="1" applyFill="1" applyBorder="1" applyAlignment="1">
      <alignment horizontal="center"/>
    </xf>
    <xf numFmtId="168" fontId="13" fillId="4" borderId="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8" fontId="13" fillId="3" borderId="9" xfId="0" applyNumberFormat="1" applyFont="1" applyFill="1" applyBorder="1" applyAlignment="1">
      <alignment horizontal="center"/>
    </xf>
    <xf numFmtId="164" fontId="14" fillId="4" borderId="9" xfId="0" applyNumberFormat="1" applyFont="1" applyFill="1" applyBorder="1" applyAlignment="1">
      <alignment horizontal="center"/>
    </xf>
    <xf numFmtId="164" fontId="10" fillId="3" borderId="9" xfId="0" applyNumberFormat="1" applyFont="1" applyFill="1" applyBorder="1" applyAlignment="1">
      <alignment horizontal="center"/>
    </xf>
    <xf numFmtId="9" fontId="14" fillId="4" borderId="9" xfId="0" applyNumberFormat="1" applyFont="1" applyFill="1" applyBorder="1" applyAlignment="1">
      <alignment horizontal="center"/>
    </xf>
    <xf numFmtId="171" fontId="12" fillId="3" borderId="9" xfId="0" applyNumberFormat="1" applyFont="1" applyFill="1" applyBorder="1" applyAlignment="1">
      <alignment horizontal="center"/>
    </xf>
    <xf numFmtId="0" fontId="5" fillId="3" borderId="3" xfId="0" applyFont="1" applyFill="1" applyBorder="1"/>
    <xf numFmtId="2" fontId="10" fillId="3" borderId="3" xfId="0" applyNumberFormat="1" applyFont="1" applyFill="1" applyBorder="1"/>
    <xf numFmtId="166" fontId="5" fillId="3" borderId="3" xfId="0" applyNumberFormat="1" applyFont="1" applyFill="1" applyBorder="1"/>
    <xf numFmtId="9" fontId="5" fillId="3" borderId="3" xfId="0" applyNumberFormat="1" applyFont="1" applyFill="1" applyBorder="1"/>
    <xf numFmtId="167" fontId="5" fillId="3" borderId="10" xfId="0" applyNumberFormat="1" applyFont="1" applyFill="1" applyBorder="1"/>
    <xf numFmtId="168" fontId="10" fillId="2" borderId="3" xfId="0" applyNumberFormat="1" applyFont="1" applyFill="1" applyBorder="1"/>
    <xf numFmtId="164" fontId="10" fillId="3" borderId="11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172" fontId="13" fillId="3" borderId="10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164" fontId="10" fillId="5" borderId="5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174" fontId="13" fillId="4" borderId="12" xfId="0" applyNumberFormat="1" applyFont="1" applyFill="1" applyBorder="1" applyAlignment="1">
      <alignment horizontal="center"/>
    </xf>
    <xf numFmtId="170" fontId="12" fillId="5" borderId="9" xfId="0" applyNumberFormat="1" applyFont="1" applyFill="1" applyBorder="1" applyAlignment="1">
      <alignment horizontal="center"/>
    </xf>
    <xf numFmtId="175" fontId="12" fillId="4" borderId="12" xfId="0" applyNumberFormat="1" applyFont="1" applyFill="1" applyBorder="1" applyAlignment="1">
      <alignment horizontal="center"/>
    </xf>
    <xf numFmtId="168" fontId="13" fillId="5" borderId="9" xfId="0" applyNumberFormat="1" applyFont="1" applyFill="1" applyBorder="1" applyAlignment="1">
      <alignment horizontal="center"/>
    </xf>
    <xf numFmtId="176" fontId="15" fillId="4" borderId="12" xfId="0" applyNumberFormat="1" applyFont="1" applyFill="1" applyBorder="1" applyAlignment="1">
      <alignment horizontal="center"/>
    </xf>
    <xf numFmtId="164" fontId="10" fillId="5" borderId="9" xfId="0" applyNumberFormat="1" applyFont="1" applyFill="1" applyBorder="1" applyAlignment="1">
      <alignment horizontal="center"/>
    </xf>
    <xf numFmtId="9" fontId="14" fillId="4" borderId="12" xfId="0" applyNumberFormat="1" applyFont="1" applyFill="1" applyBorder="1" applyAlignment="1">
      <alignment horizontal="center"/>
    </xf>
    <xf numFmtId="171" fontId="12" fillId="5" borderId="9" xfId="0" applyNumberFormat="1" applyFont="1" applyFill="1" applyBorder="1" applyAlignment="1">
      <alignment horizontal="center"/>
    </xf>
    <xf numFmtId="164" fontId="10" fillId="4" borderId="12" xfId="0" applyNumberFormat="1" applyFont="1" applyFill="1" applyBorder="1" applyAlignment="1">
      <alignment horizontal="center"/>
    </xf>
    <xf numFmtId="0" fontId="5" fillId="5" borderId="3" xfId="0" applyFont="1" applyFill="1" applyBorder="1"/>
    <xf numFmtId="2" fontId="5" fillId="5" borderId="3" xfId="0" applyNumberFormat="1" applyFont="1" applyFill="1" applyBorder="1"/>
    <xf numFmtId="166" fontId="5" fillId="5" borderId="3" xfId="0" applyNumberFormat="1" applyFont="1" applyFill="1" applyBorder="1"/>
    <xf numFmtId="9" fontId="5" fillId="5" borderId="3" xfId="0" applyNumberFormat="1" applyFont="1" applyFill="1" applyBorder="1"/>
    <xf numFmtId="167" fontId="5" fillId="5" borderId="10" xfId="0" applyNumberFormat="1" applyFont="1" applyFill="1" applyBorder="1"/>
    <xf numFmtId="164" fontId="10" fillId="5" borderId="11" xfId="0" applyNumberFormat="1" applyFont="1" applyFill="1" applyBorder="1" applyAlignment="1">
      <alignment horizontal="center"/>
    </xf>
    <xf numFmtId="172" fontId="13" fillId="5" borderId="10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74" fontId="13" fillId="6" borderId="5" xfId="0" applyNumberFormat="1" applyFont="1" applyFill="1" applyBorder="1" applyAlignment="1">
      <alignment horizontal="center"/>
    </xf>
    <xf numFmtId="170" fontId="12" fillId="3" borderId="12" xfId="0" applyNumberFormat="1" applyFont="1" applyFill="1" applyBorder="1" applyAlignment="1">
      <alignment horizontal="center"/>
    </xf>
    <xf numFmtId="171" fontId="12" fillId="6" borderId="5" xfId="0" applyNumberFormat="1" applyFont="1" applyFill="1" applyBorder="1" applyAlignment="1">
      <alignment horizontal="center"/>
    </xf>
    <xf numFmtId="168" fontId="13" fillId="3" borderId="12" xfId="0" applyNumberFormat="1" applyFont="1" applyFill="1" applyBorder="1" applyAlignment="1">
      <alignment horizontal="center"/>
    </xf>
    <xf numFmtId="173" fontId="14" fillId="6" borderId="5" xfId="0" applyNumberFormat="1" applyFont="1" applyFill="1" applyBorder="1" applyAlignment="1">
      <alignment horizontal="center"/>
    </xf>
    <xf numFmtId="177" fontId="10" fillId="3" borderId="12" xfId="0" applyNumberFormat="1" applyFont="1" applyFill="1" applyBorder="1" applyAlignment="1">
      <alignment horizontal="center"/>
    </xf>
    <xf numFmtId="164" fontId="10" fillId="6" borderId="5" xfId="0" applyNumberFormat="1" applyFont="1" applyFill="1" applyBorder="1" applyAlignment="1">
      <alignment horizontal="center"/>
    </xf>
    <xf numFmtId="171" fontId="12" fillId="3" borderId="12" xfId="0" applyNumberFormat="1" applyFont="1" applyFill="1" applyBorder="1" applyAlignment="1">
      <alignment horizontal="center"/>
    </xf>
    <xf numFmtId="2" fontId="5" fillId="3" borderId="3" xfId="0" applyNumberFormat="1" applyFont="1" applyFill="1" applyBorder="1"/>
    <xf numFmtId="172" fontId="13" fillId="3" borderId="13" xfId="0" applyNumberFormat="1" applyFont="1" applyFill="1" applyBorder="1" applyAlignment="1">
      <alignment horizontal="center"/>
    </xf>
    <xf numFmtId="173" fontId="11" fillId="5" borderId="5" xfId="0" applyNumberFormat="1" applyFont="1" applyFill="1" applyBorder="1" applyAlignment="1">
      <alignment horizontal="center"/>
    </xf>
    <xf numFmtId="174" fontId="13" fillId="7" borderId="5" xfId="0" applyNumberFormat="1" applyFont="1" applyFill="1" applyBorder="1" applyAlignment="1">
      <alignment horizontal="center"/>
    </xf>
    <xf numFmtId="172" fontId="13" fillId="5" borderId="5" xfId="0" applyNumberFormat="1" applyFont="1" applyFill="1" applyBorder="1" applyAlignment="1">
      <alignment horizontal="center"/>
    </xf>
    <xf numFmtId="171" fontId="12" fillId="7" borderId="5" xfId="0" applyNumberFormat="1" applyFont="1" applyFill="1" applyBorder="1" applyAlignment="1">
      <alignment horizontal="center"/>
    </xf>
    <xf numFmtId="171" fontId="12" fillId="5" borderId="5" xfId="0" applyNumberFormat="1" applyFont="1" applyFill="1" applyBorder="1" applyAlignment="1">
      <alignment horizontal="center"/>
    </xf>
    <xf numFmtId="10" fontId="14" fillId="7" borderId="5" xfId="0" applyNumberFormat="1" applyFont="1" applyFill="1" applyBorder="1" applyAlignment="1">
      <alignment horizontal="center"/>
    </xf>
    <xf numFmtId="164" fontId="10" fillId="7" borderId="5" xfId="0" applyNumberFormat="1" applyFont="1" applyFill="1" applyBorder="1" applyAlignment="1">
      <alignment horizontal="center"/>
    </xf>
    <xf numFmtId="168" fontId="13" fillId="5" borderId="5" xfId="0" applyNumberFormat="1" applyFont="1" applyFill="1" applyBorder="1" applyAlignment="1">
      <alignment horizontal="center"/>
    </xf>
    <xf numFmtId="170" fontId="12" fillId="5" borderId="11" xfId="0" applyNumberFormat="1" applyFont="1" applyFill="1" applyBorder="1" applyAlignment="1">
      <alignment horizontal="center"/>
    </xf>
    <xf numFmtId="164" fontId="10" fillId="7" borderId="11" xfId="0" applyNumberFormat="1" applyFont="1" applyFill="1" applyBorder="1" applyAlignment="1">
      <alignment horizontal="center"/>
    </xf>
    <xf numFmtId="164" fontId="10" fillId="6" borderId="11" xfId="0" applyNumberFormat="1" applyFont="1" applyFill="1" applyBorder="1" applyAlignment="1">
      <alignment horizontal="center"/>
    </xf>
    <xf numFmtId="164" fontId="10" fillId="4" borderId="13" xfId="0" applyNumberFormat="1" applyFont="1" applyFill="1" applyBorder="1" applyAlignment="1">
      <alignment horizontal="center"/>
    </xf>
    <xf numFmtId="2" fontId="5" fillId="0" borderId="0" xfId="0" applyNumberFormat="1" applyFont="1"/>
    <xf numFmtId="0" fontId="9" fillId="0" borderId="14" xfId="0" applyFont="1" applyBorder="1" applyAlignment="1">
      <alignment wrapText="1"/>
    </xf>
    <xf numFmtId="0" fontId="16" fillId="3" borderId="5" xfId="0" applyFont="1" applyFill="1" applyBorder="1"/>
    <xf numFmtId="0" fontId="5" fillId="3" borderId="0" xfId="0" applyFont="1" applyFill="1" applyBorder="1"/>
    <xf numFmtId="2" fontId="10" fillId="3" borderId="0" xfId="0" applyNumberFormat="1" applyFont="1" applyFill="1" applyBorder="1"/>
    <xf numFmtId="166" fontId="5" fillId="3" borderId="0" xfId="0" applyNumberFormat="1" applyFont="1" applyFill="1" applyBorder="1"/>
    <xf numFmtId="9" fontId="5" fillId="3" borderId="0" xfId="0" applyNumberFormat="1" applyFont="1" applyFill="1" applyBorder="1"/>
    <xf numFmtId="167" fontId="5" fillId="3" borderId="0" xfId="0" applyNumberFormat="1" applyFont="1" applyFill="1" applyBorder="1"/>
    <xf numFmtId="164" fontId="10" fillId="3" borderId="0" xfId="0" applyNumberFormat="1" applyFont="1" applyFill="1" applyBorder="1" applyAlignment="1">
      <alignment horizontal="center"/>
    </xf>
    <xf numFmtId="0" fontId="16" fillId="3" borderId="11" xfId="0" applyFont="1" applyFill="1" applyBorder="1"/>
    <xf numFmtId="0" fontId="7" fillId="5" borderId="5" xfId="0" applyFont="1" applyFill="1" applyBorder="1"/>
    <xf numFmtId="0" fontId="5" fillId="5" borderId="0" xfId="0" applyFont="1" applyFill="1" applyBorder="1"/>
    <xf numFmtId="2" fontId="5" fillId="5" borderId="0" xfId="0" applyNumberFormat="1" applyFont="1" applyFill="1" applyBorder="1"/>
    <xf numFmtId="166" fontId="5" fillId="5" borderId="0" xfId="0" applyNumberFormat="1" applyFont="1" applyFill="1" applyBorder="1"/>
    <xf numFmtId="9" fontId="5" fillId="5" borderId="0" xfId="0" applyNumberFormat="1" applyFont="1" applyFill="1" applyBorder="1"/>
    <xf numFmtId="167" fontId="5" fillId="5" borderId="0" xfId="0" applyNumberFormat="1" applyFont="1" applyFill="1" applyBorder="1"/>
    <xf numFmtId="173" fontId="11" fillId="6" borderId="0" xfId="0" applyNumberFormat="1" applyFont="1" applyFill="1" applyBorder="1" applyAlignment="1">
      <alignment horizontal="center"/>
    </xf>
    <xf numFmtId="172" fontId="13" fillId="6" borderId="0" xfId="0" applyNumberFormat="1" applyFont="1" applyFill="1" applyBorder="1" applyAlignment="1">
      <alignment horizontal="center"/>
    </xf>
    <xf numFmtId="171" fontId="12" fillId="6" borderId="0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164" fontId="10" fillId="6" borderId="0" xfId="0" applyNumberFormat="1" applyFont="1" applyFill="1" applyBorder="1" applyAlignment="1">
      <alignment horizontal="center"/>
    </xf>
    <xf numFmtId="0" fontId="7" fillId="5" borderId="11" xfId="0" applyFont="1" applyFill="1" applyBorder="1"/>
    <xf numFmtId="0" fontId="7" fillId="3" borderId="5" xfId="0" applyFont="1" applyFill="1" applyBorder="1"/>
    <xf numFmtId="2" fontId="5" fillId="3" borderId="0" xfId="0" applyNumberFormat="1" applyFont="1" applyFill="1" applyBorder="1"/>
    <xf numFmtId="173" fontId="11" fillId="7" borderId="0" xfId="0" applyNumberFormat="1" applyFont="1" applyFill="1" applyBorder="1" applyAlignment="1">
      <alignment horizontal="center"/>
    </xf>
    <xf numFmtId="172" fontId="13" fillId="7" borderId="0" xfId="0" applyNumberFormat="1" applyFont="1" applyFill="1" applyBorder="1" applyAlignment="1">
      <alignment horizontal="center"/>
    </xf>
    <xf numFmtId="171" fontId="12" fillId="7" borderId="0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164" fontId="10" fillId="7" borderId="0" xfId="0" applyNumberFormat="1" applyFont="1" applyFill="1" applyBorder="1" applyAlignment="1">
      <alignment horizontal="center"/>
    </xf>
    <xf numFmtId="0" fontId="7" fillId="3" borderId="11" xfId="0" applyFont="1" applyFill="1" applyBorder="1"/>
    <xf numFmtId="0" fontId="9" fillId="0" borderId="15" xfId="0" applyFont="1" applyBorder="1" applyAlignment="1">
      <alignment wrapText="1"/>
    </xf>
    <xf numFmtId="2" fontId="9" fillId="0" borderId="15" xfId="0" applyNumberFormat="1" applyFont="1" applyBorder="1" applyAlignment="1">
      <alignment wrapText="1"/>
    </xf>
    <xf numFmtId="0" fontId="9" fillId="2" borderId="4" xfId="0" applyFont="1" applyFill="1" applyBorder="1" applyAlignment="1">
      <alignment wrapText="1"/>
    </xf>
    <xf numFmtId="43" fontId="13" fillId="0" borderId="1" xfId="0" applyNumberFormat="1" applyFont="1" applyBorder="1" applyAlignment="1">
      <alignment wrapText="1"/>
    </xf>
    <xf numFmtId="9" fontId="5" fillId="0" borderId="1" xfId="0" applyNumberFormat="1" applyFont="1" applyBorder="1"/>
    <xf numFmtId="0" fontId="5" fillId="0" borderId="0" xfId="0" applyFont="1" applyBorder="1"/>
    <xf numFmtId="0" fontId="8" fillId="0" borderId="0" xfId="0" applyFont="1"/>
    <xf numFmtId="0" fontId="0" fillId="9" borderId="0" xfId="0" applyFont="1" applyFill="1" applyBorder="1"/>
    <xf numFmtId="9" fontId="5" fillId="0" borderId="13" xfId="0" applyNumberFormat="1" applyFont="1" applyBorder="1"/>
    <xf numFmtId="0" fontId="7" fillId="5" borderId="6" xfId="0" applyFont="1" applyFill="1" applyBorder="1"/>
    <xf numFmtId="0" fontId="5" fillId="5" borderId="7" xfId="0" applyFont="1" applyFill="1" applyBorder="1"/>
    <xf numFmtId="2" fontId="5" fillId="5" borderId="7" xfId="0" applyNumberFormat="1" applyFont="1" applyFill="1" applyBorder="1"/>
    <xf numFmtId="166" fontId="5" fillId="5" borderId="7" xfId="0" applyNumberFormat="1" applyFont="1" applyFill="1" applyBorder="1"/>
    <xf numFmtId="9" fontId="5" fillId="5" borderId="7" xfId="0" applyNumberFormat="1" applyFont="1" applyFill="1" applyBorder="1"/>
    <xf numFmtId="167" fontId="5" fillId="5" borderId="8" xfId="0" applyNumberFormat="1" applyFont="1" applyFill="1" applyBorder="1"/>
    <xf numFmtId="167" fontId="5" fillId="5" borderId="9" xfId="0" applyNumberFormat="1" applyFont="1" applyFill="1" applyBorder="1"/>
    <xf numFmtId="167" fontId="5" fillId="3" borderId="9" xfId="0" applyNumberFormat="1" applyFont="1" applyFill="1" applyBorder="1"/>
    <xf numFmtId="2" fontId="17" fillId="8" borderId="20" xfId="0" applyNumberFormat="1" applyFont="1" applyFill="1" applyBorder="1" applyAlignment="1">
      <alignment wrapText="1"/>
    </xf>
    <xf numFmtId="0" fontId="13" fillId="9" borderId="21" xfId="0" applyFont="1" applyFill="1" applyBorder="1" applyAlignment="1">
      <alignment horizontal="center"/>
    </xf>
    <xf numFmtId="2" fontId="17" fillId="8" borderId="19" xfId="0" applyNumberFormat="1" applyFont="1" applyFill="1" applyBorder="1" applyAlignment="1">
      <alignment horizontal="center" wrapText="1"/>
    </xf>
    <xf numFmtId="0" fontId="18" fillId="0" borderId="1" xfId="0" applyFont="1" applyBorder="1"/>
    <xf numFmtId="11" fontId="5" fillId="0" borderId="1" xfId="0" applyNumberFormat="1" applyFont="1" applyBorder="1"/>
    <xf numFmtId="0" fontId="9" fillId="0" borderId="0" xfId="0" applyFont="1" applyBorder="1" applyAlignment="1">
      <alignment horizontal="center" wrapText="1"/>
    </xf>
    <xf numFmtId="9" fontId="0" fillId="0" borderId="1" xfId="0" applyNumberFormat="1" applyBorder="1"/>
    <xf numFmtId="9" fontId="5" fillId="0" borderId="1" xfId="41" applyFont="1" applyBorder="1"/>
    <xf numFmtId="0" fontId="0" fillId="0" borderId="1" xfId="0" applyNumberFormat="1" applyBorder="1"/>
    <xf numFmtId="0" fontId="9" fillId="0" borderId="0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77" fontId="0" fillId="0" borderId="1" xfId="0" applyNumberFormat="1" applyBorder="1"/>
    <xf numFmtId="2" fontId="0" fillId="0" borderId="1" xfId="0" applyNumberFormat="1" applyBorder="1"/>
    <xf numFmtId="0" fontId="19" fillId="0" borderId="16" xfId="0" applyFont="1" applyFill="1" applyBorder="1" applyAlignment="1">
      <alignment vertical="top"/>
    </xf>
    <xf numFmtId="0" fontId="0" fillId="0" borderId="0" xfId="0" applyFill="1"/>
    <xf numFmtId="0" fontId="19" fillId="0" borderId="17" xfId="0" applyFont="1" applyFill="1" applyBorder="1" applyAlignment="1">
      <alignment wrapText="1"/>
    </xf>
    <xf numFmtId="0" fontId="19" fillId="0" borderId="18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wrapText="1"/>
    </xf>
    <xf numFmtId="165" fontId="20" fillId="0" borderId="13" xfId="0" applyNumberFormat="1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 applyAlignment="1">
      <alignment wrapText="1"/>
    </xf>
    <xf numFmtId="166" fontId="0" fillId="0" borderId="1" xfId="0" applyNumberFormat="1" applyFill="1" applyBorder="1" applyAlignment="1">
      <alignment wrapText="1"/>
    </xf>
    <xf numFmtId="11" fontId="0" fillId="0" borderId="1" xfId="0" applyNumberForma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65" fontId="19" fillId="0" borderId="2" xfId="0" applyNumberFormat="1" applyFont="1" applyFill="1" applyBorder="1" applyAlignment="1">
      <alignment horizontal="center" wrapText="1"/>
    </xf>
    <xf numFmtId="165" fontId="19" fillId="0" borderId="13" xfId="0" applyNumberFormat="1" applyFont="1" applyFill="1" applyBorder="1" applyAlignment="1">
      <alignment horizont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165" fontId="19" fillId="0" borderId="8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</cellXfs>
  <cellStyles count="140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Prozent" xfId="41" builtinId="5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tabSelected="1" workbookViewId="0"/>
  </sheetViews>
  <sheetFormatPr baseColWidth="10" defaultRowHeight="15" x14ac:dyDescent="0"/>
  <cols>
    <col min="1" max="1" width="3.1640625" customWidth="1"/>
    <col min="2" max="2" width="13.1640625" bestFit="1" customWidth="1"/>
    <col min="3" max="3" width="18.33203125" bestFit="1" customWidth="1"/>
    <col min="4" max="4" width="16.83203125" bestFit="1" customWidth="1"/>
    <col min="5" max="5" width="21.5" bestFit="1" customWidth="1"/>
    <col min="6" max="6" width="14.6640625" bestFit="1" customWidth="1"/>
    <col min="7" max="7" width="27.6640625" bestFit="1" customWidth="1"/>
    <col min="8" max="8" width="40.1640625" customWidth="1"/>
    <col min="9" max="9" width="12.1640625" style="1" customWidth="1"/>
    <col min="10" max="10" width="8" style="1" customWidth="1"/>
    <col min="11" max="11" width="8.5" style="1" customWidth="1"/>
    <col min="12" max="12" width="13.83203125" style="1" customWidth="1"/>
  </cols>
  <sheetData>
    <row r="1" spans="1:12" ht="31" customHeight="1">
      <c r="A1" s="135" t="s">
        <v>166</v>
      </c>
      <c r="B1" s="136"/>
      <c r="C1" s="137"/>
      <c r="D1" s="137"/>
      <c r="E1" s="137"/>
      <c r="F1" s="137"/>
      <c r="G1" s="137"/>
      <c r="H1" s="138"/>
      <c r="I1" s="149" t="s">
        <v>102</v>
      </c>
      <c r="J1" s="151" t="s">
        <v>141</v>
      </c>
      <c r="K1" s="152"/>
      <c r="L1" s="149" t="s">
        <v>105</v>
      </c>
    </row>
    <row r="2" spans="1:12" s="3" customFormat="1" ht="15" customHeight="1">
      <c r="A2" s="139" t="s">
        <v>137</v>
      </c>
      <c r="B2" s="140" t="s">
        <v>0</v>
      </c>
      <c r="C2" s="140" t="s">
        <v>1</v>
      </c>
      <c r="D2" s="140" t="s">
        <v>2</v>
      </c>
      <c r="E2" s="140" t="s">
        <v>3</v>
      </c>
      <c r="F2" s="140" t="s">
        <v>4</v>
      </c>
      <c r="G2" s="140" t="s">
        <v>5</v>
      </c>
      <c r="H2" s="140" t="s">
        <v>104</v>
      </c>
      <c r="I2" s="150"/>
      <c r="J2" s="141" t="s">
        <v>126</v>
      </c>
      <c r="K2" s="141" t="s">
        <v>127</v>
      </c>
      <c r="L2" s="150"/>
    </row>
    <row r="3" spans="1:12" ht="30">
      <c r="A3" s="142">
        <v>1</v>
      </c>
      <c r="B3" s="142" t="s">
        <v>6</v>
      </c>
      <c r="C3" s="142" t="s">
        <v>7</v>
      </c>
      <c r="D3" s="142" t="s">
        <v>8</v>
      </c>
      <c r="E3" s="142" t="s">
        <v>9</v>
      </c>
      <c r="F3" s="143" t="s">
        <v>10</v>
      </c>
      <c r="G3" s="143" t="s">
        <v>11</v>
      </c>
      <c r="H3" s="143" t="s">
        <v>110</v>
      </c>
      <c r="I3" s="144">
        <v>21</v>
      </c>
      <c r="J3" s="145">
        <v>1.72660527887263E-2</v>
      </c>
      <c r="K3" s="145">
        <v>2.5766263392407E-3</v>
      </c>
      <c r="L3" s="146" t="s">
        <v>167</v>
      </c>
    </row>
    <row r="4" spans="1:12">
      <c r="A4" s="142">
        <v>2</v>
      </c>
      <c r="B4" s="142" t="s">
        <v>6</v>
      </c>
      <c r="C4" s="142" t="s">
        <v>7</v>
      </c>
      <c r="D4" s="142" t="s">
        <v>12</v>
      </c>
      <c r="E4" s="142" t="s">
        <v>13</v>
      </c>
      <c r="F4" s="143" t="s">
        <v>14</v>
      </c>
      <c r="G4" s="143" t="s">
        <v>15</v>
      </c>
      <c r="H4" s="143" t="s">
        <v>136</v>
      </c>
      <c r="I4" s="144">
        <v>13</v>
      </c>
      <c r="J4" s="145">
        <v>4.5361359960072303E-2</v>
      </c>
      <c r="K4" s="145">
        <v>1.5418883319761401E-3</v>
      </c>
      <c r="L4" s="146" t="s">
        <v>168</v>
      </c>
    </row>
    <row r="5" spans="1:12">
      <c r="A5" s="142">
        <v>3</v>
      </c>
      <c r="B5" s="142" t="s">
        <v>6</v>
      </c>
      <c r="C5" s="142" t="s">
        <v>7</v>
      </c>
      <c r="D5" s="142" t="s">
        <v>16</v>
      </c>
      <c r="E5" s="142" t="s">
        <v>17</v>
      </c>
      <c r="F5" s="143" t="s">
        <v>18</v>
      </c>
      <c r="G5" s="143" t="s">
        <v>19</v>
      </c>
      <c r="H5" s="143" t="s">
        <v>136</v>
      </c>
      <c r="I5" s="144">
        <v>12</v>
      </c>
      <c r="J5" s="145">
        <v>4.4202474850787897E-2</v>
      </c>
      <c r="K5" s="145">
        <v>2.12619499282271E-3</v>
      </c>
      <c r="L5" s="146" t="s">
        <v>169</v>
      </c>
    </row>
    <row r="6" spans="1:12">
      <c r="A6" s="142">
        <v>4</v>
      </c>
      <c r="B6" s="142" t="s">
        <v>6</v>
      </c>
      <c r="C6" s="142" t="s">
        <v>7</v>
      </c>
      <c r="D6" s="142" t="s">
        <v>20</v>
      </c>
      <c r="E6" s="142" t="s">
        <v>21</v>
      </c>
      <c r="F6" s="143" t="s">
        <v>22</v>
      </c>
      <c r="G6" s="143" t="s">
        <v>23</v>
      </c>
      <c r="H6" s="136" t="s">
        <v>138</v>
      </c>
      <c r="I6" s="144">
        <v>11</v>
      </c>
      <c r="J6" s="145">
        <v>5.6573901691379297E-2</v>
      </c>
      <c r="K6" s="145">
        <v>6.8458349789741997E-3</v>
      </c>
      <c r="L6" s="146" t="s">
        <v>170</v>
      </c>
    </row>
    <row r="7" spans="1:12">
      <c r="A7" s="142">
        <v>5</v>
      </c>
      <c r="B7" s="142" t="s">
        <v>6</v>
      </c>
      <c r="C7" s="142" t="s">
        <v>24</v>
      </c>
      <c r="D7" s="142" t="s">
        <v>25</v>
      </c>
      <c r="E7" s="142" t="s">
        <v>26</v>
      </c>
      <c r="F7" s="143" t="s">
        <v>27</v>
      </c>
      <c r="G7" s="143" t="s">
        <v>28</v>
      </c>
      <c r="H7" s="143" t="s">
        <v>163</v>
      </c>
      <c r="I7" s="144">
        <v>3.9166666666642413</v>
      </c>
      <c r="J7" s="145">
        <v>2.13930844138038E-2</v>
      </c>
      <c r="K7" s="145">
        <v>1.5061498892229501E-3</v>
      </c>
      <c r="L7" s="146" t="s">
        <v>171</v>
      </c>
    </row>
    <row r="8" spans="1:12">
      <c r="A8" s="142">
        <v>6</v>
      </c>
      <c r="B8" s="142" t="s">
        <v>6</v>
      </c>
      <c r="C8" s="142" t="s">
        <v>29</v>
      </c>
      <c r="D8" s="142" t="s">
        <v>30</v>
      </c>
      <c r="E8" s="142" t="s">
        <v>31</v>
      </c>
      <c r="F8" s="143" t="s">
        <v>32</v>
      </c>
      <c r="G8" s="143" t="s">
        <v>33</v>
      </c>
      <c r="H8" s="147" t="s">
        <v>129</v>
      </c>
      <c r="I8" s="144">
        <v>3.9166666666642413</v>
      </c>
      <c r="J8" s="145">
        <v>4.2918591676742501E-2</v>
      </c>
      <c r="K8" s="145">
        <v>3.5978564086460701E-3</v>
      </c>
      <c r="L8" s="146" t="s">
        <v>172</v>
      </c>
    </row>
    <row r="9" spans="1:12">
      <c r="A9" s="142">
        <v>7</v>
      </c>
      <c r="B9" s="142" t="s">
        <v>34</v>
      </c>
      <c r="C9" s="142" t="s">
        <v>35</v>
      </c>
      <c r="D9" s="142" t="s">
        <v>36</v>
      </c>
      <c r="E9" s="142" t="s">
        <v>37</v>
      </c>
      <c r="F9" s="143" t="s">
        <v>38</v>
      </c>
      <c r="G9" s="143" t="s">
        <v>39</v>
      </c>
      <c r="H9" s="147" t="s">
        <v>130</v>
      </c>
      <c r="I9" s="144">
        <v>11</v>
      </c>
      <c r="J9" s="145">
        <v>2.7755354179752698E-2</v>
      </c>
      <c r="K9" s="145">
        <v>2.3314497510992299E-3</v>
      </c>
      <c r="L9" s="146" t="s">
        <v>173</v>
      </c>
    </row>
    <row r="10" spans="1:12">
      <c r="A10" s="142">
        <v>8</v>
      </c>
      <c r="B10" s="142" t="s">
        <v>34</v>
      </c>
      <c r="C10" s="142" t="s">
        <v>35</v>
      </c>
      <c r="D10" s="142" t="s">
        <v>41</v>
      </c>
      <c r="E10" s="142" t="s">
        <v>42</v>
      </c>
      <c r="F10" s="143" t="s">
        <v>43</v>
      </c>
      <c r="G10" s="143" t="s">
        <v>40</v>
      </c>
      <c r="H10" s="147" t="s">
        <v>130</v>
      </c>
      <c r="I10" s="144">
        <v>3.9166666666642413</v>
      </c>
      <c r="J10" s="145">
        <v>4.3773631704712997E-2</v>
      </c>
      <c r="K10" s="145">
        <v>4.7564337955430499E-3</v>
      </c>
      <c r="L10" s="146" t="s">
        <v>174</v>
      </c>
    </row>
    <row r="11" spans="1:12">
      <c r="A11" s="142">
        <v>9</v>
      </c>
      <c r="B11" s="142" t="s">
        <v>34</v>
      </c>
      <c r="C11" s="142" t="s">
        <v>35</v>
      </c>
      <c r="D11" s="142" t="s">
        <v>44</v>
      </c>
      <c r="E11" s="142" t="s">
        <v>45</v>
      </c>
      <c r="F11" s="143" t="s">
        <v>46</v>
      </c>
      <c r="G11" s="143" t="s">
        <v>132</v>
      </c>
      <c r="H11" s="147" t="s">
        <v>130</v>
      </c>
      <c r="I11" s="144">
        <v>6</v>
      </c>
      <c r="J11" s="145">
        <v>4.8170963316191903E-2</v>
      </c>
      <c r="K11" s="145">
        <v>1.02126057312001E-3</v>
      </c>
      <c r="L11" s="146" t="s">
        <v>175</v>
      </c>
    </row>
    <row r="12" spans="1:12" ht="16">
      <c r="A12" s="142">
        <v>10</v>
      </c>
      <c r="B12" s="142" t="s">
        <v>34</v>
      </c>
      <c r="C12" s="142" t="s">
        <v>35</v>
      </c>
      <c r="D12" s="142" t="s">
        <v>44</v>
      </c>
      <c r="E12" s="142" t="s">
        <v>45</v>
      </c>
      <c r="F12" s="143" t="s">
        <v>46</v>
      </c>
      <c r="G12" s="143" t="s">
        <v>139</v>
      </c>
      <c r="H12" s="147" t="s">
        <v>130</v>
      </c>
      <c r="I12" s="144">
        <v>6</v>
      </c>
      <c r="J12" s="145">
        <v>7.1852863201155803E-2</v>
      </c>
      <c r="K12" s="145">
        <v>1.7017783389747399E-3</v>
      </c>
      <c r="L12" s="146" t="s">
        <v>176</v>
      </c>
    </row>
    <row r="13" spans="1:12">
      <c r="A13" s="142">
        <v>11</v>
      </c>
      <c r="B13" s="142" t="s">
        <v>34</v>
      </c>
      <c r="C13" s="142" t="s">
        <v>35</v>
      </c>
      <c r="D13" s="142" t="s">
        <v>44</v>
      </c>
      <c r="E13" s="142" t="s">
        <v>45</v>
      </c>
      <c r="F13" s="143" t="s">
        <v>47</v>
      </c>
      <c r="G13" s="143" t="s">
        <v>48</v>
      </c>
      <c r="H13" s="143" t="s">
        <v>160</v>
      </c>
      <c r="I13" s="144">
        <v>3</v>
      </c>
      <c r="J13" s="145">
        <v>5.8440054698560201E-2</v>
      </c>
      <c r="K13" s="145">
        <v>4.4642929002809903E-3</v>
      </c>
      <c r="L13" s="146" t="s">
        <v>177</v>
      </c>
    </row>
    <row r="14" spans="1:12">
      <c r="A14" s="142">
        <v>12</v>
      </c>
      <c r="B14" s="142" t="s">
        <v>34</v>
      </c>
      <c r="C14" s="142" t="s">
        <v>35</v>
      </c>
      <c r="D14" s="142" t="s">
        <v>49</v>
      </c>
      <c r="E14" s="142" t="s">
        <v>50</v>
      </c>
      <c r="F14" s="143" t="s">
        <v>51</v>
      </c>
      <c r="G14" s="143" t="s">
        <v>52</v>
      </c>
      <c r="H14" s="147" t="s">
        <v>130</v>
      </c>
      <c r="I14" s="144">
        <v>11</v>
      </c>
      <c r="J14" s="145">
        <v>2.39036512546798E-2</v>
      </c>
      <c r="K14" s="145">
        <v>1.19934696190728E-3</v>
      </c>
      <c r="L14" s="146" t="s">
        <v>178</v>
      </c>
    </row>
    <row r="15" spans="1:12">
      <c r="A15" s="142">
        <v>13</v>
      </c>
      <c r="B15" s="142" t="s">
        <v>34</v>
      </c>
      <c r="C15" s="142" t="s">
        <v>53</v>
      </c>
      <c r="D15" s="142" t="s">
        <v>54</v>
      </c>
      <c r="E15" s="142" t="s">
        <v>55</v>
      </c>
      <c r="F15" s="143" t="s">
        <v>56</v>
      </c>
      <c r="G15" s="143" t="s">
        <v>57</v>
      </c>
      <c r="H15" s="148" t="s">
        <v>164</v>
      </c>
      <c r="I15" s="144">
        <v>6</v>
      </c>
      <c r="J15" s="145">
        <v>5.0401639390620298E-2</v>
      </c>
      <c r="K15" s="145">
        <v>4.3939890750797099E-3</v>
      </c>
      <c r="L15" s="146" t="s">
        <v>179</v>
      </c>
    </row>
    <row r="16" spans="1:12">
      <c r="A16" s="142">
        <v>14</v>
      </c>
      <c r="B16" s="142" t="s">
        <v>34</v>
      </c>
      <c r="C16" s="142" t="s">
        <v>59</v>
      </c>
      <c r="D16" s="142" t="s">
        <v>60</v>
      </c>
      <c r="E16" s="142"/>
      <c r="F16" s="143" t="s">
        <v>61</v>
      </c>
      <c r="G16" s="143" t="s">
        <v>58</v>
      </c>
      <c r="H16" s="143" t="s">
        <v>111</v>
      </c>
      <c r="I16" s="144">
        <v>13</v>
      </c>
      <c r="J16" s="145">
        <v>2.18067882906645E-2</v>
      </c>
      <c r="K16" s="145">
        <v>1.0775118920092999E-3</v>
      </c>
      <c r="L16" s="146" t="s">
        <v>180</v>
      </c>
    </row>
    <row r="17" spans="1:12">
      <c r="A17" s="142">
        <v>15</v>
      </c>
      <c r="B17" s="142" t="s">
        <v>34</v>
      </c>
      <c r="C17" s="142" t="s">
        <v>59</v>
      </c>
      <c r="D17" s="142" t="s">
        <v>60</v>
      </c>
      <c r="E17" s="142" t="s">
        <v>62</v>
      </c>
      <c r="F17" s="143" t="s">
        <v>63</v>
      </c>
      <c r="G17" s="143" t="s">
        <v>64</v>
      </c>
      <c r="H17" s="143" t="s">
        <v>143</v>
      </c>
      <c r="I17" s="144">
        <v>25</v>
      </c>
      <c r="J17" s="145">
        <v>1.1947355984248099E-2</v>
      </c>
      <c r="K17" s="145">
        <v>2.7294366110355498E-4</v>
      </c>
      <c r="L17" s="146" t="s">
        <v>181</v>
      </c>
    </row>
    <row r="18" spans="1:12">
      <c r="A18" s="142">
        <v>16</v>
      </c>
      <c r="B18" s="142" t="s">
        <v>34</v>
      </c>
      <c r="C18" s="142" t="s">
        <v>66</v>
      </c>
      <c r="D18" s="142" t="s">
        <v>67</v>
      </c>
      <c r="E18" s="142" t="s">
        <v>68</v>
      </c>
      <c r="F18" s="143" t="s">
        <v>69</v>
      </c>
      <c r="G18" s="143" t="s">
        <v>65</v>
      </c>
      <c r="H18" s="143" t="s">
        <v>106</v>
      </c>
      <c r="I18" s="144">
        <v>3.9166666666642413</v>
      </c>
      <c r="J18" s="145">
        <v>0.12633176934638099</v>
      </c>
      <c r="K18" s="145">
        <v>5.6384841171509704E-3</v>
      </c>
      <c r="L18" s="146" t="s">
        <v>182</v>
      </c>
    </row>
    <row r="19" spans="1:12">
      <c r="A19" s="142">
        <v>17</v>
      </c>
      <c r="B19" s="142" t="s">
        <v>34</v>
      </c>
      <c r="C19" s="142" t="s">
        <v>70</v>
      </c>
      <c r="D19" s="142" t="s">
        <v>71</v>
      </c>
      <c r="E19" s="142" t="s">
        <v>72</v>
      </c>
      <c r="F19" s="143" t="s">
        <v>73</v>
      </c>
      <c r="G19" s="143" t="s">
        <v>74</v>
      </c>
      <c r="H19" s="143" t="s">
        <v>108</v>
      </c>
      <c r="I19" s="144">
        <v>13</v>
      </c>
      <c r="J19" s="145">
        <v>2.92563255199003E-2</v>
      </c>
      <c r="K19" s="145">
        <v>1.9020241404997199E-3</v>
      </c>
      <c r="L19" s="146" t="s">
        <v>183</v>
      </c>
    </row>
    <row r="20" spans="1:12">
      <c r="A20" s="142">
        <v>18</v>
      </c>
      <c r="B20" s="142" t="s">
        <v>34</v>
      </c>
      <c r="C20" s="142" t="s">
        <v>75</v>
      </c>
      <c r="D20" s="142" t="s">
        <v>76</v>
      </c>
      <c r="E20" s="142" t="s">
        <v>77</v>
      </c>
      <c r="F20" s="143" t="s">
        <v>78</v>
      </c>
      <c r="G20" s="143" t="s">
        <v>79</v>
      </c>
      <c r="H20" s="147" t="s">
        <v>130</v>
      </c>
      <c r="I20" s="144">
        <v>6</v>
      </c>
      <c r="J20" s="145">
        <v>1.8789641262233401E-2</v>
      </c>
      <c r="K20" s="145">
        <v>1.6002660979318401E-3</v>
      </c>
      <c r="L20" s="146" t="s">
        <v>184</v>
      </c>
    </row>
    <row r="21" spans="1:12">
      <c r="A21" s="142">
        <v>19</v>
      </c>
      <c r="B21" s="142" t="s">
        <v>34</v>
      </c>
      <c r="C21" s="142" t="s">
        <v>75</v>
      </c>
      <c r="D21" s="142" t="s">
        <v>80</v>
      </c>
      <c r="E21" s="142" t="s">
        <v>81</v>
      </c>
      <c r="F21" s="143" t="s">
        <v>82</v>
      </c>
      <c r="G21" s="143" t="s">
        <v>83</v>
      </c>
      <c r="H21" s="147" t="s">
        <v>130</v>
      </c>
      <c r="I21" s="144">
        <v>4</v>
      </c>
      <c r="J21" s="145">
        <v>2.8992278373524801E-2</v>
      </c>
      <c r="K21" s="145">
        <v>3.7415111540145098E-3</v>
      </c>
      <c r="L21" s="146" t="s">
        <v>185</v>
      </c>
    </row>
    <row r="22" spans="1:12">
      <c r="A22" s="142">
        <v>20</v>
      </c>
      <c r="B22" s="142" t="s">
        <v>34</v>
      </c>
      <c r="C22" s="142" t="s">
        <v>75</v>
      </c>
      <c r="D22" s="142" t="s">
        <v>84</v>
      </c>
      <c r="E22" s="142" t="s">
        <v>85</v>
      </c>
      <c r="F22" s="143" t="s">
        <v>86</v>
      </c>
      <c r="G22" s="143" t="s">
        <v>165</v>
      </c>
      <c r="H22" s="147" t="s">
        <v>130</v>
      </c>
      <c r="I22" s="144">
        <v>4</v>
      </c>
      <c r="J22" s="145">
        <v>3.15667672856473E-2</v>
      </c>
      <c r="K22" s="145">
        <v>1.6351760339102599E-3</v>
      </c>
      <c r="L22" s="146" t="s">
        <v>186</v>
      </c>
    </row>
    <row r="23" spans="1:12">
      <c r="A23" s="142">
        <v>21</v>
      </c>
      <c r="B23" s="142" t="s">
        <v>34</v>
      </c>
      <c r="C23" s="142" t="s">
        <v>75</v>
      </c>
      <c r="D23" s="142" t="s">
        <v>88</v>
      </c>
      <c r="E23" s="142" t="s">
        <v>89</v>
      </c>
      <c r="F23" s="143" t="s">
        <v>90</v>
      </c>
      <c r="G23" s="143" t="s">
        <v>91</v>
      </c>
      <c r="H23" s="143" t="s">
        <v>109</v>
      </c>
      <c r="I23" s="144">
        <v>6</v>
      </c>
      <c r="J23" s="145">
        <v>6.6722243649023599E-2</v>
      </c>
      <c r="K23" s="145">
        <v>3.9336248121439304E-3</v>
      </c>
      <c r="L23" s="146" t="s">
        <v>187</v>
      </c>
    </row>
    <row r="24" spans="1:12">
      <c r="A24" s="142">
        <v>22</v>
      </c>
      <c r="B24" s="142" t="s">
        <v>34</v>
      </c>
      <c r="C24" s="142" t="s">
        <v>75</v>
      </c>
      <c r="D24" s="142" t="s">
        <v>93</v>
      </c>
      <c r="E24" s="142" t="s">
        <v>94</v>
      </c>
      <c r="F24" s="143" t="s">
        <v>95</v>
      </c>
      <c r="G24" s="143" t="s">
        <v>96</v>
      </c>
      <c r="H24" s="147" t="s">
        <v>130</v>
      </c>
      <c r="I24" s="144">
        <v>13</v>
      </c>
      <c r="J24" s="145">
        <v>7.6339872587149801E-3</v>
      </c>
      <c r="K24" s="145">
        <v>1.19062186603811E-4</v>
      </c>
      <c r="L24" s="146" t="s">
        <v>188</v>
      </c>
    </row>
    <row r="25" spans="1:12">
      <c r="A25" s="142">
        <v>23</v>
      </c>
      <c r="B25" s="142" t="s">
        <v>34</v>
      </c>
      <c r="C25" s="142" t="s">
        <v>75</v>
      </c>
      <c r="D25" s="142" t="s">
        <v>93</v>
      </c>
      <c r="E25" s="142" t="s">
        <v>94</v>
      </c>
      <c r="F25" s="143"/>
      <c r="G25" s="143" t="s">
        <v>162</v>
      </c>
      <c r="H25" s="147" t="s">
        <v>130</v>
      </c>
      <c r="I25" s="144">
        <v>13</v>
      </c>
      <c r="J25" s="145">
        <v>4.2885333372778001E-2</v>
      </c>
      <c r="K25" s="145">
        <v>2.4518459038944799E-3</v>
      </c>
      <c r="L25" s="146" t="s">
        <v>189</v>
      </c>
    </row>
    <row r="26" spans="1:12">
      <c r="A26" s="142">
        <v>24</v>
      </c>
      <c r="B26" s="142" t="s">
        <v>97</v>
      </c>
      <c r="C26" s="142"/>
      <c r="D26" s="142" t="s">
        <v>98</v>
      </c>
      <c r="E26" s="142" t="s">
        <v>99</v>
      </c>
      <c r="F26" s="143" t="s">
        <v>100</v>
      </c>
      <c r="G26" s="143" t="s">
        <v>101</v>
      </c>
      <c r="H26" s="143" t="s">
        <v>107</v>
      </c>
      <c r="I26" s="144">
        <v>4</v>
      </c>
      <c r="J26" s="145">
        <v>6.2053886529697198E-2</v>
      </c>
      <c r="K26" s="145">
        <v>2.6005241464757498E-3</v>
      </c>
      <c r="L26" s="146" t="s">
        <v>190</v>
      </c>
    </row>
    <row r="28" spans="1:12" ht="16">
      <c r="G28" t="s">
        <v>140</v>
      </c>
    </row>
    <row r="29" spans="1:12" ht="16">
      <c r="G29" t="s">
        <v>142</v>
      </c>
    </row>
  </sheetData>
  <mergeCells count="3">
    <mergeCell ref="I1:I2"/>
    <mergeCell ref="L1:L2"/>
    <mergeCell ref="J1:K1"/>
  </mergeCells>
  <conditionalFormatting sqref="J3:K26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workbookViewId="0"/>
  </sheetViews>
  <sheetFormatPr baseColWidth="10" defaultRowHeight="15" x14ac:dyDescent="0"/>
  <cols>
    <col min="1" max="1" width="27.1640625" bestFit="1" customWidth="1"/>
    <col min="2" max="2" width="6" bestFit="1" customWidth="1"/>
    <col min="3" max="3" width="6.83203125" bestFit="1" customWidth="1"/>
    <col min="4" max="4" width="10.33203125" bestFit="1" customWidth="1"/>
    <col min="5" max="5" width="9.5" bestFit="1" customWidth="1"/>
    <col min="6" max="6" width="9.5" customWidth="1"/>
    <col min="7" max="7" width="11.6640625" customWidth="1"/>
    <col min="11" max="11" width="12" customWidth="1"/>
    <col min="13" max="13" width="14.1640625" bestFit="1" customWidth="1"/>
    <col min="14" max="14" width="15.5" customWidth="1"/>
  </cols>
  <sheetData>
    <row r="1" spans="1:13" ht="46" thickBot="1">
      <c r="A1" s="74" t="s">
        <v>5</v>
      </c>
      <c r="B1" s="103" t="s">
        <v>112</v>
      </c>
      <c r="C1" s="104" t="s">
        <v>113</v>
      </c>
      <c r="D1" s="103" t="s">
        <v>103</v>
      </c>
      <c r="E1" s="103" t="s">
        <v>119</v>
      </c>
      <c r="F1" s="104" t="s">
        <v>128</v>
      </c>
      <c r="G1" s="105" t="s">
        <v>114</v>
      </c>
      <c r="H1" s="153" t="s">
        <v>120</v>
      </c>
      <c r="I1" s="154"/>
      <c r="J1" s="154"/>
      <c r="K1" s="155"/>
    </row>
    <row r="2" spans="1:13">
      <c r="A2" s="75" t="s">
        <v>28</v>
      </c>
      <c r="B2" s="76">
        <v>1</v>
      </c>
      <c r="C2" s="77">
        <v>0.69619047619047614</v>
      </c>
      <c r="D2" s="78">
        <f>1-$M$4</f>
        <v>0.4</v>
      </c>
      <c r="E2" s="79">
        <f t="shared" ref="E2:E7" si="0">D2/SUM(D$2:D$7)</f>
        <v>0.41957572502685281</v>
      </c>
      <c r="F2" s="80">
        <f t="shared" ref="F2:F7" si="1">$J$3*E2</f>
        <v>88.11090225563909</v>
      </c>
      <c r="G2" s="7">
        <f t="shared" ref="G2:G25" si="2">F2/C2</f>
        <v>126.56148750809993</v>
      </c>
      <c r="H2" s="8"/>
      <c r="I2" s="9"/>
      <c r="J2" s="11"/>
      <c r="K2" s="12"/>
      <c r="M2" s="122" t="s">
        <v>134</v>
      </c>
    </row>
    <row r="3" spans="1:13" ht="30">
      <c r="A3" s="75" t="s">
        <v>11</v>
      </c>
      <c r="B3" s="76">
        <v>1</v>
      </c>
      <c r="C3" s="77">
        <v>0.75428571428571412</v>
      </c>
      <c r="D3" s="78">
        <f t="shared" ref="D3:D25" si="3">D2*$M$4</f>
        <v>0.24</v>
      </c>
      <c r="E3" s="79">
        <f t="shared" si="0"/>
        <v>0.25174543501611168</v>
      </c>
      <c r="F3" s="80">
        <f t="shared" si="1"/>
        <v>52.866541353383454</v>
      </c>
      <c r="G3" s="7">
        <f t="shared" si="2"/>
        <v>70.088217703349287</v>
      </c>
      <c r="H3" s="13"/>
      <c r="I3" s="81"/>
      <c r="J3" s="14">
        <v>210</v>
      </c>
      <c r="K3" s="15"/>
      <c r="M3" s="120" t="s">
        <v>135</v>
      </c>
    </row>
    <row r="4" spans="1:13" ht="16" thickBot="1">
      <c r="A4" s="75" t="s">
        <v>15</v>
      </c>
      <c r="B4" s="76">
        <v>1</v>
      </c>
      <c r="C4" s="77">
        <v>0.67142857142857137</v>
      </c>
      <c r="D4" s="78">
        <f t="shared" si="3"/>
        <v>0.14399999999999999</v>
      </c>
      <c r="E4" s="79">
        <f t="shared" si="0"/>
        <v>0.15104726100966701</v>
      </c>
      <c r="F4" s="80">
        <f t="shared" si="1"/>
        <v>31.719924812030072</v>
      </c>
      <c r="G4" s="7">
        <f t="shared" si="2"/>
        <v>47.242441209406493</v>
      </c>
      <c r="H4" s="16"/>
      <c r="I4" s="81"/>
      <c r="J4" s="17">
        <f>SUM(G2:G7)</f>
        <v>292.8962301852618</v>
      </c>
      <c r="K4" s="18"/>
      <c r="M4" s="121">
        <v>0.6</v>
      </c>
    </row>
    <row r="5" spans="1:13">
      <c r="A5" s="75" t="s">
        <v>79</v>
      </c>
      <c r="B5" s="76">
        <v>1</v>
      </c>
      <c r="C5" s="77">
        <v>0.74285714285714288</v>
      </c>
      <c r="D5" s="78">
        <f t="shared" si="3"/>
        <v>8.6399999999999991E-2</v>
      </c>
      <c r="E5" s="79">
        <f t="shared" si="0"/>
        <v>9.0628356605800195E-2</v>
      </c>
      <c r="F5" s="80">
        <f t="shared" si="1"/>
        <v>19.031954887218042</v>
      </c>
      <c r="G5" s="7">
        <f t="shared" si="2"/>
        <v>25.619939271255056</v>
      </c>
      <c r="H5" s="13"/>
      <c r="I5" s="81"/>
      <c r="J5" s="19" t="s">
        <v>115</v>
      </c>
      <c r="K5" s="20"/>
    </row>
    <row r="6" spans="1:13">
      <c r="A6" s="75" t="s">
        <v>87</v>
      </c>
      <c r="B6" s="76">
        <v>1</v>
      </c>
      <c r="C6" s="77">
        <v>0.76380952380952383</v>
      </c>
      <c r="D6" s="78">
        <f t="shared" si="3"/>
        <v>5.183999999999999E-2</v>
      </c>
      <c r="E6" s="79">
        <f t="shared" si="0"/>
        <v>5.4377013963480117E-2</v>
      </c>
      <c r="F6" s="80">
        <f t="shared" si="1"/>
        <v>11.419172932330824</v>
      </c>
      <c r="G6" s="7">
        <f t="shared" si="2"/>
        <v>14.950288751804694</v>
      </c>
      <c r="H6" s="13"/>
      <c r="I6" s="81"/>
      <c r="J6" s="21">
        <f>0.95*J3</f>
        <v>199.5</v>
      </c>
      <c r="K6" s="20"/>
    </row>
    <row r="7" spans="1:13">
      <c r="A7" s="82" t="s">
        <v>133</v>
      </c>
      <c r="B7" s="22">
        <v>1</v>
      </c>
      <c r="C7" s="23">
        <v>0.81238095238095243</v>
      </c>
      <c r="D7" s="24">
        <f t="shared" si="3"/>
        <v>3.1103999999999993E-2</v>
      </c>
      <c r="E7" s="25">
        <f t="shared" si="0"/>
        <v>3.2626208378088065E-2</v>
      </c>
      <c r="F7" s="26">
        <f t="shared" si="1"/>
        <v>6.8515037593984935</v>
      </c>
      <c r="G7" s="27">
        <f t="shared" si="2"/>
        <v>8.4338557413463278</v>
      </c>
      <c r="H7" s="28"/>
      <c r="I7" s="29"/>
      <c r="J7" s="30">
        <f>J6/J3*J4</f>
        <v>278.25141867599871</v>
      </c>
      <c r="K7" s="31" t="s">
        <v>131</v>
      </c>
    </row>
    <row r="8" spans="1:13">
      <c r="A8" s="112" t="s">
        <v>65</v>
      </c>
      <c r="B8" s="113">
        <v>2</v>
      </c>
      <c r="C8" s="114">
        <v>0.71904761904761905</v>
      </c>
      <c r="D8" s="115">
        <f t="shared" si="3"/>
        <v>1.8662399999999996E-2</v>
      </c>
      <c r="E8" s="116">
        <f t="shared" ref="E8:E13" si="4">D8/SUM(D$8:D$13)</f>
        <v>0.41957572502685286</v>
      </c>
      <c r="F8" s="117">
        <f t="shared" ref="F8:F13" si="5">$I$9*E8</f>
        <v>41.957572502685288</v>
      </c>
      <c r="G8" s="7">
        <f t="shared" si="2"/>
        <v>58.351590897774244</v>
      </c>
      <c r="H8" s="32"/>
      <c r="I8" s="33"/>
      <c r="J8" s="89">
        <f>SUM(D8:D25)/SUM(D2:D25)</f>
        <v>4.6651482671176553E-2</v>
      </c>
      <c r="K8" s="34">
        <f>J9+J7</f>
        <v>291.61964733555749</v>
      </c>
    </row>
    <row r="9" spans="1:13">
      <c r="A9" s="83" t="s">
        <v>39</v>
      </c>
      <c r="B9" s="84">
        <v>2</v>
      </c>
      <c r="C9" s="85">
        <v>0.72190476190476183</v>
      </c>
      <c r="D9" s="86">
        <f t="shared" si="3"/>
        <v>1.1197439999999998E-2</v>
      </c>
      <c r="E9" s="87">
        <f t="shared" si="4"/>
        <v>0.25174543501611174</v>
      </c>
      <c r="F9" s="118">
        <f t="shared" si="5"/>
        <v>25.174543501611176</v>
      </c>
      <c r="G9" s="7">
        <f t="shared" si="2"/>
        <v>34.872388755529997</v>
      </c>
      <c r="H9" s="32"/>
      <c r="I9" s="35">
        <v>100</v>
      </c>
      <c r="J9" s="90">
        <f>J10/J15*J14</f>
        <v>13.368228659558786</v>
      </c>
      <c r="K9" s="36">
        <f>J6+J10</f>
        <v>209.26240128738735</v>
      </c>
    </row>
    <row r="10" spans="1:13">
      <c r="A10" s="83" t="s">
        <v>96</v>
      </c>
      <c r="B10" s="84">
        <v>2</v>
      </c>
      <c r="C10" s="85">
        <v>0.7628571428571429</v>
      </c>
      <c r="D10" s="86">
        <f t="shared" si="3"/>
        <v>6.7184639999999986E-3</v>
      </c>
      <c r="E10" s="87">
        <f t="shared" si="4"/>
        <v>0.15104726100966703</v>
      </c>
      <c r="F10" s="118">
        <f t="shared" si="5"/>
        <v>15.104726100966703</v>
      </c>
      <c r="G10" s="7">
        <f t="shared" si="2"/>
        <v>19.800202754076203</v>
      </c>
      <c r="H10" s="32"/>
      <c r="I10" s="37">
        <f>SUM(G8:G13)</f>
        <v>136.91196256321317</v>
      </c>
      <c r="J10" s="91">
        <f>J6*J8/(1-J8)</f>
        <v>9.7624012873873447</v>
      </c>
      <c r="K10" s="38">
        <f>K9/K8</f>
        <v>0.71758677167109985</v>
      </c>
    </row>
    <row r="11" spans="1:13">
      <c r="A11" s="83" t="s">
        <v>92</v>
      </c>
      <c r="B11" s="84">
        <v>2</v>
      </c>
      <c r="C11" s="85">
        <v>0.76000000000000012</v>
      </c>
      <c r="D11" s="86">
        <f t="shared" si="3"/>
        <v>4.0310783999999988E-3</v>
      </c>
      <c r="E11" s="87">
        <f t="shared" si="4"/>
        <v>9.0628356605800209E-2</v>
      </c>
      <c r="F11" s="118">
        <f t="shared" si="5"/>
        <v>9.0628356605800207</v>
      </c>
      <c r="G11" s="7">
        <f t="shared" si="2"/>
        <v>11.924783763921077</v>
      </c>
      <c r="H11" s="32"/>
      <c r="I11" s="39" t="s">
        <v>115</v>
      </c>
      <c r="J11" s="92"/>
      <c r="K11" s="40"/>
    </row>
    <row r="12" spans="1:13">
      <c r="A12" s="83" t="s">
        <v>83</v>
      </c>
      <c r="B12" s="84">
        <v>2</v>
      </c>
      <c r="C12" s="85">
        <v>0.75333333333333341</v>
      </c>
      <c r="D12" s="86">
        <f t="shared" si="3"/>
        <v>2.4186470399999993E-3</v>
      </c>
      <c r="E12" s="87">
        <f t="shared" si="4"/>
        <v>5.4377013963480131E-2</v>
      </c>
      <c r="F12" s="118">
        <f t="shared" si="5"/>
        <v>5.4377013963480128</v>
      </c>
      <c r="G12" s="7">
        <f t="shared" si="2"/>
        <v>7.2181876942672725</v>
      </c>
      <c r="H12" s="32"/>
      <c r="I12" s="41">
        <f>0.95*I9</f>
        <v>95</v>
      </c>
      <c r="J12" s="93" t="s">
        <v>116</v>
      </c>
      <c r="K12" s="42"/>
    </row>
    <row r="13" spans="1:13">
      <c r="A13" s="94" t="s">
        <v>64</v>
      </c>
      <c r="B13" s="43">
        <v>2</v>
      </c>
      <c r="C13" s="44">
        <v>0.68761904761904769</v>
      </c>
      <c r="D13" s="45">
        <f t="shared" si="3"/>
        <v>1.4511882239999995E-3</v>
      </c>
      <c r="E13" s="46">
        <f t="shared" si="4"/>
        <v>3.2626208378088072E-2</v>
      </c>
      <c r="F13" s="47">
        <f t="shared" si="5"/>
        <v>3.2626208378088073</v>
      </c>
      <c r="G13" s="27">
        <f t="shared" si="2"/>
        <v>4.7448086976443866</v>
      </c>
      <c r="H13" s="48"/>
      <c r="I13" s="49">
        <f>I12/I9*I10</f>
        <v>130.06636443505249</v>
      </c>
      <c r="J13" s="93"/>
      <c r="K13" s="42"/>
    </row>
    <row r="14" spans="1:13">
      <c r="A14" s="95" t="s">
        <v>33</v>
      </c>
      <c r="B14" s="76">
        <v>3</v>
      </c>
      <c r="C14" s="96">
        <v>0.73142857142857132</v>
      </c>
      <c r="D14" s="78">
        <f t="shared" si="3"/>
        <v>8.707129343999997E-4</v>
      </c>
      <c r="E14" s="79">
        <f t="shared" ref="E14:E19" si="6">D14/SUM(D$14:D$19)</f>
        <v>0.41957572502685281</v>
      </c>
      <c r="F14" s="119">
        <f t="shared" ref="F14:F19" si="7">$H$15*E14</f>
        <v>41.957572502685281</v>
      </c>
      <c r="G14" s="7">
        <f t="shared" si="2"/>
        <v>57.363868656015043</v>
      </c>
      <c r="H14" s="50"/>
      <c r="I14" s="97">
        <f>SUM(D14:D25)/SUM(D8:D25)</f>
        <v>4.6559168590476138E-2</v>
      </c>
      <c r="J14" s="51">
        <f>I15+I13</f>
        <v>136.44168319655506</v>
      </c>
      <c r="K14" s="42"/>
    </row>
    <row r="15" spans="1:13">
      <c r="A15" s="95" t="s">
        <v>19</v>
      </c>
      <c r="B15" s="76">
        <v>3</v>
      </c>
      <c r="C15" s="96">
        <v>0.71619047619047616</v>
      </c>
      <c r="D15" s="78">
        <f t="shared" si="3"/>
        <v>5.2242776063999978E-4</v>
      </c>
      <c r="E15" s="79">
        <f t="shared" si="6"/>
        <v>0.25174543501611168</v>
      </c>
      <c r="F15" s="119">
        <f t="shared" si="7"/>
        <v>25.174543501611168</v>
      </c>
      <c r="G15" s="7">
        <f t="shared" si="2"/>
        <v>35.150625899856024</v>
      </c>
      <c r="H15" s="52">
        <v>100</v>
      </c>
      <c r="I15" s="98">
        <f>I16/I21*I20</f>
        <v>6.3753187615025579</v>
      </c>
      <c r="J15" s="53">
        <f>I12+I16</f>
        <v>99.639114321920005</v>
      </c>
      <c r="K15" s="42"/>
    </row>
    <row r="16" spans="1:13">
      <c r="A16" s="95" t="s">
        <v>23</v>
      </c>
      <c r="B16" s="76">
        <v>3</v>
      </c>
      <c r="C16" s="96">
        <v>0.68</v>
      </c>
      <c r="D16" s="78">
        <f t="shared" si="3"/>
        <v>3.1345665638399988E-4</v>
      </c>
      <c r="E16" s="79">
        <f t="shared" si="6"/>
        <v>0.15104726100966701</v>
      </c>
      <c r="F16" s="119">
        <f t="shared" si="7"/>
        <v>15.104726100966701</v>
      </c>
      <c r="G16" s="7">
        <f t="shared" si="2"/>
        <v>22.212832501421616</v>
      </c>
      <c r="H16" s="54">
        <f>SUM(G14:G19)</f>
        <v>137.68361007656495</v>
      </c>
      <c r="I16" s="99">
        <f>I12*I14/(1-I14)</f>
        <v>4.6391143219199984</v>
      </c>
      <c r="J16" s="55"/>
      <c r="K16" s="42"/>
    </row>
    <row r="17" spans="1:11">
      <c r="A17" s="95" t="s">
        <v>48</v>
      </c>
      <c r="B17" s="76">
        <v>3</v>
      </c>
      <c r="C17" s="96">
        <v>0.76000000000000012</v>
      </c>
      <c r="D17" s="78">
        <f t="shared" si="3"/>
        <v>1.8807399383039992E-4</v>
      </c>
      <c r="E17" s="79">
        <f t="shared" si="6"/>
        <v>9.0628356605800209E-2</v>
      </c>
      <c r="F17" s="119">
        <f t="shared" si="7"/>
        <v>9.0628356605800207</v>
      </c>
      <c r="G17" s="7">
        <f t="shared" si="2"/>
        <v>11.924783763921077</v>
      </c>
      <c r="H17" s="56" t="s">
        <v>115</v>
      </c>
      <c r="I17" s="100"/>
      <c r="J17" s="57"/>
      <c r="K17" s="42"/>
    </row>
    <row r="18" spans="1:11">
      <c r="A18" s="95" t="s">
        <v>58</v>
      </c>
      <c r="B18" s="76">
        <v>3</v>
      </c>
      <c r="C18" s="96">
        <v>0.78095238095238095</v>
      </c>
      <c r="D18" s="78">
        <f t="shared" si="3"/>
        <v>1.1284439629823994E-4</v>
      </c>
      <c r="E18" s="79">
        <f t="shared" si="6"/>
        <v>5.4377013963480117E-2</v>
      </c>
      <c r="F18" s="119">
        <f t="shared" si="7"/>
        <v>5.4377013963480119</v>
      </c>
      <c r="G18" s="7">
        <f t="shared" si="2"/>
        <v>6.9629103245919666</v>
      </c>
      <c r="H18" s="58">
        <f>0.95*H15</f>
        <v>95</v>
      </c>
      <c r="I18" s="101" t="s">
        <v>116</v>
      </c>
      <c r="J18" s="57"/>
      <c r="K18" s="42"/>
    </row>
    <row r="19" spans="1:11">
      <c r="A19" s="102" t="s">
        <v>52</v>
      </c>
      <c r="B19" s="22">
        <v>3</v>
      </c>
      <c r="C19" s="59">
        <v>0.8019047619047619</v>
      </c>
      <c r="D19" s="24">
        <f t="shared" si="3"/>
        <v>6.7706637778943961E-5</v>
      </c>
      <c r="E19" s="25">
        <f t="shared" si="6"/>
        <v>3.2626208378088072E-2</v>
      </c>
      <c r="F19" s="26">
        <f t="shared" si="7"/>
        <v>3.2626208378088073</v>
      </c>
      <c r="G19" s="27">
        <f t="shared" si="2"/>
        <v>4.0685889307592014</v>
      </c>
      <c r="H19" s="60">
        <f>H18/H15*H16</f>
        <v>130.7994295727367</v>
      </c>
      <c r="I19" s="101"/>
      <c r="J19" s="57"/>
      <c r="K19" s="42"/>
    </row>
    <row r="20" spans="1:11">
      <c r="A20" s="83" t="s">
        <v>132</v>
      </c>
      <c r="B20" s="84">
        <v>4</v>
      </c>
      <c r="C20" s="85">
        <v>0.73904761904761906</v>
      </c>
      <c r="D20" s="86">
        <f t="shared" si="3"/>
        <v>4.0623982667366377E-5</v>
      </c>
      <c r="E20" s="87">
        <f t="shared" ref="E20:E25" si="8">D20/SUM(D$20:D$25)</f>
        <v>0.41957572502685281</v>
      </c>
      <c r="F20" s="118">
        <f t="shared" ref="F20:F25" si="9">$H$25*E20</f>
        <v>41.957572502685281</v>
      </c>
      <c r="G20" s="7">
        <f t="shared" si="2"/>
        <v>56.77248856677776</v>
      </c>
      <c r="H20" s="61">
        <f>SUM(D20:D25)/SUM(D14:D25)</f>
        <v>4.4576250458603396E-2</v>
      </c>
      <c r="I20" s="62">
        <f>H21+H19</f>
        <v>136.64520665086079</v>
      </c>
      <c r="J20" s="57"/>
      <c r="K20" s="42"/>
    </row>
    <row r="21" spans="1:11">
      <c r="A21" s="83" t="s">
        <v>40</v>
      </c>
      <c r="B21" s="84">
        <v>4</v>
      </c>
      <c r="C21" s="85">
        <v>0.73999999999999988</v>
      </c>
      <c r="D21" s="86">
        <f t="shared" si="3"/>
        <v>2.4374389600419825E-5</v>
      </c>
      <c r="E21" s="87">
        <f t="shared" si="8"/>
        <v>0.25174543501611168</v>
      </c>
      <c r="F21" s="118">
        <f t="shared" si="9"/>
        <v>25.174543501611168</v>
      </c>
      <c r="G21" s="7">
        <f t="shared" si="2"/>
        <v>34.019653380555638</v>
      </c>
      <c r="H21" s="63">
        <f>H22/H25*H24</f>
        <v>5.8457770781240876</v>
      </c>
      <c r="I21" s="64">
        <f>H18+H22</f>
        <v>99.432320000000004</v>
      </c>
      <c r="J21" s="57"/>
      <c r="K21" s="42"/>
    </row>
    <row r="22" spans="1:11">
      <c r="A22" s="83" t="s">
        <v>101</v>
      </c>
      <c r="B22" s="84">
        <v>4</v>
      </c>
      <c r="C22" s="85">
        <v>0.74476190476190463</v>
      </c>
      <c r="D22" s="86">
        <f t="shared" si="3"/>
        <v>1.4624633760251893E-5</v>
      </c>
      <c r="E22" s="87">
        <f t="shared" si="8"/>
        <v>0.15104726100966701</v>
      </c>
      <c r="F22" s="118">
        <f t="shared" si="9"/>
        <v>15.104726100966701</v>
      </c>
      <c r="G22" s="7">
        <f t="shared" si="2"/>
        <v>20.281281849124092</v>
      </c>
      <c r="H22" s="65">
        <f>H18*H20/(1-H20)</f>
        <v>4.4323199999999998</v>
      </c>
      <c r="I22" s="66"/>
      <c r="J22" s="57"/>
      <c r="K22" s="42"/>
    </row>
    <row r="23" spans="1:11">
      <c r="A23" s="83" t="s">
        <v>74</v>
      </c>
      <c r="B23" s="84">
        <v>4</v>
      </c>
      <c r="C23" s="85">
        <v>0.92</v>
      </c>
      <c r="D23" s="86">
        <f t="shared" si="3"/>
        <v>8.774780256151135E-6</v>
      </c>
      <c r="E23" s="87">
        <f t="shared" si="8"/>
        <v>9.0628356605800195E-2</v>
      </c>
      <c r="F23" s="118">
        <f t="shared" si="9"/>
        <v>9.0628356605800189</v>
      </c>
      <c r="G23" s="7">
        <f t="shared" si="2"/>
        <v>9.8509083267174109</v>
      </c>
      <c r="H23" s="32" t="s">
        <v>116</v>
      </c>
      <c r="I23" s="67"/>
      <c r="J23" s="57"/>
      <c r="K23" s="42"/>
    </row>
    <row r="24" spans="1:11">
      <c r="A24" s="83" t="s">
        <v>91</v>
      </c>
      <c r="B24" s="84">
        <v>4</v>
      </c>
      <c r="C24" s="85">
        <v>0.8047619047619049</v>
      </c>
      <c r="D24" s="86">
        <f t="shared" si="3"/>
        <v>5.264868153690681E-6</v>
      </c>
      <c r="E24" s="87">
        <f t="shared" si="8"/>
        <v>5.437701396348011E-2</v>
      </c>
      <c r="F24" s="118">
        <f t="shared" si="9"/>
        <v>5.437701396348011</v>
      </c>
      <c r="G24" s="7">
        <f t="shared" si="2"/>
        <v>6.7569070605507813</v>
      </c>
      <c r="H24" s="68">
        <f>SUM(G20:G25)</f>
        <v>131.8897795764766</v>
      </c>
      <c r="I24" s="67"/>
      <c r="J24" s="57"/>
      <c r="K24" s="42"/>
    </row>
    <row r="25" spans="1:11">
      <c r="A25" s="94" t="s">
        <v>57</v>
      </c>
      <c r="B25" s="43">
        <v>4</v>
      </c>
      <c r="C25" s="44">
        <v>0.77523809523809517</v>
      </c>
      <c r="D25" s="45">
        <f t="shared" si="3"/>
        <v>3.1589208922144085E-6</v>
      </c>
      <c r="E25" s="46">
        <f t="shared" si="8"/>
        <v>3.2626208378088065E-2</v>
      </c>
      <c r="F25" s="47">
        <f t="shared" si="9"/>
        <v>3.2626208378088064</v>
      </c>
      <c r="G25" s="27">
        <f t="shared" si="2"/>
        <v>4.2085403927509173</v>
      </c>
      <c r="H25" s="69">
        <v>100</v>
      </c>
      <c r="I25" s="70"/>
      <c r="J25" s="71"/>
      <c r="K25" s="72"/>
    </row>
    <row r="26" spans="1:11" ht="32" customHeight="1">
      <c r="A26" s="10"/>
      <c r="B26" s="10"/>
      <c r="C26" s="73" t="s">
        <v>118</v>
      </c>
      <c r="D26" s="111">
        <v>1</v>
      </c>
      <c r="E26" s="108"/>
      <c r="F26" s="6"/>
      <c r="G26" s="106" t="s">
        <v>125</v>
      </c>
      <c r="H26" s="4" t="s">
        <v>123</v>
      </c>
      <c r="I26" s="5" t="s">
        <v>124</v>
      </c>
      <c r="J26" s="5" t="s">
        <v>121</v>
      </c>
      <c r="K26" s="5" t="s">
        <v>122</v>
      </c>
    </row>
    <row r="28" spans="1:11">
      <c r="H28" s="109" t="s">
        <v>117</v>
      </c>
    </row>
    <row r="32" spans="1:11">
      <c r="C32" s="110"/>
    </row>
  </sheetData>
  <mergeCells count="1">
    <mergeCell ref="H1:K1"/>
  </mergeCells>
  <conditionalFormatting sqref="A33 A35">
    <cfRule type="colorScale" priority="2">
      <colorScale>
        <cfvo type="num" val="30"/>
        <cfvo type="num" val="31"/>
        <color theme="9" tint="0.39997558519241921"/>
        <color theme="0"/>
      </colorScale>
    </cfRule>
  </conditionalFormatting>
  <conditionalFormatting sqref="A34">
    <cfRule type="colorScale" priority="1">
      <colorScale>
        <cfvo type="num" val="30"/>
        <cfvo type="num" val="31"/>
        <color theme="9" tint="0.39997558519241921"/>
        <color theme="0"/>
      </colorScale>
    </cfRule>
  </conditionalFormatting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/>
  </sheetViews>
  <sheetFormatPr baseColWidth="10" defaultRowHeight="15" x14ac:dyDescent="0"/>
  <cols>
    <col min="1" max="1" width="27.1640625" bestFit="1" customWidth="1"/>
    <col min="2" max="2" width="6" bestFit="1" customWidth="1"/>
    <col min="3" max="3" width="6.83203125" bestFit="1" customWidth="1"/>
    <col min="4" max="4" width="10.33203125" bestFit="1" customWidth="1"/>
    <col min="5" max="5" width="9.5" bestFit="1" customWidth="1"/>
    <col min="6" max="6" width="9.5" customWidth="1"/>
    <col min="7" max="7" width="11.6640625" customWidth="1"/>
    <col min="11" max="11" width="12" customWidth="1"/>
    <col min="13" max="13" width="14.1640625" bestFit="1" customWidth="1"/>
  </cols>
  <sheetData>
    <row r="1" spans="1:13" ht="46" thickBot="1">
      <c r="A1" s="74" t="s">
        <v>5</v>
      </c>
      <c r="B1" s="103" t="s">
        <v>112</v>
      </c>
      <c r="C1" s="104" t="s">
        <v>113</v>
      </c>
      <c r="D1" s="103" t="s">
        <v>103</v>
      </c>
      <c r="E1" s="103" t="s">
        <v>119</v>
      </c>
      <c r="F1" s="104" t="s">
        <v>128</v>
      </c>
      <c r="G1" s="105" t="s">
        <v>114</v>
      </c>
      <c r="H1" s="153" t="s">
        <v>120</v>
      </c>
      <c r="I1" s="154"/>
      <c r="J1" s="154"/>
      <c r="K1" s="155"/>
    </row>
    <row r="2" spans="1:13">
      <c r="A2" s="75" t="s">
        <v>57</v>
      </c>
      <c r="B2" s="76">
        <v>1</v>
      </c>
      <c r="C2" s="77">
        <v>0.77523809523809517</v>
      </c>
      <c r="D2" s="78">
        <f>1-$M$4</f>
        <v>0.5</v>
      </c>
      <c r="E2" s="79">
        <f t="shared" ref="E2:E7" si="0">D2/SUM(D$2:D$7)</f>
        <v>0.50793650793650791</v>
      </c>
      <c r="F2" s="80">
        <f t="shared" ref="F2:F7" si="1">$J$3*E2</f>
        <v>106.66666666666666</v>
      </c>
      <c r="G2" s="7">
        <f t="shared" ref="G2:G25" si="2">F2/C2</f>
        <v>137.59213759213759</v>
      </c>
      <c r="H2" s="8"/>
      <c r="I2" s="9"/>
      <c r="J2" s="11"/>
      <c r="K2" s="12"/>
      <c r="M2" s="122" t="s">
        <v>134</v>
      </c>
    </row>
    <row r="3" spans="1:13" ht="30">
      <c r="A3" s="75" t="s">
        <v>83</v>
      </c>
      <c r="B3" s="76">
        <v>1</v>
      </c>
      <c r="C3" s="77">
        <v>0.75333333333333341</v>
      </c>
      <c r="D3" s="78">
        <f t="shared" ref="D3:D25" si="3">D2*$M$4</f>
        <v>0.25</v>
      </c>
      <c r="E3" s="79">
        <f t="shared" si="0"/>
        <v>0.25396825396825395</v>
      </c>
      <c r="F3" s="80">
        <f t="shared" si="1"/>
        <v>53.333333333333329</v>
      </c>
      <c r="G3" s="7">
        <f t="shared" si="2"/>
        <v>70.796460176991133</v>
      </c>
      <c r="H3" s="13"/>
      <c r="I3" s="81"/>
      <c r="J3" s="14">
        <v>210</v>
      </c>
      <c r="K3" s="15"/>
      <c r="M3" s="120" t="s">
        <v>135</v>
      </c>
    </row>
    <row r="4" spans="1:13" ht="16" thickBot="1">
      <c r="A4" s="75" t="s">
        <v>19</v>
      </c>
      <c r="B4" s="76">
        <v>1</v>
      </c>
      <c r="C4" s="77">
        <v>0.71619047619047616</v>
      </c>
      <c r="D4" s="78">
        <f t="shared" si="3"/>
        <v>0.125</v>
      </c>
      <c r="E4" s="79">
        <f t="shared" si="0"/>
        <v>0.12698412698412698</v>
      </c>
      <c r="F4" s="80">
        <f t="shared" si="1"/>
        <v>26.666666666666664</v>
      </c>
      <c r="G4" s="7">
        <f t="shared" si="2"/>
        <v>37.234042553191486</v>
      </c>
      <c r="H4" s="16"/>
      <c r="I4" s="81"/>
      <c r="J4" s="17">
        <f>SUM(G2:G7)</f>
        <v>278.69854498296718</v>
      </c>
      <c r="K4" s="18"/>
      <c r="M4" s="121">
        <v>0.5</v>
      </c>
    </row>
    <row r="5" spans="1:13">
      <c r="A5" s="75" t="s">
        <v>15</v>
      </c>
      <c r="B5" s="76">
        <v>1</v>
      </c>
      <c r="C5" s="77">
        <v>0.67142857142857137</v>
      </c>
      <c r="D5" s="78">
        <f t="shared" si="3"/>
        <v>6.25E-2</v>
      </c>
      <c r="E5" s="79">
        <f t="shared" si="0"/>
        <v>6.3492063492063489E-2</v>
      </c>
      <c r="F5" s="80">
        <f t="shared" si="1"/>
        <v>13.333333333333332</v>
      </c>
      <c r="G5" s="7">
        <f t="shared" si="2"/>
        <v>19.858156028368793</v>
      </c>
      <c r="H5" s="13"/>
      <c r="I5" s="81"/>
      <c r="J5" s="19" t="s">
        <v>115</v>
      </c>
      <c r="K5" s="20"/>
    </row>
    <row r="6" spans="1:13">
      <c r="A6" s="75" t="s">
        <v>33</v>
      </c>
      <c r="B6" s="76">
        <v>1</v>
      </c>
      <c r="C6" s="77">
        <v>0.73142857142857132</v>
      </c>
      <c r="D6" s="78">
        <f t="shared" si="3"/>
        <v>3.125E-2</v>
      </c>
      <c r="E6" s="79">
        <f t="shared" si="0"/>
        <v>3.1746031746031744E-2</v>
      </c>
      <c r="F6" s="80">
        <f t="shared" si="1"/>
        <v>6.6666666666666661</v>
      </c>
      <c r="G6" s="7">
        <f t="shared" si="2"/>
        <v>9.1145833333333339</v>
      </c>
      <c r="H6" s="13"/>
      <c r="I6" s="81"/>
      <c r="J6" s="21">
        <f>0.95*J3</f>
        <v>199.5</v>
      </c>
      <c r="K6" s="20"/>
    </row>
    <row r="7" spans="1:13">
      <c r="A7" s="82" t="s">
        <v>133</v>
      </c>
      <c r="B7" s="22">
        <v>1</v>
      </c>
      <c r="C7" s="23">
        <v>0.81238095238095243</v>
      </c>
      <c r="D7" s="24">
        <f t="shared" si="3"/>
        <v>1.5625E-2</v>
      </c>
      <c r="E7" s="25">
        <f t="shared" si="0"/>
        <v>1.5873015873015872E-2</v>
      </c>
      <c r="F7" s="26">
        <f t="shared" si="1"/>
        <v>3.333333333333333</v>
      </c>
      <c r="G7" s="27">
        <f t="shared" si="2"/>
        <v>4.1031652989448997</v>
      </c>
      <c r="H7" s="28"/>
      <c r="I7" s="29"/>
      <c r="J7" s="30">
        <f>J6/J3*J4</f>
        <v>264.76361773381882</v>
      </c>
      <c r="K7" s="31" t="s">
        <v>131</v>
      </c>
    </row>
    <row r="8" spans="1:13">
      <c r="A8" s="83" t="s">
        <v>23</v>
      </c>
      <c r="B8" s="84">
        <v>2</v>
      </c>
      <c r="C8" s="85">
        <v>0.68</v>
      </c>
      <c r="D8" s="86">
        <f t="shared" si="3"/>
        <v>7.8125E-3</v>
      </c>
      <c r="E8" s="87">
        <f t="shared" ref="E8:E13" si="4">D8/SUM(D$8:D$13)</f>
        <v>0.50793650793650791</v>
      </c>
      <c r="F8" s="88">
        <f t="shared" ref="F8:F13" si="5">$I$9*E8</f>
        <v>50.793650793650791</v>
      </c>
      <c r="G8" s="7">
        <f t="shared" si="2"/>
        <v>74.696545284780569</v>
      </c>
      <c r="H8" s="32"/>
      <c r="I8" s="33"/>
      <c r="J8" s="89">
        <f>SUM(D8:D25)/SUM(D2:D25)</f>
        <v>1.5624941326674302E-2</v>
      </c>
      <c r="K8" s="34">
        <f>J9+J7</f>
        <v>269.16031799137295</v>
      </c>
    </row>
    <row r="9" spans="1:13">
      <c r="A9" s="83" t="s">
        <v>87</v>
      </c>
      <c r="B9" s="84">
        <v>2</v>
      </c>
      <c r="C9" s="85">
        <v>0.76380952380952383</v>
      </c>
      <c r="D9" s="86">
        <f t="shared" si="3"/>
        <v>3.90625E-3</v>
      </c>
      <c r="E9" s="87">
        <f t="shared" si="4"/>
        <v>0.25396825396825395</v>
      </c>
      <c r="F9" s="88">
        <f t="shared" si="5"/>
        <v>25.396825396825395</v>
      </c>
      <c r="G9" s="7">
        <f t="shared" si="2"/>
        <v>33.250207813798831</v>
      </c>
      <c r="H9" s="32"/>
      <c r="I9" s="35">
        <v>100</v>
      </c>
      <c r="J9" s="90">
        <f>J10/J15*J14</f>
        <v>4.396700257554131</v>
      </c>
      <c r="K9" s="36">
        <f>J6+J10</f>
        <v>202.66665458679199</v>
      </c>
    </row>
    <row r="10" spans="1:13">
      <c r="A10" s="83" t="s">
        <v>40</v>
      </c>
      <c r="B10" s="84">
        <v>2</v>
      </c>
      <c r="C10" s="85">
        <v>0.73999999999999988</v>
      </c>
      <c r="D10" s="86">
        <f t="shared" si="3"/>
        <v>1.953125E-3</v>
      </c>
      <c r="E10" s="87">
        <f t="shared" si="4"/>
        <v>0.12698412698412698</v>
      </c>
      <c r="F10" s="88">
        <f t="shared" si="5"/>
        <v>12.698412698412698</v>
      </c>
      <c r="G10" s="7">
        <f t="shared" si="2"/>
        <v>17.160017160017162</v>
      </c>
      <c r="H10" s="32"/>
      <c r="I10" s="37">
        <f>SUM(G8:G13)</f>
        <v>138.954348394102</v>
      </c>
      <c r="J10" s="91">
        <f>J6*J8/(1-J8)</f>
        <v>3.1666545867919922</v>
      </c>
      <c r="K10" s="38">
        <f>K9/K8</f>
        <v>0.75295889118873682</v>
      </c>
    </row>
    <row r="11" spans="1:13">
      <c r="A11" s="83" t="s">
        <v>11</v>
      </c>
      <c r="B11" s="84">
        <v>2</v>
      </c>
      <c r="C11" s="85">
        <v>0.75428571428571412</v>
      </c>
      <c r="D11" s="86">
        <f t="shared" si="3"/>
        <v>9.765625E-4</v>
      </c>
      <c r="E11" s="87">
        <f t="shared" si="4"/>
        <v>6.3492063492063489E-2</v>
      </c>
      <c r="F11" s="88">
        <f t="shared" si="5"/>
        <v>6.3492063492063489</v>
      </c>
      <c r="G11" s="7">
        <f t="shared" si="2"/>
        <v>8.4175084175084187</v>
      </c>
      <c r="H11" s="32"/>
      <c r="I11" s="39" t="s">
        <v>115</v>
      </c>
      <c r="J11" s="92"/>
      <c r="K11" s="40"/>
    </row>
    <row r="12" spans="1:13">
      <c r="A12" s="83" t="s">
        <v>74</v>
      </c>
      <c r="B12" s="84">
        <v>2</v>
      </c>
      <c r="C12" s="85">
        <v>0.92</v>
      </c>
      <c r="D12" s="86">
        <f t="shared" si="3"/>
        <v>4.8828125E-4</v>
      </c>
      <c r="E12" s="87">
        <f t="shared" si="4"/>
        <v>3.1746031746031744E-2</v>
      </c>
      <c r="F12" s="88">
        <f t="shared" si="5"/>
        <v>3.1746031746031744</v>
      </c>
      <c r="G12" s="7">
        <f t="shared" si="2"/>
        <v>3.4506556245686677</v>
      </c>
      <c r="H12" s="32"/>
      <c r="I12" s="41">
        <f>0.95*I9</f>
        <v>95</v>
      </c>
      <c r="J12" s="93" t="s">
        <v>116</v>
      </c>
      <c r="K12" s="42"/>
    </row>
    <row r="13" spans="1:13">
      <c r="A13" s="94" t="s">
        <v>52</v>
      </c>
      <c r="B13" s="43">
        <v>2</v>
      </c>
      <c r="C13" s="44">
        <v>0.8019047619047619</v>
      </c>
      <c r="D13" s="45">
        <f t="shared" si="3"/>
        <v>2.44140625E-4</v>
      </c>
      <c r="E13" s="46">
        <f t="shared" si="4"/>
        <v>1.5873015873015872E-2</v>
      </c>
      <c r="F13" s="47">
        <f t="shared" si="5"/>
        <v>1.5873015873015872</v>
      </c>
      <c r="G13" s="27">
        <f t="shared" si="2"/>
        <v>1.9794140934283451</v>
      </c>
      <c r="H13" s="48"/>
      <c r="I13" s="49">
        <f>I12/I9*I10</f>
        <v>132.0066309743969</v>
      </c>
      <c r="J13" s="93"/>
      <c r="K13" s="42"/>
    </row>
    <row r="14" spans="1:13">
      <c r="A14" s="95" t="s">
        <v>92</v>
      </c>
      <c r="B14" s="76">
        <v>3</v>
      </c>
      <c r="C14" s="96">
        <v>0.76000000000000012</v>
      </c>
      <c r="D14" s="78">
        <f t="shared" si="3"/>
        <v>1.220703125E-4</v>
      </c>
      <c r="E14" s="79">
        <f t="shared" ref="E14:E19" si="6">D14/SUM(D$14:D$19)</f>
        <v>0.50793650793650791</v>
      </c>
      <c r="F14" s="80">
        <f t="shared" ref="F14:F19" si="7">$H$15*E14</f>
        <v>50.793650793650791</v>
      </c>
      <c r="G14" s="7">
        <f t="shared" si="2"/>
        <v>66.833751044277349</v>
      </c>
      <c r="H14" s="50"/>
      <c r="I14" s="97">
        <f>SUM(D14:D25)/SUM(D8:D25)</f>
        <v>1.5621244893054553E-2</v>
      </c>
      <c r="J14" s="51">
        <f>I15+I13</f>
        <v>133.9946745159354</v>
      </c>
      <c r="K14" s="42"/>
    </row>
    <row r="15" spans="1:13">
      <c r="A15" s="95" t="s">
        <v>58</v>
      </c>
      <c r="B15" s="76">
        <v>3</v>
      </c>
      <c r="C15" s="96">
        <v>0.78095238095238095</v>
      </c>
      <c r="D15" s="78">
        <f t="shared" si="3"/>
        <v>6.103515625E-5</v>
      </c>
      <c r="E15" s="79">
        <f t="shared" si="6"/>
        <v>0.25396825396825395</v>
      </c>
      <c r="F15" s="80">
        <f t="shared" si="7"/>
        <v>25.396825396825395</v>
      </c>
      <c r="G15" s="7">
        <f t="shared" si="2"/>
        <v>32.520325203252028</v>
      </c>
      <c r="H15" s="52">
        <v>100</v>
      </c>
      <c r="I15" s="98">
        <f>I16/I21*I20</f>
        <v>1.9880435415385076</v>
      </c>
      <c r="J15" s="53">
        <f>I12+I16</f>
        <v>96.507568359375</v>
      </c>
      <c r="K15" s="42"/>
    </row>
    <row r="16" spans="1:13">
      <c r="A16" s="95" t="s">
        <v>132</v>
      </c>
      <c r="B16" s="76">
        <v>3</v>
      </c>
      <c r="C16" s="96">
        <v>0.73904761904761906</v>
      </c>
      <c r="D16" s="78">
        <f t="shared" si="3"/>
        <v>3.0517578125E-5</v>
      </c>
      <c r="E16" s="79">
        <f t="shared" si="6"/>
        <v>0.12698412698412698</v>
      </c>
      <c r="F16" s="80">
        <f t="shared" si="7"/>
        <v>12.698412698412698</v>
      </c>
      <c r="G16" s="7">
        <f t="shared" si="2"/>
        <v>17.182130584192439</v>
      </c>
      <c r="H16" s="54">
        <f>SUM(G14:G19)</f>
        <v>131.75634881950614</v>
      </c>
      <c r="I16" s="99">
        <f>I12*I14/(1-I14)</f>
        <v>1.507568359375</v>
      </c>
      <c r="J16" s="55"/>
      <c r="K16" s="42"/>
    </row>
    <row r="17" spans="1:11">
      <c r="A17" s="95" t="s">
        <v>101</v>
      </c>
      <c r="B17" s="76">
        <v>3</v>
      </c>
      <c r="C17" s="96">
        <v>0.74476190476190463</v>
      </c>
      <c r="D17" s="78">
        <f t="shared" si="3"/>
        <v>1.52587890625E-5</v>
      </c>
      <c r="E17" s="79">
        <f t="shared" si="6"/>
        <v>6.3492063492063489E-2</v>
      </c>
      <c r="F17" s="80">
        <f t="shared" si="7"/>
        <v>6.3492063492063489</v>
      </c>
      <c r="G17" s="7">
        <f t="shared" si="2"/>
        <v>8.5251491901108274</v>
      </c>
      <c r="H17" s="56" t="s">
        <v>115</v>
      </c>
      <c r="I17" s="100"/>
      <c r="J17" s="57"/>
      <c r="K17" s="42"/>
    </row>
    <row r="18" spans="1:11">
      <c r="A18" s="95" t="s">
        <v>65</v>
      </c>
      <c r="B18" s="76">
        <v>3</v>
      </c>
      <c r="C18" s="96">
        <v>0.71904761904761905</v>
      </c>
      <c r="D18" s="78">
        <f t="shared" si="3"/>
        <v>7.62939453125E-6</v>
      </c>
      <c r="E18" s="79">
        <f t="shared" si="6"/>
        <v>3.1746031746031744E-2</v>
      </c>
      <c r="F18" s="80">
        <f t="shared" si="7"/>
        <v>3.1746031746031744</v>
      </c>
      <c r="G18" s="7">
        <f t="shared" si="2"/>
        <v>4.4150110375275933</v>
      </c>
      <c r="H18" s="58">
        <f>0.95*H15</f>
        <v>95</v>
      </c>
      <c r="I18" s="101" t="s">
        <v>116</v>
      </c>
      <c r="J18" s="57"/>
      <c r="K18" s="42"/>
    </row>
    <row r="19" spans="1:11">
      <c r="A19" s="102" t="s">
        <v>28</v>
      </c>
      <c r="B19" s="22">
        <v>3</v>
      </c>
      <c r="C19" s="59">
        <v>0.69619047619047614</v>
      </c>
      <c r="D19" s="24">
        <f t="shared" si="3"/>
        <v>3.814697265625E-6</v>
      </c>
      <c r="E19" s="25">
        <f t="shared" si="6"/>
        <v>1.5873015873015872E-2</v>
      </c>
      <c r="F19" s="26">
        <f t="shared" si="7"/>
        <v>1.5873015873015872</v>
      </c>
      <c r="G19" s="27">
        <f t="shared" si="2"/>
        <v>2.2799817601459189</v>
      </c>
      <c r="H19" s="60">
        <f>H18/H15*H16</f>
        <v>125.16853137853083</v>
      </c>
      <c r="I19" s="101"/>
      <c r="J19" s="57"/>
      <c r="K19" s="42"/>
    </row>
    <row r="20" spans="1:11">
      <c r="A20" s="83" t="s">
        <v>64</v>
      </c>
      <c r="B20" s="84">
        <v>4</v>
      </c>
      <c r="C20" s="85">
        <v>0.68761904761904769</v>
      </c>
      <c r="D20" s="86">
        <f t="shared" si="3"/>
        <v>1.9073486328125E-6</v>
      </c>
      <c r="E20" s="87">
        <f t="shared" ref="E20:E25" si="8">D20/SUM(D$20:D$25)</f>
        <v>0.50793650793650791</v>
      </c>
      <c r="F20" s="88">
        <f t="shared" ref="F20:F25" si="9">$H$25*E20</f>
        <v>50.793650793650791</v>
      </c>
      <c r="G20" s="7">
        <f t="shared" si="2"/>
        <v>73.868882733148652</v>
      </c>
      <c r="H20" s="61">
        <f>SUM(D20:D25)/SUM(D14:D25)</f>
        <v>1.5384615384615385E-2</v>
      </c>
      <c r="I20" s="62">
        <f>H21+H19</f>
        <v>127.23478665846449</v>
      </c>
      <c r="J20" s="57"/>
      <c r="K20" s="42"/>
    </row>
    <row r="21" spans="1:11">
      <c r="A21" s="83" t="s">
        <v>48</v>
      </c>
      <c r="B21" s="84">
        <v>4</v>
      </c>
      <c r="C21" s="85">
        <v>0.76000000000000012</v>
      </c>
      <c r="D21" s="86">
        <f t="shared" si="3"/>
        <v>9.5367431640625E-7</v>
      </c>
      <c r="E21" s="87">
        <f t="shared" si="8"/>
        <v>0.25396825396825395</v>
      </c>
      <c r="F21" s="88">
        <f t="shared" si="9"/>
        <v>25.396825396825395</v>
      </c>
      <c r="G21" s="7">
        <f t="shared" si="2"/>
        <v>33.416875522138675</v>
      </c>
      <c r="H21" s="63">
        <f>H22/H25*H24</f>
        <v>2.0662552799336513</v>
      </c>
      <c r="I21" s="64">
        <f>H18+H22</f>
        <v>96.484375</v>
      </c>
      <c r="J21" s="57"/>
      <c r="K21" s="42"/>
    </row>
    <row r="22" spans="1:11">
      <c r="A22" s="83" t="s">
        <v>79</v>
      </c>
      <c r="B22" s="84">
        <v>4</v>
      </c>
      <c r="C22" s="85">
        <v>0.74285714285714288</v>
      </c>
      <c r="D22" s="86">
        <f t="shared" si="3"/>
        <v>4.76837158203125E-7</v>
      </c>
      <c r="E22" s="87">
        <f t="shared" si="8"/>
        <v>0.12698412698412698</v>
      </c>
      <c r="F22" s="88">
        <f t="shared" si="9"/>
        <v>12.698412698412698</v>
      </c>
      <c r="G22" s="7">
        <f t="shared" si="2"/>
        <v>17.094017094017094</v>
      </c>
      <c r="H22" s="65">
        <f>H18*H20/(1-H20)</f>
        <v>1.484375</v>
      </c>
      <c r="I22" s="66"/>
      <c r="J22" s="57"/>
      <c r="K22" s="42"/>
    </row>
    <row r="23" spans="1:11">
      <c r="A23" s="83" t="s">
        <v>39</v>
      </c>
      <c r="B23" s="84">
        <v>4</v>
      </c>
      <c r="C23" s="85">
        <v>0.72190476190476183</v>
      </c>
      <c r="D23" s="86">
        <f t="shared" si="3"/>
        <v>2.384185791015625E-7</v>
      </c>
      <c r="E23" s="87">
        <f t="shared" si="8"/>
        <v>6.3492063492063489E-2</v>
      </c>
      <c r="F23" s="88">
        <f t="shared" si="9"/>
        <v>6.3492063492063489</v>
      </c>
      <c r="G23" s="7">
        <f t="shared" si="2"/>
        <v>8.7950747581354438</v>
      </c>
      <c r="H23" s="32" t="s">
        <v>116</v>
      </c>
      <c r="I23" s="67"/>
      <c r="J23" s="57"/>
      <c r="K23" s="42"/>
    </row>
    <row r="24" spans="1:11">
      <c r="A24" s="83" t="s">
        <v>91</v>
      </c>
      <c r="B24" s="84">
        <v>4</v>
      </c>
      <c r="C24" s="85">
        <v>0.8047619047619049</v>
      </c>
      <c r="D24" s="86">
        <f t="shared" si="3"/>
        <v>1.1920928955078125E-7</v>
      </c>
      <c r="E24" s="87">
        <f t="shared" si="8"/>
        <v>3.1746031746031744E-2</v>
      </c>
      <c r="F24" s="88">
        <f t="shared" si="9"/>
        <v>3.1746031746031744</v>
      </c>
      <c r="G24" s="7">
        <f t="shared" si="2"/>
        <v>3.9447731755424056</v>
      </c>
      <c r="H24" s="68">
        <f>SUM(G20:G25)</f>
        <v>139.20035570079335</v>
      </c>
      <c r="I24" s="67"/>
      <c r="J24" s="57"/>
      <c r="K24" s="42"/>
    </row>
    <row r="25" spans="1:11">
      <c r="A25" s="94" t="s">
        <v>96</v>
      </c>
      <c r="B25" s="43">
        <v>4</v>
      </c>
      <c r="C25" s="44">
        <v>0.7628571428571429</v>
      </c>
      <c r="D25" s="45">
        <f t="shared" si="3"/>
        <v>5.9604644775390625E-8</v>
      </c>
      <c r="E25" s="87">
        <f t="shared" si="8"/>
        <v>1.5873015873015872E-2</v>
      </c>
      <c r="F25" s="47">
        <f t="shared" si="9"/>
        <v>1.5873015873015872</v>
      </c>
      <c r="G25" s="27">
        <f t="shared" si="2"/>
        <v>2.0807324178110691</v>
      </c>
      <c r="H25" s="69">
        <v>100</v>
      </c>
      <c r="I25" s="70"/>
      <c r="J25" s="71"/>
      <c r="K25" s="72"/>
    </row>
    <row r="26" spans="1:11" ht="32" customHeight="1">
      <c r="A26" s="10"/>
      <c r="B26" s="10"/>
      <c r="C26" s="73" t="s">
        <v>118</v>
      </c>
      <c r="D26" s="107">
        <v>1</v>
      </c>
      <c r="E26" s="108"/>
      <c r="F26" s="6"/>
      <c r="G26" s="106" t="s">
        <v>125</v>
      </c>
      <c r="H26" s="4" t="s">
        <v>123</v>
      </c>
      <c r="I26" s="5" t="s">
        <v>124</v>
      </c>
      <c r="J26" s="5" t="s">
        <v>121</v>
      </c>
      <c r="K26" s="5" t="s">
        <v>122</v>
      </c>
    </row>
    <row r="28" spans="1:11">
      <c r="H28" s="109" t="s">
        <v>117</v>
      </c>
    </row>
  </sheetData>
  <mergeCells count="1">
    <mergeCell ref="H1:K1"/>
  </mergeCells>
  <conditionalFormatting sqref="A33 A35">
    <cfRule type="colorScale" priority="2">
      <colorScale>
        <cfvo type="num" val="30"/>
        <cfvo type="num" val="31"/>
        <color theme="9" tint="0.39997558519241921"/>
        <color theme="0"/>
      </colorScale>
    </cfRule>
  </conditionalFormatting>
  <conditionalFormatting sqref="A34">
    <cfRule type="colorScale" priority="1">
      <colorScale>
        <cfvo type="num" val="30"/>
        <cfvo type="num" val="31"/>
        <color theme="9" tint="0.39997558519241921"/>
        <color theme="0"/>
      </colorScale>
    </cfRule>
  </conditionalFormatting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showGridLines="0" workbookViewId="0"/>
  </sheetViews>
  <sheetFormatPr baseColWidth="10" defaultRowHeight="15" x14ac:dyDescent="0"/>
  <cols>
    <col min="1" max="1" width="2" customWidth="1"/>
    <col min="3" max="3" width="14.6640625" customWidth="1"/>
    <col min="4" max="4" width="9.5" customWidth="1"/>
    <col min="5" max="5" width="8.33203125" customWidth="1"/>
    <col min="6" max="6" width="9.33203125" customWidth="1"/>
    <col min="7" max="7" width="9.83203125" customWidth="1"/>
    <col min="8" max="8" width="8.1640625" customWidth="1"/>
    <col min="9" max="9" width="6.1640625" customWidth="1"/>
    <col min="10" max="10" width="6.5" customWidth="1"/>
  </cols>
  <sheetData>
    <row r="2" spans="2:12">
      <c r="B2" t="s">
        <v>156</v>
      </c>
    </row>
    <row r="3" spans="2:12">
      <c r="B3" t="s">
        <v>159</v>
      </c>
    </row>
    <row r="5" spans="2:12">
      <c r="B5" t="s">
        <v>152</v>
      </c>
      <c r="F5" t="s">
        <v>158</v>
      </c>
    </row>
    <row r="6" spans="2:12">
      <c r="B6" t="s">
        <v>153</v>
      </c>
      <c r="F6" t="s">
        <v>157</v>
      </c>
    </row>
    <row r="8" spans="2:12" ht="15" customHeight="1">
      <c r="B8" s="156" t="s">
        <v>150</v>
      </c>
      <c r="C8" s="123" t="s">
        <v>145</v>
      </c>
      <c r="D8" s="5">
        <v>30</v>
      </c>
      <c r="F8" s="159" t="s">
        <v>155</v>
      </c>
      <c r="G8" s="161" t="s">
        <v>161</v>
      </c>
      <c r="H8" s="130" t="s">
        <v>154</v>
      </c>
      <c r="I8" s="131"/>
      <c r="J8" s="132"/>
    </row>
    <row r="9" spans="2:12">
      <c r="B9" s="157"/>
      <c r="C9" s="123" t="s">
        <v>146</v>
      </c>
      <c r="D9" s="5">
        <f>D8*1000000</f>
        <v>30000000</v>
      </c>
      <c r="F9" s="160"/>
      <c r="G9" s="162"/>
      <c r="H9" s="127">
        <v>1</v>
      </c>
      <c r="I9" s="126">
        <v>0.01</v>
      </c>
      <c r="J9" s="133">
        <v>1E-3</v>
      </c>
    </row>
    <row r="10" spans="2:12">
      <c r="B10" s="158"/>
      <c r="C10" s="123" t="s">
        <v>151</v>
      </c>
      <c r="D10" s="5">
        <v>60</v>
      </c>
      <c r="F10" s="4">
        <v>21.8</v>
      </c>
      <c r="G10" s="134">
        <f>$D$11/F10*1000</f>
        <v>34.403669724770644</v>
      </c>
      <c r="H10" s="128">
        <f>D$13/F10*4.5</f>
        <v>286863.09103740298</v>
      </c>
      <c r="I10" s="128">
        <f t="shared" ref="I10:J13" si="0">$H10*I$9</f>
        <v>2868.63091037403</v>
      </c>
      <c r="J10" s="128">
        <f t="shared" si="0"/>
        <v>286.86309103740297</v>
      </c>
      <c r="L10" s="1"/>
    </row>
    <row r="11" spans="2:12" ht="15" customHeight="1">
      <c r="B11" s="156" t="s">
        <v>144</v>
      </c>
      <c r="C11" s="123" t="s">
        <v>149</v>
      </c>
      <c r="D11" s="5">
        <v>0.75</v>
      </c>
      <c r="F11" s="4">
        <v>228</v>
      </c>
      <c r="G11" s="134">
        <f t="shared" ref="G11:G13" si="1">$D$11/F11*1000</f>
        <v>3.2894736842105261</v>
      </c>
      <c r="H11" s="128">
        <f t="shared" ref="H11:H13" si="2">D$13/F11*4.5</f>
        <v>27428.137651821864</v>
      </c>
      <c r="I11" s="128">
        <f t="shared" si="0"/>
        <v>274.28137651821862</v>
      </c>
      <c r="J11" s="128">
        <f t="shared" si="0"/>
        <v>27.428137651821864</v>
      </c>
      <c r="L11" s="1"/>
    </row>
    <row r="12" spans="2:12">
      <c r="B12" s="157"/>
      <c r="C12" s="123" t="s">
        <v>147</v>
      </c>
      <c r="D12" s="124">
        <f>D11*6.022E+23/(D9*1000000000*650)</f>
        <v>23161.538461538461</v>
      </c>
      <c r="F12" s="4">
        <v>2393</v>
      </c>
      <c r="G12" s="134">
        <f t="shared" si="1"/>
        <v>0.31341412452987877</v>
      </c>
      <c r="H12" s="128">
        <f t="shared" si="2"/>
        <v>2613.2951878877498</v>
      </c>
      <c r="I12" s="128">
        <f t="shared" si="0"/>
        <v>26.132951878877499</v>
      </c>
      <c r="J12" s="128">
        <f t="shared" si="0"/>
        <v>2.6132951878877497</v>
      </c>
      <c r="L12" s="1"/>
    </row>
    <row r="13" spans="2:12">
      <c r="B13" s="158"/>
      <c r="C13" s="123" t="s">
        <v>148</v>
      </c>
      <c r="D13" s="124">
        <f>D12*D10</f>
        <v>1389692.3076923077</v>
      </c>
      <c r="F13" s="4">
        <v>15680</v>
      </c>
      <c r="G13" s="134">
        <f t="shared" si="1"/>
        <v>4.7831632653061222E-2</v>
      </c>
      <c r="H13" s="128">
        <f t="shared" si="2"/>
        <v>398.82751177394033</v>
      </c>
      <c r="I13" s="128">
        <f t="shared" si="0"/>
        <v>3.9882751177394034</v>
      </c>
      <c r="J13" s="128">
        <f t="shared" si="0"/>
        <v>0.39882751177394032</v>
      </c>
      <c r="L13" s="1"/>
    </row>
    <row r="14" spans="2:12">
      <c r="B14" s="129"/>
    </row>
    <row r="17" spans="2:4">
      <c r="B17" s="125"/>
      <c r="D17" s="2"/>
    </row>
  </sheetData>
  <mergeCells count="4">
    <mergeCell ref="B8:B10"/>
    <mergeCell ref="B11:B13"/>
    <mergeCell ref="F8:F9"/>
    <mergeCell ref="G8:G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species</vt:lpstr>
      <vt:lpstr>dilution_uneven_1</vt:lpstr>
      <vt:lpstr>dilution_uneven_2</vt:lpstr>
      <vt:lpstr>ITS_content_calc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Schlegel</dc:creator>
  <cp:keywords/>
  <dc:description/>
  <cp:lastModifiedBy>Markus Schlegel</cp:lastModifiedBy>
  <dcterms:created xsi:type="dcterms:W3CDTF">2017-12-26T17:07:41Z</dcterms:created>
  <dcterms:modified xsi:type="dcterms:W3CDTF">2018-09-20T14:35:40Z</dcterms:modified>
  <cp:category/>
</cp:coreProperties>
</file>